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2\01_obec_ROZPOČET_2022\02_Rozpočet_na_rok_2022\02_Rozpis_KÚ_s_MŠMT_k_04_05_2022\"/>
    </mc:Choice>
  </mc:AlternateContent>
  <xr:revisionPtr revIDLastSave="0" documentId="13_ncr:1_{EAAAE730-E784-4429-A74D-E4E530BCCFBF}" xr6:coauthVersionLast="47" xr6:coauthVersionMax="47" xr10:uidLastSave="{00000000-0000-0000-0000-000000000000}"/>
  <bookViews>
    <workbookView xWindow="-120" yWindow="-120" windowWidth="25440" windowHeight="15390" tabRatio="830" activeTab="11" xr2:uid="{00000000-000D-0000-FFFF-FFFF00000000}"/>
  </bookViews>
  <sheets>
    <sheet name="LB" sheetId="43" r:id="rId1"/>
    <sheet name="FR" sheetId="44" r:id="rId2"/>
    <sheet name="JN" sheetId="29" r:id="rId3"/>
    <sheet name="TA" sheetId="30" r:id="rId4"/>
    <sheet name="ŽB" sheetId="31" r:id="rId5"/>
    <sheet name="ČL" sheetId="32" r:id="rId6"/>
    <sheet name="NB" sheetId="39" r:id="rId7"/>
    <sheet name="SM" sheetId="40" r:id="rId8"/>
    <sheet name="JI" sheetId="41" r:id="rId9"/>
    <sheet name="TU" sheetId="42" r:id="rId10"/>
    <sheet name="sumář" sheetId="45" r:id="rId11"/>
    <sheet name="komentář" sheetId="38" r:id="rId12"/>
  </sheets>
  <definedNames>
    <definedName name="_xlnm._FilterDatabase" localSheetId="5" hidden="1">ČL!$G$1:$G$325</definedName>
    <definedName name="_xlnm._FilterDatabase" localSheetId="1" hidden="1">FR!$G$1:$G$246</definedName>
    <definedName name="_xlnm._FilterDatabase" localSheetId="8" hidden="1">JI!$G$1:$G$248</definedName>
    <definedName name="_xlnm._FilterDatabase" localSheetId="2" hidden="1">JN!$G$1:$G$199</definedName>
    <definedName name="_xlnm._FilterDatabase" localSheetId="0" hidden="1">LB!$G$1:$G$797</definedName>
    <definedName name="_xlnm._FilterDatabase" localSheetId="6" hidden="1">NB!$G$1:$G$139</definedName>
    <definedName name="_xlnm._FilterDatabase" localSheetId="7" hidden="1">SM!$G$1:$G$179</definedName>
    <definedName name="_xlnm._FilterDatabase" localSheetId="3" hidden="1">TA!$G$1:$G$113</definedName>
    <definedName name="_xlnm._FilterDatabase" localSheetId="9" hidden="1">TU!$G$1:$G$223</definedName>
    <definedName name="_xlnm._FilterDatabase" localSheetId="4" hidden="1">ŽB!$G$1:$G$89</definedName>
    <definedName name="_xlnm.Print_Titles" localSheetId="1">FR!$5:$11</definedName>
    <definedName name="_xlnm.Print_Titles" localSheetId="0">LB!$5:$11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I40" i="40" l="1"/>
  <c r="R40" i="40"/>
  <c r="AP78" i="39"/>
  <c r="AP77" i="39"/>
  <c r="AP76" i="39"/>
  <c r="AP75" i="39"/>
  <c r="AP74" i="39"/>
  <c r="AP79" i="39" s="1"/>
  <c r="AP73" i="39"/>
  <c r="AO78" i="39"/>
  <c r="AO77" i="39"/>
  <c r="AO76" i="39"/>
  <c r="AO75" i="39"/>
  <c r="AO74" i="39"/>
  <c r="AO79" i="39" s="1"/>
  <c r="AO73" i="39"/>
  <c r="AK210" i="42"/>
  <c r="AJ210" i="42"/>
  <c r="AI210" i="42"/>
  <c r="AH210" i="42"/>
  <c r="AG210" i="42"/>
  <c r="AD210" i="42"/>
  <c r="AC210" i="42"/>
  <c r="X210" i="42"/>
  <c r="W210" i="42"/>
  <c r="V210" i="42"/>
  <c r="T210" i="42"/>
  <c r="S210" i="42"/>
  <c r="R210" i="42"/>
  <c r="P210" i="42"/>
  <c r="O210" i="42"/>
  <c r="M210" i="42"/>
  <c r="J210" i="42"/>
  <c r="AK209" i="42"/>
  <c r="AJ209" i="42"/>
  <c r="AI209" i="42"/>
  <c r="AH209" i="42"/>
  <c r="AG209" i="42"/>
  <c r="AD209" i="42"/>
  <c r="AC209" i="42"/>
  <c r="X209" i="42"/>
  <c r="W209" i="42"/>
  <c r="V209" i="42"/>
  <c r="T209" i="42"/>
  <c r="S209" i="42"/>
  <c r="R209" i="42"/>
  <c r="P209" i="42"/>
  <c r="O209" i="42"/>
  <c r="M209" i="42"/>
  <c r="J209" i="42"/>
  <c r="AK208" i="42"/>
  <c r="AJ208" i="42"/>
  <c r="AI208" i="42"/>
  <c r="AH208" i="42"/>
  <c r="AG208" i="42"/>
  <c r="AD208" i="42"/>
  <c r="AC208" i="42"/>
  <c r="X208" i="42"/>
  <c r="W208" i="42"/>
  <c r="V208" i="42"/>
  <c r="T208" i="42"/>
  <c r="S208" i="42"/>
  <c r="R208" i="42"/>
  <c r="P208" i="42"/>
  <c r="O208" i="42"/>
  <c r="M208" i="42"/>
  <c r="J208" i="42"/>
  <c r="AK207" i="42"/>
  <c r="AJ207" i="42"/>
  <c r="AI207" i="42"/>
  <c r="AH207" i="42"/>
  <c r="AG207" i="42"/>
  <c r="AD207" i="42"/>
  <c r="AC207" i="42"/>
  <c r="X207" i="42"/>
  <c r="W207" i="42"/>
  <c r="V207" i="42"/>
  <c r="T207" i="42"/>
  <c r="S207" i="42"/>
  <c r="R207" i="42"/>
  <c r="P207" i="42"/>
  <c r="O207" i="42"/>
  <c r="M207" i="42"/>
  <c r="J207" i="42"/>
  <c r="AW206" i="42"/>
  <c r="AV206" i="42"/>
  <c r="AU206" i="42"/>
  <c r="AT206" i="42"/>
  <c r="AS206" i="42"/>
  <c r="AR206" i="42"/>
  <c r="AQ206" i="42"/>
  <c r="AP206" i="42"/>
  <c r="AO206" i="42"/>
  <c r="AN206" i="42"/>
  <c r="AM206" i="42"/>
  <c r="AL206" i="42"/>
  <c r="AK206" i="42"/>
  <c r="AJ206" i="42"/>
  <c r="AI206" i="42"/>
  <c r="AH206" i="42"/>
  <c r="AG206" i="42"/>
  <c r="AF206" i="42"/>
  <c r="AE206" i="42"/>
  <c r="AD206" i="42"/>
  <c r="AC206" i="42"/>
  <c r="AB206" i="42"/>
  <c r="AA206" i="42"/>
  <c r="Z206" i="42"/>
  <c r="Y206" i="42"/>
  <c r="X206" i="42"/>
  <c r="W206" i="42"/>
  <c r="V206" i="42"/>
  <c r="U206" i="42"/>
  <c r="T206" i="42"/>
  <c r="S206" i="42"/>
  <c r="R206" i="42"/>
  <c r="Q206" i="42"/>
  <c r="P206" i="42"/>
  <c r="O206" i="42"/>
  <c r="N206" i="42"/>
  <c r="M206" i="42"/>
  <c r="L206" i="42"/>
  <c r="K206" i="42"/>
  <c r="J206" i="42"/>
  <c r="I206" i="42"/>
  <c r="AW205" i="42"/>
  <c r="AV205" i="42"/>
  <c r="AU205" i="42"/>
  <c r="AT205" i="42"/>
  <c r="AS205" i="42"/>
  <c r="AR205" i="42"/>
  <c r="AQ205" i="42"/>
  <c r="AP205" i="42"/>
  <c r="AO205" i="42"/>
  <c r="AN205" i="42"/>
  <c r="AM205" i="42"/>
  <c r="AL205" i="42"/>
  <c r="AK205" i="42"/>
  <c r="AJ205" i="42"/>
  <c r="AI205" i="42"/>
  <c r="AH205" i="42"/>
  <c r="AG205" i="42"/>
  <c r="AF205" i="42"/>
  <c r="AE205" i="42"/>
  <c r="AD205" i="42"/>
  <c r="AC205" i="42"/>
  <c r="AB205" i="42"/>
  <c r="AA205" i="42"/>
  <c r="Z205" i="42"/>
  <c r="Y205" i="42"/>
  <c r="X205" i="42"/>
  <c r="W205" i="42"/>
  <c r="V205" i="42"/>
  <c r="U205" i="42"/>
  <c r="T205" i="42"/>
  <c r="S205" i="42"/>
  <c r="R205" i="42"/>
  <c r="Q205" i="42"/>
  <c r="P205" i="42"/>
  <c r="O205" i="42"/>
  <c r="N205" i="42"/>
  <c r="M205" i="42"/>
  <c r="L205" i="42"/>
  <c r="K205" i="42"/>
  <c r="J205" i="42"/>
  <c r="I205" i="42"/>
  <c r="AK204" i="42"/>
  <c r="AJ204" i="42"/>
  <c r="AH204" i="42"/>
  <c r="AG204" i="42"/>
  <c r="AD204" i="42"/>
  <c r="AC204" i="42"/>
  <c r="X204" i="42"/>
  <c r="W204" i="42"/>
  <c r="V204" i="42"/>
  <c r="T204" i="42"/>
  <c r="S204" i="42"/>
  <c r="P204" i="42"/>
  <c r="O204" i="42"/>
  <c r="M204" i="42"/>
  <c r="J204" i="42"/>
  <c r="AK203" i="42"/>
  <c r="AJ203" i="42"/>
  <c r="AI203" i="42"/>
  <c r="AH203" i="42"/>
  <c r="AG203" i="42"/>
  <c r="AD203" i="42"/>
  <c r="AC203" i="42"/>
  <c r="X203" i="42"/>
  <c r="W203" i="42"/>
  <c r="V203" i="42"/>
  <c r="T203" i="42"/>
  <c r="S203" i="42"/>
  <c r="R203" i="42"/>
  <c r="P203" i="42"/>
  <c r="O203" i="42"/>
  <c r="M203" i="42"/>
  <c r="J203" i="42"/>
  <c r="AK202" i="42"/>
  <c r="AJ202" i="42"/>
  <c r="AH202" i="42"/>
  <c r="AG202" i="42"/>
  <c r="AD202" i="42"/>
  <c r="AC202" i="42"/>
  <c r="X202" i="42"/>
  <c r="W202" i="42"/>
  <c r="V202" i="42"/>
  <c r="T202" i="42"/>
  <c r="S202" i="42"/>
  <c r="P202" i="42"/>
  <c r="O202" i="42"/>
  <c r="M202" i="42"/>
  <c r="J202" i="42"/>
  <c r="AK201" i="42"/>
  <c r="AJ201" i="42"/>
  <c r="AH201" i="42"/>
  <c r="AG201" i="42"/>
  <c r="AD201" i="42"/>
  <c r="AC201" i="42"/>
  <c r="X201" i="42"/>
  <c r="W201" i="42"/>
  <c r="V201" i="42"/>
  <c r="T201" i="42"/>
  <c r="S201" i="42"/>
  <c r="P201" i="42"/>
  <c r="O201" i="42"/>
  <c r="M201" i="42"/>
  <c r="J201" i="42"/>
  <c r="AK196" i="42"/>
  <c r="AJ196" i="42"/>
  <c r="AI196" i="42"/>
  <c r="AH196" i="42"/>
  <c r="AG196" i="42"/>
  <c r="AD196" i="42"/>
  <c r="AC196" i="42"/>
  <c r="X196" i="42"/>
  <c r="W196" i="42"/>
  <c r="V196" i="42"/>
  <c r="T196" i="42"/>
  <c r="S196" i="42"/>
  <c r="R196" i="42"/>
  <c r="P196" i="42"/>
  <c r="O196" i="42"/>
  <c r="M196" i="42"/>
  <c r="J196" i="42"/>
  <c r="AW195" i="42"/>
  <c r="AM195" i="42"/>
  <c r="AL195" i="42"/>
  <c r="AE195" i="42"/>
  <c r="AT195" i="42" s="1"/>
  <c r="Y195" i="42"/>
  <c r="Q195" i="42"/>
  <c r="U195" i="42" s="1"/>
  <c r="N195" i="42"/>
  <c r="L195" i="42"/>
  <c r="K195" i="42"/>
  <c r="AM194" i="42"/>
  <c r="AW194" i="42" s="1"/>
  <c r="AL194" i="42"/>
  <c r="AV194" i="42" s="1"/>
  <c r="AE194" i="42"/>
  <c r="AT194" i="42" s="1"/>
  <c r="Y194" i="42"/>
  <c r="AQ194" i="42" s="1"/>
  <c r="Q194" i="42"/>
  <c r="U194" i="42" s="1"/>
  <c r="AP194" i="42" s="1"/>
  <c r="N194" i="42"/>
  <c r="L194" i="42"/>
  <c r="K194" i="42"/>
  <c r="AM193" i="42"/>
  <c r="AW193" i="42" s="1"/>
  <c r="AL193" i="42"/>
  <c r="AE193" i="42"/>
  <c r="AT193" i="42" s="1"/>
  <c r="Y193" i="42"/>
  <c r="AQ193" i="42" s="1"/>
  <c r="Q193" i="42"/>
  <c r="U193" i="42" s="1"/>
  <c r="N193" i="42"/>
  <c r="L193" i="42"/>
  <c r="K193" i="42"/>
  <c r="AW192" i="42"/>
  <c r="AM192" i="42"/>
  <c r="AL192" i="42"/>
  <c r="AE192" i="42"/>
  <c r="AT192" i="42" s="1"/>
  <c r="Y192" i="42"/>
  <c r="AQ192" i="42" s="1"/>
  <c r="Q192" i="42"/>
  <c r="U192" i="42" s="1"/>
  <c r="AA192" i="42" s="1"/>
  <c r="AR192" i="42" s="1"/>
  <c r="N192" i="42"/>
  <c r="I192" i="42"/>
  <c r="AM191" i="42"/>
  <c r="AW191" i="42" s="1"/>
  <c r="AL191" i="42"/>
  <c r="AE191" i="42"/>
  <c r="Y191" i="42"/>
  <c r="AQ191" i="42" s="1"/>
  <c r="Q191" i="42"/>
  <c r="N191" i="42"/>
  <c r="L191" i="42"/>
  <c r="K191" i="42"/>
  <c r="AM190" i="42"/>
  <c r="AL190" i="42"/>
  <c r="AE190" i="42"/>
  <c r="AT190" i="42" s="1"/>
  <c r="Y190" i="42"/>
  <c r="Q190" i="42"/>
  <c r="U190" i="42" s="1"/>
  <c r="AA190" i="42" s="1"/>
  <c r="N190" i="42"/>
  <c r="L190" i="42"/>
  <c r="K190" i="42"/>
  <c r="AK189" i="42"/>
  <c r="AJ189" i="42"/>
  <c r="AI189" i="42"/>
  <c r="AH189" i="42"/>
  <c r="AG189" i="42"/>
  <c r="AD189" i="42"/>
  <c r="AC189" i="42"/>
  <c r="X189" i="42"/>
  <c r="W189" i="42"/>
  <c r="V189" i="42"/>
  <c r="T189" i="42"/>
  <c r="S189" i="42"/>
  <c r="R189" i="42"/>
  <c r="P189" i="42"/>
  <c r="O189" i="42"/>
  <c r="M189" i="42"/>
  <c r="J189" i="42"/>
  <c r="AM188" i="42"/>
  <c r="AL188" i="42"/>
  <c r="AV188" i="42" s="1"/>
  <c r="AE188" i="42"/>
  <c r="AT188" i="42" s="1"/>
  <c r="Y188" i="42"/>
  <c r="AQ188" i="42" s="1"/>
  <c r="Q188" i="42"/>
  <c r="U188" i="42" s="1"/>
  <c r="N188" i="42"/>
  <c r="L188" i="42"/>
  <c r="K188" i="42"/>
  <c r="AM187" i="42"/>
  <c r="AW187" i="42" s="1"/>
  <c r="AL187" i="42"/>
  <c r="AV187" i="42" s="1"/>
  <c r="AE187" i="42"/>
  <c r="AT187" i="42" s="1"/>
  <c r="Y187" i="42"/>
  <c r="AQ187" i="42" s="1"/>
  <c r="Q187" i="42"/>
  <c r="U187" i="42" s="1"/>
  <c r="N187" i="42"/>
  <c r="L187" i="42"/>
  <c r="K187" i="42"/>
  <c r="AM186" i="42"/>
  <c r="AW186" i="42" s="1"/>
  <c r="AL186" i="42"/>
  <c r="AV186" i="42" s="1"/>
  <c r="AE186" i="42"/>
  <c r="AT186" i="42" s="1"/>
  <c r="Y186" i="42"/>
  <c r="Q186" i="42"/>
  <c r="U186" i="42" s="1"/>
  <c r="N186" i="42"/>
  <c r="L186" i="42"/>
  <c r="K186" i="42"/>
  <c r="AM185" i="42"/>
  <c r="AL185" i="42"/>
  <c r="AV185" i="42" s="1"/>
  <c r="AE185" i="42"/>
  <c r="AT185" i="42" s="1"/>
  <c r="Y185" i="42"/>
  <c r="AQ185" i="42" s="1"/>
  <c r="Q185" i="42"/>
  <c r="U185" i="42" s="1"/>
  <c r="N185" i="42"/>
  <c r="L185" i="42"/>
  <c r="K185" i="42"/>
  <c r="AM184" i="42"/>
  <c r="AL184" i="42"/>
  <c r="AV184" i="42" s="1"/>
  <c r="AE184" i="42"/>
  <c r="Y184" i="42"/>
  <c r="AQ184" i="42" s="1"/>
  <c r="Q184" i="42"/>
  <c r="U184" i="42" s="1"/>
  <c r="N184" i="42"/>
  <c r="L184" i="42"/>
  <c r="K184" i="42"/>
  <c r="AK183" i="42"/>
  <c r="AJ183" i="42"/>
  <c r="AI183" i="42"/>
  <c r="AH183" i="42"/>
  <c r="AG183" i="42"/>
  <c r="AD183" i="42"/>
  <c r="AC183" i="42"/>
  <c r="X183" i="42"/>
  <c r="W183" i="42"/>
  <c r="V183" i="42"/>
  <c r="T183" i="42"/>
  <c r="S183" i="42"/>
  <c r="R183" i="42"/>
  <c r="P183" i="42"/>
  <c r="O183" i="42"/>
  <c r="M183" i="42"/>
  <c r="J183" i="42"/>
  <c r="AM182" i="42"/>
  <c r="AW182" i="42" s="1"/>
  <c r="AL182" i="42"/>
  <c r="AE182" i="42"/>
  <c r="AT182" i="42" s="1"/>
  <c r="Y182" i="42"/>
  <c r="AQ182" i="42" s="1"/>
  <c r="Q182" i="42"/>
  <c r="U182" i="42" s="1"/>
  <c r="AP182" i="42" s="1"/>
  <c r="N182" i="42"/>
  <c r="L182" i="42"/>
  <c r="K182" i="42"/>
  <c r="AM181" i="42"/>
  <c r="AW181" i="42" s="1"/>
  <c r="AL181" i="42"/>
  <c r="AE181" i="42"/>
  <c r="AT181" i="42" s="1"/>
  <c r="Y181" i="42"/>
  <c r="AQ181" i="42" s="1"/>
  <c r="Q181" i="42"/>
  <c r="U181" i="42" s="1"/>
  <c r="N181" i="42"/>
  <c r="L181" i="42"/>
  <c r="K181" i="42"/>
  <c r="AM180" i="42"/>
  <c r="AW180" i="42" s="1"/>
  <c r="AL180" i="42"/>
  <c r="AV180" i="42" s="1"/>
  <c r="AE180" i="42"/>
  <c r="AT180" i="42" s="1"/>
  <c r="Y180" i="42"/>
  <c r="AQ180" i="42" s="1"/>
  <c r="Q180" i="42"/>
  <c r="U180" i="42" s="1"/>
  <c r="N180" i="42"/>
  <c r="L180" i="42"/>
  <c r="K180" i="42"/>
  <c r="AM179" i="42"/>
  <c r="AW179" i="42" s="1"/>
  <c r="AL179" i="42"/>
  <c r="AE179" i="42"/>
  <c r="AT179" i="42" s="1"/>
  <c r="Y179" i="42"/>
  <c r="AQ179" i="42" s="1"/>
  <c r="Q179" i="42"/>
  <c r="U179" i="42" s="1"/>
  <c r="N179" i="42"/>
  <c r="L179" i="42"/>
  <c r="K179" i="42"/>
  <c r="AM178" i="42"/>
  <c r="AW178" i="42" s="1"/>
  <c r="AL178" i="42"/>
  <c r="AE178" i="42"/>
  <c r="Y178" i="42"/>
  <c r="Q178" i="42"/>
  <c r="N178" i="42"/>
  <c r="L178" i="42"/>
  <c r="K178" i="42"/>
  <c r="AK177" i="42"/>
  <c r="AJ177" i="42"/>
  <c r="AI177" i="42"/>
  <c r="AH177" i="42"/>
  <c r="AG177" i="42"/>
  <c r="AD177" i="42"/>
  <c r="AC177" i="42"/>
  <c r="X177" i="42"/>
  <c r="W177" i="42"/>
  <c r="V177" i="42"/>
  <c r="T177" i="42"/>
  <c r="S177" i="42"/>
  <c r="R177" i="42"/>
  <c r="P177" i="42"/>
  <c r="O177" i="42"/>
  <c r="M177" i="42"/>
  <c r="J177" i="42"/>
  <c r="AM176" i="42"/>
  <c r="AW176" i="42" s="1"/>
  <c r="AL176" i="42"/>
  <c r="AE176" i="42"/>
  <c r="AT176" i="42" s="1"/>
  <c r="Y176" i="42"/>
  <c r="AQ176" i="42" s="1"/>
  <c r="Q176" i="42"/>
  <c r="U176" i="42" s="1"/>
  <c r="N176" i="42"/>
  <c r="L176" i="42"/>
  <c r="K176" i="42"/>
  <c r="AM175" i="42"/>
  <c r="AW175" i="42" s="1"/>
  <c r="AL175" i="42"/>
  <c r="AE175" i="42"/>
  <c r="AT175" i="42" s="1"/>
  <c r="Y175" i="42"/>
  <c r="AQ175" i="42" s="1"/>
  <c r="Q175" i="42"/>
  <c r="U175" i="42" s="1"/>
  <c r="N175" i="42"/>
  <c r="L175" i="42"/>
  <c r="K175" i="42"/>
  <c r="AM174" i="42"/>
  <c r="AW174" i="42" s="1"/>
  <c r="AL174" i="42"/>
  <c r="AE174" i="42"/>
  <c r="AT174" i="42" s="1"/>
  <c r="Y174" i="42"/>
  <c r="AQ174" i="42" s="1"/>
  <c r="Q174" i="42"/>
  <c r="N174" i="42"/>
  <c r="L174" i="42"/>
  <c r="K174" i="42"/>
  <c r="I174" i="42" s="1"/>
  <c r="AM173" i="42"/>
  <c r="AW173" i="42" s="1"/>
  <c r="AL173" i="42"/>
  <c r="AE173" i="42"/>
  <c r="AT173" i="42" s="1"/>
  <c r="Y173" i="42"/>
  <c r="AQ173" i="42" s="1"/>
  <c r="Q173" i="42"/>
  <c r="U173" i="42" s="1"/>
  <c r="N173" i="42"/>
  <c r="L173" i="42"/>
  <c r="K173" i="42"/>
  <c r="AM172" i="42"/>
  <c r="AW172" i="42" s="1"/>
  <c r="AL172" i="42"/>
  <c r="AE172" i="42"/>
  <c r="AT172" i="42" s="1"/>
  <c r="Y172" i="42"/>
  <c r="AQ172" i="42" s="1"/>
  <c r="Q172" i="42"/>
  <c r="U172" i="42" s="1"/>
  <c r="AA172" i="42" s="1"/>
  <c r="N172" i="42"/>
  <c r="L172" i="42"/>
  <c r="K172" i="42"/>
  <c r="AM171" i="42"/>
  <c r="AW171" i="42" s="1"/>
  <c r="AL171" i="42"/>
  <c r="AE171" i="42"/>
  <c r="Y171" i="42"/>
  <c r="AQ171" i="42" s="1"/>
  <c r="Q171" i="42"/>
  <c r="U171" i="42" s="1"/>
  <c r="N171" i="42"/>
  <c r="L171" i="42"/>
  <c r="K171" i="42"/>
  <c r="AK170" i="42"/>
  <c r="AJ170" i="42"/>
  <c r="AI170" i="42"/>
  <c r="AH170" i="42"/>
  <c r="AG170" i="42"/>
  <c r="AD170" i="42"/>
  <c r="AC170" i="42"/>
  <c r="X170" i="42"/>
  <c r="W170" i="42"/>
  <c r="V170" i="42"/>
  <c r="T170" i="42"/>
  <c r="S170" i="42"/>
  <c r="P170" i="42"/>
  <c r="O170" i="42"/>
  <c r="M170" i="42"/>
  <c r="J170" i="42"/>
  <c r="AM169" i="42"/>
  <c r="AW169" i="42" s="1"/>
  <c r="AL169" i="42"/>
  <c r="AV169" i="42" s="1"/>
  <c r="AE169" i="42"/>
  <c r="AT169" i="42" s="1"/>
  <c r="Y169" i="42"/>
  <c r="AQ169" i="42" s="1"/>
  <c r="Q169" i="42"/>
  <c r="U169" i="42" s="1"/>
  <c r="AP169" i="42" s="1"/>
  <c r="N169" i="42"/>
  <c r="L169" i="42"/>
  <c r="K169" i="42"/>
  <c r="AM168" i="42"/>
  <c r="AW168" i="42" s="1"/>
  <c r="AL168" i="42"/>
  <c r="AV168" i="42" s="1"/>
  <c r="AE168" i="42"/>
  <c r="AT168" i="42" s="1"/>
  <c r="Y168" i="42"/>
  <c r="AQ168" i="42" s="1"/>
  <c r="Q168" i="42"/>
  <c r="U168" i="42" s="1"/>
  <c r="N168" i="42"/>
  <c r="L168" i="42"/>
  <c r="K168" i="42"/>
  <c r="AM167" i="42"/>
  <c r="AL167" i="42"/>
  <c r="AV167" i="42" s="1"/>
  <c r="AE167" i="42"/>
  <c r="AT167" i="42" s="1"/>
  <c r="Y167" i="42"/>
  <c r="Q167" i="42"/>
  <c r="U167" i="42" s="1"/>
  <c r="AP167" i="42" s="1"/>
  <c r="N167" i="42"/>
  <c r="L167" i="42"/>
  <c r="K167" i="42"/>
  <c r="AM166" i="42"/>
  <c r="AW166" i="42" s="1"/>
  <c r="AI166" i="42"/>
  <c r="AL166" i="42" s="1"/>
  <c r="AE166" i="42"/>
  <c r="AT166" i="42" s="1"/>
  <c r="Y166" i="42"/>
  <c r="AQ166" i="42" s="1"/>
  <c r="R166" i="42"/>
  <c r="R170" i="42" s="1"/>
  <c r="Q166" i="42"/>
  <c r="N166" i="42"/>
  <c r="I166" i="42"/>
  <c r="AM165" i="42"/>
  <c r="AW165" i="42" s="1"/>
  <c r="AL165" i="42"/>
  <c r="AE165" i="42"/>
  <c r="Y165" i="42"/>
  <c r="AQ165" i="42" s="1"/>
  <c r="Q165" i="42"/>
  <c r="U165" i="42" s="1"/>
  <c r="AB165" i="42" s="1"/>
  <c r="N165" i="42"/>
  <c r="L165" i="42"/>
  <c r="K165" i="42"/>
  <c r="AK164" i="42"/>
  <c r="AJ164" i="42"/>
  <c r="AI164" i="42"/>
  <c r="AH164" i="42"/>
  <c r="AG164" i="42"/>
  <c r="AD164" i="42"/>
  <c r="AC164" i="42"/>
  <c r="X164" i="42"/>
  <c r="W164" i="42"/>
  <c r="V164" i="42"/>
  <c r="T164" i="42"/>
  <c r="S164" i="42"/>
  <c r="R164" i="42"/>
  <c r="P164" i="42"/>
  <c r="O164" i="42"/>
  <c r="M164" i="42"/>
  <c r="J164" i="42"/>
  <c r="AM163" i="42"/>
  <c r="AW163" i="42" s="1"/>
  <c r="AL163" i="42"/>
  <c r="AE163" i="42"/>
  <c r="AT163" i="42" s="1"/>
  <c r="Y163" i="42"/>
  <c r="AQ163" i="42" s="1"/>
  <c r="Q163" i="42"/>
  <c r="U163" i="42" s="1"/>
  <c r="N163" i="42"/>
  <c r="L163" i="42"/>
  <c r="K163" i="42"/>
  <c r="AM162" i="42"/>
  <c r="AM164" i="42" s="1"/>
  <c r="AL162" i="42"/>
  <c r="AE162" i="42"/>
  <c r="AT162" i="42" s="1"/>
  <c r="Y162" i="42"/>
  <c r="AQ162" i="42" s="1"/>
  <c r="AQ164" i="42" s="1"/>
  <c r="Q162" i="42"/>
  <c r="U162" i="42" s="1"/>
  <c r="N162" i="42"/>
  <c r="L162" i="42"/>
  <c r="K162" i="42"/>
  <c r="AK161" i="42"/>
  <c r="AJ161" i="42"/>
  <c r="AH161" i="42"/>
  <c r="AG161" i="42"/>
  <c r="AD161" i="42"/>
  <c r="AC161" i="42"/>
  <c r="X161" i="42"/>
  <c r="W161" i="42"/>
  <c r="V161" i="42"/>
  <c r="T161" i="42"/>
  <c r="S161" i="42"/>
  <c r="P161" i="42"/>
  <c r="O161" i="42"/>
  <c r="M161" i="42"/>
  <c r="J161" i="42"/>
  <c r="AM160" i="42"/>
  <c r="AW160" i="42" s="1"/>
  <c r="AL160" i="42"/>
  <c r="AE160" i="42"/>
  <c r="AT160" i="42" s="1"/>
  <c r="Y160" i="42"/>
  <c r="Q160" i="42"/>
  <c r="U160" i="42" s="1"/>
  <c r="AB160" i="42" s="1"/>
  <c r="N160" i="42"/>
  <c r="L160" i="42"/>
  <c r="K160" i="42"/>
  <c r="AM159" i="42"/>
  <c r="AW159" i="42" s="1"/>
  <c r="AL159" i="42"/>
  <c r="AE159" i="42"/>
  <c r="AT159" i="42" s="1"/>
  <c r="Y159" i="42"/>
  <c r="AQ159" i="42" s="1"/>
  <c r="Q159" i="42"/>
  <c r="U159" i="42" s="1"/>
  <c r="AP159" i="42" s="1"/>
  <c r="N159" i="42"/>
  <c r="L159" i="42"/>
  <c r="K159" i="42"/>
  <c r="AM158" i="42"/>
  <c r="AW158" i="42" s="1"/>
  <c r="AL158" i="42"/>
  <c r="AE158" i="42"/>
  <c r="AT158" i="42" s="1"/>
  <c r="Y158" i="42"/>
  <c r="AQ158" i="42" s="1"/>
  <c r="Q158" i="42"/>
  <c r="U158" i="42" s="1"/>
  <c r="AB158" i="42" s="1"/>
  <c r="N158" i="42"/>
  <c r="L158" i="42"/>
  <c r="K158" i="42"/>
  <c r="AQ157" i="42"/>
  <c r="AM157" i="42"/>
  <c r="AW157" i="42" s="1"/>
  <c r="AL157" i="42"/>
  <c r="AI157" i="42"/>
  <c r="AE157" i="42"/>
  <c r="AT157" i="42" s="1"/>
  <c r="Y157" i="42"/>
  <c r="R157" i="42"/>
  <c r="Q157" i="42"/>
  <c r="N157" i="42"/>
  <c r="I157" i="42"/>
  <c r="AM156" i="42"/>
  <c r="AL156" i="42"/>
  <c r="AE156" i="42"/>
  <c r="AT156" i="42" s="1"/>
  <c r="Y156" i="42"/>
  <c r="AQ156" i="42" s="1"/>
  <c r="Q156" i="42"/>
  <c r="N156" i="42"/>
  <c r="L156" i="42"/>
  <c r="K156" i="42"/>
  <c r="AK155" i="42"/>
  <c r="AJ155" i="42"/>
  <c r="AI155" i="42"/>
  <c r="AH155" i="42"/>
  <c r="AG155" i="42"/>
  <c r="AD155" i="42"/>
  <c r="AC155" i="42"/>
  <c r="X155" i="42"/>
  <c r="W155" i="42"/>
  <c r="V155" i="42"/>
  <c r="T155" i="42"/>
  <c r="S155" i="42"/>
  <c r="R155" i="42"/>
  <c r="P155" i="42"/>
  <c r="O155" i="42"/>
  <c r="M155" i="42"/>
  <c r="J155" i="42"/>
  <c r="AM154" i="42"/>
  <c r="AW154" i="42" s="1"/>
  <c r="AL154" i="42"/>
  <c r="AE154" i="42"/>
  <c r="AT154" i="42" s="1"/>
  <c r="Y154" i="42"/>
  <c r="AQ154" i="42" s="1"/>
  <c r="Q154" i="42"/>
  <c r="U154" i="42" s="1"/>
  <c r="AB154" i="42" s="1"/>
  <c r="N154" i="42"/>
  <c r="L154" i="42"/>
  <c r="K154" i="42"/>
  <c r="I154" i="42" s="1"/>
  <c r="AM153" i="42"/>
  <c r="AW153" i="42" s="1"/>
  <c r="AL153" i="42"/>
  <c r="AV153" i="42" s="1"/>
  <c r="AE153" i="42"/>
  <c r="Y153" i="42"/>
  <c r="Q153" i="42"/>
  <c r="U153" i="42" s="1"/>
  <c r="AP153" i="42" s="1"/>
  <c r="N153" i="42"/>
  <c r="L153" i="42"/>
  <c r="K153" i="42"/>
  <c r="AK152" i="42"/>
  <c r="AJ152" i="42"/>
  <c r="AI152" i="42"/>
  <c r="AH152" i="42"/>
  <c r="AG152" i="42"/>
  <c r="AD152" i="42"/>
  <c r="AC152" i="42"/>
  <c r="X152" i="42"/>
  <c r="W152" i="42"/>
  <c r="V152" i="42"/>
  <c r="T152" i="42"/>
  <c r="S152" i="42"/>
  <c r="R152" i="42"/>
  <c r="P152" i="42"/>
  <c r="O152" i="42"/>
  <c r="M152" i="42"/>
  <c r="J152" i="42"/>
  <c r="AM151" i="42"/>
  <c r="AN151" i="42" s="1"/>
  <c r="AL151" i="42"/>
  <c r="AV151" i="42" s="1"/>
  <c r="AE151" i="42"/>
  <c r="AT151" i="42" s="1"/>
  <c r="Y151" i="42"/>
  <c r="Q151" i="42"/>
  <c r="U151" i="42" s="1"/>
  <c r="AB151" i="42" s="1"/>
  <c r="N151" i="42"/>
  <c r="L151" i="42"/>
  <c r="K151" i="42"/>
  <c r="AM150" i="42"/>
  <c r="AW150" i="42" s="1"/>
  <c r="AL150" i="42"/>
  <c r="AE150" i="42"/>
  <c r="AT150" i="42" s="1"/>
  <c r="Y150" i="42"/>
  <c r="AQ150" i="42" s="1"/>
  <c r="U150" i="42"/>
  <c r="Q150" i="42"/>
  <c r="N150" i="42"/>
  <c r="L150" i="42"/>
  <c r="K150" i="42"/>
  <c r="AM149" i="42"/>
  <c r="AL149" i="42"/>
  <c r="AV149" i="42" s="1"/>
  <c r="AE149" i="42"/>
  <c r="AT149" i="42" s="1"/>
  <c r="Y149" i="42"/>
  <c r="AQ149" i="42" s="1"/>
  <c r="Q149" i="42"/>
  <c r="U149" i="42" s="1"/>
  <c r="N149" i="42"/>
  <c r="L149" i="42"/>
  <c r="K149" i="42"/>
  <c r="AM148" i="42"/>
  <c r="AW148" i="42" s="1"/>
  <c r="AL148" i="42"/>
  <c r="AE148" i="42"/>
  <c r="Y148" i="42"/>
  <c r="Q148" i="42"/>
  <c r="U148" i="42" s="1"/>
  <c r="N148" i="42"/>
  <c r="L148" i="42"/>
  <c r="K148" i="42"/>
  <c r="AK147" i="42"/>
  <c r="AJ147" i="42"/>
  <c r="AI147" i="42"/>
  <c r="AH147" i="42"/>
  <c r="AG147" i="42"/>
  <c r="AD147" i="42"/>
  <c r="AC147" i="42"/>
  <c r="X147" i="42"/>
  <c r="W147" i="42"/>
  <c r="V147" i="42"/>
  <c r="T147" i="42"/>
  <c r="S147" i="42"/>
  <c r="R147" i="42"/>
  <c r="P147" i="42"/>
  <c r="O147" i="42"/>
  <c r="M147" i="42"/>
  <c r="J147" i="42"/>
  <c r="AM146" i="42"/>
  <c r="AW146" i="42" s="1"/>
  <c r="AL146" i="42"/>
  <c r="AE146" i="42"/>
  <c r="AT146" i="42" s="1"/>
  <c r="Y146" i="42"/>
  <c r="AQ146" i="42" s="1"/>
  <c r="Q146" i="42"/>
  <c r="U146" i="42" s="1"/>
  <c r="AP146" i="42" s="1"/>
  <c r="N146" i="42"/>
  <c r="L146" i="42"/>
  <c r="K146" i="42"/>
  <c r="AM145" i="42"/>
  <c r="AM147" i="42" s="1"/>
  <c r="AL145" i="42"/>
  <c r="AE145" i="42"/>
  <c r="Y145" i="42"/>
  <c r="Q145" i="42"/>
  <c r="U145" i="42" s="1"/>
  <c r="N145" i="42"/>
  <c r="L145" i="42"/>
  <c r="L147" i="42" s="1"/>
  <c r="K145" i="42"/>
  <c r="AK144" i="42"/>
  <c r="AJ144" i="42"/>
  <c r="AI144" i="42"/>
  <c r="AH144" i="42"/>
  <c r="AG144" i="42"/>
  <c r="AD144" i="42"/>
  <c r="AC144" i="42"/>
  <c r="X144" i="42"/>
  <c r="W144" i="42"/>
  <c r="V144" i="42"/>
  <c r="T144" i="42"/>
  <c r="S144" i="42"/>
  <c r="R144" i="42"/>
  <c r="P144" i="42"/>
  <c r="O144" i="42"/>
  <c r="M144" i="42"/>
  <c r="J144" i="42"/>
  <c r="AM143" i="42"/>
  <c r="AW143" i="42" s="1"/>
  <c r="AL143" i="42"/>
  <c r="AE143" i="42"/>
  <c r="AT143" i="42" s="1"/>
  <c r="Y143" i="42"/>
  <c r="AQ143" i="42" s="1"/>
  <c r="Q143" i="42"/>
  <c r="U143" i="42" s="1"/>
  <c r="N143" i="42"/>
  <c r="L143" i="42"/>
  <c r="K143" i="42"/>
  <c r="AM142" i="42"/>
  <c r="AW142" i="42" s="1"/>
  <c r="AL142" i="42"/>
  <c r="AE142" i="42"/>
  <c r="AT142" i="42" s="1"/>
  <c r="Y142" i="42"/>
  <c r="AQ142" i="42" s="1"/>
  <c r="Q142" i="42"/>
  <c r="U142" i="42" s="1"/>
  <c r="N142" i="42"/>
  <c r="L142" i="42"/>
  <c r="K142" i="42"/>
  <c r="AM141" i="42"/>
  <c r="AW141" i="42" s="1"/>
  <c r="AL141" i="42"/>
  <c r="AE141" i="42"/>
  <c r="AT141" i="42" s="1"/>
  <c r="Y141" i="42"/>
  <c r="AQ141" i="42" s="1"/>
  <c r="Q141" i="42"/>
  <c r="U141" i="42" s="1"/>
  <c r="N141" i="42"/>
  <c r="L141" i="42"/>
  <c r="K141" i="42"/>
  <c r="AM140" i="42"/>
  <c r="AW140" i="42" s="1"/>
  <c r="AL140" i="42"/>
  <c r="AE140" i="42"/>
  <c r="AT140" i="42" s="1"/>
  <c r="Y140" i="42"/>
  <c r="AQ140" i="42" s="1"/>
  <c r="Q140" i="42"/>
  <c r="U140" i="42" s="1"/>
  <c r="N140" i="42"/>
  <c r="I140" i="42"/>
  <c r="AM139" i="42"/>
  <c r="AL139" i="42"/>
  <c r="AE139" i="42"/>
  <c r="AT139" i="42" s="1"/>
  <c r="Y139" i="42"/>
  <c r="AQ139" i="42" s="1"/>
  <c r="Q139" i="42"/>
  <c r="U139" i="42" s="1"/>
  <c r="AB139" i="42" s="1"/>
  <c r="N139" i="42"/>
  <c r="L139" i="42"/>
  <c r="K139" i="42"/>
  <c r="AM138" i="42"/>
  <c r="AL138" i="42"/>
  <c r="AV138" i="42" s="1"/>
  <c r="AE138" i="42"/>
  <c r="Y138" i="42"/>
  <c r="AQ138" i="42" s="1"/>
  <c r="Q138" i="42"/>
  <c r="N138" i="42"/>
  <c r="L138" i="42"/>
  <c r="K138" i="42"/>
  <c r="AK137" i="42"/>
  <c r="AJ137" i="42"/>
  <c r="AI137" i="42"/>
  <c r="AH137" i="42"/>
  <c r="AG137" i="42"/>
  <c r="AD137" i="42"/>
  <c r="AC137" i="42"/>
  <c r="X137" i="42"/>
  <c r="W137" i="42"/>
  <c r="V137" i="42"/>
  <c r="T137" i="42"/>
  <c r="S137" i="42"/>
  <c r="R137" i="42"/>
  <c r="P137" i="42"/>
  <c r="O137" i="42"/>
  <c r="M137" i="42"/>
  <c r="J137" i="42"/>
  <c r="AP136" i="42"/>
  <c r="AM136" i="42"/>
  <c r="AW136" i="42" s="1"/>
  <c r="AL136" i="42"/>
  <c r="AE136" i="42"/>
  <c r="AT136" i="42" s="1"/>
  <c r="Y136" i="42"/>
  <c r="Q136" i="42"/>
  <c r="U136" i="42" s="1"/>
  <c r="AB136" i="42" s="1"/>
  <c r="N136" i="42"/>
  <c r="L136" i="42"/>
  <c r="K136" i="42"/>
  <c r="I136" i="42" s="1"/>
  <c r="AM135" i="42"/>
  <c r="AL135" i="42"/>
  <c r="AE135" i="42"/>
  <c r="AE137" i="42" s="1"/>
  <c r="Y135" i="42"/>
  <c r="AQ135" i="42" s="1"/>
  <c r="Q135" i="42"/>
  <c r="U135" i="42" s="1"/>
  <c r="AP135" i="42" s="1"/>
  <c r="N135" i="42"/>
  <c r="L135" i="42"/>
  <c r="K135" i="42"/>
  <c r="I135" i="42" s="1"/>
  <c r="AK134" i="42"/>
  <c r="AJ134" i="42"/>
  <c r="AI134" i="42"/>
  <c r="AH134" i="42"/>
  <c r="AG134" i="42"/>
  <c r="AD134" i="42"/>
  <c r="AC134" i="42"/>
  <c r="X134" i="42"/>
  <c r="W134" i="42"/>
  <c r="V134" i="42"/>
  <c r="T134" i="42"/>
  <c r="S134" i="42"/>
  <c r="R134" i="42"/>
  <c r="P134" i="42"/>
  <c r="O134" i="42"/>
  <c r="M134" i="42"/>
  <c r="J134" i="42"/>
  <c r="AM133" i="42"/>
  <c r="AW133" i="42" s="1"/>
  <c r="AL133" i="42"/>
  <c r="AE133" i="42"/>
  <c r="AT133" i="42" s="1"/>
  <c r="Y133" i="42"/>
  <c r="AQ133" i="42" s="1"/>
  <c r="Q133" i="42"/>
  <c r="U133" i="42" s="1"/>
  <c r="N133" i="42"/>
  <c r="L133" i="42"/>
  <c r="K133" i="42"/>
  <c r="AT132" i="42"/>
  <c r="AM132" i="42"/>
  <c r="AL132" i="42"/>
  <c r="AE132" i="42"/>
  <c r="Y132" i="42"/>
  <c r="Q132" i="42"/>
  <c r="N132" i="42"/>
  <c r="L132" i="42"/>
  <c r="K132" i="42"/>
  <c r="AK131" i="42"/>
  <c r="AJ131" i="42"/>
  <c r="AI131" i="42"/>
  <c r="AH131" i="42"/>
  <c r="AG131" i="42"/>
  <c r="AD131" i="42"/>
  <c r="AC131" i="42"/>
  <c r="X131" i="42"/>
  <c r="W131" i="42"/>
  <c r="V131" i="42"/>
  <c r="T131" i="42"/>
  <c r="S131" i="42"/>
  <c r="R131" i="42"/>
  <c r="P131" i="42"/>
  <c r="O131" i="42"/>
  <c r="M131" i="42"/>
  <c r="J131" i="42"/>
  <c r="AM130" i="42"/>
  <c r="AW130" i="42" s="1"/>
  <c r="AL130" i="42"/>
  <c r="AV130" i="42" s="1"/>
  <c r="AE130" i="42"/>
  <c r="AT130" i="42" s="1"/>
  <c r="Y130" i="42"/>
  <c r="AQ130" i="42" s="1"/>
  <c r="U130" i="42"/>
  <c r="AB130" i="42" s="1"/>
  <c r="Q130" i="42"/>
  <c r="N130" i="42"/>
  <c r="L130" i="42"/>
  <c r="K130" i="42"/>
  <c r="AM129" i="42"/>
  <c r="AL129" i="42"/>
  <c r="AV129" i="42" s="1"/>
  <c r="AE129" i="42"/>
  <c r="AT129" i="42" s="1"/>
  <c r="Y129" i="42"/>
  <c r="AQ129" i="42" s="1"/>
  <c r="Q129" i="42"/>
  <c r="U129" i="42" s="1"/>
  <c r="AB129" i="42" s="1"/>
  <c r="N129" i="42"/>
  <c r="L129" i="42"/>
  <c r="K129" i="42"/>
  <c r="AM128" i="42"/>
  <c r="AL128" i="42"/>
  <c r="AV128" i="42" s="1"/>
  <c r="AE128" i="42"/>
  <c r="AT128" i="42" s="1"/>
  <c r="Y128" i="42"/>
  <c r="AQ128" i="42" s="1"/>
  <c r="Q128" i="42"/>
  <c r="U128" i="42" s="1"/>
  <c r="N128" i="42"/>
  <c r="L128" i="42"/>
  <c r="K128" i="42"/>
  <c r="AM127" i="42"/>
  <c r="AW127" i="42" s="1"/>
  <c r="AL127" i="42"/>
  <c r="AV127" i="42" s="1"/>
  <c r="AE127" i="42"/>
  <c r="AT127" i="42" s="1"/>
  <c r="Y127" i="42"/>
  <c r="AQ127" i="42" s="1"/>
  <c r="Q127" i="42"/>
  <c r="U127" i="42" s="1"/>
  <c r="N127" i="42"/>
  <c r="L127" i="42"/>
  <c r="K127" i="42"/>
  <c r="AM126" i="42"/>
  <c r="AW126" i="42" s="1"/>
  <c r="AL126" i="42"/>
  <c r="AE126" i="42"/>
  <c r="Y126" i="42"/>
  <c r="AQ126" i="42" s="1"/>
  <c r="Q126" i="42"/>
  <c r="N126" i="42"/>
  <c r="L126" i="42"/>
  <c r="K126" i="42"/>
  <c r="AK125" i="42"/>
  <c r="AJ125" i="42"/>
  <c r="AI125" i="42"/>
  <c r="AH125" i="42"/>
  <c r="AG125" i="42"/>
  <c r="AD125" i="42"/>
  <c r="AC125" i="42"/>
  <c r="X125" i="42"/>
  <c r="W125" i="42"/>
  <c r="V125" i="42"/>
  <c r="T125" i="42"/>
  <c r="S125" i="42"/>
  <c r="R125" i="42"/>
  <c r="P125" i="42"/>
  <c r="O125" i="42"/>
  <c r="M125" i="42"/>
  <c r="J125" i="42"/>
  <c r="AM124" i="42"/>
  <c r="AW124" i="42" s="1"/>
  <c r="AL124" i="42"/>
  <c r="AV124" i="42" s="1"/>
  <c r="AE124" i="42"/>
  <c r="AT124" i="42" s="1"/>
  <c r="Y124" i="42"/>
  <c r="AQ124" i="42" s="1"/>
  <c r="Q124" i="42"/>
  <c r="U124" i="42" s="1"/>
  <c r="N124" i="42"/>
  <c r="L124" i="42"/>
  <c r="K124" i="42"/>
  <c r="AM123" i="42"/>
  <c r="AW123" i="42" s="1"/>
  <c r="AI123" i="42"/>
  <c r="AL123" i="42" s="1"/>
  <c r="AE123" i="42"/>
  <c r="AT123" i="42" s="1"/>
  <c r="Y123" i="42"/>
  <c r="AQ123" i="42" s="1"/>
  <c r="Q123" i="42"/>
  <c r="U123" i="42" s="1"/>
  <c r="N123" i="42"/>
  <c r="I123" i="42"/>
  <c r="AM122" i="42"/>
  <c r="AW122" i="42" s="1"/>
  <c r="AL122" i="42"/>
  <c r="AV122" i="42" s="1"/>
  <c r="AE122" i="42"/>
  <c r="AT122" i="42" s="1"/>
  <c r="Y122" i="42"/>
  <c r="AQ122" i="42" s="1"/>
  <c r="Q122" i="42"/>
  <c r="N122" i="42"/>
  <c r="L122" i="42"/>
  <c r="K122" i="42"/>
  <c r="AK121" i="42"/>
  <c r="AJ121" i="42"/>
  <c r="AI121" i="42"/>
  <c r="AH121" i="42"/>
  <c r="AG121" i="42"/>
  <c r="AD121" i="42"/>
  <c r="AC121" i="42"/>
  <c r="X121" i="42"/>
  <c r="W121" i="42"/>
  <c r="V121" i="42"/>
  <c r="T121" i="42"/>
  <c r="S121" i="42"/>
  <c r="P121" i="42"/>
  <c r="O121" i="42"/>
  <c r="M121" i="42"/>
  <c r="J121" i="42"/>
  <c r="AM120" i="42"/>
  <c r="AL120" i="42"/>
  <c r="AV120" i="42" s="1"/>
  <c r="AE120" i="42"/>
  <c r="AT120" i="42" s="1"/>
  <c r="Y120" i="42"/>
  <c r="AQ120" i="42" s="1"/>
  <c r="Q120" i="42"/>
  <c r="U120" i="42" s="1"/>
  <c r="N120" i="42"/>
  <c r="L120" i="42"/>
  <c r="K120" i="42"/>
  <c r="AM119" i="42"/>
  <c r="AW119" i="42" s="1"/>
  <c r="AL119" i="42"/>
  <c r="AV119" i="42" s="1"/>
  <c r="AE119" i="42"/>
  <c r="AT119" i="42" s="1"/>
  <c r="Y119" i="42"/>
  <c r="AQ119" i="42" s="1"/>
  <c r="Q119" i="42"/>
  <c r="U119" i="42" s="1"/>
  <c r="N119" i="42"/>
  <c r="L119" i="42"/>
  <c r="K119" i="42"/>
  <c r="AM118" i="42"/>
  <c r="AW118" i="42" s="1"/>
  <c r="AL118" i="42"/>
  <c r="AV118" i="42" s="1"/>
  <c r="AE118" i="42"/>
  <c r="AT118" i="42" s="1"/>
  <c r="Y118" i="42"/>
  <c r="Q118" i="42"/>
  <c r="U118" i="42" s="1"/>
  <c r="AB118" i="42" s="1"/>
  <c r="N118" i="42"/>
  <c r="L118" i="42"/>
  <c r="K118" i="42"/>
  <c r="AM117" i="42"/>
  <c r="AL117" i="42"/>
  <c r="AV117" i="42" s="1"/>
  <c r="AE117" i="42"/>
  <c r="AT117" i="42" s="1"/>
  <c r="Y117" i="42"/>
  <c r="AQ117" i="42" s="1"/>
  <c r="R117" i="42"/>
  <c r="R121" i="42" s="1"/>
  <c r="Q117" i="42"/>
  <c r="U117" i="42" s="1"/>
  <c r="N117" i="42"/>
  <c r="I117" i="42"/>
  <c r="AM116" i="42"/>
  <c r="AL116" i="42"/>
  <c r="AE116" i="42"/>
  <c r="Y116" i="42"/>
  <c r="AQ116" i="42" s="1"/>
  <c r="Q116" i="42"/>
  <c r="U116" i="42" s="1"/>
  <c r="N116" i="42"/>
  <c r="L116" i="42"/>
  <c r="K116" i="42"/>
  <c r="AK115" i="42"/>
  <c r="AJ115" i="42"/>
  <c r="AI115" i="42"/>
  <c r="AH115" i="42"/>
  <c r="AG115" i="42"/>
  <c r="AD115" i="42"/>
  <c r="AC115" i="42"/>
  <c r="X115" i="42"/>
  <c r="W115" i="42"/>
  <c r="V115" i="42"/>
  <c r="T115" i="42"/>
  <c r="S115" i="42"/>
  <c r="R115" i="42"/>
  <c r="P115" i="42"/>
  <c r="O115" i="42"/>
  <c r="M115" i="42"/>
  <c r="J115" i="42"/>
  <c r="AV114" i="42"/>
  <c r="AM114" i="42"/>
  <c r="AL114" i="42"/>
  <c r="AE114" i="42"/>
  <c r="AT114" i="42" s="1"/>
  <c r="Y114" i="42"/>
  <c r="AQ114" i="42" s="1"/>
  <c r="Q114" i="42"/>
  <c r="U114" i="42" s="1"/>
  <c r="N114" i="42"/>
  <c r="L114" i="42"/>
  <c r="K114" i="42"/>
  <c r="AM113" i="42"/>
  <c r="AW113" i="42" s="1"/>
  <c r="AL113" i="42"/>
  <c r="AE113" i="42"/>
  <c r="Y113" i="42"/>
  <c r="Q113" i="42"/>
  <c r="N113" i="42"/>
  <c r="L113" i="42"/>
  <c r="K113" i="42"/>
  <c r="AK112" i="42"/>
  <c r="AJ112" i="42"/>
  <c r="AI112" i="42"/>
  <c r="AH112" i="42"/>
  <c r="AG112" i="42"/>
  <c r="AD112" i="42"/>
  <c r="AC112" i="42"/>
  <c r="X112" i="42"/>
  <c r="W112" i="42"/>
  <c r="V112" i="42"/>
  <c r="T112" i="42"/>
  <c r="S112" i="42"/>
  <c r="R112" i="42"/>
  <c r="P112" i="42"/>
  <c r="O112" i="42"/>
  <c r="M112" i="42"/>
  <c r="J112" i="42"/>
  <c r="AM111" i="42"/>
  <c r="AW111" i="42" s="1"/>
  <c r="AL111" i="42"/>
  <c r="AE111" i="42"/>
  <c r="AT111" i="42" s="1"/>
  <c r="Y111" i="42"/>
  <c r="AQ111" i="42" s="1"/>
  <c r="Q111" i="42"/>
  <c r="U111" i="42" s="1"/>
  <c r="AP111" i="42" s="1"/>
  <c r="N111" i="42"/>
  <c r="L111" i="42"/>
  <c r="K111" i="42"/>
  <c r="AM110" i="42"/>
  <c r="AW110" i="42" s="1"/>
  <c r="AL110" i="42"/>
  <c r="AE110" i="42"/>
  <c r="AT110" i="42" s="1"/>
  <c r="Y110" i="42"/>
  <c r="AQ110" i="42" s="1"/>
  <c r="Q110" i="42"/>
  <c r="U110" i="42" s="1"/>
  <c r="AB110" i="42" s="1"/>
  <c r="N110" i="42"/>
  <c r="L110" i="42"/>
  <c r="K110" i="42"/>
  <c r="AM109" i="42"/>
  <c r="AW109" i="42" s="1"/>
  <c r="AL109" i="42"/>
  <c r="AE109" i="42"/>
  <c r="AT109" i="42" s="1"/>
  <c r="Y109" i="42"/>
  <c r="AQ109" i="42" s="1"/>
  <c r="Q109" i="42"/>
  <c r="U109" i="42" s="1"/>
  <c r="AB109" i="42" s="1"/>
  <c r="N109" i="42"/>
  <c r="L109" i="42"/>
  <c r="K109" i="42"/>
  <c r="AM108" i="42"/>
  <c r="AW108" i="42" s="1"/>
  <c r="AL108" i="42"/>
  <c r="AE108" i="42"/>
  <c r="AT108" i="42" s="1"/>
  <c r="Y108" i="42"/>
  <c r="AQ108" i="42" s="1"/>
  <c r="Q108" i="42"/>
  <c r="N108" i="42"/>
  <c r="I108" i="42"/>
  <c r="AM107" i="42"/>
  <c r="AL107" i="42"/>
  <c r="AV107" i="42" s="1"/>
  <c r="AE107" i="42"/>
  <c r="AT107" i="42" s="1"/>
  <c r="Y107" i="42"/>
  <c r="Q107" i="42"/>
  <c r="U107" i="42" s="1"/>
  <c r="N107" i="42"/>
  <c r="L107" i="42"/>
  <c r="K107" i="42"/>
  <c r="AM106" i="42"/>
  <c r="AL106" i="42"/>
  <c r="AE106" i="42"/>
  <c r="Y106" i="42"/>
  <c r="AQ106" i="42" s="1"/>
  <c r="Q106" i="42"/>
  <c r="U106" i="42" s="1"/>
  <c r="N106" i="42"/>
  <c r="L106" i="42"/>
  <c r="K106" i="42"/>
  <c r="AK105" i="42"/>
  <c r="AJ105" i="42"/>
  <c r="AI105" i="42"/>
  <c r="AH105" i="42"/>
  <c r="AG105" i="42"/>
  <c r="AD105" i="42"/>
  <c r="AC105" i="42"/>
  <c r="X105" i="42"/>
  <c r="W105" i="42"/>
  <c r="V105" i="42"/>
  <c r="T105" i="42"/>
  <c r="S105" i="42"/>
  <c r="R105" i="42"/>
  <c r="P105" i="42"/>
  <c r="O105" i="42"/>
  <c r="M105" i="42"/>
  <c r="J105" i="42"/>
  <c r="AM104" i="42"/>
  <c r="AL104" i="42"/>
  <c r="AV104" i="42" s="1"/>
  <c r="AE104" i="42"/>
  <c r="AT104" i="42" s="1"/>
  <c r="Y104" i="42"/>
  <c r="AQ104" i="42" s="1"/>
  <c r="Q104" i="42"/>
  <c r="U104" i="42" s="1"/>
  <c r="N104" i="42"/>
  <c r="L104" i="42"/>
  <c r="K104" i="42"/>
  <c r="AM103" i="42"/>
  <c r="AW103" i="42" s="1"/>
  <c r="AL103" i="42"/>
  <c r="AE103" i="42"/>
  <c r="AT103" i="42" s="1"/>
  <c r="Y103" i="42"/>
  <c r="AQ103" i="42" s="1"/>
  <c r="Q103" i="42"/>
  <c r="U103" i="42" s="1"/>
  <c r="AB103" i="42" s="1"/>
  <c r="N103" i="42"/>
  <c r="L103" i="42"/>
  <c r="K103" i="42"/>
  <c r="AM102" i="42"/>
  <c r="AW102" i="42" s="1"/>
  <c r="AL102" i="42"/>
  <c r="AE102" i="42"/>
  <c r="AT102" i="42" s="1"/>
  <c r="Y102" i="42"/>
  <c r="AQ102" i="42" s="1"/>
  <c r="Q102" i="42"/>
  <c r="U102" i="42" s="1"/>
  <c r="AP102" i="42" s="1"/>
  <c r="N102" i="42"/>
  <c r="L102" i="42"/>
  <c r="K102" i="42"/>
  <c r="AM101" i="42"/>
  <c r="AW101" i="42" s="1"/>
  <c r="AL101" i="42"/>
  <c r="AE101" i="42"/>
  <c r="AT101" i="42" s="1"/>
  <c r="Y101" i="42"/>
  <c r="AQ101" i="42" s="1"/>
  <c r="Q101" i="42"/>
  <c r="U101" i="42" s="1"/>
  <c r="AP101" i="42" s="1"/>
  <c r="N101" i="42"/>
  <c r="I101" i="42"/>
  <c r="AM100" i="42"/>
  <c r="AL100" i="42"/>
  <c r="AV100" i="42" s="1"/>
  <c r="AE100" i="42"/>
  <c r="Y100" i="42"/>
  <c r="Q100" i="42"/>
  <c r="U100" i="42" s="1"/>
  <c r="AP100" i="42" s="1"/>
  <c r="N100" i="42"/>
  <c r="L100" i="42"/>
  <c r="K100" i="42"/>
  <c r="AK99" i="42"/>
  <c r="AJ99" i="42"/>
  <c r="AI99" i="42"/>
  <c r="AH99" i="42"/>
  <c r="AG99" i="42"/>
  <c r="AD99" i="42"/>
  <c r="AC99" i="42"/>
  <c r="X99" i="42"/>
  <c r="W99" i="42"/>
  <c r="V99" i="42"/>
  <c r="T99" i="42"/>
  <c r="S99" i="42"/>
  <c r="R99" i="42"/>
  <c r="P99" i="42"/>
  <c r="O99" i="42"/>
  <c r="M99" i="42"/>
  <c r="J99" i="42"/>
  <c r="AM98" i="42"/>
  <c r="AW98" i="42" s="1"/>
  <c r="AL98" i="42"/>
  <c r="AE98" i="42"/>
  <c r="AT98" i="42" s="1"/>
  <c r="AA98" i="42"/>
  <c r="Y98" i="42"/>
  <c r="AQ98" i="42" s="1"/>
  <c r="Q98" i="42"/>
  <c r="U98" i="42" s="1"/>
  <c r="AB98" i="42" s="1"/>
  <c r="N98" i="42"/>
  <c r="L98" i="42"/>
  <c r="AS98" i="42" s="1"/>
  <c r="K98" i="42"/>
  <c r="AM97" i="42"/>
  <c r="AW97" i="42" s="1"/>
  <c r="AL97" i="42"/>
  <c r="AE97" i="42"/>
  <c r="AT97" i="42" s="1"/>
  <c r="Y97" i="42"/>
  <c r="AQ97" i="42" s="1"/>
  <c r="Q97" i="42"/>
  <c r="U97" i="42" s="1"/>
  <c r="AB97" i="42" s="1"/>
  <c r="AS97" i="42" s="1"/>
  <c r="N97" i="42"/>
  <c r="I97" i="42"/>
  <c r="AM96" i="42"/>
  <c r="AL96" i="42"/>
  <c r="AV96" i="42" s="1"/>
  <c r="AE96" i="42"/>
  <c r="Y96" i="42"/>
  <c r="AQ96" i="42" s="1"/>
  <c r="AQ99" i="42" s="1"/>
  <c r="Q96" i="42"/>
  <c r="U96" i="42" s="1"/>
  <c r="N96" i="42"/>
  <c r="L96" i="42"/>
  <c r="K96" i="42"/>
  <c r="AK95" i="42"/>
  <c r="AJ95" i="42"/>
  <c r="AI95" i="42"/>
  <c r="AH95" i="42"/>
  <c r="AG95" i="42"/>
  <c r="AD95" i="42"/>
  <c r="AC95" i="42"/>
  <c r="X95" i="42"/>
  <c r="W95" i="42"/>
  <c r="V95" i="42"/>
  <c r="T95" i="42"/>
  <c r="S95" i="42"/>
  <c r="R95" i="42"/>
  <c r="P95" i="42"/>
  <c r="O95" i="42"/>
  <c r="M95" i="42"/>
  <c r="J95" i="42"/>
  <c r="AM94" i="42"/>
  <c r="AL94" i="42"/>
  <c r="AV94" i="42" s="1"/>
  <c r="AE94" i="42"/>
  <c r="AT94" i="42" s="1"/>
  <c r="Y94" i="42"/>
  <c r="AQ94" i="42" s="1"/>
  <c r="Q94" i="42"/>
  <c r="U94" i="42" s="1"/>
  <c r="N94" i="42"/>
  <c r="L94" i="42"/>
  <c r="K94" i="42"/>
  <c r="AM93" i="42"/>
  <c r="AW93" i="42" s="1"/>
  <c r="AL93" i="42"/>
  <c r="AE93" i="42"/>
  <c r="AT93" i="42" s="1"/>
  <c r="Y93" i="42"/>
  <c r="AQ93" i="42" s="1"/>
  <c r="Q93" i="42"/>
  <c r="U93" i="42" s="1"/>
  <c r="AB93" i="42" s="1"/>
  <c r="N93" i="42"/>
  <c r="L93" i="42"/>
  <c r="K93" i="42"/>
  <c r="AM92" i="42"/>
  <c r="AW92" i="42" s="1"/>
  <c r="AL92" i="42"/>
  <c r="AE92" i="42"/>
  <c r="AT92" i="42" s="1"/>
  <c r="Y92" i="42"/>
  <c r="Q92" i="42"/>
  <c r="U92" i="42" s="1"/>
  <c r="AB92" i="42" s="1"/>
  <c r="N92" i="42"/>
  <c r="L92" i="42"/>
  <c r="K92" i="42"/>
  <c r="AM91" i="42"/>
  <c r="AW91" i="42" s="1"/>
  <c r="AL91" i="42"/>
  <c r="AV91" i="42" s="1"/>
  <c r="AE91" i="42"/>
  <c r="AT91" i="42" s="1"/>
  <c r="Y91" i="42"/>
  <c r="AQ91" i="42" s="1"/>
  <c r="Q91" i="42"/>
  <c r="U91" i="42" s="1"/>
  <c r="N91" i="42"/>
  <c r="I91" i="42"/>
  <c r="AM90" i="42"/>
  <c r="AW90" i="42" s="1"/>
  <c r="AL90" i="42"/>
  <c r="AE90" i="42"/>
  <c r="AT90" i="42" s="1"/>
  <c r="Y90" i="42"/>
  <c r="AQ90" i="42" s="1"/>
  <c r="Q90" i="42"/>
  <c r="N90" i="42"/>
  <c r="L90" i="42"/>
  <c r="K90" i="42"/>
  <c r="AK89" i="42"/>
  <c r="AJ89" i="42"/>
  <c r="AI89" i="42"/>
  <c r="AH89" i="42"/>
  <c r="AG89" i="42"/>
  <c r="AD89" i="42"/>
  <c r="AC89" i="42"/>
  <c r="X89" i="42"/>
  <c r="W89" i="42"/>
  <c r="V89" i="42"/>
  <c r="T89" i="42"/>
  <c r="S89" i="42"/>
  <c r="R89" i="42"/>
  <c r="P89" i="42"/>
  <c r="O89" i="42"/>
  <c r="M89" i="42"/>
  <c r="J89" i="42"/>
  <c r="AM88" i="42"/>
  <c r="AW88" i="42" s="1"/>
  <c r="AL88" i="42"/>
  <c r="AV88" i="42" s="1"/>
  <c r="AE88" i="42"/>
  <c r="AT88" i="42" s="1"/>
  <c r="Y88" i="42"/>
  <c r="AQ88" i="42" s="1"/>
  <c r="Q88" i="42"/>
  <c r="U88" i="42" s="1"/>
  <c r="N88" i="42"/>
  <c r="L88" i="42"/>
  <c r="K88" i="42"/>
  <c r="AM87" i="42"/>
  <c r="AW87" i="42" s="1"/>
  <c r="AL87" i="42"/>
  <c r="AV87" i="42" s="1"/>
  <c r="AE87" i="42"/>
  <c r="AT87" i="42" s="1"/>
  <c r="Y87" i="42"/>
  <c r="AQ87" i="42" s="1"/>
  <c r="Q87" i="42"/>
  <c r="U87" i="42" s="1"/>
  <c r="AB87" i="42" s="1"/>
  <c r="N87" i="42"/>
  <c r="L87" i="42"/>
  <c r="K87" i="42"/>
  <c r="AM86" i="42"/>
  <c r="AN86" i="42" s="1"/>
  <c r="AL86" i="42"/>
  <c r="AE86" i="42"/>
  <c r="AT86" i="42" s="1"/>
  <c r="Y86" i="42"/>
  <c r="Q86" i="42"/>
  <c r="U86" i="42" s="1"/>
  <c r="AB86" i="42" s="1"/>
  <c r="N86" i="42"/>
  <c r="L86" i="42"/>
  <c r="K86" i="42"/>
  <c r="AK85" i="42"/>
  <c r="AJ85" i="42"/>
  <c r="AI85" i="42"/>
  <c r="AH85" i="42"/>
  <c r="AG85" i="42"/>
  <c r="AD85" i="42"/>
  <c r="AC85" i="42"/>
  <c r="X85" i="42"/>
  <c r="W85" i="42"/>
  <c r="V85" i="42"/>
  <c r="T85" i="42"/>
  <c r="S85" i="42"/>
  <c r="R85" i="42"/>
  <c r="P85" i="42"/>
  <c r="O85" i="42"/>
  <c r="M85" i="42"/>
  <c r="J85" i="42"/>
  <c r="AM84" i="42"/>
  <c r="AL84" i="42"/>
  <c r="AV84" i="42" s="1"/>
  <c r="AE84" i="42"/>
  <c r="AT84" i="42" s="1"/>
  <c r="Y84" i="42"/>
  <c r="Q84" i="42"/>
  <c r="U84" i="42" s="1"/>
  <c r="AB84" i="42" s="1"/>
  <c r="N84" i="42"/>
  <c r="L84" i="42"/>
  <c r="K84" i="42"/>
  <c r="AM83" i="42"/>
  <c r="AW83" i="42" s="1"/>
  <c r="AL83" i="42"/>
  <c r="AE83" i="42"/>
  <c r="AT83" i="42" s="1"/>
  <c r="Y83" i="42"/>
  <c r="AQ83" i="42" s="1"/>
  <c r="U83" i="42"/>
  <c r="Q83" i="42"/>
  <c r="N83" i="42"/>
  <c r="L83" i="42"/>
  <c r="K83" i="42"/>
  <c r="AM82" i="42"/>
  <c r="AL82" i="42"/>
  <c r="AV82" i="42" s="1"/>
  <c r="AE82" i="42"/>
  <c r="AT82" i="42" s="1"/>
  <c r="Y82" i="42"/>
  <c r="AQ82" i="42" s="1"/>
  <c r="Q82" i="42"/>
  <c r="U82" i="42" s="1"/>
  <c r="N82" i="42"/>
  <c r="L82" i="42"/>
  <c r="K82" i="42"/>
  <c r="AM81" i="42"/>
  <c r="AL81" i="42"/>
  <c r="AV81" i="42" s="1"/>
  <c r="AE81" i="42"/>
  <c r="AT81" i="42" s="1"/>
  <c r="Y81" i="42"/>
  <c r="AQ81" i="42" s="1"/>
  <c r="Q81" i="42"/>
  <c r="U81" i="42" s="1"/>
  <c r="AB81" i="42" s="1"/>
  <c r="N81" i="42"/>
  <c r="L81" i="42"/>
  <c r="K81" i="42"/>
  <c r="AM80" i="42"/>
  <c r="AL80" i="42"/>
  <c r="AV80" i="42" s="1"/>
  <c r="AE80" i="42"/>
  <c r="AT80" i="42" s="1"/>
  <c r="Y80" i="42"/>
  <c r="Q80" i="42"/>
  <c r="U80" i="42" s="1"/>
  <c r="AB80" i="42" s="1"/>
  <c r="N80" i="42"/>
  <c r="L80" i="42"/>
  <c r="K80" i="42"/>
  <c r="AM79" i="42"/>
  <c r="AL79" i="42"/>
  <c r="AN79" i="42" s="1"/>
  <c r="AE79" i="42"/>
  <c r="AT79" i="42" s="1"/>
  <c r="Y79" i="42"/>
  <c r="Q79" i="42"/>
  <c r="N79" i="42"/>
  <c r="L79" i="42"/>
  <c r="K79" i="42"/>
  <c r="AK78" i="42"/>
  <c r="AJ78" i="42"/>
  <c r="AI78" i="42"/>
  <c r="AH78" i="42"/>
  <c r="AG78" i="42"/>
  <c r="AD78" i="42"/>
  <c r="AC78" i="42"/>
  <c r="X78" i="42"/>
  <c r="W78" i="42"/>
  <c r="V78" i="42"/>
  <c r="T78" i="42"/>
  <c r="S78" i="42"/>
  <c r="R78" i="42"/>
  <c r="P78" i="42"/>
  <c r="O78" i="42"/>
  <c r="M78" i="42"/>
  <c r="J78" i="42"/>
  <c r="AM77" i="42"/>
  <c r="AL77" i="42"/>
  <c r="AE77" i="42"/>
  <c r="AE209" i="42" s="1"/>
  <c r="Y77" i="42"/>
  <c r="Q77" i="42"/>
  <c r="N77" i="42"/>
  <c r="L77" i="42"/>
  <c r="L209" i="42" s="1"/>
  <c r="K77" i="42"/>
  <c r="AK76" i="42"/>
  <c r="AJ76" i="42"/>
  <c r="AH76" i="42"/>
  <c r="AG76" i="42"/>
  <c r="AD76" i="42"/>
  <c r="AC76" i="42"/>
  <c r="X76" i="42"/>
  <c r="W76" i="42"/>
  <c r="V76" i="42"/>
  <c r="T76" i="42"/>
  <c r="S76" i="42"/>
  <c r="R76" i="42"/>
  <c r="P76" i="42"/>
  <c r="O76" i="42"/>
  <c r="M76" i="42"/>
  <c r="J76" i="42"/>
  <c r="AM75" i="42"/>
  <c r="AW75" i="42" s="1"/>
  <c r="AL75" i="42"/>
  <c r="AE75" i="42"/>
  <c r="AT75" i="42" s="1"/>
  <c r="Y75" i="42"/>
  <c r="AQ75" i="42" s="1"/>
  <c r="Q75" i="42"/>
  <c r="U75" i="42" s="1"/>
  <c r="N75" i="42"/>
  <c r="L75" i="42"/>
  <c r="K75" i="42"/>
  <c r="AM74" i="42"/>
  <c r="AW74" i="42" s="1"/>
  <c r="AL74" i="42"/>
  <c r="AE74" i="42"/>
  <c r="AT74" i="42" s="1"/>
  <c r="Y74" i="42"/>
  <c r="AQ74" i="42" s="1"/>
  <c r="Q74" i="42"/>
  <c r="U74" i="42" s="1"/>
  <c r="N74" i="42"/>
  <c r="L74" i="42"/>
  <c r="I74" i="42" s="1"/>
  <c r="K74" i="42"/>
  <c r="AM73" i="42"/>
  <c r="AW73" i="42" s="1"/>
  <c r="AL73" i="42"/>
  <c r="AE73" i="42"/>
  <c r="AT73" i="42" s="1"/>
  <c r="Y73" i="42"/>
  <c r="AQ73" i="42" s="1"/>
  <c r="Q73" i="42"/>
  <c r="U73" i="42" s="1"/>
  <c r="N73" i="42"/>
  <c r="L73" i="42"/>
  <c r="K73" i="42"/>
  <c r="I73" i="42" s="1"/>
  <c r="AM72" i="42"/>
  <c r="AW72" i="42" s="1"/>
  <c r="AL72" i="42"/>
  <c r="AE72" i="42"/>
  <c r="AT72" i="42" s="1"/>
  <c r="Y72" i="42"/>
  <c r="AQ72" i="42" s="1"/>
  <c r="Q72" i="42"/>
  <c r="U72" i="42" s="1"/>
  <c r="AP72" i="42" s="1"/>
  <c r="N72" i="42"/>
  <c r="L72" i="42"/>
  <c r="K72" i="42"/>
  <c r="AM71" i="42"/>
  <c r="AW71" i="42" s="1"/>
  <c r="AL71" i="42"/>
  <c r="AI71" i="42"/>
  <c r="AI76" i="42" s="1"/>
  <c r="AE71" i="42"/>
  <c r="AT71" i="42" s="1"/>
  <c r="Y71" i="42"/>
  <c r="AQ71" i="42" s="1"/>
  <c r="R71" i="42"/>
  <c r="Q71" i="42"/>
  <c r="U71" i="42" s="1"/>
  <c r="AP71" i="42" s="1"/>
  <c r="N71" i="42"/>
  <c r="I71" i="42"/>
  <c r="AM70" i="42"/>
  <c r="AL70" i="42"/>
  <c r="AE70" i="42"/>
  <c r="AT70" i="42" s="1"/>
  <c r="Y70" i="42"/>
  <c r="Q70" i="42"/>
  <c r="U70" i="42" s="1"/>
  <c r="N70" i="42"/>
  <c r="L70" i="42"/>
  <c r="K70" i="42"/>
  <c r="AK69" i="42"/>
  <c r="AJ69" i="42"/>
  <c r="AI69" i="42"/>
  <c r="AH69" i="42"/>
  <c r="AG69" i="42"/>
  <c r="AD69" i="42"/>
  <c r="AC69" i="42"/>
  <c r="X69" i="42"/>
  <c r="W69" i="42"/>
  <c r="V69" i="42"/>
  <c r="T69" i="42"/>
  <c r="S69" i="42"/>
  <c r="R69" i="42"/>
  <c r="P69" i="42"/>
  <c r="O69" i="42"/>
  <c r="M69" i="42"/>
  <c r="J69" i="42"/>
  <c r="AM68" i="42"/>
  <c r="AW68" i="42" s="1"/>
  <c r="AL68" i="42"/>
  <c r="AV68" i="42" s="1"/>
  <c r="AE68" i="42"/>
  <c r="AT68" i="42" s="1"/>
  <c r="Y68" i="42"/>
  <c r="AQ68" i="42" s="1"/>
  <c r="Q68" i="42"/>
  <c r="U68" i="42" s="1"/>
  <c r="AB68" i="42" s="1"/>
  <c r="N68" i="42"/>
  <c r="L68" i="42"/>
  <c r="K68" i="42"/>
  <c r="AM67" i="42"/>
  <c r="AL67" i="42"/>
  <c r="AV67" i="42" s="1"/>
  <c r="AE67" i="42"/>
  <c r="AT67" i="42" s="1"/>
  <c r="Y67" i="42"/>
  <c r="AQ67" i="42" s="1"/>
  <c r="Q67" i="42"/>
  <c r="U67" i="42" s="1"/>
  <c r="N67" i="42"/>
  <c r="L67" i="42"/>
  <c r="K67" i="42"/>
  <c r="AM66" i="42"/>
  <c r="AW66" i="42" s="1"/>
  <c r="AL66" i="42"/>
  <c r="AV66" i="42" s="1"/>
  <c r="AE66" i="42"/>
  <c r="AT66" i="42" s="1"/>
  <c r="Y66" i="42"/>
  <c r="AQ66" i="42" s="1"/>
  <c r="Q66" i="42"/>
  <c r="U66" i="42" s="1"/>
  <c r="N66" i="42"/>
  <c r="L66" i="42"/>
  <c r="K66" i="42"/>
  <c r="AM65" i="42"/>
  <c r="AW65" i="42" s="1"/>
  <c r="AL65" i="42"/>
  <c r="AV65" i="42" s="1"/>
  <c r="AE65" i="42"/>
  <c r="Y65" i="42"/>
  <c r="AQ65" i="42" s="1"/>
  <c r="Q65" i="42"/>
  <c r="N65" i="42"/>
  <c r="L65" i="42"/>
  <c r="K65" i="42"/>
  <c r="AK64" i="42"/>
  <c r="AJ64" i="42"/>
  <c r="AI64" i="42"/>
  <c r="AH64" i="42"/>
  <c r="AG64" i="42"/>
  <c r="AD64" i="42"/>
  <c r="AC64" i="42"/>
  <c r="X64" i="42"/>
  <c r="W64" i="42"/>
  <c r="V64" i="42"/>
  <c r="T64" i="42"/>
  <c r="S64" i="42"/>
  <c r="R64" i="42"/>
  <c r="P64" i="42"/>
  <c r="O64" i="42"/>
  <c r="M64" i="42"/>
  <c r="J64" i="42"/>
  <c r="AM63" i="42"/>
  <c r="AW63" i="42" s="1"/>
  <c r="AL63" i="42"/>
  <c r="AV63" i="42" s="1"/>
  <c r="AE63" i="42"/>
  <c r="AT63" i="42" s="1"/>
  <c r="Y63" i="42"/>
  <c r="U63" i="42"/>
  <c r="AB63" i="42" s="1"/>
  <c r="Q63" i="42"/>
  <c r="N63" i="42"/>
  <c r="L63" i="42"/>
  <c r="K63" i="42"/>
  <c r="AM62" i="42"/>
  <c r="AW62" i="42" s="1"/>
  <c r="AL62" i="42"/>
  <c r="AV62" i="42" s="1"/>
  <c r="AE62" i="42"/>
  <c r="AT62" i="42" s="1"/>
  <c r="Y62" i="42"/>
  <c r="AQ62" i="42" s="1"/>
  <c r="Q62" i="42"/>
  <c r="U62" i="42" s="1"/>
  <c r="N62" i="42"/>
  <c r="L62" i="42"/>
  <c r="K62" i="42"/>
  <c r="AM61" i="42"/>
  <c r="AW61" i="42" s="1"/>
  <c r="AL61" i="42"/>
  <c r="AE61" i="42"/>
  <c r="AT61" i="42" s="1"/>
  <c r="Y61" i="42"/>
  <c r="AQ61" i="42" s="1"/>
  <c r="Q61" i="42"/>
  <c r="U61" i="42" s="1"/>
  <c r="N61" i="42"/>
  <c r="L61" i="42"/>
  <c r="K61" i="42"/>
  <c r="AM60" i="42"/>
  <c r="AW60" i="42" s="1"/>
  <c r="AL60" i="42"/>
  <c r="AV60" i="42" s="1"/>
  <c r="AE60" i="42"/>
  <c r="AT60" i="42" s="1"/>
  <c r="Y60" i="42"/>
  <c r="AQ60" i="42" s="1"/>
  <c r="R60" i="42"/>
  <c r="Q60" i="42"/>
  <c r="U60" i="42" s="1"/>
  <c r="N60" i="42"/>
  <c r="I60" i="42"/>
  <c r="AM59" i="42"/>
  <c r="AL59" i="42"/>
  <c r="AV59" i="42" s="1"/>
  <c r="AE59" i="42"/>
  <c r="Y59" i="42"/>
  <c r="Q59" i="42"/>
  <c r="U59" i="42" s="1"/>
  <c r="AB59" i="42" s="1"/>
  <c r="N59" i="42"/>
  <c r="L59" i="42"/>
  <c r="K59" i="42"/>
  <c r="AK58" i="42"/>
  <c r="AJ58" i="42"/>
  <c r="AH58" i="42"/>
  <c r="AG58" i="42"/>
  <c r="AD58" i="42"/>
  <c r="AC58" i="42"/>
  <c r="X58" i="42"/>
  <c r="W58" i="42"/>
  <c r="V58" i="42"/>
  <c r="T58" i="42"/>
  <c r="S58" i="42"/>
  <c r="P58" i="42"/>
  <c r="O58" i="42"/>
  <c r="M58" i="42"/>
  <c r="J58" i="42"/>
  <c r="AM57" i="42"/>
  <c r="AW57" i="42" s="1"/>
  <c r="AL57" i="42"/>
  <c r="AE57" i="42"/>
  <c r="AT57" i="42" s="1"/>
  <c r="Y57" i="42"/>
  <c r="AQ57" i="42" s="1"/>
  <c r="Q57" i="42"/>
  <c r="U57" i="42" s="1"/>
  <c r="N57" i="42"/>
  <c r="L57" i="42"/>
  <c r="K57" i="42"/>
  <c r="AM56" i="42"/>
  <c r="AW56" i="42" s="1"/>
  <c r="AL56" i="42"/>
  <c r="AE56" i="42"/>
  <c r="AT56" i="42" s="1"/>
  <c r="Y56" i="42"/>
  <c r="AQ56" i="42" s="1"/>
  <c r="Q56" i="42"/>
  <c r="U56" i="42" s="1"/>
  <c r="N56" i="42"/>
  <c r="L56" i="42"/>
  <c r="K56" i="42"/>
  <c r="AM55" i="42"/>
  <c r="AW55" i="42" s="1"/>
  <c r="AL55" i="42"/>
  <c r="AV55" i="42" s="1"/>
  <c r="AE55" i="42"/>
  <c r="AT55" i="42" s="1"/>
  <c r="Y55" i="42"/>
  <c r="AQ55" i="42" s="1"/>
  <c r="Q55" i="42"/>
  <c r="U55" i="42" s="1"/>
  <c r="N55" i="42"/>
  <c r="L55" i="42"/>
  <c r="K55" i="42"/>
  <c r="AM54" i="42"/>
  <c r="AW54" i="42" s="1"/>
  <c r="AI54" i="42"/>
  <c r="AL54" i="42" s="1"/>
  <c r="AV54" i="42" s="1"/>
  <c r="AE54" i="42"/>
  <c r="AT54" i="42" s="1"/>
  <c r="Y54" i="42"/>
  <c r="AQ54" i="42" s="1"/>
  <c r="R54" i="42"/>
  <c r="R58" i="42" s="1"/>
  <c r="Q54" i="42"/>
  <c r="N54" i="42"/>
  <c r="I54" i="42"/>
  <c r="AM53" i="42"/>
  <c r="AW53" i="42" s="1"/>
  <c r="AW58" i="42" s="1"/>
  <c r="AL53" i="42"/>
  <c r="AE53" i="42"/>
  <c r="Y53" i="42"/>
  <c r="Q53" i="42"/>
  <c r="U53" i="42" s="1"/>
  <c r="AB53" i="42" s="1"/>
  <c r="N53" i="42"/>
  <c r="L53" i="42"/>
  <c r="K53" i="42"/>
  <c r="AK52" i="42"/>
  <c r="AJ52" i="42"/>
  <c r="AI52" i="42"/>
  <c r="AH52" i="42"/>
  <c r="AG52" i="42"/>
  <c r="AD52" i="42"/>
  <c r="AC52" i="42"/>
  <c r="X52" i="42"/>
  <c r="W52" i="42"/>
  <c r="V52" i="42"/>
  <c r="T52" i="42"/>
  <c r="S52" i="42"/>
  <c r="P52" i="42"/>
  <c r="O52" i="42"/>
  <c r="M52" i="42"/>
  <c r="J52" i="42"/>
  <c r="AP51" i="42"/>
  <c r="AM51" i="42"/>
  <c r="AW51" i="42" s="1"/>
  <c r="AL51" i="42"/>
  <c r="AE51" i="42"/>
  <c r="AT51" i="42" s="1"/>
  <c r="AA51" i="42"/>
  <c r="Y51" i="42"/>
  <c r="AQ51" i="42" s="1"/>
  <c r="Q51" i="42"/>
  <c r="U51" i="42" s="1"/>
  <c r="AB51" i="42" s="1"/>
  <c r="N51" i="42"/>
  <c r="L51" i="42"/>
  <c r="K51" i="42"/>
  <c r="AM50" i="42"/>
  <c r="AW50" i="42" s="1"/>
  <c r="AL50" i="42"/>
  <c r="AE50" i="42"/>
  <c r="Y50" i="42"/>
  <c r="Q50" i="42"/>
  <c r="N50" i="42"/>
  <c r="L50" i="42"/>
  <c r="K50" i="42"/>
  <c r="AM49" i="42"/>
  <c r="AW49" i="42" s="1"/>
  <c r="AL49" i="42"/>
  <c r="AE49" i="42"/>
  <c r="AT49" i="42" s="1"/>
  <c r="Y49" i="42"/>
  <c r="AQ49" i="42" s="1"/>
  <c r="Q49" i="42"/>
  <c r="U49" i="42" s="1"/>
  <c r="AB49" i="42" s="1"/>
  <c r="N49" i="42"/>
  <c r="L49" i="42"/>
  <c r="K49" i="42"/>
  <c r="AM48" i="42"/>
  <c r="AW48" i="42" s="1"/>
  <c r="AL48" i="42"/>
  <c r="AN48" i="42" s="1"/>
  <c r="AI48" i="42"/>
  <c r="AE48" i="42"/>
  <c r="AT48" i="42" s="1"/>
  <c r="Y48" i="42"/>
  <c r="AQ48" i="42" s="1"/>
  <c r="R48" i="42"/>
  <c r="Q48" i="42"/>
  <c r="U48" i="42" s="1"/>
  <c r="N48" i="42"/>
  <c r="I48" i="42"/>
  <c r="AM47" i="42"/>
  <c r="AL47" i="42"/>
  <c r="AE47" i="42"/>
  <c r="AT47" i="42" s="1"/>
  <c r="Y47" i="42"/>
  <c r="Q47" i="42"/>
  <c r="N47" i="42"/>
  <c r="L47" i="42"/>
  <c r="K47" i="42"/>
  <c r="AK46" i="42"/>
  <c r="AJ46" i="42"/>
  <c r="AI46" i="42"/>
  <c r="AH46" i="42"/>
  <c r="AG46" i="42"/>
  <c r="AD46" i="42"/>
  <c r="AC46" i="42"/>
  <c r="X46" i="42"/>
  <c r="W46" i="42"/>
  <c r="V46" i="42"/>
  <c r="T46" i="42"/>
  <c r="S46" i="42"/>
  <c r="R46" i="42"/>
  <c r="P46" i="42"/>
  <c r="O46" i="42"/>
  <c r="M46" i="42"/>
  <c r="J46" i="42"/>
  <c r="AM45" i="42"/>
  <c r="AW45" i="42" s="1"/>
  <c r="AL45" i="42"/>
  <c r="AE45" i="42"/>
  <c r="AE210" i="42" s="1"/>
  <c r="Y45" i="42"/>
  <c r="Y210" i="42" s="1"/>
  <c r="Q45" i="42"/>
  <c r="N45" i="42"/>
  <c r="N210" i="42" s="1"/>
  <c r="L45" i="42"/>
  <c r="L210" i="42" s="1"/>
  <c r="K45" i="42"/>
  <c r="AK44" i="42"/>
  <c r="AJ44" i="42"/>
  <c r="AI44" i="42"/>
  <c r="AH44" i="42"/>
  <c r="AG44" i="42"/>
  <c r="AD44" i="42"/>
  <c r="AC44" i="42"/>
  <c r="X44" i="42"/>
  <c r="W44" i="42"/>
  <c r="V44" i="42"/>
  <c r="T44" i="42"/>
  <c r="S44" i="42"/>
  <c r="R44" i="42"/>
  <c r="P44" i="42"/>
  <c r="O44" i="42"/>
  <c r="M44" i="42"/>
  <c r="J44" i="42"/>
  <c r="AM43" i="42"/>
  <c r="AW43" i="42" s="1"/>
  <c r="AL43" i="42"/>
  <c r="AV43" i="42" s="1"/>
  <c r="AE43" i="42"/>
  <c r="AT43" i="42" s="1"/>
  <c r="Y43" i="42"/>
  <c r="AQ43" i="42" s="1"/>
  <c r="Q43" i="42"/>
  <c r="U43" i="42" s="1"/>
  <c r="AB43" i="42" s="1"/>
  <c r="N43" i="42"/>
  <c r="L43" i="42"/>
  <c r="K43" i="42"/>
  <c r="AM42" i="42"/>
  <c r="AW42" i="42" s="1"/>
  <c r="AL42" i="42"/>
  <c r="AV42" i="42" s="1"/>
  <c r="AE42" i="42"/>
  <c r="AT42" i="42" s="1"/>
  <c r="Y42" i="42"/>
  <c r="Q42" i="42"/>
  <c r="U42" i="42" s="1"/>
  <c r="AB42" i="42" s="1"/>
  <c r="N42" i="42"/>
  <c r="N44" i="42" s="1"/>
  <c r="L42" i="42"/>
  <c r="K42" i="42"/>
  <c r="AK41" i="42"/>
  <c r="AJ41" i="42"/>
  <c r="AI41" i="42"/>
  <c r="AH41" i="42"/>
  <c r="AG41" i="42"/>
  <c r="AD41" i="42"/>
  <c r="AC41" i="42"/>
  <c r="X41" i="42"/>
  <c r="W41" i="42"/>
  <c r="V41" i="42"/>
  <c r="T41" i="42"/>
  <c r="S41" i="42"/>
  <c r="R41" i="42"/>
  <c r="P41" i="42"/>
  <c r="O41" i="42"/>
  <c r="M41" i="42"/>
  <c r="J41" i="42"/>
  <c r="AM40" i="42"/>
  <c r="AL40" i="42"/>
  <c r="AV40" i="42" s="1"/>
  <c r="AE40" i="42"/>
  <c r="AT40" i="42" s="1"/>
  <c r="Y40" i="42"/>
  <c r="AQ40" i="42" s="1"/>
  <c r="Q40" i="42"/>
  <c r="U40" i="42" s="1"/>
  <c r="N40" i="42"/>
  <c r="L40" i="42"/>
  <c r="K40" i="42"/>
  <c r="AM39" i="42"/>
  <c r="AM41" i="42" s="1"/>
  <c r="AL39" i="42"/>
  <c r="AE39" i="42"/>
  <c r="AT39" i="42" s="1"/>
  <c r="Y39" i="42"/>
  <c r="Q39" i="42"/>
  <c r="U39" i="42" s="1"/>
  <c r="N39" i="42"/>
  <c r="L39" i="42"/>
  <c r="K39" i="42"/>
  <c r="AK38" i="42"/>
  <c r="AJ38" i="42"/>
  <c r="AI38" i="42"/>
  <c r="AH38" i="42"/>
  <c r="AG38" i="42"/>
  <c r="AD38" i="42"/>
  <c r="AC38" i="42"/>
  <c r="X38" i="42"/>
  <c r="W38" i="42"/>
  <c r="V38" i="42"/>
  <c r="T38" i="42"/>
  <c r="S38" i="42"/>
  <c r="R38" i="42"/>
  <c r="P38" i="42"/>
  <c r="O38" i="42"/>
  <c r="M38" i="42"/>
  <c r="J38" i="42"/>
  <c r="AM37" i="42"/>
  <c r="AW37" i="42" s="1"/>
  <c r="AL37" i="42"/>
  <c r="AE37" i="42"/>
  <c r="AT37" i="42" s="1"/>
  <c r="Y37" i="42"/>
  <c r="AQ37" i="42" s="1"/>
  <c r="Q37" i="42"/>
  <c r="U37" i="42" s="1"/>
  <c r="AB37" i="42" s="1"/>
  <c r="N37" i="42"/>
  <c r="L37" i="42"/>
  <c r="K37" i="42"/>
  <c r="AM36" i="42"/>
  <c r="AW36" i="42" s="1"/>
  <c r="AL36" i="42"/>
  <c r="AE36" i="42"/>
  <c r="AT36" i="42" s="1"/>
  <c r="Y36" i="42"/>
  <c r="AQ36" i="42" s="1"/>
  <c r="Q36" i="42"/>
  <c r="U36" i="42" s="1"/>
  <c r="AB36" i="42" s="1"/>
  <c r="AS36" i="42" s="1"/>
  <c r="N36" i="42"/>
  <c r="I36" i="42"/>
  <c r="AM35" i="42"/>
  <c r="AL35" i="42"/>
  <c r="AV35" i="42" s="1"/>
  <c r="AE35" i="42"/>
  <c r="Y35" i="42"/>
  <c r="Q35" i="42"/>
  <c r="U35" i="42" s="1"/>
  <c r="AB35" i="42" s="1"/>
  <c r="N35" i="42"/>
  <c r="L35" i="42"/>
  <c r="K35" i="42"/>
  <c r="AK34" i="42"/>
  <c r="AJ34" i="42"/>
  <c r="AI34" i="42"/>
  <c r="AH34" i="42"/>
  <c r="AG34" i="42"/>
  <c r="AD34" i="42"/>
  <c r="AC34" i="42"/>
  <c r="X34" i="42"/>
  <c r="W34" i="42"/>
  <c r="V34" i="42"/>
  <c r="T34" i="42"/>
  <c r="S34" i="42"/>
  <c r="R34" i="42"/>
  <c r="P34" i="42"/>
  <c r="O34" i="42"/>
  <c r="M34" i="42"/>
  <c r="J34" i="42"/>
  <c r="AM33" i="42"/>
  <c r="AW33" i="42" s="1"/>
  <c r="AL33" i="42"/>
  <c r="AE33" i="42"/>
  <c r="AT33" i="42" s="1"/>
  <c r="Y33" i="42"/>
  <c r="AQ33" i="42" s="1"/>
  <c r="Q33" i="42"/>
  <c r="U33" i="42" s="1"/>
  <c r="N33" i="42"/>
  <c r="L33" i="42"/>
  <c r="K33" i="42"/>
  <c r="AM32" i="42"/>
  <c r="AN32" i="42" s="1"/>
  <c r="AL32" i="42"/>
  <c r="AV32" i="42" s="1"/>
  <c r="AE32" i="42"/>
  <c r="AT32" i="42" s="1"/>
  <c r="Y32" i="42"/>
  <c r="AQ32" i="42" s="1"/>
  <c r="Q32" i="42"/>
  <c r="U32" i="42" s="1"/>
  <c r="N32" i="42"/>
  <c r="L32" i="42"/>
  <c r="K32" i="42"/>
  <c r="AM31" i="42"/>
  <c r="AW31" i="42" s="1"/>
  <c r="AL31" i="42"/>
  <c r="AV31" i="42" s="1"/>
  <c r="AE31" i="42"/>
  <c r="AT31" i="42" s="1"/>
  <c r="Y31" i="42"/>
  <c r="Q31" i="42"/>
  <c r="U31" i="42" s="1"/>
  <c r="N31" i="42"/>
  <c r="L31" i="42"/>
  <c r="K31" i="42"/>
  <c r="AK30" i="42"/>
  <c r="AJ30" i="42"/>
  <c r="AH30" i="42"/>
  <c r="AG30" i="42"/>
  <c r="AD30" i="42"/>
  <c r="AC30" i="42"/>
  <c r="X30" i="42"/>
  <c r="W30" i="42"/>
  <c r="V30" i="42"/>
  <c r="T30" i="42"/>
  <c r="S30" i="42"/>
  <c r="P30" i="42"/>
  <c r="O30" i="42"/>
  <c r="M30" i="42"/>
  <c r="J30" i="42"/>
  <c r="AM29" i="42"/>
  <c r="AW29" i="42" s="1"/>
  <c r="AL29" i="42"/>
  <c r="AE29" i="42"/>
  <c r="AT29" i="42" s="1"/>
  <c r="Y29" i="42"/>
  <c r="AQ29" i="42" s="1"/>
  <c r="Q29" i="42"/>
  <c r="N29" i="42"/>
  <c r="L29" i="42"/>
  <c r="K29" i="42"/>
  <c r="AM28" i="42"/>
  <c r="AW28" i="42" s="1"/>
  <c r="AI28" i="42"/>
  <c r="AE28" i="42"/>
  <c r="AT28" i="42" s="1"/>
  <c r="Y28" i="42"/>
  <c r="AQ28" i="42" s="1"/>
  <c r="R28" i="42"/>
  <c r="Q28" i="42"/>
  <c r="N28" i="42"/>
  <c r="I28" i="42"/>
  <c r="AW27" i="42"/>
  <c r="AP27" i="42"/>
  <c r="AM27" i="42"/>
  <c r="AL27" i="42"/>
  <c r="AE27" i="42"/>
  <c r="AT27" i="42" s="1"/>
  <c r="AA27" i="42"/>
  <c r="Y27" i="42"/>
  <c r="Q27" i="42"/>
  <c r="U27" i="42" s="1"/>
  <c r="AB27" i="42" s="1"/>
  <c r="N27" i="42"/>
  <c r="L27" i="42"/>
  <c r="K27" i="42"/>
  <c r="AK26" i="42"/>
  <c r="AJ26" i="42"/>
  <c r="AI26" i="42"/>
  <c r="AH26" i="42"/>
  <c r="AG26" i="42"/>
  <c r="AD26" i="42"/>
  <c r="AC26" i="42"/>
  <c r="X26" i="42"/>
  <c r="W26" i="42"/>
  <c r="V26" i="42"/>
  <c r="T26" i="42"/>
  <c r="S26" i="42"/>
  <c r="R26" i="42"/>
  <c r="P26" i="42"/>
  <c r="O26" i="42"/>
  <c r="M26" i="42"/>
  <c r="J26" i="42"/>
  <c r="AM25" i="42"/>
  <c r="AW25" i="42" s="1"/>
  <c r="AL25" i="42"/>
  <c r="AE25" i="42"/>
  <c r="AT25" i="42" s="1"/>
  <c r="Y25" i="42"/>
  <c r="AQ25" i="42" s="1"/>
  <c r="Q25" i="42"/>
  <c r="U25" i="42" s="1"/>
  <c r="N25" i="42"/>
  <c r="L25" i="42"/>
  <c r="K25" i="42"/>
  <c r="AM24" i="42"/>
  <c r="AW24" i="42" s="1"/>
  <c r="AL24" i="42"/>
  <c r="AE24" i="42"/>
  <c r="AT24" i="42" s="1"/>
  <c r="Y24" i="42"/>
  <c r="Q24" i="42"/>
  <c r="U24" i="42" s="1"/>
  <c r="N24" i="42"/>
  <c r="L24" i="42"/>
  <c r="K24" i="42"/>
  <c r="AM23" i="42"/>
  <c r="AL23" i="42"/>
  <c r="AE23" i="42"/>
  <c r="AE26" i="42" s="1"/>
  <c r="Y23" i="42"/>
  <c r="AQ23" i="42" s="1"/>
  <c r="Q23" i="42"/>
  <c r="N23" i="42"/>
  <c r="L23" i="42"/>
  <c r="L26" i="42" s="1"/>
  <c r="K23" i="42"/>
  <c r="AK22" i="42"/>
  <c r="AJ22" i="42"/>
  <c r="AI22" i="42"/>
  <c r="AH22" i="42"/>
  <c r="AG22" i="42"/>
  <c r="AD22" i="42"/>
  <c r="AC22" i="42"/>
  <c r="X22" i="42"/>
  <c r="W22" i="42"/>
  <c r="V22" i="42"/>
  <c r="T22" i="42"/>
  <c r="S22" i="42"/>
  <c r="R22" i="42"/>
  <c r="P22" i="42"/>
  <c r="O22" i="42"/>
  <c r="M22" i="42"/>
  <c r="J22" i="42"/>
  <c r="AM21" i="42"/>
  <c r="AW21" i="42" s="1"/>
  <c r="AL21" i="42"/>
  <c r="AV21" i="42" s="1"/>
  <c r="AE21" i="42"/>
  <c r="AT21" i="42" s="1"/>
  <c r="Y21" i="42"/>
  <c r="AQ21" i="42" s="1"/>
  <c r="Q21" i="42"/>
  <c r="U21" i="42" s="1"/>
  <c r="N21" i="42"/>
  <c r="L21" i="42"/>
  <c r="K21" i="42"/>
  <c r="AM20" i="42"/>
  <c r="AW20" i="42" s="1"/>
  <c r="AL20" i="42"/>
  <c r="AE20" i="42"/>
  <c r="AT20" i="42" s="1"/>
  <c r="Y20" i="42"/>
  <c r="AQ20" i="42" s="1"/>
  <c r="U20" i="42"/>
  <c r="AB20" i="42" s="1"/>
  <c r="AS20" i="42" s="1"/>
  <c r="Q20" i="42"/>
  <c r="N20" i="42"/>
  <c r="I20" i="42"/>
  <c r="AW19" i="42"/>
  <c r="AM19" i="42"/>
  <c r="AL19" i="42"/>
  <c r="AL22" i="42" s="1"/>
  <c r="AE19" i="42"/>
  <c r="AT19" i="42" s="1"/>
  <c r="Y19" i="42"/>
  <c r="Q19" i="42"/>
  <c r="N19" i="42"/>
  <c r="L19" i="42"/>
  <c r="K19" i="42"/>
  <c r="AK18" i="42"/>
  <c r="AJ18" i="42"/>
  <c r="AI18" i="42"/>
  <c r="AH18" i="42"/>
  <c r="AG18" i="42"/>
  <c r="AD18" i="42"/>
  <c r="AC18" i="42"/>
  <c r="X18" i="42"/>
  <c r="W18" i="42"/>
  <c r="V18" i="42"/>
  <c r="T18" i="42"/>
  <c r="S18" i="42"/>
  <c r="R18" i="42"/>
  <c r="P18" i="42"/>
  <c r="O18" i="42"/>
  <c r="M18" i="42"/>
  <c r="J18" i="42"/>
  <c r="AM17" i="42"/>
  <c r="AL17" i="42"/>
  <c r="AE17" i="42"/>
  <c r="AT17" i="42" s="1"/>
  <c r="Y17" i="42"/>
  <c r="AQ17" i="42" s="1"/>
  <c r="Q17" i="42"/>
  <c r="N17" i="42"/>
  <c r="L17" i="42"/>
  <c r="K17" i="42"/>
  <c r="AM16" i="42"/>
  <c r="AW16" i="42" s="1"/>
  <c r="AL16" i="42"/>
  <c r="AE16" i="42"/>
  <c r="AT16" i="42" s="1"/>
  <c r="Y16" i="42"/>
  <c r="AQ16" i="42" s="1"/>
  <c r="Q16" i="42"/>
  <c r="U16" i="42" s="1"/>
  <c r="N16" i="42"/>
  <c r="L16" i="42"/>
  <c r="I16" i="42" s="1"/>
  <c r="K16" i="42"/>
  <c r="AM15" i="42"/>
  <c r="AW15" i="42" s="1"/>
  <c r="AL15" i="42"/>
  <c r="AE15" i="42"/>
  <c r="AT15" i="42" s="1"/>
  <c r="Y15" i="42"/>
  <c r="AQ15" i="42" s="1"/>
  <c r="Q15" i="42"/>
  <c r="U15" i="42" s="1"/>
  <c r="AP15" i="42" s="1"/>
  <c r="N15" i="42"/>
  <c r="L15" i="42"/>
  <c r="K15" i="42"/>
  <c r="AM14" i="42"/>
  <c r="AL14" i="42"/>
  <c r="AE14" i="42"/>
  <c r="AT14" i="42" s="1"/>
  <c r="Y14" i="42"/>
  <c r="Q14" i="42"/>
  <c r="N14" i="42"/>
  <c r="L14" i="42"/>
  <c r="K14" i="42"/>
  <c r="AM13" i="42"/>
  <c r="AW13" i="42" s="1"/>
  <c r="AL13" i="42"/>
  <c r="AE13" i="42"/>
  <c r="AT13" i="42" s="1"/>
  <c r="Y13" i="42"/>
  <c r="AQ13" i="42" s="1"/>
  <c r="Q13" i="42"/>
  <c r="U13" i="42" s="1"/>
  <c r="AP13" i="42" s="1"/>
  <c r="N13" i="42"/>
  <c r="L13" i="42"/>
  <c r="K13" i="42"/>
  <c r="AM12" i="42"/>
  <c r="AL12" i="42"/>
  <c r="AE12" i="42"/>
  <c r="AT12" i="42" s="1"/>
  <c r="Y12" i="42"/>
  <c r="AQ12" i="42" s="1"/>
  <c r="Q12" i="42"/>
  <c r="N12" i="42"/>
  <c r="L12" i="42"/>
  <c r="K12" i="42"/>
  <c r="AK156" i="41"/>
  <c r="AJ156" i="41"/>
  <c r="AI156" i="41"/>
  <c r="AH156" i="41"/>
  <c r="AG156" i="41"/>
  <c r="AD156" i="41"/>
  <c r="AC156" i="41"/>
  <c r="X156" i="41"/>
  <c r="W156" i="41"/>
  <c r="V156" i="41"/>
  <c r="T156" i="41"/>
  <c r="S156" i="41"/>
  <c r="R156" i="41"/>
  <c r="P156" i="41"/>
  <c r="O156" i="41"/>
  <c r="M156" i="41"/>
  <c r="J156" i="41"/>
  <c r="AK155" i="41"/>
  <c r="AJ155" i="41"/>
  <c r="AI155" i="41"/>
  <c r="AH155" i="41"/>
  <c r="AG155" i="41"/>
  <c r="AD155" i="41"/>
  <c r="AC155" i="41"/>
  <c r="X155" i="41"/>
  <c r="W155" i="41"/>
  <c r="V155" i="41"/>
  <c r="T155" i="41"/>
  <c r="S155" i="41"/>
  <c r="R155" i="41"/>
  <c r="P155" i="41"/>
  <c r="O155" i="41"/>
  <c r="M155" i="41"/>
  <c r="J155" i="41"/>
  <c r="AK154" i="41"/>
  <c r="AJ154" i="41"/>
  <c r="AI154" i="41"/>
  <c r="AH154" i="41"/>
  <c r="AG154" i="41"/>
  <c r="AD154" i="41"/>
  <c r="AC154" i="41"/>
  <c r="X154" i="41"/>
  <c r="W154" i="41"/>
  <c r="V154" i="41"/>
  <c r="T154" i="41"/>
  <c r="S154" i="41"/>
  <c r="R154" i="41"/>
  <c r="P154" i="41"/>
  <c r="O154" i="41"/>
  <c r="M154" i="41"/>
  <c r="J154" i="41"/>
  <c r="AK153" i="41"/>
  <c r="AJ153" i="41"/>
  <c r="AI153" i="41"/>
  <c r="AH153" i="41"/>
  <c r="AG153" i="41"/>
  <c r="AD153" i="41"/>
  <c r="AC153" i="41"/>
  <c r="X153" i="41"/>
  <c r="W153" i="41"/>
  <c r="V153" i="41"/>
  <c r="T153" i="41"/>
  <c r="S153" i="41"/>
  <c r="R153" i="41"/>
  <c r="P153" i="41"/>
  <c r="O153" i="41"/>
  <c r="M153" i="41"/>
  <c r="J153" i="41"/>
  <c r="AW152" i="41"/>
  <c r="AV152" i="41"/>
  <c r="AU152" i="41"/>
  <c r="AT152" i="41"/>
  <c r="AS152" i="41"/>
  <c r="AR152" i="41"/>
  <c r="AQ152" i="41"/>
  <c r="AP152" i="41"/>
  <c r="AO152" i="41"/>
  <c r="AN152" i="41"/>
  <c r="AM152" i="41"/>
  <c r="AL152" i="41"/>
  <c r="AK152" i="41"/>
  <c r="AJ152" i="41"/>
  <c r="AI152" i="41"/>
  <c r="AH152" i="41"/>
  <c r="AG152" i="41"/>
  <c r="AF152" i="41"/>
  <c r="AE152" i="41"/>
  <c r="AD152" i="41"/>
  <c r="AC152" i="41"/>
  <c r="AB152" i="41"/>
  <c r="AA152" i="41"/>
  <c r="Z152" i="41"/>
  <c r="Y152" i="41"/>
  <c r="X152" i="41"/>
  <c r="W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AW151" i="41"/>
  <c r="AV151" i="41"/>
  <c r="AU151" i="41"/>
  <c r="AT151" i="41"/>
  <c r="AS151" i="41"/>
  <c r="AR151" i="41"/>
  <c r="AQ151" i="41"/>
  <c r="AP151" i="41"/>
  <c r="AO151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AB151" i="41"/>
  <c r="AA151" i="41"/>
  <c r="Z151" i="41"/>
  <c r="Y151" i="41"/>
  <c r="X151" i="41"/>
  <c r="W151" i="41"/>
  <c r="V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AK150" i="41"/>
  <c r="AJ150" i="41"/>
  <c r="AH150" i="41"/>
  <c r="AG150" i="41"/>
  <c r="AD150" i="41"/>
  <c r="AC150" i="41"/>
  <c r="X150" i="41"/>
  <c r="W150" i="41"/>
  <c r="V150" i="41"/>
  <c r="T150" i="41"/>
  <c r="S150" i="41"/>
  <c r="P150" i="41"/>
  <c r="O150" i="41"/>
  <c r="M150" i="41"/>
  <c r="J150" i="41"/>
  <c r="AW149" i="41"/>
  <c r="AV149" i="41"/>
  <c r="AU149" i="41"/>
  <c r="AT149" i="41"/>
  <c r="AS149" i="41"/>
  <c r="AR149" i="41"/>
  <c r="AQ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AA149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AK148" i="41"/>
  <c r="AJ148" i="41"/>
  <c r="AH148" i="41"/>
  <c r="AG148" i="41"/>
  <c r="AD148" i="41"/>
  <c r="X148" i="41"/>
  <c r="W148" i="41"/>
  <c r="V148" i="41"/>
  <c r="T148" i="41"/>
  <c r="S148" i="41"/>
  <c r="P148" i="41"/>
  <c r="O148" i="41"/>
  <c r="M148" i="41"/>
  <c r="J148" i="41"/>
  <c r="AK147" i="41"/>
  <c r="AJ147" i="41"/>
  <c r="AI147" i="41"/>
  <c r="AH147" i="41"/>
  <c r="AG147" i="41"/>
  <c r="AD147" i="41"/>
  <c r="AC147" i="41"/>
  <c r="X147" i="41"/>
  <c r="W147" i="41"/>
  <c r="V147" i="41"/>
  <c r="T147" i="41"/>
  <c r="S147" i="41"/>
  <c r="R147" i="41"/>
  <c r="P147" i="41"/>
  <c r="O147" i="41"/>
  <c r="M147" i="41"/>
  <c r="J147" i="41"/>
  <c r="AK142" i="41"/>
  <c r="AJ142" i="41"/>
  <c r="AI142" i="41"/>
  <c r="AH142" i="41"/>
  <c r="AG142" i="41"/>
  <c r="AD142" i="41"/>
  <c r="AC142" i="41"/>
  <c r="X142" i="41"/>
  <c r="W142" i="41"/>
  <c r="V142" i="41"/>
  <c r="T142" i="41"/>
  <c r="S142" i="41"/>
  <c r="R142" i="41"/>
  <c r="P142" i="41"/>
  <c r="O142" i="41"/>
  <c r="M142" i="41"/>
  <c r="J142" i="41"/>
  <c r="AM141" i="41"/>
  <c r="AL141" i="41"/>
  <c r="AV141" i="41" s="1"/>
  <c r="AE141" i="41"/>
  <c r="AT141" i="41" s="1"/>
  <c r="Y141" i="41"/>
  <c r="Q141" i="41"/>
  <c r="U141" i="41" s="1"/>
  <c r="N141" i="41"/>
  <c r="L141" i="41"/>
  <c r="K141" i="41"/>
  <c r="AM140" i="41"/>
  <c r="AL140" i="41"/>
  <c r="AV140" i="41" s="1"/>
  <c r="AE140" i="41"/>
  <c r="AT140" i="41" s="1"/>
  <c r="Y140" i="41"/>
  <c r="AQ140" i="41" s="1"/>
  <c r="Q140" i="41"/>
  <c r="U140" i="41" s="1"/>
  <c r="N140" i="41"/>
  <c r="L140" i="41"/>
  <c r="K140" i="41"/>
  <c r="AM139" i="41"/>
  <c r="AW139" i="41" s="1"/>
  <c r="AL139" i="41"/>
  <c r="AV139" i="41" s="1"/>
  <c r="AE139" i="41"/>
  <c r="AT139" i="41" s="1"/>
  <c r="Y139" i="41"/>
  <c r="AQ139" i="41" s="1"/>
  <c r="Q139" i="41"/>
  <c r="U139" i="41" s="1"/>
  <c r="N139" i="41"/>
  <c r="L139" i="41"/>
  <c r="K139" i="41"/>
  <c r="AM138" i="41"/>
  <c r="AW138" i="41" s="1"/>
  <c r="AL138" i="41"/>
  <c r="AE138" i="41"/>
  <c r="AT138" i="41" s="1"/>
  <c r="Y138" i="41"/>
  <c r="Q138" i="41"/>
  <c r="U138" i="41" s="1"/>
  <c r="N138" i="41"/>
  <c r="L138" i="41"/>
  <c r="K138" i="41"/>
  <c r="AM137" i="41"/>
  <c r="AW137" i="41" s="1"/>
  <c r="AL137" i="41"/>
  <c r="AV137" i="41" s="1"/>
  <c r="AE137" i="41"/>
  <c r="AT137" i="41" s="1"/>
  <c r="Y137" i="41"/>
  <c r="AQ137" i="41" s="1"/>
  <c r="Q137" i="41"/>
  <c r="U137" i="41" s="1"/>
  <c r="Z137" i="41" s="1"/>
  <c r="N137" i="41"/>
  <c r="L137" i="41"/>
  <c r="K137" i="41"/>
  <c r="AV136" i="41"/>
  <c r="AM136" i="41"/>
  <c r="AW136" i="41" s="1"/>
  <c r="AL136" i="41"/>
  <c r="AE136" i="41"/>
  <c r="AT136" i="41" s="1"/>
  <c r="Y136" i="41"/>
  <c r="AQ136" i="41" s="1"/>
  <c r="Q136" i="41"/>
  <c r="U136" i="41" s="1"/>
  <c r="N136" i="41"/>
  <c r="L136" i="41"/>
  <c r="K136" i="41"/>
  <c r="AK135" i="41"/>
  <c r="AJ135" i="41"/>
  <c r="AI135" i="41"/>
  <c r="AH135" i="41"/>
  <c r="AG135" i="41"/>
  <c r="AD135" i="41"/>
  <c r="AC135" i="41"/>
  <c r="X135" i="41"/>
  <c r="W135" i="41"/>
  <c r="V135" i="41"/>
  <c r="T135" i="41"/>
  <c r="S135" i="41"/>
  <c r="P135" i="41"/>
  <c r="O135" i="41"/>
  <c r="M135" i="41"/>
  <c r="J135" i="41"/>
  <c r="AM134" i="41"/>
  <c r="AL134" i="41"/>
  <c r="AV134" i="41" s="1"/>
  <c r="AE134" i="41"/>
  <c r="AT134" i="41" s="1"/>
  <c r="AA134" i="41"/>
  <c r="Y134" i="41"/>
  <c r="AQ134" i="41" s="1"/>
  <c r="Q134" i="41"/>
  <c r="U134" i="41" s="1"/>
  <c r="N134" i="41"/>
  <c r="L134" i="41"/>
  <c r="K134" i="41"/>
  <c r="AM133" i="41"/>
  <c r="AW133" i="41" s="1"/>
  <c r="AL133" i="41"/>
  <c r="AV133" i="41" s="1"/>
  <c r="AE133" i="41"/>
  <c r="Y133" i="41"/>
  <c r="AQ133" i="41" s="1"/>
  <c r="Q133" i="41"/>
  <c r="U133" i="41" s="1"/>
  <c r="N133" i="41"/>
  <c r="L133" i="41"/>
  <c r="K133" i="41"/>
  <c r="AM132" i="41"/>
  <c r="AW132" i="41" s="1"/>
  <c r="AI132" i="41"/>
  <c r="AE132" i="41"/>
  <c r="AT132" i="41" s="1"/>
  <c r="Y132" i="41"/>
  <c r="R132" i="41"/>
  <c r="Q132" i="41"/>
  <c r="U132" i="41" s="1"/>
  <c r="N132" i="41"/>
  <c r="I132" i="41"/>
  <c r="AM131" i="41"/>
  <c r="AL131" i="41"/>
  <c r="AE131" i="41"/>
  <c r="AT131" i="41" s="1"/>
  <c r="Y131" i="41"/>
  <c r="Q131" i="41"/>
  <c r="U131" i="41" s="1"/>
  <c r="AB131" i="41" s="1"/>
  <c r="N131" i="41"/>
  <c r="L131" i="41"/>
  <c r="K131" i="41"/>
  <c r="AK130" i="41"/>
  <c r="AJ130" i="41"/>
  <c r="AI130" i="41"/>
  <c r="AH130" i="41"/>
  <c r="AG130" i="41"/>
  <c r="AD130" i="41"/>
  <c r="AC130" i="41"/>
  <c r="X130" i="41"/>
  <c r="W130" i="41"/>
  <c r="V130" i="41"/>
  <c r="T130" i="41"/>
  <c r="S130" i="41"/>
  <c r="R130" i="41"/>
  <c r="P130" i="41"/>
  <c r="O130" i="41"/>
  <c r="M130" i="41"/>
  <c r="J130" i="41"/>
  <c r="AM129" i="41"/>
  <c r="AW129" i="41" s="1"/>
  <c r="AL129" i="41"/>
  <c r="AE129" i="41"/>
  <c r="AT129" i="41" s="1"/>
  <c r="Y129" i="41"/>
  <c r="AQ129" i="41" s="1"/>
  <c r="Q129" i="41"/>
  <c r="U129" i="41" s="1"/>
  <c r="AA129" i="41" s="1"/>
  <c r="N129" i="41"/>
  <c r="K129" i="41"/>
  <c r="I129" i="41"/>
  <c r="AM128" i="41"/>
  <c r="AW128" i="41" s="1"/>
  <c r="AL128" i="41"/>
  <c r="AV128" i="41" s="1"/>
  <c r="AE128" i="41"/>
  <c r="AT128" i="41" s="1"/>
  <c r="Y128" i="41"/>
  <c r="AQ128" i="41" s="1"/>
  <c r="Q128" i="41"/>
  <c r="U128" i="41" s="1"/>
  <c r="N128" i="41"/>
  <c r="L128" i="41"/>
  <c r="K128" i="41"/>
  <c r="I128" i="41" s="1"/>
  <c r="AM127" i="41"/>
  <c r="AW127" i="41" s="1"/>
  <c r="AL127" i="41"/>
  <c r="AE127" i="41"/>
  <c r="Y127" i="41"/>
  <c r="Q127" i="41"/>
  <c r="N127" i="41"/>
  <c r="L127" i="41"/>
  <c r="K127" i="41"/>
  <c r="AK126" i="41"/>
  <c r="AJ126" i="41"/>
  <c r="AI126" i="41"/>
  <c r="AH126" i="41"/>
  <c r="AG126" i="41"/>
  <c r="AD126" i="41"/>
  <c r="AC126" i="41"/>
  <c r="X126" i="41"/>
  <c r="W126" i="41"/>
  <c r="V126" i="41"/>
  <c r="T126" i="41"/>
  <c r="S126" i="41"/>
  <c r="R126" i="41"/>
  <c r="P126" i="41"/>
  <c r="O126" i="41"/>
  <c r="M126" i="41"/>
  <c r="J126" i="41"/>
  <c r="AM125" i="41"/>
  <c r="AW125" i="41" s="1"/>
  <c r="AL125" i="41"/>
  <c r="AE125" i="41"/>
  <c r="AT125" i="41" s="1"/>
  <c r="Y125" i="41"/>
  <c r="AQ125" i="41" s="1"/>
  <c r="Q125" i="41"/>
  <c r="U125" i="41" s="1"/>
  <c r="N125" i="41"/>
  <c r="L125" i="41"/>
  <c r="K125" i="41"/>
  <c r="AM124" i="41"/>
  <c r="AW124" i="41" s="1"/>
  <c r="AL124" i="41"/>
  <c r="AE124" i="41"/>
  <c r="AT124" i="41" s="1"/>
  <c r="Y124" i="41"/>
  <c r="AQ124" i="41" s="1"/>
  <c r="U124" i="41"/>
  <c r="AB124" i="41" s="1"/>
  <c r="Q124" i="41"/>
  <c r="N124" i="41"/>
  <c r="L124" i="41"/>
  <c r="K124" i="41"/>
  <c r="AM123" i="41"/>
  <c r="AW123" i="41" s="1"/>
  <c r="AL123" i="41"/>
  <c r="AE123" i="41"/>
  <c r="AT123" i="41" s="1"/>
  <c r="Y123" i="41"/>
  <c r="AQ123" i="41" s="1"/>
  <c r="Q123" i="41"/>
  <c r="U123" i="41" s="1"/>
  <c r="AP123" i="41" s="1"/>
  <c r="N123" i="41"/>
  <c r="L123" i="41"/>
  <c r="K123" i="41"/>
  <c r="I123" i="41" s="1"/>
  <c r="AM122" i="41"/>
  <c r="AW122" i="41" s="1"/>
  <c r="AL122" i="41"/>
  <c r="AE122" i="41"/>
  <c r="AT122" i="41" s="1"/>
  <c r="Y122" i="41"/>
  <c r="AQ122" i="41" s="1"/>
  <c r="Q122" i="41"/>
  <c r="U122" i="41" s="1"/>
  <c r="N122" i="41"/>
  <c r="L122" i="41"/>
  <c r="K122" i="41"/>
  <c r="AM121" i="41"/>
  <c r="AW121" i="41" s="1"/>
  <c r="AL121" i="41"/>
  <c r="AE121" i="41"/>
  <c r="AT121" i="41" s="1"/>
  <c r="Y121" i="41"/>
  <c r="AQ121" i="41" s="1"/>
  <c r="Q121" i="41"/>
  <c r="U121" i="41" s="1"/>
  <c r="N121" i="41"/>
  <c r="I121" i="41"/>
  <c r="AM120" i="41"/>
  <c r="AL120" i="41"/>
  <c r="AV120" i="41" s="1"/>
  <c r="AE120" i="41"/>
  <c r="AT120" i="41" s="1"/>
  <c r="Y120" i="41"/>
  <c r="AQ120" i="41" s="1"/>
  <c r="Q120" i="41"/>
  <c r="U120" i="41" s="1"/>
  <c r="AB120" i="41" s="1"/>
  <c r="N120" i="41"/>
  <c r="L120" i="41"/>
  <c r="K120" i="41"/>
  <c r="AM119" i="41"/>
  <c r="AL119" i="41"/>
  <c r="AV119" i="41" s="1"/>
  <c r="AE119" i="41"/>
  <c r="Y119" i="41"/>
  <c r="AQ119" i="41" s="1"/>
  <c r="Q119" i="41"/>
  <c r="U119" i="41" s="1"/>
  <c r="N119" i="41"/>
  <c r="L119" i="41"/>
  <c r="K119" i="41"/>
  <c r="AK118" i="41"/>
  <c r="AJ118" i="41"/>
  <c r="AI118" i="41"/>
  <c r="AH118" i="41"/>
  <c r="AG118" i="41"/>
  <c r="AD118" i="41"/>
  <c r="AC118" i="41"/>
  <c r="X118" i="41"/>
  <c r="W118" i="41"/>
  <c r="V118" i="41"/>
  <c r="T118" i="41"/>
  <c r="S118" i="41"/>
  <c r="R118" i="41"/>
  <c r="P118" i="41"/>
  <c r="O118" i="41"/>
  <c r="M118" i="41"/>
  <c r="J118" i="41"/>
  <c r="AM117" i="41"/>
  <c r="AW117" i="41" s="1"/>
  <c r="AL117" i="41"/>
  <c r="AV117" i="41" s="1"/>
  <c r="AE117" i="41"/>
  <c r="AT117" i="41" s="1"/>
  <c r="Y117" i="41"/>
  <c r="AQ117" i="41" s="1"/>
  <c r="Q117" i="41"/>
  <c r="U117" i="41" s="1"/>
  <c r="AP117" i="41" s="1"/>
  <c r="N117" i="41"/>
  <c r="L117" i="41"/>
  <c r="K117" i="41"/>
  <c r="AM116" i="41"/>
  <c r="AW116" i="41" s="1"/>
  <c r="AL116" i="41"/>
  <c r="AE116" i="41"/>
  <c r="AT116" i="41" s="1"/>
  <c r="Y116" i="41"/>
  <c r="AQ116" i="41" s="1"/>
  <c r="Q116" i="41"/>
  <c r="U116" i="41" s="1"/>
  <c r="AP116" i="41" s="1"/>
  <c r="N116" i="41"/>
  <c r="L116" i="41"/>
  <c r="K116" i="41"/>
  <c r="AM115" i="41"/>
  <c r="AW115" i="41" s="1"/>
  <c r="AL115" i="41"/>
  <c r="AE115" i="41"/>
  <c r="AT115" i="41" s="1"/>
  <c r="Y115" i="41"/>
  <c r="Q115" i="41"/>
  <c r="U115" i="41" s="1"/>
  <c r="AB115" i="41" s="1"/>
  <c r="N115" i="41"/>
  <c r="L115" i="41"/>
  <c r="K115" i="41"/>
  <c r="AM114" i="41"/>
  <c r="AW114" i="41" s="1"/>
  <c r="AL114" i="41"/>
  <c r="AV114" i="41" s="1"/>
  <c r="AE114" i="41"/>
  <c r="AT114" i="41" s="1"/>
  <c r="Y114" i="41"/>
  <c r="AQ114" i="41" s="1"/>
  <c r="Q114" i="41"/>
  <c r="U114" i="41" s="1"/>
  <c r="N114" i="41"/>
  <c r="I114" i="41"/>
  <c r="AM113" i="41"/>
  <c r="AW113" i="41" s="1"/>
  <c r="AL113" i="41"/>
  <c r="AV113" i="41" s="1"/>
  <c r="AE113" i="41"/>
  <c r="Y113" i="41"/>
  <c r="AQ113" i="41" s="1"/>
  <c r="Q113" i="41"/>
  <c r="U113" i="41" s="1"/>
  <c r="N113" i="41"/>
  <c r="L113" i="41"/>
  <c r="K113" i="41"/>
  <c r="AM112" i="41"/>
  <c r="AL112" i="41"/>
  <c r="AE112" i="41"/>
  <c r="AT112" i="41" s="1"/>
  <c r="Y112" i="41"/>
  <c r="Q112" i="41"/>
  <c r="U112" i="41" s="1"/>
  <c r="AA112" i="41" s="1"/>
  <c r="N112" i="41"/>
  <c r="L112" i="41"/>
  <c r="K112" i="41"/>
  <c r="AK111" i="41"/>
  <c r="AJ111" i="41"/>
  <c r="AI111" i="41"/>
  <c r="AH111" i="41"/>
  <c r="AG111" i="41"/>
  <c r="AD111" i="41"/>
  <c r="AC111" i="41"/>
  <c r="X111" i="41"/>
  <c r="W111" i="41"/>
  <c r="V111" i="41"/>
  <c r="T111" i="41"/>
  <c r="S111" i="41"/>
  <c r="R111" i="41"/>
  <c r="P111" i="41"/>
  <c r="O111" i="41"/>
  <c r="M111" i="41"/>
  <c r="J111" i="41"/>
  <c r="AM110" i="41"/>
  <c r="AW110" i="41" s="1"/>
  <c r="AL110" i="41"/>
  <c r="AE110" i="41"/>
  <c r="AT110" i="41" s="1"/>
  <c r="Y110" i="41"/>
  <c r="AQ110" i="41" s="1"/>
  <c r="Q110" i="41"/>
  <c r="U110" i="41" s="1"/>
  <c r="N110" i="41"/>
  <c r="L110" i="41"/>
  <c r="K110" i="41"/>
  <c r="AM109" i="41"/>
  <c r="AW109" i="41" s="1"/>
  <c r="AL109" i="41"/>
  <c r="AE109" i="41"/>
  <c r="AT109" i="41" s="1"/>
  <c r="Y109" i="41"/>
  <c r="Q109" i="41"/>
  <c r="U109" i="41" s="1"/>
  <c r="N109" i="41"/>
  <c r="L109" i="41"/>
  <c r="K109" i="41"/>
  <c r="AM108" i="41"/>
  <c r="AW108" i="41" s="1"/>
  <c r="AL108" i="41"/>
  <c r="AE108" i="41"/>
  <c r="AT108" i="41" s="1"/>
  <c r="Y108" i="41"/>
  <c r="AQ108" i="41" s="1"/>
  <c r="Q108" i="41"/>
  <c r="U108" i="41" s="1"/>
  <c r="N108" i="41"/>
  <c r="L108" i="41"/>
  <c r="K108" i="41"/>
  <c r="AM107" i="41"/>
  <c r="AW107" i="41" s="1"/>
  <c r="AL107" i="41"/>
  <c r="AE107" i="41"/>
  <c r="AT107" i="41" s="1"/>
  <c r="AB107" i="41"/>
  <c r="AS107" i="41" s="1"/>
  <c r="Y107" i="41"/>
  <c r="AQ107" i="41" s="1"/>
  <c r="Q107" i="41"/>
  <c r="U107" i="41" s="1"/>
  <c r="N107" i="41"/>
  <c r="I107" i="41"/>
  <c r="AM106" i="41"/>
  <c r="AW106" i="41" s="1"/>
  <c r="AL106" i="41"/>
  <c r="AV106" i="41" s="1"/>
  <c r="AE106" i="41"/>
  <c r="AT106" i="41" s="1"/>
  <c r="Y106" i="41"/>
  <c r="AQ106" i="41" s="1"/>
  <c r="Q106" i="41"/>
  <c r="U106" i="41" s="1"/>
  <c r="N106" i="41"/>
  <c r="L106" i="41"/>
  <c r="K106" i="41"/>
  <c r="AM105" i="41"/>
  <c r="AL105" i="41"/>
  <c r="AV105" i="41" s="1"/>
  <c r="AE105" i="41"/>
  <c r="Y105" i="41"/>
  <c r="Q105" i="41"/>
  <c r="U105" i="41" s="1"/>
  <c r="AB105" i="41" s="1"/>
  <c r="N105" i="41"/>
  <c r="L105" i="41"/>
  <c r="K105" i="41"/>
  <c r="AK104" i="41"/>
  <c r="AJ104" i="41"/>
  <c r="AI104" i="41"/>
  <c r="AH104" i="41"/>
  <c r="AG104" i="41"/>
  <c r="AD104" i="41"/>
  <c r="AC104" i="41"/>
  <c r="X104" i="41"/>
  <c r="W104" i="41"/>
  <c r="V104" i="41"/>
  <c r="T104" i="41"/>
  <c r="S104" i="41"/>
  <c r="R104" i="41"/>
  <c r="P104" i="41"/>
  <c r="O104" i="41"/>
  <c r="M104" i="41"/>
  <c r="J104" i="41"/>
  <c r="AM103" i="41"/>
  <c r="AW103" i="41" s="1"/>
  <c r="AL103" i="41"/>
  <c r="AE103" i="41"/>
  <c r="AT103" i="41" s="1"/>
  <c r="Y103" i="41"/>
  <c r="AQ103" i="41" s="1"/>
  <c r="Q103" i="41"/>
  <c r="U103" i="41" s="1"/>
  <c r="AA103" i="41" s="1"/>
  <c r="N103" i="41"/>
  <c r="L103" i="41"/>
  <c r="K103" i="41"/>
  <c r="I103" i="41" s="1"/>
  <c r="AM102" i="41"/>
  <c r="AW102" i="41" s="1"/>
  <c r="AL102" i="41"/>
  <c r="AE102" i="41"/>
  <c r="Y102" i="41"/>
  <c r="Q102" i="41"/>
  <c r="N102" i="41"/>
  <c r="L102" i="41"/>
  <c r="K102" i="41"/>
  <c r="AK101" i="41"/>
  <c r="AJ101" i="41"/>
  <c r="AI101" i="41"/>
  <c r="AH101" i="41"/>
  <c r="AG101" i="41"/>
  <c r="AD101" i="41"/>
  <c r="AC101" i="41"/>
  <c r="X101" i="41"/>
  <c r="W101" i="41"/>
  <c r="V101" i="41"/>
  <c r="T101" i="41"/>
  <c r="S101" i="41"/>
  <c r="R101" i="41"/>
  <c r="P101" i="41"/>
  <c r="O101" i="41"/>
  <c r="M101" i="41"/>
  <c r="J101" i="41"/>
  <c r="AM100" i="41"/>
  <c r="AW100" i="41" s="1"/>
  <c r="AL100" i="41"/>
  <c r="AE100" i="41"/>
  <c r="AT100" i="41" s="1"/>
  <c r="Y100" i="41"/>
  <c r="AQ100" i="41" s="1"/>
  <c r="Q100" i="41"/>
  <c r="U100" i="41" s="1"/>
  <c r="AA100" i="41" s="1"/>
  <c r="N100" i="41"/>
  <c r="L100" i="41"/>
  <c r="K100" i="41"/>
  <c r="AM99" i="41"/>
  <c r="AW99" i="41" s="1"/>
  <c r="AL99" i="41"/>
  <c r="AE99" i="41"/>
  <c r="AT99" i="41" s="1"/>
  <c r="Y99" i="41"/>
  <c r="AQ99" i="41" s="1"/>
  <c r="Q99" i="41"/>
  <c r="U99" i="41" s="1"/>
  <c r="AB99" i="41" s="1"/>
  <c r="N99" i="41"/>
  <c r="L99" i="41"/>
  <c r="K99" i="41"/>
  <c r="AM98" i="41"/>
  <c r="AL98" i="41"/>
  <c r="AE98" i="41"/>
  <c r="Y98" i="41"/>
  <c r="AQ98" i="41" s="1"/>
  <c r="Q98" i="41"/>
  <c r="U98" i="41" s="1"/>
  <c r="Z98" i="41" s="1"/>
  <c r="N98" i="41"/>
  <c r="L98" i="41"/>
  <c r="L101" i="41" s="1"/>
  <c r="K98" i="41"/>
  <c r="AK97" i="41"/>
  <c r="AJ97" i="41"/>
  <c r="AI97" i="41"/>
  <c r="AH97" i="41"/>
  <c r="AG97" i="41"/>
  <c r="AD97" i="41"/>
  <c r="AC97" i="41"/>
  <c r="X97" i="41"/>
  <c r="W97" i="41"/>
  <c r="V97" i="41"/>
  <c r="T97" i="41"/>
  <c r="S97" i="41"/>
  <c r="R97" i="41"/>
  <c r="P97" i="41"/>
  <c r="O97" i="41"/>
  <c r="M97" i="41"/>
  <c r="J97" i="41"/>
  <c r="AM96" i="41"/>
  <c r="AL96" i="41"/>
  <c r="AE96" i="41"/>
  <c r="Y96" i="41"/>
  <c r="Q96" i="41"/>
  <c r="N96" i="41"/>
  <c r="L96" i="41"/>
  <c r="K96" i="41"/>
  <c r="I96" i="41" s="1"/>
  <c r="I97" i="41" s="1"/>
  <c r="AK95" i="41"/>
  <c r="AJ95" i="41"/>
  <c r="AI95" i="41"/>
  <c r="AH95" i="41"/>
  <c r="AG95" i="41"/>
  <c r="AD95" i="41"/>
  <c r="AC95" i="41"/>
  <c r="X95" i="41"/>
  <c r="W95" i="41"/>
  <c r="V95" i="41"/>
  <c r="T95" i="41"/>
  <c r="S95" i="41"/>
  <c r="R95" i="41"/>
  <c r="P95" i="41"/>
  <c r="O95" i="41"/>
  <c r="M95" i="41"/>
  <c r="J95" i="41"/>
  <c r="AM94" i="41"/>
  <c r="AW94" i="41" s="1"/>
  <c r="AL94" i="41"/>
  <c r="AV94" i="41" s="1"/>
  <c r="AE94" i="41"/>
  <c r="AT94" i="41" s="1"/>
  <c r="Y94" i="41"/>
  <c r="Q94" i="41"/>
  <c r="U94" i="41" s="1"/>
  <c r="AB94" i="41" s="1"/>
  <c r="N94" i="41"/>
  <c r="L94" i="41"/>
  <c r="K94" i="41"/>
  <c r="AM93" i="41"/>
  <c r="AL93" i="41"/>
  <c r="AV93" i="41" s="1"/>
  <c r="AE93" i="41"/>
  <c r="AT93" i="41" s="1"/>
  <c r="Y93" i="41"/>
  <c r="AQ93" i="41" s="1"/>
  <c r="Q93" i="41"/>
  <c r="U93" i="41" s="1"/>
  <c r="N93" i="41"/>
  <c r="L93" i="41"/>
  <c r="K93" i="41"/>
  <c r="AM92" i="41"/>
  <c r="AW92" i="41" s="1"/>
  <c r="AL92" i="41"/>
  <c r="AE92" i="41"/>
  <c r="AT92" i="41" s="1"/>
  <c r="Y92" i="41"/>
  <c r="AQ92" i="41" s="1"/>
  <c r="Q92" i="41"/>
  <c r="U92" i="41" s="1"/>
  <c r="N92" i="41"/>
  <c r="L92" i="41"/>
  <c r="K92" i="41"/>
  <c r="AM91" i="41"/>
  <c r="AW91" i="41" s="1"/>
  <c r="AL91" i="41"/>
  <c r="AV91" i="41" s="1"/>
  <c r="AE91" i="41"/>
  <c r="AT91" i="41" s="1"/>
  <c r="Y91" i="41"/>
  <c r="AQ91" i="41" s="1"/>
  <c r="Q91" i="41"/>
  <c r="U91" i="41" s="1"/>
  <c r="N91" i="41"/>
  <c r="L91" i="41"/>
  <c r="K91" i="41"/>
  <c r="AM90" i="41"/>
  <c r="AL90" i="41"/>
  <c r="AV90" i="41" s="1"/>
  <c r="AE90" i="41"/>
  <c r="Y90" i="41"/>
  <c r="Q90" i="41"/>
  <c r="N90" i="41"/>
  <c r="L90" i="41"/>
  <c r="K90" i="41"/>
  <c r="AK89" i="41"/>
  <c r="AJ89" i="41"/>
  <c r="AI89" i="41"/>
  <c r="AH89" i="41"/>
  <c r="AG89" i="41"/>
  <c r="AD89" i="41"/>
  <c r="AC89" i="41"/>
  <c r="X89" i="41"/>
  <c r="W89" i="41"/>
  <c r="V89" i="41"/>
  <c r="T89" i="41"/>
  <c r="S89" i="41"/>
  <c r="R89" i="41"/>
  <c r="P89" i="41"/>
  <c r="O89" i="41"/>
  <c r="M89" i="41"/>
  <c r="J89" i="41"/>
  <c r="AM88" i="41"/>
  <c r="AW88" i="41" s="1"/>
  <c r="AL88" i="41"/>
  <c r="AE88" i="41"/>
  <c r="AT88" i="41" s="1"/>
  <c r="Y88" i="41"/>
  <c r="AQ88" i="41" s="1"/>
  <c r="Q88" i="41"/>
  <c r="U88" i="41" s="1"/>
  <c r="N88" i="41"/>
  <c r="L88" i="41"/>
  <c r="I88" i="41" s="1"/>
  <c r="K88" i="41"/>
  <c r="AM87" i="41"/>
  <c r="AW87" i="41" s="1"/>
  <c r="AL87" i="41"/>
  <c r="AE87" i="41"/>
  <c r="Y87" i="41"/>
  <c r="AQ87" i="41" s="1"/>
  <c r="Q87" i="41"/>
  <c r="U87" i="41" s="1"/>
  <c r="N87" i="41"/>
  <c r="I87" i="41"/>
  <c r="AM86" i="41"/>
  <c r="AW86" i="41" s="1"/>
  <c r="AL86" i="41"/>
  <c r="AE86" i="41"/>
  <c r="AT86" i="41" s="1"/>
  <c r="Y86" i="41"/>
  <c r="Q86" i="41"/>
  <c r="N86" i="41"/>
  <c r="L86" i="41"/>
  <c r="K86" i="41"/>
  <c r="AK85" i="41"/>
  <c r="AJ85" i="41"/>
  <c r="AI85" i="41"/>
  <c r="AH85" i="41"/>
  <c r="AG85" i="41"/>
  <c r="AD85" i="41"/>
  <c r="AC85" i="41"/>
  <c r="X85" i="41"/>
  <c r="W85" i="41"/>
  <c r="V85" i="41"/>
  <c r="T85" i="41"/>
  <c r="S85" i="41"/>
  <c r="R85" i="41"/>
  <c r="P85" i="41"/>
  <c r="O85" i="41"/>
  <c r="M85" i="41"/>
  <c r="J85" i="41"/>
  <c r="AW84" i="41"/>
  <c r="AV84" i="41"/>
  <c r="AM84" i="41"/>
  <c r="AL84" i="41"/>
  <c r="AE84" i="41"/>
  <c r="AT84" i="41" s="1"/>
  <c r="Y84" i="41"/>
  <c r="AQ84" i="41" s="1"/>
  <c r="Q84" i="41"/>
  <c r="U84" i="41" s="1"/>
  <c r="AB84" i="41" s="1"/>
  <c r="N84" i="41"/>
  <c r="L84" i="41"/>
  <c r="K84" i="41"/>
  <c r="AM83" i="41"/>
  <c r="AL83" i="41"/>
  <c r="AV83" i="41" s="1"/>
  <c r="AE83" i="41"/>
  <c r="Y83" i="41"/>
  <c r="AQ83" i="41" s="1"/>
  <c r="Q83" i="41"/>
  <c r="U83" i="41" s="1"/>
  <c r="AB83" i="41" s="1"/>
  <c r="AS83" i="41" s="1"/>
  <c r="N83" i="41"/>
  <c r="I83" i="41"/>
  <c r="AM82" i="41"/>
  <c r="AW82" i="41" s="1"/>
  <c r="AL82" i="41"/>
  <c r="AE82" i="41"/>
  <c r="AT82" i="41" s="1"/>
  <c r="Y82" i="41"/>
  <c r="AQ82" i="41" s="1"/>
  <c r="Q82" i="41"/>
  <c r="N82" i="41"/>
  <c r="N85" i="41" s="1"/>
  <c r="L82" i="41"/>
  <c r="K82" i="41"/>
  <c r="AK81" i="41"/>
  <c r="AJ81" i="41"/>
  <c r="AI81" i="41"/>
  <c r="AH81" i="41"/>
  <c r="AG81" i="41"/>
  <c r="AD81" i="41"/>
  <c r="AC81" i="41"/>
  <c r="X81" i="41"/>
  <c r="W81" i="41"/>
  <c r="V81" i="41"/>
  <c r="T81" i="41"/>
  <c r="S81" i="41"/>
  <c r="R81" i="41"/>
  <c r="P81" i="41"/>
  <c r="O81" i="41"/>
  <c r="M81" i="41"/>
  <c r="J81" i="41"/>
  <c r="AM80" i="41"/>
  <c r="AW80" i="41" s="1"/>
  <c r="AL80" i="41"/>
  <c r="AN80" i="41" s="1"/>
  <c r="AE80" i="41"/>
  <c r="AT80" i="41" s="1"/>
  <c r="Y80" i="41"/>
  <c r="AQ80" i="41" s="1"/>
  <c r="Q80" i="41"/>
  <c r="U80" i="41" s="1"/>
  <c r="N80" i="41"/>
  <c r="L80" i="41"/>
  <c r="K80" i="41"/>
  <c r="AM79" i="41"/>
  <c r="AW79" i="41" s="1"/>
  <c r="AL79" i="41"/>
  <c r="AV79" i="41" s="1"/>
  <c r="AE79" i="41"/>
  <c r="AT79" i="41" s="1"/>
  <c r="Y79" i="41"/>
  <c r="AQ79" i="41" s="1"/>
  <c r="Q79" i="41"/>
  <c r="U79" i="41" s="1"/>
  <c r="AP79" i="41" s="1"/>
  <c r="N79" i="41"/>
  <c r="L79" i="41"/>
  <c r="K79" i="41"/>
  <c r="AM78" i="41"/>
  <c r="AL78" i="41"/>
  <c r="AV78" i="41" s="1"/>
  <c r="AE78" i="41"/>
  <c r="AT78" i="41" s="1"/>
  <c r="Y78" i="41"/>
  <c r="AQ78" i="41" s="1"/>
  <c r="Q78" i="41"/>
  <c r="U78" i="41" s="1"/>
  <c r="AB78" i="41" s="1"/>
  <c r="N78" i="41"/>
  <c r="L78" i="41"/>
  <c r="K78" i="41"/>
  <c r="AT77" i="41"/>
  <c r="AM77" i="41"/>
  <c r="AW77" i="41" s="1"/>
  <c r="AL77" i="41"/>
  <c r="AV77" i="41" s="1"/>
  <c r="AE77" i="41"/>
  <c r="Y77" i="41"/>
  <c r="AQ77" i="41" s="1"/>
  <c r="Q77" i="41"/>
  <c r="U77" i="41" s="1"/>
  <c r="N77" i="41"/>
  <c r="I77" i="41"/>
  <c r="AM76" i="41"/>
  <c r="AW76" i="41" s="1"/>
  <c r="AL76" i="41"/>
  <c r="AE76" i="41"/>
  <c r="AT76" i="41" s="1"/>
  <c r="Y76" i="41"/>
  <c r="AQ76" i="41" s="1"/>
  <c r="Q76" i="41"/>
  <c r="U76" i="41" s="1"/>
  <c r="N76" i="41"/>
  <c r="L76" i="41"/>
  <c r="K76" i="41"/>
  <c r="I76" i="41"/>
  <c r="AM75" i="41"/>
  <c r="AW75" i="41" s="1"/>
  <c r="AL75" i="41"/>
  <c r="AV75" i="41" s="1"/>
  <c r="AE75" i="41"/>
  <c r="AT75" i="41" s="1"/>
  <c r="Y75" i="41"/>
  <c r="AQ75" i="41" s="1"/>
  <c r="Q75" i="41"/>
  <c r="U75" i="41" s="1"/>
  <c r="N75" i="41"/>
  <c r="L75" i="41"/>
  <c r="K75" i="41"/>
  <c r="AK74" i="41"/>
  <c r="AJ74" i="41"/>
  <c r="AI74" i="41"/>
  <c r="AH74" i="41"/>
  <c r="AG74" i="41"/>
  <c r="AD74" i="41"/>
  <c r="AC74" i="41"/>
  <c r="X74" i="41"/>
  <c r="W74" i="41"/>
  <c r="V74" i="41"/>
  <c r="T74" i="41"/>
  <c r="S74" i="41"/>
  <c r="R74" i="41"/>
  <c r="P74" i="41"/>
  <c r="O74" i="41"/>
  <c r="M74" i="41"/>
  <c r="J74" i="41"/>
  <c r="AM73" i="41"/>
  <c r="AW73" i="41" s="1"/>
  <c r="AL73" i="41"/>
  <c r="AE73" i="41"/>
  <c r="AT73" i="41" s="1"/>
  <c r="Y73" i="41"/>
  <c r="AQ73" i="41" s="1"/>
  <c r="Q73" i="41"/>
  <c r="U73" i="41" s="1"/>
  <c r="AB73" i="41" s="1"/>
  <c r="N73" i="41"/>
  <c r="L73" i="41"/>
  <c r="K73" i="41"/>
  <c r="AM72" i="41"/>
  <c r="AW72" i="41" s="1"/>
  <c r="AL72" i="41"/>
  <c r="AE72" i="41"/>
  <c r="AT72" i="41" s="1"/>
  <c r="Y72" i="41"/>
  <c r="AQ72" i="41" s="1"/>
  <c r="Q72" i="41"/>
  <c r="U72" i="41" s="1"/>
  <c r="AB72" i="41" s="1"/>
  <c r="N72" i="41"/>
  <c r="L72" i="41"/>
  <c r="K72" i="41"/>
  <c r="AM71" i="41"/>
  <c r="AW71" i="41" s="1"/>
  <c r="AL71" i="41"/>
  <c r="AE71" i="41"/>
  <c r="AT71" i="41" s="1"/>
  <c r="Y71" i="41"/>
  <c r="AQ71" i="41" s="1"/>
  <c r="Q71" i="41"/>
  <c r="U71" i="41" s="1"/>
  <c r="N71" i="41"/>
  <c r="L71" i="41"/>
  <c r="K71" i="41"/>
  <c r="AM70" i="41"/>
  <c r="AW70" i="41" s="1"/>
  <c r="AL70" i="41"/>
  <c r="AE70" i="41"/>
  <c r="AT70" i="41" s="1"/>
  <c r="Y70" i="41"/>
  <c r="Q70" i="41"/>
  <c r="U70" i="41" s="1"/>
  <c r="AB70" i="41" s="1"/>
  <c r="AS70" i="41" s="1"/>
  <c r="N70" i="41"/>
  <c r="I70" i="41"/>
  <c r="AM69" i="41"/>
  <c r="AW69" i="41" s="1"/>
  <c r="AL69" i="41"/>
  <c r="AV69" i="41" s="1"/>
  <c r="AE69" i="41"/>
  <c r="AT69" i="41" s="1"/>
  <c r="Y69" i="41"/>
  <c r="AQ69" i="41" s="1"/>
  <c r="Q69" i="41"/>
  <c r="U69" i="41" s="1"/>
  <c r="N69" i="41"/>
  <c r="L69" i="41"/>
  <c r="K69" i="41"/>
  <c r="AV68" i="41"/>
  <c r="AM68" i="41"/>
  <c r="AL68" i="41"/>
  <c r="AE68" i="41"/>
  <c r="Y68" i="41"/>
  <c r="Q68" i="41"/>
  <c r="U68" i="41" s="1"/>
  <c r="N68" i="41"/>
  <c r="L68" i="41"/>
  <c r="K68" i="41"/>
  <c r="AK67" i="41"/>
  <c r="AJ67" i="41"/>
  <c r="AI67" i="41"/>
  <c r="AH67" i="41"/>
  <c r="AG67" i="41"/>
  <c r="AD67" i="41"/>
  <c r="AC67" i="41"/>
  <c r="X67" i="41"/>
  <c r="W67" i="41"/>
  <c r="V67" i="41"/>
  <c r="T67" i="41"/>
  <c r="S67" i="41"/>
  <c r="R67" i="41"/>
  <c r="P67" i="41"/>
  <c r="O67" i="41"/>
  <c r="M67" i="41"/>
  <c r="J67" i="41"/>
  <c r="AM66" i="41"/>
  <c r="AW66" i="41" s="1"/>
  <c r="AL66" i="41"/>
  <c r="AE66" i="41"/>
  <c r="AT66" i="41" s="1"/>
  <c r="Y66" i="41"/>
  <c r="Q66" i="41"/>
  <c r="U66" i="41" s="1"/>
  <c r="N66" i="41"/>
  <c r="L66" i="41"/>
  <c r="K66" i="41"/>
  <c r="AM65" i="41"/>
  <c r="AW65" i="41" s="1"/>
  <c r="AL65" i="41"/>
  <c r="AN65" i="41" s="1"/>
  <c r="AE65" i="41"/>
  <c r="AT65" i="41" s="1"/>
  <c r="Y65" i="41"/>
  <c r="AQ65" i="41" s="1"/>
  <c r="Q65" i="41"/>
  <c r="U65" i="41" s="1"/>
  <c r="AB65" i="41" s="1"/>
  <c r="N65" i="41"/>
  <c r="L65" i="41"/>
  <c r="K65" i="41"/>
  <c r="AM64" i="41"/>
  <c r="AW64" i="41" s="1"/>
  <c r="AL64" i="41"/>
  <c r="AE64" i="41"/>
  <c r="Y64" i="41"/>
  <c r="Q64" i="41"/>
  <c r="U64" i="41" s="1"/>
  <c r="N64" i="41"/>
  <c r="L64" i="41"/>
  <c r="K64" i="41"/>
  <c r="AK63" i="41"/>
  <c r="AJ63" i="41"/>
  <c r="AI63" i="41"/>
  <c r="AH63" i="41"/>
  <c r="AG63" i="41"/>
  <c r="AD63" i="41"/>
  <c r="AC63" i="41"/>
  <c r="X63" i="41"/>
  <c r="W63" i="41"/>
  <c r="V63" i="41"/>
  <c r="T63" i="41"/>
  <c r="S63" i="41"/>
  <c r="R63" i="41"/>
  <c r="P63" i="41"/>
  <c r="O63" i="41"/>
  <c r="M63" i="41"/>
  <c r="J63" i="41"/>
  <c r="AM62" i="41"/>
  <c r="AW62" i="41" s="1"/>
  <c r="AL62" i="41"/>
  <c r="AE62" i="41"/>
  <c r="AT62" i="41" s="1"/>
  <c r="Y62" i="41"/>
  <c r="AQ62" i="41" s="1"/>
  <c r="U62" i="41"/>
  <c r="AB62" i="41" s="1"/>
  <c r="AS62" i="41" s="1"/>
  <c r="Q62" i="41"/>
  <c r="N62" i="41"/>
  <c r="L62" i="41"/>
  <c r="I62" i="41"/>
  <c r="AM61" i="41"/>
  <c r="AW61" i="41" s="1"/>
  <c r="AL61" i="41"/>
  <c r="AE61" i="41"/>
  <c r="Y61" i="41"/>
  <c r="Q61" i="41"/>
  <c r="N61" i="41"/>
  <c r="L61" i="41"/>
  <c r="L63" i="41" s="1"/>
  <c r="K61" i="41"/>
  <c r="K63" i="41" s="1"/>
  <c r="AK60" i="41"/>
  <c r="AJ60" i="41"/>
  <c r="AH60" i="41"/>
  <c r="AG60" i="41"/>
  <c r="AD60" i="41"/>
  <c r="X60" i="41"/>
  <c r="W60" i="41"/>
  <c r="V60" i="41"/>
  <c r="T60" i="41"/>
  <c r="S60" i="41"/>
  <c r="R60" i="41"/>
  <c r="P60" i="41"/>
  <c r="O60" i="41"/>
  <c r="M60" i="41"/>
  <c r="J60" i="41"/>
  <c r="AT59" i="41"/>
  <c r="AM59" i="41"/>
  <c r="AW59" i="41" s="1"/>
  <c r="AL59" i="41"/>
  <c r="AE59" i="41"/>
  <c r="Y59" i="41"/>
  <c r="AQ59" i="41" s="1"/>
  <c r="Q59" i="41"/>
  <c r="U59" i="41" s="1"/>
  <c r="N59" i="41"/>
  <c r="L59" i="41"/>
  <c r="K59" i="41"/>
  <c r="AM58" i="41"/>
  <c r="AW58" i="41" s="1"/>
  <c r="AL58" i="41"/>
  <c r="AE58" i="41"/>
  <c r="AT58" i="41" s="1"/>
  <c r="Y58" i="41"/>
  <c r="AQ58" i="41" s="1"/>
  <c r="Q58" i="41"/>
  <c r="U58" i="41" s="1"/>
  <c r="N58" i="41"/>
  <c r="L58" i="41"/>
  <c r="K58" i="41"/>
  <c r="AM57" i="41"/>
  <c r="AL57" i="41"/>
  <c r="AV57" i="41" s="1"/>
  <c r="AE57" i="41"/>
  <c r="AT57" i="41" s="1"/>
  <c r="Y57" i="41"/>
  <c r="AQ57" i="41" s="1"/>
  <c r="Q57" i="41"/>
  <c r="U57" i="41" s="1"/>
  <c r="N57" i="41"/>
  <c r="L57" i="41"/>
  <c r="K57" i="41"/>
  <c r="I57" i="41" s="1"/>
  <c r="AM56" i="41"/>
  <c r="AW56" i="41" s="1"/>
  <c r="AL56" i="41"/>
  <c r="AV56" i="41" s="1"/>
  <c r="AE56" i="41"/>
  <c r="AT56" i="41" s="1"/>
  <c r="Y56" i="41"/>
  <c r="AQ56" i="41" s="1"/>
  <c r="Q56" i="41"/>
  <c r="U56" i="41" s="1"/>
  <c r="N56" i="41"/>
  <c r="L56" i="41"/>
  <c r="K56" i="41"/>
  <c r="I56" i="41" s="1"/>
  <c r="AM55" i="41"/>
  <c r="AW55" i="41" s="1"/>
  <c r="AI55" i="41"/>
  <c r="AC55" i="41"/>
  <c r="AC60" i="41" s="1"/>
  <c r="Y55" i="41"/>
  <c r="AQ55" i="41" s="1"/>
  <c r="R55" i="41"/>
  <c r="Q55" i="41"/>
  <c r="U55" i="41" s="1"/>
  <c r="N55" i="41"/>
  <c r="I55" i="41"/>
  <c r="AM54" i="41"/>
  <c r="AW54" i="41" s="1"/>
  <c r="AL54" i="41"/>
  <c r="AE54" i="41"/>
  <c r="AT54" i="41" s="1"/>
  <c r="Y54" i="41"/>
  <c r="AQ54" i="41" s="1"/>
  <c r="Q54" i="41"/>
  <c r="U54" i="41" s="1"/>
  <c r="AP54" i="41" s="1"/>
  <c r="N54" i="41"/>
  <c r="L54" i="41"/>
  <c r="K54" i="41"/>
  <c r="AM53" i="41"/>
  <c r="AL53" i="41"/>
  <c r="AE53" i="41"/>
  <c r="AT53" i="41" s="1"/>
  <c r="Y53" i="41"/>
  <c r="Q53" i="41"/>
  <c r="U53" i="41" s="1"/>
  <c r="N53" i="41"/>
  <c r="L53" i="41"/>
  <c r="K53" i="41"/>
  <c r="AK52" i="41"/>
  <c r="AJ52" i="41"/>
  <c r="AI52" i="41"/>
  <c r="AH52" i="41"/>
  <c r="AG52" i="41"/>
  <c r="AD52" i="41"/>
  <c r="X52" i="41"/>
  <c r="W52" i="41"/>
  <c r="V52" i="41"/>
  <c r="T52" i="41"/>
  <c r="S52" i="41"/>
  <c r="R52" i="41"/>
  <c r="P52" i="41"/>
  <c r="O52" i="41"/>
  <c r="M52" i="41"/>
  <c r="J52" i="41"/>
  <c r="AM51" i="41"/>
  <c r="AL51" i="41"/>
  <c r="AV51" i="41" s="1"/>
  <c r="AE51" i="41"/>
  <c r="AT51" i="41" s="1"/>
  <c r="Y51" i="41"/>
  <c r="AQ51" i="41" s="1"/>
  <c r="Q51" i="41"/>
  <c r="U51" i="41" s="1"/>
  <c r="AB51" i="41" s="1"/>
  <c r="N51" i="41"/>
  <c r="L51" i="41"/>
  <c r="K51" i="41"/>
  <c r="AM50" i="41"/>
  <c r="AL50" i="41"/>
  <c r="AV50" i="41" s="1"/>
  <c r="AE50" i="41"/>
  <c r="AT50" i="41" s="1"/>
  <c r="Y50" i="41"/>
  <c r="AQ50" i="41" s="1"/>
  <c r="Q50" i="41"/>
  <c r="U50" i="41" s="1"/>
  <c r="N50" i="41"/>
  <c r="L50" i="41"/>
  <c r="K50" i="41"/>
  <c r="AM49" i="41"/>
  <c r="AL49" i="41"/>
  <c r="AV49" i="41" s="1"/>
  <c r="AE49" i="41"/>
  <c r="AT49" i="41" s="1"/>
  <c r="Y49" i="41"/>
  <c r="AQ49" i="41" s="1"/>
  <c r="Q49" i="41"/>
  <c r="U49" i="41" s="1"/>
  <c r="AB49" i="41" s="1"/>
  <c r="N49" i="41"/>
  <c r="L49" i="41"/>
  <c r="K49" i="41"/>
  <c r="AM48" i="41"/>
  <c r="AL48" i="41"/>
  <c r="AV48" i="41" s="1"/>
  <c r="AC48" i="41"/>
  <c r="Y48" i="41"/>
  <c r="AQ48" i="41" s="1"/>
  <c r="Q48" i="41"/>
  <c r="U48" i="41" s="1"/>
  <c r="N48" i="41"/>
  <c r="L48" i="41"/>
  <c r="K48" i="41"/>
  <c r="AM47" i="41"/>
  <c r="AW47" i="41" s="1"/>
  <c r="AL47" i="41"/>
  <c r="AE47" i="41"/>
  <c r="AT47" i="41" s="1"/>
  <c r="Y47" i="41"/>
  <c r="AQ47" i="41" s="1"/>
  <c r="Q47" i="41"/>
  <c r="U47" i="41" s="1"/>
  <c r="N47" i="41"/>
  <c r="L47" i="41"/>
  <c r="K47" i="41"/>
  <c r="AM46" i="41"/>
  <c r="AW46" i="41" s="1"/>
  <c r="AL46" i="41"/>
  <c r="AV46" i="41" s="1"/>
  <c r="AE46" i="41"/>
  <c r="Y46" i="41"/>
  <c r="Q46" i="41"/>
  <c r="N46" i="41"/>
  <c r="L46" i="41"/>
  <c r="K46" i="41"/>
  <c r="AK45" i="41"/>
  <c r="AJ45" i="41"/>
  <c r="AI45" i="41"/>
  <c r="AH45" i="41"/>
  <c r="AG45" i="41"/>
  <c r="AD45" i="41"/>
  <c r="AC45" i="41"/>
  <c r="X45" i="41"/>
  <c r="W45" i="41"/>
  <c r="V45" i="41"/>
  <c r="T45" i="41"/>
  <c r="S45" i="41"/>
  <c r="R45" i="41"/>
  <c r="P45" i="41"/>
  <c r="O45" i="41"/>
  <c r="M45" i="41"/>
  <c r="J45" i="41"/>
  <c r="AM44" i="41"/>
  <c r="AW44" i="41" s="1"/>
  <c r="AL44" i="41"/>
  <c r="AV44" i="41" s="1"/>
  <c r="AE44" i="41"/>
  <c r="AT44" i="41" s="1"/>
  <c r="Y44" i="41"/>
  <c r="AQ44" i="41" s="1"/>
  <c r="Q44" i="41"/>
  <c r="U44" i="41" s="1"/>
  <c r="N44" i="41"/>
  <c r="L44" i="41"/>
  <c r="K44" i="41"/>
  <c r="AM43" i="41"/>
  <c r="AW43" i="41" s="1"/>
  <c r="AL43" i="41"/>
  <c r="AV43" i="41" s="1"/>
  <c r="AE43" i="41"/>
  <c r="AT43" i="41" s="1"/>
  <c r="Y43" i="41"/>
  <c r="AQ43" i="41" s="1"/>
  <c r="Q43" i="41"/>
  <c r="U43" i="41" s="1"/>
  <c r="N43" i="41"/>
  <c r="L43" i="41"/>
  <c r="K43" i="41"/>
  <c r="AM42" i="41"/>
  <c r="AW42" i="41" s="1"/>
  <c r="AL42" i="41"/>
  <c r="AV42" i="41" s="1"/>
  <c r="AE42" i="41"/>
  <c r="AT42" i="41" s="1"/>
  <c r="Y42" i="41"/>
  <c r="AQ42" i="41" s="1"/>
  <c r="Q42" i="41"/>
  <c r="U42" i="41" s="1"/>
  <c r="Z42" i="41" s="1"/>
  <c r="N42" i="41"/>
  <c r="L42" i="41"/>
  <c r="I42" i="41" s="1"/>
  <c r="K42" i="41"/>
  <c r="AT41" i="41"/>
  <c r="AM41" i="41"/>
  <c r="AW41" i="41" s="1"/>
  <c r="AL41" i="41"/>
  <c r="AV41" i="41" s="1"/>
  <c r="AE41" i="41"/>
  <c r="Y41" i="41"/>
  <c r="Q41" i="41"/>
  <c r="U41" i="41" s="1"/>
  <c r="N41" i="41"/>
  <c r="I41" i="41"/>
  <c r="AV40" i="41"/>
  <c r="AM40" i="41"/>
  <c r="AL40" i="41"/>
  <c r="AE40" i="41"/>
  <c r="AT40" i="41" s="1"/>
  <c r="Y40" i="41"/>
  <c r="AQ40" i="41" s="1"/>
  <c r="Q40" i="41"/>
  <c r="U40" i="41" s="1"/>
  <c r="AB40" i="41" s="1"/>
  <c r="N40" i="41"/>
  <c r="L40" i="41"/>
  <c r="K40" i="41"/>
  <c r="AM39" i="41"/>
  <c r="AL39" i="41"/>
  <c r="AV39" i="41" s="1"/>
  <c r="AE39" i="41"/>
  <c r="Y39" i="41"/>
  <c r="Q39" i="41"/>
  <c r="U39" i="41" s="1"/>
  <c r="AB39" i="41" s="1"/>
  <c r="N39" i="41"/>
  <c r="L39" i="41"/>
  <c r="L45" i="41" s="1"/>
  <c r="K39" i="41"/>
  <c r="AK38" i="41"/>
  <c r="AJ38" i="41"/>
  <c r="AI38" i="41"/>
  <c r="AH38" i="41"/>
  <c r="AG38" i="41"/>
  <c r="AD38" i="41"/>
  <c r="AC38" i="41"/>
  <c r="X38" i="41"/>
  <c r="W38" i="41"/>
  <c r="V38" i="41"/>
  <c r="T38" i="41"/>
  <c r="S38" i="41"/>
  <c r="R38" i="41"/>
  <c r="P38" i="41"/>
  <c r="O38" i="41"/>
  <c r="M38" i="41"/>
  <c r="J38" i="41"/>
  <c r="AM37" i="41"/>
  <c r="AW37" i="41" s="1"/>
  <c r="AL37" i="41"/>
  <c r="AV37" i="41" s="1"/>
  <c r="AE37" i="41"/>
  <c r="AT37" i="41" s="1"/>
  <c r="Y37" i="41"/>
  <c r="AQ37" i="41" s="1"/>
  <c r="Q37" i="41"/>
  <c r="U37" i="41" s="1"/>
  <c r="N37" i="41"/>
  <c r="L37" i="41"/>
  <c r="K37" i="41"/>
  <c r="AM36" i="41"/>
  <c r="AW36" i="41" s="1"/>
  <c r="AL36" i="41"/>
  <c r="AV36" i="41" s="1"/>
  <c r="AE36" i="41"/>
  <c r="AT36" i="41" s="1"/>
  <c r="Y36" i="41"/>
  <c r="AQ36" i="41" s="1"/>
  <c r="Q36" i="41"/>
  <c r="U36" i="41" s="1"/>
  <c r="N36" i="41"/>
  <c r="L36" i="41"/>
  <c r="K36" i="41"/>
  <c r="AM35" i="41"/>
  <c r="AW35" i="41" s="1"/>
  <c r="AL35" i="41"/>
  <c r="AV35" i="41" s="1"/>
  <c r="AE35" i="41"/>
  <c r="AT35" i="41" s="1"/>
  <c r="Y35" i="41"/>
  <c r="AQ35" i="41" s="1"/>
  <c r="Q35" i="41"/>
  <c r="U35" i="41" s="1"/>
  <c r="N35" i="41"/>
  <c r="L35" i="41"/>
  <c r="K35" i="41"/>
  <c r="AM34" i="41"/>
  <c r="AL34" i="41"/>
  <c r="AV34" i="41" s="1"/>
  <c r="AE34" i="41"/>
  <c r="AT34" i="41" s="1"/>
  <c r="Y34" i="41"/>
  <c r="AQ34" i="41" s="1"/>
  <c r="Q34" i="41"/>
  <c r="U34" i="41" s="1"/>
  <c r="N34" i="41"/>
  <c r="I34" i="41"/>
  <c r="AM33" i="41"/>
  <c r="AL33" i="41"/>
  <c r="AE33" i="41"/>
  <c r="AT33" i="41" s="1"/>
  <c r="Y33" i="41"/>
  <c r="AQ33" i="41" s="1"/>
  <c r="Q33" i="41"/>
  <c r="N33" i="41"/>
  <c r="L33" i="41"/>
  <c r="K33" i="41"/>
  <c r="I33" i="41" s="1"/>
  <c r="AK32" i="41"/>
  <c r="AJ32" i="41"/>
  <c r="AI32" i="41"/>
  <c r="AH32" i="41"/>
  <c r="AG32" i="41"/>
  <c r="AD32" i="41"/>
  <c r="AC32" i="41"/>
  <c r="X32" i="41"/>
  <c r="W32" i="41"/>
  <c r="V32" i="41"/>
  <c r="T32" i="41"/>
  <c r="S32" i="41"/>
  <c r="R32" i="41"/>
  <c r="P32" i="41"/>
  <c r="O32" i="41"/>
  <c r="M32" i="41"/>
  <c r="J32" i="41"/>
  <c r="AM31" i="41"/>
  <c r="AL31" i="41"/>
  <c r="AV31" i="41" s="1"/>
  <c r="AE31" i="41"/>
  <c r="AT31" i="41" s="1"/>
  <c r="Y31" i="41"/>
  <c r="AQ31" i="41" s="1"/>
  <c r="Q31" i="41"/>
  <c r="U31" i="41" s="1"/>
  <c r="N31" i="41"/>
  <c r="L31" i="41"/>
  <c r="K31" i="41"/>
  <c r="AM30" i="41"/>
  <c r="AL30" i="41"/>
  <c r="AE30" i="41"/>
  <c r="AT30" i="41" s="1"/>
  <c r="Y30" i="41"/>
  <c r="Q30" i="41"/>
  <c r="N30" i="41"/>
  <c r="N32" i="41" s="1"/>
  <c r="L30" i="41"/>
  <c r="L32" i="41" s="1"/>
  <c r="K30" i="41"/>
  <c r="AK29" i="41"/>
  <c r="AJ29" i="41"/>
  <c r="AI29" i="41"/>
  <c r="AH29" i="41"/>
  <c r="AG29" i="41"/>
  <c r="AD29" i="41"/>
  <c r="AC29" i="41"/>
  <c r="X29" i="41"/>
  <c r="W29" i="41"/>
  <c r="V29" i="41"/>
  <c r="T29" i="41"/>
  <c r="S29" i="41"/>
  <c r="R29" i="41"/>
  <c r="P29" i="41"/>
  <c r="O29" i="41"/>
  <c r="M29" i="41"/>
  <c r="J29" i="41"/>
  <c r="AM28" i="41"/>
  <c r="AL28" i="41"/>
  <c r="AV28" i="41" s="1"/>
  <c r="AE28" i="41"/>
  <c r="AE29" i="41" s="1"/>
  <c r="Y28" i="41"/>
  <c r="Q28" i="41"/>
  <c r="N28" i="41"/>
  <c r="L28" i="41"/>
  <c r="K28" i="41"/>
  <c r="AK27" i="41"/>
  <c r="AJ27" i="41"/>
  <c r="AH27" i="41"/>
  <c r="AG27" i="41"/>
  <c r="AD27" i="41"/>
  <c r="X27" i="41"/>
  <c r="W27" i="41"/>
  <c r="V27" i="41"/>
  <c r="T27" i="41"/>
  <c r="S27" i="41"/>
  <c r="R27" i="41"/>
  <c r="P27" i="41"/>
  <c r="O27" i="41"/>
  <c r="M27" i="41"/>
  <c r="J27" i="41"/>
  <c r="AM26" i="41"/>
  <c r="AW26" i="41" s="1"/>
  <c r="AL26" i="41"/>
  <c r="AE26" i="41"/>
  <c r="AT26" i="41" s="1"/>
  <c r="Y26" i="41"/>
  <c r="AQ26" i="41" s="1"/>
  <c r="Q26" i="41"/>
  <c r="U26" i="41" s="1"/>
  <c r="N26" i="41"/>
  <c r="L26" i="41"/>
  <c r="K26" i="41"/>
  <c r="I26" i="41" s="1"/>
  <c r="AM25" i="41"/>
  <c r="AW25" i="41" s="1"/>
  <c r="AL25" i="41"/>
  <c r="AV25" i="41" s="1"/>
  <c r="AE25" i="41"/>
  <c r="AT25" i="41" s="1"/>
  <c r="Y25" i="41"/>
  <c r="AQ25" i="41" s="1"/>
  <c r="Q25" i="41"/>
  <c r="U25" i="41" s="1"/>
  <c r="N25" i="41"/>
  <c r="L25" i="41"/>
  <c r="K25" i="41"/>
  <c r="AM24" i="41"/>
  <c r="AW24" i="41" s="1"/>
  <c r="AL24" i="41"/>
  <c r="AV24" i="41" s="1"/>
  <c r="AE24" i="41"/>
  <c r="AT24" i="41" s="1"/>
  <c r="Y24" i="41"/>
  <c r="AQ24" i="41" s="1"/>
  <c r="Q24" i="41"/>
  <c r="N24" i="41"/>
  <c r="L24" i="41"/>
  <c r="K24" i="41"/>
  <c r="AM23" i="41"/>
  <c r="AW23" i="41" s="1"/>
  <c r="AL23" i="41"/>
  <c r="AV23" i="41" s="1"/>
  <c r="AI23" i="41"/>
  <c r="AI27" i="41" s="1"/>
  <c r="AC23" i="41"/>
  <c r="AC148" i="41" s="1"/>
  <c r="Y23" i="41"/>
  <c r="R23" i="41"/>
  <c r="Q23" i="41"/>
  <c r="U23" i="41" s="1"/>
  <c r="N23" i="41"/>
  <c r="I23" i="41"/>
  <c r="AM22" i="41"/>
  <c r="AL22" i="41"/>
  <c r="AV22" i="41" s="1"/>
  <c r="AE22" i="41"/>
  <c r="Y22" i="41"/>
  <c r="AQ22" i="41" s="1"/>
  <c r="Q22" i="41"/>
  <c r="U22" i="41" s="1"/>
  <c r="AP22" i="41" s="1"/>
  <c r="N22" i="41"/>
  <c r="L22" i="41"/>
  <c r="K22" i="41"/>
  <c r="AK21" i="41"/>
  <c r="AJ21" i="41"/>
  <c r="AI21" i="41"/>
  <c r="AH21" i="41"/>
  <c r="AG21" i="41"/>
  <c r="AD21" i="41"/>
  <c r="AC21" i="41"/>
  <c r="X21" i="41"/>
  <c r="W21" i="41"/>
  <c r="V21" i="41"/>
  <c r="T21" i="41"/>
  <c r="S21" i="41"/>
  <c r="P21" i="41"/>
  <c r="O21" i="41"/>
  <c r="M21" i="41"/>
  <c r="J21" i="41"/>
  <c r="AM20" i="41"/>
  <c r="AL20" i="41"/>
  <c r="AV20" i="41" s="1"/>
  <c r="AE20" i="41"/>
  <c r="AT20" i="41" s="1"/>
  <c r="Y20" i="41"/>
  <c r="AQ20" i="41" s="1"/>
  <c r="Q20" i="41"/>
  <c r="U20" i="41" s="1"/>
  <c r="AB20" i="41" s="1"/>
  <c r="N20" i="41"/>
  <c r="L20" i="41"/>
  <c r="K20" i="41"/>
  <c r="AM19" i="41"/>
  <c r="AL19" i="41"/>
  <c r="AV19" i="41" s="1"/>
  <c r="AE19" i="41"/>
  <c r="Y19" i="41"/>
  <c r="Q19" i="41"/>
  <c r="U19" i="41" s="1"/>
  <c r="AP19" i="41" s="1"/>
  <c r="N19" i="41"/>
  <c r="L19" i="41"/>
  <c r="K19" i="41"/>
  <c r="AM18" i="41"/>
  <c r="AW18" i="41" s="1"/>
  <c r="AI18" i="41"/>
  <c r="AE18" i="41"/>
  <c r="AT18" i="41" s="1"/>
  <c r="Y18" i="41"/>
  <c r="AQ18" i="41" s="1"/>
  <c r="R18" i="41"/>
  <c r="R148" i="41" s="1"/>
  <c r="Q18" i="41"/>
  <c r="U18" i="41" s="1"/>
  <c r="N18" i="41"/>
  <c r="I18" i="41"/>
  <c r="AM17" i="41"/>
  <c r="AW17" i="41" s="1"/>
  <c r="AL17" i="41"/>
  <c r="AV17" i="41" s="1"/>
  <c r="AE17" i="41"/>
  <c r="AT17" i="41" s="1"/>
  <c r="Y17" i="41"/>
  <c r="Q17" i="41"/>
  <c r="U17" i="41" s="1"/>
  <c r="N17" i="41"/>
  <c r="L17" i="41"/>
  <c r="K17" i="41"/>
  <c r="AK16" i="41"/>
  <c r="AK248" i="41" s="1"/>
  <c r="AJ16" i="41"/>
  <c r="AI16" i="41"/>
  <c r="AH16" i="41"/>
  <c r="AG16" i="41"/>
  <c r="AG248" i="41" s="1"/>
  <c r="AD16" i="41"/>
  <c r="AC16" i="41"/>
  <c r="X16" i="41"/>
  <c r="W16" i="41"/>
  <c r="V16" i="41"/>
  <c r="T16" i="41"/>
  <c r="S16" i="41"/>
  <c r="R16" i="41"/>
  <c r="P16" i="41"/>
  <c r="O16" i="41"/>
  <c r="M16" i="41"/>
  <c r="J16" i="41"/>
  <c r="AM15" i="41"/>
  <c r="AW15" i="41" s="1"/>
  <c r="AL15" i="41"/>
  <c r="AE15" i="41"/>
  <c r="AT15" i="41" s="1"/>
  <c r="Y15" i="41"/>
  <c r="AQ15" i="41" s="1"/>
  <c r="Q15" i="41"/>
  <c r="N15" i="41"/>
  <c r="L15" i="41"/>
  <c r="K15" i="41"/>
  <c r="I15" i="41" s="1"/>
  <c r="AM14" i="41"/>
  <c r="AW14" i="41" s="1"/>
  <c r="AL14" i="41"/>
  <c r="AV14" i="41" s="1"/>
  <c r="AE14" i="41"/>
  <c r="AT14" i="41" s="1"/>
  <c r="Y14" i="41"/>
  <c r="AQ14" i="41" s="1"/>
  <c r="Q14" i="41"/>
  <c r="U14" i="41" s="1"/>
  <c r="N14" i="41"/>
  <c r="L14" i="41"/>
  <c r="K14" i="41"/>
  <c r="AM13" i="41"/>
  <c r="AW13" i="41" s="1"/>
  <c r="AL13" i="41"/>
  <c r="AV13" i="41" s="1"/>
  <c r="AE13" i="41"/>
  <c r="AT13" i="41" s="1"/>
  <c r="Y13" i="41"/>
  <c r="AQ13" i="41" s="1"/>
  <c r="Q13" i="41"/>
  <c r="U13" i="41" s="1"/>
  <c r="N13" i="41"/>
  <c r="I13" i="41"/>
  <c r="AM12" i="41"/>
  <c r="AL12" i="41"/>
  <c r="AE12" i="41"/>
  <c r="Y12" i="41"/>
  <c r="Q12" i="41"/>
  <c r="U12" i="41" s="1"/>
  <c r="N12" i="41"/>
  <c r="L12" i="41"/>
  <c r="K12" i="41"/>
  <c r="AK177" i="40"/>
  <c r="AJ177" i="40"/>
  <c r="AI177" i="40"/>
  <c r="AH177" i="40"/>
  <c r="AG177" i="40"/>
  <c r="AD177" i="40"/>
  <c r="AC177" i="40"/>
  <c r="X177" i="40"/>
  <c r="W177" i="40"/>
  <c r="V177" i="40"/>
  <c r="T177" i="40"/>
  <c r="S177" i="40"/>
  <c r="R177" i="40"/>
  <c r="P177" i="40"/>
  <c r="O177" i="40"/>
  <c r="M177" i="40"/>
  <c r="J177" i="40"/>
  <c r="AK176" i="40"/>
  <c r="AJ176" i="40"/>
  <c r="AI176" i="40"/>
  <c r="AH176" i="40"/>
  <c r="AG176" i="40"/>
  <c r="AD176" i="40"/>
  <c r="AC176" i="40"/>
  <c r="X176" i="40"/>
  <c r="W176" i="40"/>
  <c r="V176" i="40"/>
  <c r="T176" i="40"/>
  <c r="S176" i="40"/>
  <c r="R176" i="40"/>
  <c r="P176" i="40"/>
  <c r="O176" i="40"/>
  <c r="M176" i="40"/>
  <c r="J176" i="40"/>
  <c r="AK175" i="40"/>
  <c r="AJ175" i="40"/>
  <c r="AI175" i="40"/>
  <c r="AH175" i="40"/>
  <c r="AG175" i="40"/>
  <c r="AD175" i="40"/>
  <c r="AC175" i="40"/>
  <c r="X175" i="40"/>
  <c r="W175" i="40"/>
  <c r="V175" i="40"/>
  <c r="T175" i="40"/>
  <c r="S175" i="40"/>
  <c r="R175" i="40"/>
  <c r="P175" i="40"/>
  <c r="O175" i="40"/>
  <c r="M175" i="40"/>
  <c r="J175" i="40"/>
  <c r="AK174" i="40"/>
  <c r="AJ174" i="40"/>
  <c r="AI174" i="40"/>
  <c r="AH174" i="40"/>
  <c r="AG174" i="40"/>
  <c r="AD174" i="40"/>
  <c r="AC174" i="40"/>
  <c r="X174" i="40"/>
  <c r="W174" i="40"/>
  <c r="V174" i="40"/>
  <c r="T174" i="40"/>
  <c r="S174" i="40"/>
  <c r="R174" i="40"/>
  <c r="P174" i="40"/>
  <c r="O174" i="40"/>
  <c r="M174" i="40"/>
  <c r="J174" i="40"/>
  <c r="AW173" i="40"/>
  <c r="AV173" i="40"/>
  <c r="AU173" i="40"/>
  <c r="AT173" i="40"/>
  <c r="AS173" i="40"/>
  <c r="AR173" i="40"/>
  <c r="AQ173" i="40"/>
  <c r="AP173" i="40"/>
  <c r="AO173" i="40"/>
  <c r="AN173" i="40"/>
  <c r="AM173" i="40"/>
  <c r="AL173" i="40"/>
  <c r="AK173" i="40"/>
  <c r="AJ173" i="40"/>
  <c r="AI173" i="40"/>
  <c r="AH173" i="40"/>
  <c r="AG173" i="40"/>
  <c r="AF173" i="40"/>
  <c r="AE173" i="40"/>
  <c r="AD173" i="40"/>
  <c r="AC173" i="40"/>
  <c r="AB173" i="40"/>
  <c r="AA173" i="40"/>
  <c r="Z173" i="40"/>
  <c r="Y173" i="40"/>
  <c r="X173" i="40"/>
  <c r="W173" i="40"/>
  <c r="V173" i="40"/>
  <c r="U173" i="40"/>
  <c r="T173" i="40"/>
  <c r="S173" i="40"/>
  <c r="R173" i="40"/>
  <c r="Q173" i="40"/>
  <c r="P173" i="40"/>
  <c r="O173" i="40"/>
  <c r="N173" i="40"/>
  <c r="M173" i="40"/>
  <c r="L173" i="40"/>
  <c r="K173" i="40"/>
  <c r="J173" i="40"/>
  <c r="I173" i="40"/>
  <c r="AK172" i="40"/>
  <c r="AJ172" i="40"/>
  <c r="AI172" i="40"/>
  <c r="AH172" i="40"/>
  <c r="AG172" i="40"/>
  <c r="AD172" i="40"/>
  <c r="AC172" i="40"/>
  <c r="X172" i="40"/>
  <c r="W172" i="40"/>
  <c r="V172" i="40"/>
  <c r="T172" i="40"/>
  <c r="S172" i="40"/>
  <c r="R172" i="40"/>
  <c r="P172" i="40"/>
  <c r="O172" i="40"/>
  <c r="M172" i="40"/>
  <c r="J172" i="40"/>
  <c r="AK171" i="40"/>
  <c r="AJ171" i="40"/>
  <c r="AI171" i="40"/>
  <c r="AH171" i="40"/>
  <c r="AG171" i="40"/>
  <c r="AD171" i="40"/>
  <c r="AC171" i="40"/>
  <c r="X171" i="40"/>
  <c r="W171" i="40"/>
  <c r="V171" i="40"/>
  <c r="T171" i="40"/>
  <c r="S171" i="40"/>
  <c r="P171" i="40"/>
  <c r="O171" i="40"/>
  <c r="M171" i="40"/>
  <c r="J171" i="40"/>
  <c r="AK170" i="40"/>
  <c r="AJ170" i="40"/>
  <c r="AI170" i="40"/>
  <c r="AH170" i="40"/>
  <c r="AG170" i="40"/>
  <c r="AD170" i="40"/>
  <c r="AC170" i="40"/>
  <c r="X170" i="40"/>
  <c r="W170" i="40"/>
  <c r="V170" i="40"/>
  <c r="T170" i="40"/>
  <c r="S170" i="40"/>
  <c r="R170" i="40"/>
  <c r="P170" i="40"/>
  <c r="O170" i="40"/>
  <c r="M170" i="40"/>
  <c r="J170" i="40"/>
  <c r="AK169" i="40"/>
  <c r="AJ169" i="40"/>
  <c r="AH169" i="40"/>
  <c r="AG169" i="40"/>
  <c r="AD169" i="40"/>
  <c r="AC169" i="40"/>
  <c r="X169" i="40"/>
  <c r="W169" i="40"/>
  <c r="V169" i="40"/>
  <c r="T169" i="40"/>
  <c r="S169" i="40"/>
  <c r="P169" i="40"/>
  <c r="O169" i="40"/>
  <c r="M169" i="40"/>
  <c r="J169" i="40"/>
  <c r="AK168" i="40"/>
  <c r="AJ168" i="40"/>
  <c r="AH168" i="40"/>
  <c r="AG168" i="40"/>
  <c r="AD168" i="40"/>
  <c r="AC168" i="40"/>
  <c r="X168" i="40"/>
  <c r="W168" i="40"/>
  <c r="V168" i="40"/>
  <c r="T168" i="40"/>
  <c r="S168" i="40"/>
  <c r="P168" i="40"/>
  <c r="O168" i="40"/>
  <c r="M168" i="40"/>
  <c r="J168" i="40"/>
  <c r="AK163" i="40"/>
  <c r="AJ163" i="40"/>
  <c r="AI163" i="40"/>
  <c r="AH163" i="40"/>
  <c r="AG163" i="40"/>
  <c r="AD163" i="40"/>
  <c r="AC163" i="40"/>
  <c r="X163" i="40"/>
  <c r="W163" i="40"/>
  <c r="V163" i="40"/>
  <c r="T163" i="40"/>
  <c r="S163" i="40"/>
  <c r="R163" i="40"/>
  <c r="P163" i="40"/>
  <c r="O163" i="40"/>
  <c r="M163" i="40"/>
  <c r="J163" i="40"/>
  <c r="AM162" i="40"/>
  <c r="AW162" i="40" s="1"/>
  <c r="AL162" i="40"/>
  <c r="AV162" i="40" s="1"/>
  <c r="AE162" i="40"/>
  <c r="AT162" i="40" s="1"/>
  <c r="Y162" i="40"/>
  <c r="AQ162" i="40" s="1"/>
  <c r="Q162" i="40"/>
  <c r="U162" i="40" s="1"/>
  <c r="AP162" i="40" s="1"/>
  <c r="N162" i="40"/>
  <c r="L162" i="40"/>
  <c r="K162" i="40"/>
  <c r="AM161" i="40"/>
  <c r="AW161" i="40" s="1"/>
  <c r="AL161" i="40"/>
  <c r="AE161" i="40"/>
  <c r="AT161" i="40" s="1"/>
  <c r="Y161" i="40"/>
  <c r="AQ161" i="40" s="1"/>
  <c r="Q161" i="40"/>
  <c r="U161" i="40" s="1"/>
  <c r="AA161" i="40" s="1"/>
  <c r="N161" i="40"/>
  <c r="L161" i="40"/>
  <c r="K161" i="40"/>
  <c r="AV160" i="40"/>
  <c r="AM160" i="40"/>
  <c r="AL160" i="40"/>
  <c r="AE160" i="40"/>
  <c r="AT160" i="40" s="1"/>
  <c r="Y160" i="40"/>
  <c r="AQ160" i="40" s="1"/>
  <c r="Q160" i="40"/>
  <c r="U160" i="40" s="1"/>
  <c r="N160" i="40"/>
  <c r="L160" i="40"/>
  <c r="K160" i="40"/>
  <c r="AK159" i="40"/>
  <c r="AJ159" i="40"/>
  <c r="AI159" i="40"/>
  <c r="AH159" i="40"/>
  <c r="AG159" i="40"/>
  <c r="AD159" i="40"/>
  <c r="AC159" i="40"/>
  <c r="X159" i="40"/>
  <c r="W159" i="40"/>
  <c r="V159" i="40"/>
  <c r="T159" i="40"/>
  <c r="S159" i="40"/>
  <c r="R159" i="40"/>
  <c r="P159" i="40"/>
  <c r="O159" i="40"/>
  <c r="M159" i="40"/>
  <c r="J159" i="40"/>
  <c r="AM158" i="40"/>
  <c r="AW158" i="40" s="1"/>
  <c r="AL158" i="40"/>
  <c r="AV158" i="40" s="1"/>
  <c r="AE158" i="40"/>
  <c r="AT158" i="40" s="1"/>
  <c r="Y158" i="40"/>
  <c r="AQ158" i="40" s="1"/>
  <c r="Q158" i="40"/>
  <c r="U158" i="40" s="1"/>
  <c r="N158" i="40"/>
  <c r="L158" i="40"/>
  <c r="K158" i="40"/>
  <c r="AM157" i="40"/>
  <c r="AW157" i="40" s="1"/>
  <c r="AL157" i="40"/>
  <c r="AV157" i="40" s="1"/>
  <c r="AE157" i="40"/>
  <c r="AT157" i="40" s="1"/>
  <c r="Y157" i="40"/>
  <c r="AQ157" i="40" s="1"/>
  <c r="Q157" i="40"/>
  <c r="U157" i="40" s="1"/>
  <c r="N157" i="40"/>
  <c r="L157" i="40"/>
  <c r="K157" i="40"/>
  <c r="AM156" i="40"/>
  <c r="AW156" i="40" s="1"/>
  <c r="AL156" i="40"/>
  <c r="AV156" i="40" s="1"/>
  <c r="AE156" i="40"/>
  <c r="AT156" i="40" s="1"/>
  <c r="Y156" i="40"/>
  <c r="AQ156" i="40" s="1"/>
  <c r="Q156" i="40"/>
  <c r="U156" i="40" s="1"/>
  <c r="N156" i="40"/>
  <c r="K156" i="40"/>
  <c r="I156" i="40" s="1"/>
  <c r="AM155" i="40"/>
  <c r="AW155" i="40" s="1"/>
  <c r="AL155" i="40"/>
  <c r="AE155" i="40"/>
  <c r="AT155" i="40" s="1"/>
  <c r="Y155" i="40"/>
  <c r="AQ155" i="40" s="1"/>
  <c r="Q155" i="40"/>
  <c r="U155" i="40" s="1"/>
  <c r="N155" i="40"/>
  <c r="I155" i="40"/>
  <c r="AM154" i="40"/>
  <c r="AL154" i="40"/>
  <c r="AV154" i="40" s="1"/>
  <c r="AE154" i="40"/>
  <c r="AT154" i="40" s="1"/>
  <c r="Y154" i="40"/>
  <c r="Q154" i="40"/>
  <c r="N154" i="40"/>
  <c r="L154" i="40"/>
  <c r="K154" i="40"/>
  <c r="AK153" i="40"/>
  <c r="AJ153" i="40"/>
  <c r="AI153" i="40"/>
  <c r="AH153" i="40"/>
  <c r="AG153" i="40"/>
  <c r="AD153" i="40"/>
  <c r="AC153" i="40"/>
  <c r="X153" i="40"/>
  <c r="W153" i="40"/>
  <c r="V153" i="40"/>
  <c r="T153" i="40"/>
  <c r="S153" i="40"/>
  <c r="R153" i="40"/>
  <c r="P153" i="40"/>
  <c r="O153" i="40"/>
  <c r="M153" i="40"/>
  <c r="J153" i="40"/>
  <c r="AM152" i="40"/>
  <c r="AL152" i="40"/>
  <c r="AV152" i="40" s="1"/>
  <c r="AE152" i="40"/>
  <c r="AT152" i="40" s="1"/>
  <c r="Y152" i="40"/>
  <c r="AQ152" i="40" s="1"/>
  <c r="Q152" i="40"/>
  <c r="U152" i="40" s="1"/>
  <c r="N152" i="40"/>
  <c r="L152" i="40"/>
  <c r="K152" i="40"/>
  <c r="AM151" i="40"/>
  <c r="AW151" i="40" s="1"/>
  <c r="AL151" i="40"/>
  <c r="AE151" i="40"/>
  <c r="Y151" i="40"/>
  <c r="Y153" i="40" s="1"/>
  <c r="Q151" i="40"/>
  <c r="Q153" i="40" s="1"/>
  <c r="N151" i="40"/>
  <c r="L151" i="40"/>
  <c r="L153" i="40" s="1"/>
  <c r="K151" i="40"/>
  <c r="AK150" i="40"/>
  <c r="AJ150" i="40"/>
  <c r="AI150" i="40"/>
  <c r="AH150" i="40"/>
  <c r="AG150" i="40"/>
  <c r="AD150" i="40"/>
  <c r="AC150" i="40"/>
  <c r="X150" i="40"/>
  <c r="W150" i="40"/>
  <c r="V150" i="40"/>
  <c r="T150" i="40"/>
  <c r="S150" i="40"/>
  <c r="R150" i="40"/>
  <c r="P150" i="40"/>
  <c r="O150" i="40"/>
  <c r="M150" i="40"/>
  <c r="J150" i="40"/>
  <c r="AM149" i="40"/>
  <c r="AW149" i="40" s="1"/>
  <c r="AL149" i="40"/>
  <c r="AE149" i="40"/>
  <c r="AT149" i="40" s="1"/>
  <c r="Y149" i="40"/>
  <c r="Q149" i="40"/>
  <c r="U149" i="40" s="1"/>
  <c r="AB149" i="40" s="1"/>
  <c r="N149" i="40"/>
  <c r="L149" i="40"/>
  <c r="K149" i="40"/>
  <c r="AM148" i="40"/>
  <c r="AW148" i="40" s="1"/>
  <c r="AL148" i="40"/>
  <c r="AE148" i="40"/>
  <c r="AT148" i="40" s="1"/>
  <c r="Y148" i="40"/>
  <c r="Q148" i="40"/>
  <c r="U148" i="40" s="1"/>
  <c r="AB148" i="40" s="1"/>
  <c r="N148" i="40"/>
  <c r="L148" i="40"/>
  <c r="K148" i="40"/>
  <c r="AM147" i="40"/>
  <c r="AW147" i="40" s="1"/>
  <c r="AL147" i="40"/>
  <c r="AE147" i="40"/>
  <c r="AT147" i="40" s="1"/>
  <c r="Y147" i="40"/>
  <c r="AQ147" i="40" s="1"/>
  <c r="Q147" i="40"/>
  <c r="U147" i="40" s="1"/>
  <c r="N147" i="40"/>
  <c r="L147" i="40"/>
  <c r="K147" i="40"/>
  <c r="AM146" i="40"/>
  <c r="AW146" i="40" s="1"/>
  <c r="AL146" i="40"/>
  <c r="AE146" i="40"/>
  <c r="AT146" i="40" s="1"/>
  <c r="Y146" i="40"/>
  <c r="AQ146" i="40" s="1"/>
  <c r="Q146" i="40"/>
  <c r="U146" i="40" s="1"/>
  <c r="N146" i="40"/>
  <c r="L146" i="40"/>
  <c r="K146" i="40"/>
  <c r="AM145" i="40"/>
  <c r="AW145" i="40" s="1"/>
  <c r="AL145" i="40"/>
  <c r="AE145" i="40"/>
  <c r="AT145" i="40" s="1"/>
  <c r="Y145" i="40"/>
  <c r="AQ145" i="40" s="1"/>
  <c r="Q145" i="40"/>
  <c r="U145" i="40" s="1"/>
  <c r="AB145" i="40" s="1"/>
  <c r="N145" i="40"/>
  <c r="L145" i="40"/>
  <c r="K145" i="40"/>
  <c r="AM144" i="40"/>
  <c r="AW144" i="40" s="1"/>
  <c r="AL144" i="40"/>
  <c r="AE144" i="40"/>
  <c r="Y144" i="40"/>
  <c r="Q144" i="40"/>
  <c r="U144" i="40" s="1"/>
  <c r="N144" i="40"/>
  <c r="L144" i="40"/>
  <c r="K144" i="40"/>
  <c r="AK143" i="40"/>
  <c r="AJ143" i="40"/>
  <c r="AI143" i="40"/>
  <c r="AH143" i="40"/>
  <c r="AG143" i="40"/>
  <c r="AD143" i="40"/>
  <c r="AC143" i="40"/>
  <c r="X143" i="40"/>
  <c r="W143" i="40"/>
  <c r="V143" i="40"/>
  <c r="T143" i="40"/>
  <c r="S143" i="40"/>
  <c r="P143" i="40"/>
  <c r="O143" i="40"/>
  <c r="M143" i="40"/>
  <c r="J143" i="40"/>
  <c r="AM142" i="40"/>
  <c r="AW142" i="40" s="1"/>
  <c r="AL142" i="40"/>
  <c r="AE142" i="40"/>
  <c r="AT142" i="40" s="1"/>
  <c r="Y142" i="40"/>
  <c r="AQ142" i="40" s="1"/>
  <c r="Q142" i="40"/>
  <c r="U142" i="40" s="1"/>
  <c r="N142" i="40"/>
  <c r="L142" i="40"/>
  <c r="K142" i="40"/>
  <c r="AM141" i="40"/>
  <c r="AW141" i="40" s="1"/>
  <c r="AL141" i="40"/>
  <c r="AE141" i="40"/>
  <c r="AT141" i="40" s="1"/>
  <c r="Y141" i="40"/>
  <c r="AQ141" i="40" s="1"/>
  <c r="Q141" i="40"/>
  <c r="U141" i="40" s="1"/>
  <c r="N141" i="40"/>
  <c r="L141" i="40"/>
  <c r="K141" i="40"/>
  <c r="AM140" i="40"/>
  <c r="AW140" i="40" s="1"/>
  <c r="AL140" i="40"/>
  <c r="AE140" i="40"/>
  <c r="AT140" i="40" s="1"/>
  <c r="Y140" i="40"/>
  <c r="AQ140" i="40" s="1"/>
  <c r="Q140" i="40"/>
  <c r="U140" i="40" s="1"/>
  <c r="N140" i="40"/>
  <c r="L140" i="40"/>
  <c r="K140" i="40"/>
  <c r="AM139" i="40"/>
  <c r="AW139" i="40" s="1"/>
  <c r="AL139" i="40"/>
  <c r="AE139" i="40"/>
  <c r="AT139" i="40" s="1"/>
  <c r="Y139" i="40"/>
  <c r="AQ139" i="40" s="1"/>
  <c r="R139" i="40"/>
  <c r="Q139" i="40"/>
  <c r="N139" i="40"/>
  <c r="I139" i="40"/>
  <c r="AW138" i="40"/>
  <c r="AM138" i="40"/>
  <c r="AL138" i="40"/>
  <c r="AE138" i="40"/>
  <c r="AT138" i="40" s="1"/>
  <c r="Y138" i="40"/>
  <c r="AQ138" i="40" s="1"/>
  <c r="Q138" i="40"/>
  <c r="U138" i="40" s="1"/>
  <c r="N138" i="40"/>
  <c r="L138" i="40"/>
  <c r="K138" i="40"/>
  <c r="AM137" i="40"/>
  <c r="AL137" i="40"/>
  <c r="AE137" i="40"/>
  <c r="Y137" i="40"/>
  <c r="Q137" i="40"/>
  <c r="N137" i="40"/>
  <c r="L137" i="40"/>
  <c r="K137" i="40"/>
  <c r="AK136" i="40"/>
  <c r="AJ136" i="40"/>
  <c r="AI136" i="40"/>
  <c r="AH136" i="40"/>
  <c r="AG136" i="40"/>
  <c r="AD136" i="40"/>
  <c r="AC136" i="40"/>
  <c r="X136" i="40"/>
  <c r="W136" i="40"/>
  <c r="V136" i="40"/>
  <c r="T136" i="40"/>
  <c r="S136" i="40"/>
  <c r="R136" i="40"/>
  <c r="P136" i="40"/>
  <c r="O136" i="40"/>
  <c r="M136" i="40"/>
  <c r="J136" i="40"/>
  <c r="AM135" i="40"/>
  <c r="AW135" i="40" s="1"/>
  <c r="AL135" i="40"/>
  <c r="AE135" i="40"/>
  <c r="AT135" i="40" s="1"/>
  <c r="Y135" i="40"/>
  <c r="AQ135" i="40" s="1"/>
  <c r="Q135" i="40"/>
  <c r="U135" i="40" s="1"/>
  <c r="AP135" i="40" s="1"/>
  <c r="N135" i="40"/>
  <c r="L135" i="40"/>
  <c r="K135" i="40"/>
  <c r="AM134" i="40"/>
  <c r="AW134" i="40" s="1"/>
  <c r="AL134" i="40"/>
  <c r="AE134" i="40"/>
  <c r="AT134" i="40" s="1"/>
  <c r="Y134" i="40"/>
  <c r="AQ134" i="40" s="1"/>
  <c r="Q134" i="40"/>
  <c r="U134" i="40" s="1"/>
  <c r="N134" i="40"/>
  <c r="L134" i="40"/>
  <c r="K134" i="40"/>
  <c r="I134" i="40" s="1"/>
  <c r="AM133" i="40"/>
  <c r="AW133" i="40" s="1"/>
  <c r="AL133" i="40"/>
  <c r="AE133" i="40"/>
  <c r="AT133" i="40" s="1"/>
  <c r="Y133" i="40"/>
  <c r="AQ133" i="40" s="1"/>
  <c r="Q133" i="40"/>
  <c r="U133" i="40" s="1"/>
  <c r="AB133" i="40" s="1"/>
  <c r="AS133" i="40" s="1"/>
  <c r="N133" i="40"/>
  <c r="L133" i="40"/>
  <c r="K133" i="40"/>
  <c r="AM132" i="40"/>
  <c r="AW132" i="40" s="1"/>
  <c r="AL132" i="40"/>
  <c r="AE132" i="40"/>
  <c r="AT132" i="40" s="1"/>
  <c r="Y132" i="40"/>
  <c r="AQ132" i="40" s="1"/>
  <c r="Q132" i="40"/>
  <c r="U132" i="40" s="1"/>
  <c r="N132" i="40"/>
  <c r="L132" i="40"/>
  <c r="K132" i="40"/>
  <c r="AM131" i="40"/>
  <c r="AW131" i="40" s="1"/>
  <c r="AL131" i="40"/>
  <c r="AV131" i="40" s="1"/>
  <c r="AE131" i="40"/>
  <c r="AT131" i="40" s="1"/>
  <c r="Y131" i="40"/>
  <c r="AQ131" i="40" s="1"/>
  <c r="Q131" i="40"/>
  <c r="U131" i="40" s="1"/>
  <c r="N131" i="40"/>
  <c r="L131" i="40"/>
  <c r="K131" i="40"/>
  <c r="AM130" i="40"/>
  <c r="AW130" i="40" s="1"/>
  <c r="AL130" i="40"/>
  <c r="AE130" i="40"/>
  <c r="Y130" i="40"/>
  <c r="Q130" i="40"/>
  <c r="U130" i="40" s="1"/>
  <c r="N130" i="40"/>
  <c r="L130" i="40"/>
  <c r="K130" i="40"/>
  <c r="AK129" i="40"/>
  <c r="AJ129" i="40"/>
  <c r="AI129" i="40"/>
  <c r="AH129" i="40"/>
  <c r="AG129" i="40"/>
  <c r="AD129" i="40"/>
  <c r="AC129" i="40"/>
  <c r="X129" i="40"/>
  <c r="W129" i="40"/>
  <c r="V129" i="40"/>
  <c r="T129" i="40"/>
  <c r="S129" i="40"/>
  <c r="R129" i="40"/>
  <c r="P129" i="40"/>
  <c r="O129" i="40"/>
  <c r="M129" i="40"/>
  <c r="J129" i="40"/>
  <c r="AM128" i="40"/>
  <c r="AW128" i="40" s="1"/>
  <c r="AL128" i="40"/>
  <c r="AV128" i="40" s="1"/>
  <c r="AE128" i="40"/>
  <c r="AT128" i="40" s="1"/>
  <c r="Y128" i="40"/>
  <c r="AQ128" i="40" s="1"/>
  <c r="Q128" i="40"/>
  <c r="U128" i="40" s="1"/>
  <c r="N128" i="40"/>
  <c r="I128" i="40"/>
  <c r="AM127" i="40"/>
  <c r="AL127" i="40"/>
  <c r="AV127" i="40" s="1"/>
  <c r="AE127" i="40"/>
  <c r="Y127" i="40"/>
  <c r="Q127" i="40"/>
  <c r="U127" i="40" s="1"/>
  <c r="N127" i="40"/>
  <c r="L127" i="40"/>
  <c r="L129" i="40" s="1"/>
  <c r="K127" i="40"/>
  <c r="AK126" i="40"/>
  <c r="AJ126" i="40"/>
  <c r="AI126" i="40"/>
  <c r="AH126" i="40"/>
  <c r="AG126" i="40"/>
  <c r="AD126" i="40"/>
  <c r="AC126" i="40"/>
  <c r="X126" i="40"/>
  <c r="W126" i="40"/>
  <c r="V126" i="40"/>
  <c r="T126" i="40"/>
  <c r="S126" i="40"/>
  <c r="R126" i="40"/>
  <c r="P126" i="40"/>
  <c r="O126" i="40"/>
  <c r="M126" i="40"/>
  <c r="J126" i="40"/>
  <c r="AM125" i="40"/>
  <c r="AW125" i="40" s="1"/>
  <c r="AL125" i="40"/>
  <c r="AV125" i="40" s="1"/>
  <c r="AE125" i="40"/>
  <c r="AT125" i="40" s="1"/>
  <c r="Y125" i="40"/>
  <c r="AQ125" i="40" s="1"/>
  <c r="Q125" i="40"/>
  <c r="U125" i="40" s="1"/>
  <c r="N125" i="40"/>
  <c r="L125" i="40"/>
  <c r="K125" i="40"/>
  <c r="AM124" i="40"/>
  <c r="AW124" i="40" s="1"/>
  <c r="AW126" i="40" s="1"/>
  <c r="AL124" i="40"/>
  <c r="AE124" i="40"/>
  <c r="AT124" i="40" s="1"/>
  <c r="Y124" i="40"/>
  <c r="Q124" i="40"/>
  <c r="U124" i="40" s="1"/>
  <c r="N124" i="40"/>
  <c r="L124" i="40"/>
  <c r="K124" i="40"/>
  <c r="AK123" i="40"/>
  <c r="AJ123" i="40"/>
  <c r="AI123" i="40"/>
  <c r="AH123" i="40"/>
  <c r="AG123" i="40"/>
  <c r="AD123" i="40"/>
  <c r="AC123" i="40"/>
  <c r="X123" i="40"/>
  <c r="W123" i="40"/>
  <c r="V123" i="40"/>
  <c r="T123" i="40"/>
  <c r="S123" i="40"/>
  <c r="R123" i="40"/>
  <c r="P123" i="40"/>
  <c r="O123" i="40"/>
  <c r="M123" i="40"/>
  <c r="J123" i="40"/>
  <c r="AM122" i="40"/>
  <c r="AW122" i="40" s="1"/>
  <c r="AL122" i="40"/>
  <c r="AV122" i="40" s="1"/>
  <c r="AE122" i="40"/>
  <c r="AT122" i="40" s="1"/>
  <c r="Y122" i="40"/>
  <c r="AQ122" i="40" s="1"/>
  <c r="Q122" i="40"/>
  <c r="U122" i="40" s="1"/>
  <c r="Z122" i="40" s="1"/>
  <c r="N122" i="40"/>
  <c r="L122" i="40"/>
  <c r="K122" i="40"/>
  <c r="AT121" i="40"/>
  <c r="AM121" i="40"/>
  <c r="AW121" i="40" s="1"/>
  <c r="AL121" i="40"/>
  <c r="AV121" i="40" s="1"/>
  <c r="AE121" i="40"/>
  <c r="Y121" i="40"/>
  <c r="AQ121" i="40" s="1"/>
  <c r="Q121" i="40"/>
  <c r="U121" i="40" s="1"/>
  <c r="N121" i="40"/>
  <c r="L121" i="40"/>
  <c r="K121" i="40"/>
  <c r="I121" i="40" s="1"/>
  <c r="AM120" i="40"/>
  <c r="AW120" i="40" s="1"/>
  <c r="AL120" i="40"/>
  <c r="AV120" i="40" s="1"/>
  <c r="AE120" i="40"/>
  <c r="AT120" i="40" s="1"/>
  <c r="Y120" i="40"/>
  <c r="AQ120" i="40" s="1"/>
  <c r="Q120" i="40"/>
  <c r="U120" i="40" s="1"/>
  <c r="N120" i="40"/>
  <c r="L120" i="40"/>
  <c r="K120" i="40"/>
  <c r="AM119" i="40"/>
  <c r="AW119" i="40" s="1"/>
  <c r="AL119" i="40"/>
  <c r="AV119" i="40" s="1"/>
  <c r="AE119" i="40"/>
  <c r="AT119" i="40" s="1"/>
  <c r="Y119" i="40"/>
  <c r="Q119" i="40"/>
  <c r="U119" i="40" s="1"/>
  <c r="N119" i="40"/>
  <c r="I119" i="40"/>
  <c r="AM118" i="40"/>
  <c r="AL118" i="40"/>
  <c r="AV118" i="40" s="1"/>
  <c r="AE118" i="40"/>
  <c r="Y118" i="40"/>
  <c r="Q118" i="40"/>
  <c r="U118" i="40" s="1"/>
  <c r="AB118" i="40" s="1"/>
  <c r="N118" i="40"/>
  <c r="N123" i="40" s="1"/>
  <c r="L118" i="40"/>
  <c r="K118" i="40"/>
  <c r="AK117" i="40"/>
  <c r="AJ117" i="40"/>
  <c r="AI117" i="40"/>
  <c r="AH117" i="40"/>
  <c r="AG117" i="40"/>
  <c r="AD117" i="40"/>
  <c r="AC117" i="40"/>
  <c r="X117" i="40"/>
  <c r="W117" i="40"/>
  <c r="V117" i="40"/>
  <c r="T117" i="40"/>
  <c r="S117" i="40"/>
  <c r="R117" i="40"/>
  <c r="P117" i="40"/>
  <c r="O117" i="40"/>
  <c r="M117" i="40"/>
  <c r="J117" i="40"/>
  <c r="AW116" i="40"/>
  <c r="AM116" i="40"/>
  <c r="AL116" i="40"/>
  <c r="AE116" i="40"/>
  <c r="AT116" i="40" s="1"/>
  <c r="Y116" i="40"/>
  <c r="AQ116" i="40" s="1"/>
  <c r="Q116" i="40"/>
  <c r="U116" i="40" s="1"/>
  <c r="N116" i="40"/>
  <c r="L116" i="40"/>
  <c r="K116" i="40"/>
  <c r="AM115" i="40"/>
  <c r="AW115" i="40" s="1"/>
  <c r="AL115" i="40"/>
  <c r="AV115" i="40" s="1"/>
  <c r="AE115" i="40"/>
  <c r="AT115" i="40" s="1"/>
  <c r="Y115" i="40"/>
  <c r="AQ115" i="40" s="1"/>
  <c r="Q115" i="40"/>
  <c r="U115" i="40" s="1"/>
  <c r="N115" i="40"/>
  <c r="I115" i="40"/>
  <c r="AT114" i="40"/>
  <c r="AM114" i="40"/>
  <c r="AW114" i="40" s="1"/>
  <c r="AL114" i="40"/>
  <c r="AE114" i="40"/>
  <c r="Y114" i="40"/>
  <c r="AQ114" i="40" s="1"/>
  <c r="Q114" i="40"/>
  <c r="N114" i="40"/>
  <c r="L114" i="40"/>
  <c r="K114" i="40"/>
  <c r="AK113" i="40"/>
  <c r="AJ113" i="40"/>
  <c r="AI113" i="40"/>
  <c r="AH113" i="40"/>
  <c r="AG113" i="40"/>
  <c r="AD113" i="40"/>
  <c r="AC113" i="40"/>
  <c r="X113" i="40"/>
  <c r="W113" i="40"/>
  <c r="V113" i="40"/>
  <c r="T113" i="40"/>
  <c r="S113" i="40"/>
  <c r="R113" i="40"/>
  <c r="P113" i="40"/>
  <c r="O113" i="40"/>
  <c r="M113" i="40"/>
  <c r="J113" i="40"/>
  <c r="AM112" i="40"/>
  <c r="AL112" i="40"/>
  <c r="AE112" i="40"/>
  <c r="AT112" i="40" s="1"/>
  <c r="Y112" i="40"/>
  <c r="AQ112" i="40" s="1"/>
  <c r="Q112" i="40"/>
  <c r="U112" i="40" s="1"/>
  <c r="N112" i="40"/>
  <c r="L112" i="40"/>
  <c r="K112" i="40"/>
  <c r="AM111" i="40"/>
  <c r="AL111" i="40"/>
  <c r="AV111" i="40" s="1"/>
  <c r="AE111" i="40"/>
  <c r="AT111" i="40" s="1"/>
  <c r="Y111" i="40"/>
  <c r="AQ111" i="40" s="1"/>
  <c r="Q111" i="40"/>
  <c r="U111" i="40" s="1"/>
  <c r="N111" i="40"/>
  <c r="I111" i="40"/>
  <c r="AM110" i="40"/>
  <c r="AW110" i="40" s="1"/>
  <c r="AL110" i="40"/>
  <c r="AV110" i="40" s="1"/>
  <c r="AE110" i="40"/>
  <c r="AT110" i="40" s="1"/>
  <c r="Y110" i="40"/>
  <c r="AQ110" i="40" s="1"/>
  <c r="Q110" i="40"/>
  <c r="U110" i="40" s="1"/>
  <c r="N110" i="40"/>
  <c r="L110" i="40"/>
  <c r="K110" i="40"/>
  <c r="AM109" i="40"/>
  <c r="AW109" i="40" s="1"/>
  <c r="AL109" i="40"/>
  <c r="AV109" i="40" s="1"/>
  <c r="AE109" i="40"/>
  <c r="Y109" i="40"/>
  <c r="Q109" i="40"/>
  <c r="N109" i="40"/>
  <c r="L109" i="40"/>
  <c r="K109" i="40"/>
  <c r="AK108" i="40"/>
  <c r="AJ108" i="40"/>
  <c r="AI108" i="40"/>
  <c r="AH108" i="40"/>
  <c r="AG108" i="40"/>
  <c r="AD108" i="40"/>
  <c r="AC108" i="40"/>
  <c r="X108" i="40"/>
  <c r="W108" i="40"/>
  <c r="V108" i="40"/>
  <c r="T108" i="40"/>
  <c r="S108" i="40"/>
  <c r="R108" i="40"/>
  <c r="P108" i="40"/>
  <c r="O108" i="40"/>
  <c r="M108" i="40"/>
  <c r="J108" i="40"/>
  <c r="AM107" i="40"/>
  <c r="AL107" i="40"/>
  <c r="AL108" i="40" s="1"/>
  <c r="AE107" i="40"/>
  <c r="AE108" i="40" s="1"/>
  <c r="Y107" i="40"/>
  <c r="AQ107" i="40" s="1"/>
  <c r="AQ108" i="40" s="1"/>
  <c r="Q107" i="40"/>
  <c r="N107" i="40"/>
  <c r="N108" i="40" s="1"/>
  <c r="L107" i="40"/>
  <c r="L108" i="40" s="1"/>
  <c r="K107" i="40"/>
  <c r="AK106" i="40"/>
  <c r="AJ106" i="40"/>
  <c r="AI106" i="40"/>
  <c r="AH106" i="40"/>
  <c r="AG106" i="40"/>
  <c r="AD106" i="40"/>
  <c r="AC106" i="40"/>
  <c r="X106" i="40"/>
  <c r="W106" i="40"/>
  <c r="V106" i="40"/>
  <c r="T106" i="40"/>
  <c r="S106" i="40"/>
  <c r="R106" i="40"/>
  <c r="P106" i="40"/>
  <c r="O106" i="40"/>
  <c r="M106" i="40"/>
  <c r="J106" i="40"/>
  <c r="AM105" i="40"/>
  <c r="AW105" i="40" s="1"/>
  <c r="AL105" i="40"/>
  <c r="AE105" i="40"/>
  <c r="AT105" i="40" s="1"/>
  <c r="Y105" i="40"/>
  <c r="Q105" i="40"/>
  <c r="U105" i="40" s="1"/>
  <c r="AP105" i="40" s="1"/>
  <c r="N105" i="40"/>
  <c r="L105" i="40"/>
  <c r="K105" i="40"/>
  <c r="AW104" i="40"/>
  <c r="AM104" i="40"/>
  <c r="AL104" i="40"/>
  <c r="AV104" i="40" s="1"/>
  <c r="AE104" i="40"/>
  <c r="AT104" i="40" s="1"/>
  <c r="Y104" i="40"/>
  <c r="AQ104" i="40" s="1"/>
  <c r="Q104" i="40"/>
  <c r="U104" i="40" s="1"/>
  <c r="N104" i="40"/>
  <c r="L104" i="40"/>
  <c r="K104" i="40"/>
  <c r="AM103" i="40"/>
  <c r="AW103" i="40" s="1"/>
  <c r="AL103" i="40"/>
  <c r="AV103" i="40" s="1"/>
  <c r="AE103" i="40"/>
  <c r="AT103" i="40" s="1"/>
  <c r="Y103" i="40"/>
  <c r="AQ103" i="40" s="1"/>
  <c r="Q103" i="40"/>
  <c r="U103" i="40" s="1"/>
  <c r="N103" i="40"/>
  <c r="L103" i="40"/>
  <c r="I103" i="40" s="1"/>
  <c r="AM102" i="40"/>
  <c r="AW102" i="40" s="1"/>
  <c r="AL102" i="40"/>
  <c r="AV102" i="40" s="1"/>
  <c r="AE102" i="40"/>
  <c r="AT102" i="40" s="1"/>
  <c r="Y102" i="40"/>
  <c r="AQ102" i="40" s="1"/>
  <c r="Q102" i="40"/>
  <c r="U102" i="40" s="1"/>
  <c r="N102" i="40"/>
  <c r="I102" i="40"/>
  <c r="AM101" i="40"/>
  <c r="AW101" i="40" s="1"/>
  <c r="AL101" i="40"/>
  <c r="AE101" i="40"/>
  <c r="Y101" i="40"/>
  <c r="AQ101" i="40" s="1"/>
  <c r="Q101" i="40"/>
  <c r="N101" i="40"/>
  <c r="L101" i="40"/>
  <c r="K101" i="40"/>
  <c r="AK100" i="40"/>
  <c r="AJ100" i="40"/>
  <c r="AI100" i="40"/>
  <c r="AH100" i="40"/>
  <c r="AG100" i="40"/>
  <c r="AD100" i="40"/>
  <c r="AC100" i="40"/>
  <c r="X100" i="40"/>
  <c r="W100" i="40"/>
  <c r="V100" i="40"/>
  <c r="T100" i="40"/>
  <c r="S100" i="40"/>
  <c r="R100" i="40"/>
  <c r="P100" i="40"/>
  <c r="O100" i="40"/>
  <c r="M100" i="40"/>
  <c r="J100" i="40"/>
  <c r="AM99" i="40"/>
  <c r="AL99" i="40"/>
  <c r="AV99" i="40" s="1"/>
  <c r="AE99" i="40"/>
  <c r="AT99" i="40" s="1"/>
  <c r="Y99" i="40"/>
  <c r="AQ99" i="40" s="1"/>
  <c r="Q99" i="40"/>
  <c r="U99" i="40" s="1"/>
  <c r="AB99" i="40" s="1"/>
  <c r="N99" i="40"/>
  <c r="L99" i="40"/>
  <c r="K99" i="40"/>
  <c r="AM98" i="40"/>
  <c r="AL98" i="40"/>
  <c r="AE98" i="40"/>
  <c r="AT98" i="40" s="1"/>
  <c r="Y98" i="40"/>
  <c r="AQ98" i="40" s="1"/>
  <c r="U98" i="40"/>
  <c r="AB98" i="40" s="1"/>
  <c r="AS98" i="40" s="1"/>
  <c r="Q98" i="40"/>
  <c r="N98" i="40"/>
  <c r="I98" i="40"/>
  <c r="AW97" i="40"/>
  <c r="AM97" i="40"/>
  <c r="AL97" i="40"/>
  <c r="AV97" i="40" s="1"/>
  <c r="AE97" i="40"/>
  <c r="Y97" i="40"/>
  <c r="Q97" i="40"/>
  <c r="N97" i="40"/>
  <c r="L97" i="40"/>
  <c r="K97" i="40"/>
  <c r="AK96" i="40"/>
  <c r="AJ96" i="40"/>
  <c r="AI96" i="40"/>
  <c r="AH96" i="40"/>
  <c r="AG96" i="40"/>
  <c r="AD96" i="40"/>
  <c r="AC96" i="40"/>
  <c r="X96" i="40"/>
  <c r="W96" i="40"/>
  <c r="V96" i="40"/>
  <c r="T96" i="40"/>
  <c r="S96" i="40"/>
  <c r="R96" i="40"/>
  <c r="P96" i="40"/>
  <c r="O96" i="40"/>
  <c r="M96" i="40"/>
  <c r="J96" i="40"/>
  <c r="AM95" i="40"/>
  <c r="AW95" i="40" s="1"/>
  <c r="AL95" i="40"/>
  <c r="AE95" i="40"/>
  <c r="AT95" i="40" s="1"/>
  <c r="Y95" i="40"/>
  <c r="AQ95" i="40" s="1"/>
  <c r="Q95" i="40"/>
  <c r="U95" i="40" s="1"/>
  <c r="N95" i="40"/>
  <c r="L95" i="40"/>
  <c r="K95" i="40"/>
  <c r="AM94" i="40"/>
  <c r="AW94" i="40" s="1"/>
  <c r="AL94" i="40"/>
  <c r="AE94" i="40"/>
  <c r="AT94" i="40" s="1"/>
  <c r="Y94" i="40"/>
  <c r="AQ94" i="40" s="1"/>
  <c r="Q94" i="40"/>
  <c r="U94" i="40" s="1"/>
  <c r="N94" i="40"/>
  <c r="L94" i="40"/>
  <c r="K94" i="40"/>
  <c r="AM93" i="40"/>
  <c r="AW93" i="40" s="1"/>
  <c r="AL93" i="40"/>
  <c r="AE93" i="40"/>
  <c r="AT93" i="40" s="1"/>
  <c r="Y93" i="40"/>
  <c r="AQ93" i="40" s="1"/>
  <c r="Q93" i="40"/>
  <c r="U93" i="40" s="1"/>
  <c r="N93" i="40"/>
  <c r="L93" i="40"/>
  <c r="I93" i="40" s="1"/>
  <c r="K93" i="40"/>
  <c r="AM92" i="40"/>
  <c r="AW92" i="40" s="1"/>
  <c r="AL92" i="40"/>
  <c r="AE92" i="40"/>
  <c r="AT92" i="40" s="1"/>
  <c r="Y92" i="40"/>
  <c r="AQ92" i="40" s="1"/>
  <c r="Q92" i="40"/>
  <c r="U92" i="40" s="1"/>
  <c r="N92" i="40"/>
  <c r="I92" i="40"/>
  <c r="AM91" i="40"/>
  <c r="AW91" i="40" s="1"/>
  <c r="AL91" i="40"/>
  <c r="AE91" i="40"/>
  <c r="Y91" i="40"/>
  <c r="AQ91" i="40" s="1"/>
  <c r="Q91" i="40"/>
  <c r="U91" i="40" s="1"/>
  <c r="N91" i="40"/>
  <c r="L91" i="40"/>
  <c r="K91" i="40"/>
  <c r="AK90" i="40"/>
  <c r="AJ90" i="40"/>
  <c r="AI90" i="40"/>
  <c r="AH90" i="40"/>
  <c r="AG90" i="40"/>
  <c r="AD90" i="40"/>
  <c r="AC90" i="40"/>
  <c r="X90" i="40"/>
  <c r="W90" i="40"/>
  <c r="V90" i="40"/>
  <c r="T90" i="40"/>
  <c r="S90" i="40"/>
  <c r="R90" i="40"/>
  <c r="P90" i="40"/>
  <c r="O90" i="40"/>
  <c r="M90" i="40"/>
  <c r="J90" i="40"/>
  <c r="AM89" i="40"/>
  <c r="AW89" i="40" s="1"/>
  <c r="AL89" i="40"/>
  <c r="AE89" i="40"/>
  <c r="AT89" i="40" s="1"/>
  <c r="Y89" i="40"/>
  <c r="AQ89" i="40" s="1"/>
  <c r="Q89" i="40"/>
  <c r="U89" i="40" s="1"/>
  <c r="N89" i="40"/>
  <c r="L89" i="40"/>
  <c r="K89" i="40"/>
  <c r="AM88" i="40"/>
  <c r="AL88" i="40"/>
  <c r="AE88" i="40"/>
  <c r="Y88" i="40"/>
  <c r="Q88" i="40"/>
  <c r="U88" i="40" s="1"/>
  <c r="AP88" i="40" s="1"/>
  <c r="N88" i="40"/>
  <c r="L88" i="40"/>
  <c r="I88" i="40" s="1"/>
  <c r="K88" i="40"/>
  <c r="AK87" i="40"/>
  <c r="AJ87" i="40"/>
  <c r="AI87" i="40"/>
  <c r="AH87" i="40"/>
  <c r="AG87" i="40"/>
  <c r="AD87" i="40"/>
  <c r="AC87" i="40"/>
  <c r="X87" i="40"/>
  <c r="W87" i="40"/>
  <c r="V87" i="40"/>
  <c r="T87" i="40"/>
  <c r="S87" i="40"/>
  <c r="R87" i="40"/>
  <c r="P87" i="40"/>
  <c r="O87" i="40"/>
  <c r="M87" i="40"/>
  <c r="J87" i="40"/>
  <c r="AM86" i="40"/>
  <c r="AW86" i="40" s="1"/>
  <c r="AL86" i="40"/>
  <c r="AV86" i="40" s="1"/>
  <c r="AE86" i="40"/>
  <c r="AT86" i="40" s="1"/>
  <c r="Y86" i="40"/>
  <c r="AQ86" i="40" s="1"/>
  <c r="Q86" i="40"/>
  <c r="U86" i="40" s="1"/>
  <c r="N86" i="40"/>
  <c r="L86" i="40"/>
  <c r="K86" i="40"/>
  <c r="AM85" i="40"/>
  <c r="AW85" i="40" s="1"/>
  <c r="AL85" i="40"/>
  <c r="AV85" i="40" s="1"/>
  <c r="AE85" i="40"/>
  <c r="AT85" i="40" s="1"/>
  <c r="Y85" i="40"/>
  <c r="AQ85" i="40" s="1"/>
  <c r="Q85" i="40"/>
  <c r="U85" i="40" s="1"/>
  <c r="AB85" i="40" s="1"/>
  <c r="N85" i="40"/>
  <c r="L85" i="40"/>
  <c r="K85" i="40"/>
  <c r="AM84" i="40"/>
  <c r="AW84" i="40" s="1"/>
  <c r="AL84" i="40"/>
  <c r="AV84" i="40" s="1"/>
  <c r="AE84" i="40"/>
  <c r="AT84" i="40" s="1"/>
  <c r="Y84" i="40"/>
  <c r="AQ84" i="40" s="1"/>
  <c r="Q84" i="40"/>
  <c r="U84" i="40" s="1"/>
  <c r="AB84" i="40" s="1"/>
  <c r="N84" i="40"/>
  <c r="L84" i="40"/>
  <c r="K84" i="40"/>
  <c r="AM83" i="40"/>
  <c r="AW83" i="40" s="1"/>
  <c r="AL83" i="40"/>
  <c r="AV83" i="40" s="1"/>
  <c r="AE83" i="40"/>
  <c r="AT83" i="40" s="1"/>
  <c r="Y83" i="40"/>
  <c r="AQ83" i="40" s="1"/>
  <c r="Q83" i="40"/>
  <c r="N83" i="40"/>
  <c r="I83" i="40"/>
  <c r="AV82" i="40"/>
  <c r="AM82" i="40"/>
  <c r="AW82" i="40" s="1"/>
  <c r="AL82" i="40"/>
  <c r="AE82" i="40"/>
  <c r="AT82" i="40" s="1"/>
  <c r="Y82" i="40"/>
  <c r="AQ82" i="40" s="1"/>
  <c r="Q82" i="40"/>
  <c r="U82" i="40" s="1"/>
  <c r="N82" i="40"/>
  <c r="L82" i="40"/>
  <c r="K82" i="40"/>
  <c r="AM81" i="40"/>
  <c r="AW81" i="40" s="1"/>
  <c r="AL81" i="40"/>
  <c r="AV81" i="40" s="1"/>
  <c r="AE81" i="40"/>
  <c r="Y81" i="40"/>
  <c r="AQ81" i="40" s="1"/>
  <c r="Q81" i="40"/>
  <c r="U81" i="40" s="1"/>
  <c r="N81" i="40"/>
  <c r="L81" i="40"/>
  <c r="K81" i="40"/>
  <c r="AK80" i="40"/>
  <c r="AJ80" i="40"/>
  <c r="AI80" i="40"/>
  <c r="AH80" i="40"/>
  <c r="AG80" i="40"/>
  <c r="AD80" i="40"/>
  <c r="AC80" i="40"/>
  <c r="X80" i="40"/>
  <c r="W80" i="40"/>
  <c r="V80" i="40"/>
  <c r="T80" i="40"/>
  <c r="S80" i="40"/>
  <c r="R80" i="40"/>
  <c r="P80" i="40"/>
  <c r="O80" i="40"/>
  <c r="M80" i="40"/>
  <c r="J80" i="40"/>
  <c r="AM79" i="40"/>
  <c r="AW79" i="40" s="1"/>
  <c r="AL79" i="40"/>
  <c r="AE79" i="40"/>
  <c r="AT79" i="40" s="1"/>
  <c r="Y79" i="40"/>
  <c r="AQ79" i="40" s="1"/>
  <c r="Q79" i="40"/>
  <c r="U79" i="40" s="1"/>
  <c r="AP79" i="40" s="1"/>
  <c r="N79" i="40"/>
  <c r="L79" i="40"/>
  <c r="K79" i="40"/>
  <c r="AM78" i="40"/>
  <c r="AW78" i="40" s="1"/>
  <c r="AL78" i="40"/>
  <c r="AE78" i="40"/>
  <c r="AT78" i="40" s="1"/>
  <c r="Y78" i="40"/>
  <c r="AQ78" i="40" s="1"/>
  <c r="Q78" i="40"/>
  <c r="U78" i="40" s="1"/>
  <c r="N78" i="40"/>
  <c r="L78" i="40"/>
  <c r="K78" i="40"/>
  <c r="AM77" i="40"/>
  <c r="AW77" i="40" s="1"/>
  <c r="AL77" i="40"/>
  <c r="AE77" i="40"/>
  <c r="AT77" i="40" s="1"/>
  <c r="Y77" i="40"/>
  <c r="AQ77" i="40" s="1"/>
  <c r="Q77" i="40"/>
  <c r="U77" i="40" s="1"/>
  <c r="N77" i="40"/>
  <c r="L77" i="40"/>
  <c r="I77" i="40" s="1"/>
  <c r="K77" i="40"/>
  <c r="AM76" i="40"/>
  <c r="AW76" i="40" s="1"/>
  <c r="AL76" i="40"/>
  <c r="AE76" i="40"/>
  <c r="AT76" i="40" s="1"/>
  <c r="Y76" i="40"/>
  <c r="AQ76" i="40" s="1"/>
  <c r="Q76" i="40"/>
  <c r="U76" i="40" s="1"/>
  <c r="N76" i="40"/>
  <c r="L76" i="40"/>
  <c r="K76" i="40"/>
  <c r="AM75" i="40"/>
  <c r="AW75" i="40" s="1"/>
  <c r="AL75" i="40"/>
  <c r="AE75" i="40"/>
  <c r="AT75" i="40" s="1"/>
  <c r="Y75" i="40"/>
  <c r="AQ75" i="40" s="1"/>
  <c r="Q75" i="40"/>
  <c r="U75" i="40" s="1"/>
  <c r="AB75" i="40" s="1"/>
  <c r="N75" i="40"/>
  <c r="L75" i="40"/>
  <c r="K75" i="40"/>
  <c r="AM74" i="40"/>
  <c r="AW74" i="40" s="1"/>
  <c r="AL74" i="40"/>
  <c r="AE74" i="40"/>
  <c r="AT74" i="40" s="1"/>
  <c r="Y74" i="40"/>
  <c r="AQ74" i="40" s="1"/>
  <c r="Q74" i="40"/>
  <c r="U74" i="40" s="1"/>
  <c r="AB74" i="40" s="1"/>
  <c r="N74" i="40"/>
  <c r="L74" i="40"/>
  <c r="I74" i="40" s="1"/>
  <c r="K74" i="40"/>
  <c r="AK73" i="40"/>
  <c r="AJ73" i="40"/>
  <c r="AH73" i="40"/>
  <c r="AG73" i="40"/>
  <c r="AD73" i="40"/>
  <c r="AC73" i="40"/>
  <c r="X73" i="40"/>
  <c r="W73" i="40"/>
  <c r="V73" i="40"/>
  <c r="T73" i="40"/>
  <c r="S73" i="40"/>
  <c r="R73" i="40"/>
  <c r="P73" i="40"/>
  <c r="O73" i="40"/>
  <c r="M73" i="40"/>
  <c r="J73" i="40"/>
  <c r="AM72" i="40"/>
  <c r="AW72" i="40" s="1"/>
  <c r="AL72" i="40"/>
  <c r="AE72" i="40"/>
  <c r="AT72" i="40" s="1"/>
  <c r="Y72" i="40"/>
  <c r="AQ72" i="40" s="1"/>
  <c r="Q72" i="40"/>
  <c r="U72" i="40" s="1"/>
  <c r="N72" i="40"/>
  <c r="L72" i="40"/>
  <c r="I72" i="40" s="1"/>
  <c r="K72" i="40"/>
  <c r="AM71" i="40"/>
  <c r="AW71" i="40" s="1"/>
  <c r="AL71" i="40"/>
  <c r="AE71" i="40"/>
  <c r="AT71" i="40" s="1"/>
  <c r="Y71" i="40"/>
  <c r="AQ71" i="40" s="1"/>
  <c r="Q71" i="40"/>
  <c r="U71" i="40" s="1"/>
  <c r="N71" i="40"/>
  <c r="L71" i="40"/>
  <c r="K71" i="40"/>
  <c r="AM70" i="40"/>
  <c r="AW70" i="40" s="1"/>
  <c r="AL70" i="40"/>
  <c r="AE70" i="40"/>
  <c r="AT70" i="40" s="1"/>
  <c r="Y70" i="40"/>
  <c r="AQ70" i="40" s="1"/>
  <c r="Q70" i="40"/>
  <c r="U70" i="40" s="1"/>
  <c r="N70" i="40"/>
  <c r="L70" i="40"/>
  <c r="K70" i="40"/>
  <c r="AM69" i="40"/>
  <c r="AW69" i="40" s="1"/>
  <c r="AL69" i="40"/>
  <c r="AI69" i="40"/>
  <c r="AI73" i="40" s="1"/>
  <c r="AE69" i="40"/>
  <c r="AT69" i="40" s="1"/>
  <c r="AB69" i="40"/>
  <c r="AS69" i="40" s="1"/>
  <c r="Y69" i="40"/>
  <c r="R69" i="40"/>
  <c r="Q69" i="40"/>
  <c r="U69" i="40" s="1"/>
  <c r="AP69" i="40" s="1"/>
  <c r="N69" i="40"/>
  <c r="I69" i="40"/>
  <c r="AM68" i="40"/>
  <c r="AW68" i="40" s="1"/>
  <c r="AL68" i="40"/>
  <c r="AE68" i="40"/>
  <c r="AT68" i="40" s="1"/>
  <c r="Y68" i="40"/>
  <c r="AQ68" i="40" s="1"/>
  <c r="Q68" i="40"/>
  <c r="U68" i="40" s="1"/>
  <c r="N68" i="40"/>
  <c r="L68" i="40"/>
  <c r="K68" i="40"/>
  <c r="AM67" i="40"/>
  <c r="AL67" i="40"/>
  <c r="AE67" i="40"/>
  <c r="AT67" i="40" s="1"/>
  <c r="Y67" i="40"/>
  <c r="AQ67" i="40" s="1"/>
  <c r="Q67" i="40"/>
  <c r="N67" i="40"/>
  <c r="L67" i="40"/>
  <c r="K67" i="40"/>
  <c r="AK66" i="40"/>
  <c r="AJ66" i="40"/>
  <c r="AI66" i="40"/>
  <c r="AH66" i="40"/>
  <c r="AG66" i="40"/>
  <c r="AD66" i="40"/>
  <c r="AC66" i="40"/>
  <c r="X66" i="40"/>
  <c r="W66" i="40"/>
  <c r="V66" i="40"/>
  <c r="T66" i="40"/>
  <c r="S66" i="40"/>
  <c r="R66" i="40"/>
  <c r="P66" i="40"/>
  <c r="O66" i="40"/>
  <c r="M66" i="40"/>
  <c r="J66" i="40"/>
  <c r="AM65" i="40"/>
  <c r="AW65" i="40" s="1"/>
  <c r="AL65" i="40"/>
  <c r="AV65" i="40" s="1"/>
  <c r="AE65" i="40"/>
  <c r="AT65" i="40" s="1"/>
  <c r="Y65" i="40"/>
  <c r="AQ65" i="40" s="1"/>
  <c r="Q65" i="40"/>
  <c r="U65" i="40" s="1"/>
  <c r="AB65" i="40" s="1"/>
  <c r="N65" i="40"/>
  <c r="L65" i="40"/>
  <c r="K65" i="40"/>
  <c r="AM64" i="40"/>
  <c r="AW64" i="40" s="1"/>
  <c r="AL64" i="40"/>
  <c r="AV64" i="40" s="1"/>
  <c r="AE64" i="40"/>
  <c r="AT64" i="40" s="1"/>
  <c r="Y64" i="40"/>
  <c r="AQ64" i="40" s="1"/>
  <c r="Q64" i="40"/>
  <c r="U64" i="40" s="1"/>
  <c r="N64" i="40"/>
  <c r="L64" i="40"/>
  <c r="K64" i="40"/>
  <c r="AM63" i="40"/>
  <c r="AW63" i="40" s="1"/>
  <c r="AL63" i="40"/>
  <c r="AV63" i="40" s="1"/>
  <c r="AE63" i="40"/>
  <c r="AT63" i="40" s="1"/>
  <c r="Y63" i="40"/>
  <c r="AQ63" i="40" s="1"/>
  <c r="Q63" i="40"/>
  <c r="U63" i="40" s="1"/>
  <c r="N63" i="40"/>
  <c r="L63" i="40"/>
  <c r="K63" i="40"/>
  <c r="AM62" i="40"/>
  <c r="AW62" i="40" s="1"/>
  <c r="AL62" i="40"/>
  <c r="AV62" i="40" s="1"/>
  <c r="AE62" i="40"/>
  <c r="AT62" i="40" s="1"/>
  <c r="Y62" i="40"/>
  <c r="AQ62" i="40" s="1"/>
  <c r="Q62" i="40"/>
  <c r="U62" i="40" s="1"/>
  <c r="AB62" i="40" s="1"/>
  <c r="AS62" i="40" s="1"/>
  <c r="N62" i="40"/>
  <c r="I62" i="40"/>
  <c r="AM61" i="40"/>
  <c r="AW61" i="40" s="1"/>
  <c r="AL61" i="40"/>
  <c r="AE61" i="40"/>
  <c r="AT61" i="40" s="1"/>
  <c r="Y61" i="40"/>
  <c r="AQ61" i="40" s="1"/>
  <c r="Q61" i="40"/>
  <c r="U61" i="40" s="1"/>
  <c r="AB61" i="40" s="1"/>
  <c r="N61" i="40"/>
  <c r="L61" i="40"/>
  <c r="K61" i="40"/>
  <c r="AM60" i="40"/>
  <c r="AW60" i="40" s="1"/>
  <c r="AL60" i="40"/>
  <c r="AE60" i="40"/>
  <c r="AT60" i="40" s="1"/>
  <c r="Y60" i="40"/>
  <c r="Q60" i="40"/>
  <c r="N60" i="40"/>
  <c r="L60" i="40"/>
  <c r="K60" i="40"/>
  <c r="AK59" i="40"/>
  <c r="AJ59" i="40"/>
  <c r="AI59" i="40"/>
  <c r="AH59" i="40"/>
  <c r="AG59" i="40"/>
  <c r="AD59" i="40"/>
  <c r="AC59" i="40"/>
  <c r="X59" i="40"/>
  <c r="W59" i="40"/>
  <c r="V59" i="40"/>
  <c r="T59" i="40"/>
  <c r="S59" i="40"/>
  <c r="R59" i="40"/>
  <c r="P59" i="40"/>
  <c r="O59" i="40"/>
  <c r="M59" i="40"/>
  <c r="J59" i="40"/>
  <c r="AM58" i="40"/>
  <c r="AW58" i="40" s="1"/>
  <c r="AL58" i="40"/>
  <c r="AV58" i="40" s="1"/>
  <c r="AE58" i="40"/>
  <c r="AT58" i="40" s="1"/>
  <c r="Y58" i="40"/>
  <c r="AQ58" i="40" s="1"/>
  <c r="Q58" i="40"/>
  <c r="U58" i="40" s="1"/>
  <c r="N58" i="40"/>
  <c r="L58" i="40"/>
  <c r="K58" i="40"/>
  <c r="I58" i="40" s="1"/>
  <c r="AM57" i="40"/>
  <c r="AW57" i="40" s="1"/>
  <c r="AL57" i="40"/>
  <c r="AV57" i="40" s="1"/>
  <c r="AE57" i="40"/>
  <c r="AT57" i="40" s="1"/>
  <c r="Y57" i="40"/>
  <c r="AQ57" i="40" s="1"/>
  <c r="Q57" i="40"/>
  <c r="U57" i="40" s="1"/>
  <c r="N57" i="40"/>
  <c r="L57" i="40"/>
  <c r="K57" i="40"/>
  <c r="AM56" i="40"/>
  <c r="AW56" i="40" s="1"/>
  <c r="AL56" i="40"/>
  <c r="AV56" i="40" s="1"/>
  <c r="AE56" i="40"/>
  <c r="AT56" i="40" s="1"/>
  <c r="Y56" i="40"/>
  <c r="AQ56" i="40" s="1"/>
  <c r="Q56" i="40"/>
  <c r="U56" i="40" s="1"/>
  <c r="N56" i="40"/>
  <c r="L56" i="40"/>
  <c r="K56" i="40"/>
  <c r="AM55" i="40"/>
  <c r="AW55" i="40" s="1"/>
  <c r="AL55" i="40"/>
  <c r="AE55" i="40"/>
  <c r="AT55" i="40" s="1"/>
  <c r="Y55" i="40"/>
  <c r="Q55" i="40"/>
  <c r="N55" i="40"/>
  <c r="L55" i="40"/>
  <c r="K55" i="40"/>
  <c r="AW54" i="40"/>
  <c r="AM54" i="40"/>
  <c r="AL54" i="40"/>
  <c r="AV54" i="40" s="1"/>
  <c r="AE54" i="40"/>
  <c r="Y54" i="40"/>
  <c r="AQ54" i="40" s="1"/>
  <c r="Q54" i="40"/>
  <c r="U54" i="40" s="1"/>
  <c r="N54" i="40"/>
  <c r="L54" i="40"/>
  <c r="K54" i="40"/>
  <c r="AK53" i="40"/>
  <c r="AJ53" i="40"/>
  <c r="AI53" i="40"/>
  <c r="AH53" i="40"/>
  <c r="AG53" i="40"/>
  <c r="AD53" i="40"/>
  <c r="AC53" i="40"/>
  <c r="X53" i="40"/>
  <c r="W53" i="40"/>
  <c r="V53" i="40"/>
  <c r="T53" i="40"/>
  <c r="S53" i="40"/>
  <c r="R53" i="40"/>
  <c r="P53" i="40"/>
  <c r="O53" i="40"/>
  <c r="M53" i="40"/>
  <c r="J53" i="40"/>
  <c r="AM52" i="40"/>
  <c r="AL52" i="40"/>
  <c r="AE52" i="40"/>
  <c r="AT52" i="40" s="1"/>
  <c r="Y52" i="40"/>
  <c r="Y53" i="40" s="1"/>
  <c r="Q52" i="40"/>
  <c r="N52" i="40"/>
  <c r="L52" i="40"/>
  <c r="K52" i="40"/>
  <c r="AK51" i="40"/>
  <c r="AJ51" i="40"/>
  <c r="AI51" i="40"/>
  <c r="AH51" i="40"/>
  <c r="AG51" i="40"/>
  <c r="AD51" i="40"/>
  <c r="AC51" i="40"/>
  <c r="X51" i="40"/>
  <c r="W51" i="40"/>
  <c r="V51" i="40"/>
  <c r="T51" i="40"/>
  <c r="S51" i="40"/>
  <c r="R51" i="40"/>
  <c r="P51" i="40"/>
  <c r="O51" i="40"/>
  <c r="M51" i="40"/>
  <c r="J51" i="40"/>
  <c r="AM50" i="40"/>
  <c r="AW50" i="40" s="1"/>
  <c r="AL50" i="40"/>
  <c r="AV50" i="40" s="1"/>
  <c r="AE50" i="40"/>
  <c r="AT50" i="40" s="1"/>
  <c r="Y50" i="40"/>
  <c r="AQ50" i="40" s="1"/>
  <c r="Q50" i="40"/>
  <c r="U50" i="40" s="1"/>
  <c r="AP50" i="40" s="1"/>
  <c r="N50" i="40"/>
  <c r="L50" i="40"/>
  <c r="K50" i="40"/>
  <c r="AM49" i="40"/>
  <c r="AW49" i="40" s="1"/>
  <c r="AL49" i="40"/>
  <c r="AV49" i="40" s="1"/>
  <c r="AE49" i="40"/>
  <c r="AT49" i="40" s="1"/>
  <c r="Y49" i="40"/>
  <c r="AQ49" i="40" s="1"/>
  <c r="Q49" i="40"/>
  <c r="U49" i="40" s="1"/>
  <c r="AP49" i="40" s="1"/>
  <c r="N49" i="40"/>
  <c r="L49" i="40"/>
  <c r="K49" i="40"/>
  <c r="AV48" i="40"/>
  <c r="AM48" i="40"/>
  <c r="AW48" i="40" s="1"/>
  <c r="AL48" i="40"/>
  <c r="AE48" i="40"/>
  <c r="AT48" i="40" s="1"/>
  <c r="Y48" i="40"/>
  <c r="AQ48" i="40" s="1"/>
  <c r="Q48" i="40"/>
  <c r="U48" i="40" s="1"/>
  <c r="AP48" i="40" s="1"/>
  <c r="N48" i="40"/>
  <c r="L48" i="40"/>
  <c r="K48" i="40"/>
  <c r="AM47" i="40"/>
  <c r="AW47" i="40" s="1"/>
  <c r="AL47" i="40"/>
  <c r="AV47" i="40" s="1"/>
  <c r="AE47" i="40"/>
  <c r="AT47" i="40" s="1"/>
  <c r="Y47" i="40"/>
  <c r="AQ47" i="40" s="1"/>
  <c r="Q47" i="40"/>
  <c r="U47" i="40" s="1"/>
  <c r="AP47" i="40" s="1"/>
  <c r="N47" i="40"/>
  <c r="L47" i="40"/>
  <c r="K47" i="40"/>
  <c r="AM46" i="40"/>
  <c r="AW46" i="40" s="1"/>
  <c r="AI46" i="40"/>
  <c r="AL46" i="40" s="1"/>
  <c r="AE46" i="40"/>
  <c r="AT46" i="40" s="1"/>
  <c r="Y46" i="40"/>
  <c r="AQ46" i="40" s="1"/>
  <c r="R46" i="40"/>
  <c r="Q46" i="40"/>
  <c r="U46" i="40" s="1"/>
  <c r="N46" i="40"/>
  <c r="I46" i="40"/>
  <c r="AM45" i="40"/>
  <c r="AW45" i="40" s="1"/>
  <c r="AL45" i="40"/>
  <c r="AV45" i="40" s="1"/>
  <c r="AE45" i="40"/>
  <c r="AT45" i="40" s="1"/>
  <c r="Y45" i="40"/>
  <c r="Q45" i="40"/>
  <c r="N45" i="40"/>
  <c r="L45" i="40"/>
  <c r="K45" i="40"/>
  <c r="AK44" i="40"/>
  <c r="AJ44" i="40"/>
  <c r="AI44" i="40"/>
  <c r="AH44" i="40"/>
  <c r="AG44" i="40"/>
  <c r="AD44" i="40"/>
  <c r="AC44" i="40"/>
  <c r="X44" i="40"/>
  <c r="W44" i="40"/>
  <c r="V44" i="40"/>
  <c r="T44" i="40"/>
  <c r="S44" i="40"/>
  <c r="R44" i="40"/>
  <c r="P44" i="40"/>
  <c r="O44" i="40"/>
  <c r="M44" i="40"/>
  <c r="J44" i="40"/>
  <c r="AM43" i="40"/>
  <c r="AW43" i="40" s="1"/>
  <c r="AL43" i="40"/>
  <c r="AV43" i="40" s="1"/>
  <c r="AE43" i="40"/>
  <c r="AT43" i="40" s="1"/>
  <c r="Y43" i="40"/>
  <c r="AQ43" i="40" s="1"/>
  <c r="Q43" i="40"/>
  <c r="U43" i="40" s="1"/>
  <c r="N43" i="40"/>
  <c r="L43" i="40"/>
  <c r="K43" i="40"/>
  <c r="AM42" i="40"/>
  <c r="AW42" i="40" s="1"/>
  <c r="AL42" i="40"/>
  <c r="AV42" i="40" s="1"/>
  <c r="AE42" i="40"/>
  <c r="AT42" i="40" s="1"/>
  <c r="Y42" i="40"/>
  <c r="AQ42" i="40" s="1"/>
  <c r="Q42" i="40"/>
  <c r="U42" i="40" s="1"/>
  <c r="N42" i="40"/>
  <c r="L42" i="40"/>
  <c r="K42" i="40"/>
  <c r="AM41" i="40"/>
  <c r="AW41" i="40" s="1"/>
  <c r="AL41" i="40"/>
  <c r="AV41" i="40" s="1"/>
  <c r="AE41" i="40"/>
  <c r="AT41" i="40" s="1"/>
  <c r="Y41" i="40"/>
  <c r="AQ41" i="40" s="1"/>
  <c r="Q41" i="40"/>
  <c r="U41" i="40" s="1"/>
  <c r="N41" i="40"/>
  <c r="L41" i="40"/>
  <c r="K41" i="40"/>
  <c r="AM40" i="40"/>
  <c r="AW40" i="40" s="1"/>
  <c r="AL40" i="40"/>
  <c r="AE40" i="40"/>
  <c r="AT40" i="40" s="1"/>
  <c r="Y40" i="40"/>
  <c r="AQ40" i="40" s="1"/>
  <c r="Q40" i="40"/>
  <c r="U40" i="40" s="1"/>
  <c r="N40" i="40"/>
  <c r="I40" i="40"/>
  <c r="AM39" i="40"/>
  <c r="AW39" i="40" s="1"/>
  <c r="AL39" i="40"/>
  <c r="AE39" i="40"/>
  <c r="AT39" i="40" s="1"/>
  <c r="Y39" i="40"/>
  <c r="Q39" i="40"/>
  <c r="N39" i="40"/>
  <c r="L39" i="40"/>
  <c r="K39" i="40"/>
  <c r="AK38" i="40"/>
  <c r="AJ38" i="40"/>
  <c r="AI38" i="40"/>
  <c r="AH38" i="40"/>
  <c r="AG38" i="40"/>
  <c r="AD38" i="40"/>
  <c r="AC38" i="40"/>
  <c r="X38" i="40"/>
  <c r="W38" i="40"/>
  <c r="V38" i="40"/>
  <c r="T38" i="40"/>
  <c r="S38" i="40"/>
  <c r="R38" i="40"/>
  <c r="P38" i="40"/>
  <c r="O38" i="40"/>
  <c r="M38" i="40"/>
  <c r="J38" i="40"/>
  <c r="AM37" i="40"/>
  <c r="AW37" i="40" s="1"/>
  <c r="AL37" i="40"/>
  <c r="AV37" i="40" s="1"/>
  <c r="AE37" i="40"/>
  <c r="AT37" i="40" s="1"/>
  <c r="Y37" i="40"/>
  <c r="AQ37" i="40" s="1"/>
  <c r="Q37" i="40"/>
  <c r="U37" i="40" s="1"/>
  <c r="AP37" i="40" s="1"/>
  <c r="N37" i="40"/>
  <c r="L37" i="40"/>
  <c r="K37" i="40"/>
  <c r="AM36" i="40"/>
  <c r="AW36" i="40" s="1"/>
  <c r="AL36" i="40"/>
  <c r="AV36" i="40" s="1"/>
  <c r="AE36" i="40"/>
  <c r="AT36" i="40" s="1"/>
  <c r="Y36" i="40"/>
  <c r="AQ36" i="40" s="1"/>
  <c r="Q36" i="40"/>
  <c r="U36" i="40" s="1"/>
  <c r="AP36" i="40" s="1"/>
  <c r="N36" i="40"/>
  <c r="L36" i="40"/>
  <c r="K36" i="40"/>
  <c r="I36" i="40" s="1"/>
  <c r="AM35" i="40"/>
  <c r="AW35" i="40" s="1"/>
  <c r="AL35" i="40"/>
  <c r="AV35" i="40" s="1"/>
  <c r="AE35" i="40"/>
  <c r="AT35" i="40" s="1"/>
  <c r="Y35" i="40"/>
  <c r="AQ35" i="40" s="1"/>
  <c r="Q35" i="40"/>
  <c r="U35" i="40" s="1"/>
  <c r="AP35" i="40" s="1"/>
  <c r="N35" i="40"/>
  <c r="L35" i="40"/>
  <c r="K35" i="40"/>
  <c r="AM34" i="40"/>
  <c r="AW34" i="40" s="1"/>
  <c r="AL34" i="40"/>
  <c r="AV34" i="40" s="1"/>
  <c r="AE34" i="40"/>
  <c r="AT34" i="40" s="1"/>
  <c r="Y34" i="40"/>
  <c r="AQ34" i="40" s="1"/>
  <c r="Q34" i="40"/>
  <c r="U34" i="40" s="1"/>
  <c r="AP34" i="40" s="1"/>
  <c r="N34" i="40"/>
  <c r="L34" i="40"/>
  <c r="K34" i="40"/>
  <c r="AM33" i="40"/>
  <c r="AL33" i="40"/>
  <c r="AV33" i="40" s="1"/>
  <c r="AE33" i="40"/>
  <c r="Y33" i="40"/>
  <c r="AQ33" i="40" s="1"/>
  <c r="Q33" i="40"/>
  <c r="N33" i="40"/>
  <c r="L33" i="40"/>
  <c r="K33" i="40"/>
  <c r="AK32" i="40"/>
  <c r="AJ32" i="40"/>
  <c r="AI32" i="40"/>
  <c r="AH32" i="40"/>
  <c r="AG32" i="40"/>
  <c r="AD32" i="40"/>
  <c r="AC32" i="40"/>
  <c r="X32" i="40"/>
  <c r="W32" i="40"/>
  <c r="V32" i="40"/>
  <c r="T32" i="40"/>
  <c r="S32" i="40"/>
  <c r="P32" i="40"/>
  <c r="O32" i="40"/>
  <c r="M32" i="40"/>
  <c r="J32" i="40"/>
  <c r="AM31" i="40"/>
  <c r="AW31" i="40" s="1"/>
  <c r="AL31" i="40"/>
  <c r="AV31" i="40" s="1"/>
  <c r="AE31" i="40"/>
  <c r="AT31" i="40" s="1"/>
  <c r="Y31" i="40"/>
  <c r="Q31" i="40"/>
  <c r="U31" i="40" s="1"/>
  <c r="AB31" i="40" s="1"/>
  <c r="N31" i="40"/>
  <c r="L31" i="40"/>
  <c r="K31" i="40"/>
  <c r="AM30" i="40"/>
  <c r="AW30" i="40" s="1"/>
  <c r="AL30" i="40"/>
  <c r="AE30" i="40"/>
  <c r="Y30" i="40"/>
  <c r="Q30" i="40"/>
  <c r="N30" i="40"/>
  <c r="L30" i="40"/>
  <c r="K30" i="40"/>
  <c r="AW29" i="40"/>
  <c r="AM29" i="40"/>
  <c r="AL29" i="40"/>
  <c r="AV29" i="40" s="1"/>
  <c r="AE29" i="40"/>
  <c r="AT29" i="40" s="1"/>
  <c r="Y29" i="40"/>
  <c r="AQ29" i="40" s="1"/>
  <c r="Q29" i="40"/>
  <c r="U29" i="40" s="1"/>
  <c r="N29" i="40"/>
  <c r="L29" i="40"/>
  <c r="K29" i="40"/>
  <c r="AM28" i="40"/>
  <c r="AM172" i="40" s="1"/>
  <c r="AL28" i="40"/>
  <c r="AL172" i="40" s="1"/>
  <c r="AE28" i="40"/>
  <c r="Y28" i="40"/>
  <c r="Q28" i="40"/>
  <c r="Q172" i="40" s="1"/>
  <c r="N28" i="40"/>
  <c r="N172" i="40" s="1"/>
  <c r="L28" i="40"/>
  <c r="K28" i="40"/>
  <c r="K172" i="40" s="1"/>
  <c r="AM27" i="40"/>
  <c r="AW27" i="40" s="1"/>
  <c r="AI27" i="40"/>
  <c r="AI169" i="40" s="1"/>
  <c r="AE27" i="40"/>
  <c r="AT27" i="40" s="1"/>
  <c r="Y27" i="40"/>
  <c r="AQ27" i="40" s="1"/>
  <c r="R27" i="40"/>
  <c r="R169" i="40" s="1"/>
  <c r="Q27" i="40"/>
  <c r="U27" i="40" s="1"/>
  <c r="N27" i="40"/>
  <c r="I27" i="40"/>
  <c r="AM26" i="40"/>
  <c r="AW26" i="40" s="1"/>
  <c r="AL26" i="40"/>
  <c r="AV26" i="40" s="1"/>
  <c r="AE26" i="40"/>
  <c r="Y26" i="40"/>
  <c r="Q26" i="40"/>
  <c r="N26" i="40"/>
  <c r="L26" i="40"/>
  <c r="K26" i="40"/>
  <c r="AK25" i="40"/>
  <c r="AJ25" i="40"/>
  <c r="AI25" i="40"/>
  <c r="AH25" i="40"/>
  <c r="AG25" i="40"/>
  <c r="AD25" i="40"/>
  <c r="AC25" i="40"/>
  <c r="X25" i="40"/>
  <c r="W25" i="40"/>
  <c r="V25" i="40"/>
  <c r="T25" i="40"/>
  <c r="S25" i="40"/>
  <c r="R25" i="40"/>
  <c r="P25" i="40"/>
  <c r="O25" i="40"/>
  <c r="M25" i="40"/>
  <c r="J25" i="40"/>
  <c r="AM24" i="40"/>
  <c r="AL24" i="40"/>
  <c r="AE24" i="40"/>
  <c r="AE177" i="40" s="1"/>
  <c r="Y24" i="40"/>
  <c r="Y177" i="40" s="1"/>
  <c r="Q24" i="40"/>
  <c r="Q25" i="40" s="1"/>
  <c r="N24" i="40"/>
  <c r="L24" i="40"/>
  <c r="L177" i="40" s="1"/>
  <c r="K24" i="40"/>
  <c r="K177" i="40" s="1"/>
  <c r="AK23" i="40"/>
  <c r="AJ23" i="40"/>
  <c r="AH23" i="40"/>
  <c r="AG23" i="40"/>
  <c r="AD23" i="40"/>
  <c r="AC23" i="40"/>
  <c r="X23" i="40"/>
  <c r="W23" i="40"/>
  <c r="V23" i="40"/>
  <c r="T23" i="40"/>
  <c r="S23" i="40"/>
  <c r="R23" i="40"/>
  <c r="P23" i="40"/>
  <c r="O23" i="40"/>
  <c r="M23" i="40"/>
  <c r="J23" i="40"/>
  <c r="AM22" i="40"/>
  <c r="AW22" i="40" s="1"/>
  <c r="AL22" i="40"/>
  <c r="AE22" i="40"/>
  <c r="AT22" i="40" s="1"/>
  <c r="Y22" i="40"/>
  <c r="AQ22" i="40" s="1"/>
  <c r="Q22" i="40"/>
  <c r="U22" i="40" s="1"/>
  <c r="N22" i="40"/>
  <c r="L22" i="40"/>
  <c r="K22" i="40"/>
  <c r="AM21" i="40"/>
  <c r="AW21" i="40" s="1"/>
  <c r="AL21" i="40"/>
  <c r="AI21" i="40"/>
  <c r="AI168" i="40" s="1"/>
  <c r="AE21" i="40"/>
  <c r="AT21" i="40" s="1"/>
  <c r="Y21" i="40"/>
  <c r="AQ21" i="40" s="1"/>
  <c r="R21" i="40"/>
  <c r="R168" i="40" s="1"/>
  <c r="Q21" i="40"/>
  <c r="U21" i="40" s="1"/>
  <c r="N21" i="40"/>
  <c r="I21" i="40"/>
  <c r="AM20" i="40"/>
  <c r="AL20" i="40"/>
  <c r="AE20" i="40"/>
  <c r="Y20" i="40"/>
  <c r="AQ20" i="40" s="1"/>
  <c r="Q20" i="40"/>
  <c r="N20" i="40"/>
  <c r="L20" i="40"/>
  <c r="K20" i="40"/>
  <c r="AK19" i="40"/>
  <c r="AJ19" i="40"/>
  <c r="AI19" i="40"/>
  <c r="AH19" i="40"/>
  <c r="AG19" i="40"/>
  <c r="AD19" i="40"/>
  <c r="AC19" i="40"/>
  <c r="X19" i="40"/>
  <c r="W19" i="40"/>
  <c r="V19" i="40"/>
  <c r="T19" i="40"/>
  <c r="S19" i="40"/>
  <c r="R19" i="40"/>
  <c r="P19" i="40"/>
  <c r="O19" i="40"/>
  <c r="M19" i="40"/>
  <c r="J19" i="40"/>
  <c r="AM18" i="40"/>
  <c r="AW18" i="40" s="1"/>
  <c r="AL18" i="40"/>
  <c r="AN18" i="40" s="1"/>
  <c r="AE18" i="40"/>
  <c r="AT18" i="40" s="1"/>
  <c r="Y18" i="40"/>
  <c r="AQ18" i="40" s="1"/>
  <c r="Q18" i="40"/>
  <c r="U18" i="40" s="1"/>
  <c r="N18" i="40"/>
  <c r="L18" i="40"/>
  <c r="K18" i="40"/>
  <c r="AM17" i="40"/>
  <c r="AW17" i="40" s="1"/>
  <c r="AL17" i="40"/>
  <c r="AV17" i="40" s="1"/>
  <c r="AE17" i="40"/>
  <c r="AT17" i="40" s="1"/>
  <c r="Y17" i="40"/>
  <c r="AQ17" i="40" s="1"/>
  <c r="Q17" i="40"/>
  <c r="U17" i="40" s="1"/>
  <c r="N17" i="40"/>
  <c r="L17" i="40"/>
  <c r="K17" i="40"/>
  <c r="AM16" i="40"/>
  <c r="AW16" i="40" s="1"/>
  <c r="AL16" i="40"/>
  <c r="AE16" i="40"/>
  <c r="AT16" i="40" s="1"/>
  <c r="Y16" i="40"/>
  <c r="AQ16" i="40" s="1"/>
  <c r="Q16" i="40"/>
  <c r="N16" i="40"/>
  <c r="L16" i="40"/>
  <c r="K16" i="40"/>
  <c r="AK15" i="40"/>
  <c r="AJ15" i="40"/>
  <c r="AI15" i="40"/>
  <c r="AH15" i="40"/>
  <c r="AG15" i="40"/>
  <c r="AD15" i="40"/>
  <c r="AC15" i="40"/>
  <c r="X15" i="40"/>
  <c r="W15" i="40"/>
  <c r="V15" i="40"/>
  <c r="T15" i="40"/>
  <c r="S15" i="40"/>
  <c r="R15" i="40"/>
  <c r="P15" i="40"/>
  <c r="O15" i="40"/>
  <c r="M15" i="40"/>
  <c r="J15" i="40"/>
  <c r="AM14" i="40"/>
  <c r="AW14" i="40" s="1"/>
  <c r="AL14" i="40"/>
  <c r="AV14" i="40" s="1"/>
  <c r="AE14" i="40"/>
  <c r="Y14" i="40"/>
  <c r="Q14" i="40"/>
  <c r="U14" i="40" s="1"/>
  <c r="AP14" i="40" s="1"/>
  <c r="N14" i="40"/>
  <c r="L14" i="40"/>
  <c r="K14" i="40"/>
  <c r="AM13" i="40"/>
  <c r="AW13" i="40" s="1"/>
  <c r="AL13" i="40"/>
  <c r="AE13" i="40"/>
  <c r="AT13" i="40" s="1"/>
  <c r="Y13" i="40"/>
  <c r="AQ13" i="40" s="1"/>
  <c r="U13" i="40"/>
  <c r="AB13" i="40" s="1"/>
  <c r="Q13" i="40"/>
  <c r="N13" i="40"/>
  <c r="L13" i="40"/>
  <c r="K13" i="40"/>
  <c r="AM12" i="40"/>
  <c r="AW12" i="40" s="1"/>
  <c r="AL12" i="40"/>
  <c r="AV12" i="40" s="1"/>
  <c r="AE12" i="40"/>
  <c r="Y12" i="40"/>
  <c r="Q12" i="40"/>
  <c r="U12" i="40" s="1"/>
  <c r="N12" i="40"/>
  <c r="L12" i="40"/>
  <c r="K12" i="40"/>
  <c r="AK136" i="39"/>
  <c r="AJ136" i="39"/>
  <c r="AI136" i="39"/>
  <c r="AH136" i="39"/>
  <c r="AG136" i="39"/>
  <c r="AD136" i="39"/>
  <c r="AC136" i="39"/>
  <c r="X136" i="39"/>
  <c r="W136" i="39"/>
  <c r="V136" i="39"/>
  <c r="T136" i="39"/>
  <c r="S136" i="39"/>
  <c r="R136" i="39"/>
  <c r="P136" i="39"/>
  <c r="O136" i="39"/>
  <c r="M136" i="39"/>
  <c r="J136" i="39"/>
  <c r="AK135" i="39"/>
  <c r="AJ135" i="39"/>
  <c r="AI135" i="39"/>
  <c r="AH135" i="39"/>
  <c r="AG135" i="39"/>
  <c r="AD135" i="39"/>
  <c r="AC135" i="39"/>
  <c r="X135" i="39"/>
  <c r="W135" i="39"/>
  <c r="V135" i="39"/>
  <c r="T135" i="39"/>
  <c r="S135" i="39"/>
  <c r="R135" i="39"/>
  <c r="P135" i="39"/>
  <c r="O135" i="39"/>
  <c r="M135" i="39"/>
  <c r="J135" i="39"/>
  <c r="AK134" i="39"/>
  <c r="AJ134" i="39"/>
  <c r="AI134" i="39"/>
  <c r="AH134" i="39"/>
  <c r="AG134" i="39"/>
  <c r="AD134" i="39"/>
  <c r="AC134" i="39"/>
  <c r="X134" i="39"/>
  <c r="W134" i="39"/>
  <c r="V134" i="39"/>
  <c r="T134" i="39"/>
  <c r="S134" i="39"/>
  <c r="R134" i="39"/>
  <c r="P134" i="39"/>
  <c r="O134" i="39"/>
  <c r="M134" i="39"/>
  <c r="J134" i="39"/>
  <c r="AK133" i="39"/>
  <c r="AJ133" i="39"/>
  <c r="AI133" i="39"/>
  <c r="AH133" i="39"/>
  <c r="AG133" i="39"/>
  <c r="AD133" i="39"/>
  <c r="AC133" i="39"/>
  <c r="X133" i="39"/>
  <c r="W133" i="39"/>
  <c r="V133" i="39"/>
  <c r="T133" i="39"/>
  <c r="S133" i="39"/>
  <c r="R133" i="39"/>
  <c r="P133" i="39"/>
  <c r="O133" i="39"/>
  <c r="M133" i="39"/>
  <c r="J133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AW131" i="39"/>
  <c r="AV131" i="39"/>
  <c r="AU131" i="39"/>
  <c r="AT131" i="39"/>
  <c r="AS131" i="39"/>
  <c r="AR131" i="39"/>
  <c r="AQ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AK130" i="39"/>
  <c r="AJ130" i="39"/>
  <c r="AH130" i="39"/>
  <c r="AG130" i="39"/>
  <c r="AD130" i="39"/>
  <c r="AC130" i="39"/>
  <c r="X130" i="39"/>
  <c r="W130" i="39"/>
  <c r="V130" i="39"/>
  <c r="T130" i="39"/>
  <c r="S130" i="39"/>
  <c r="P130" i="39"/>
  <c r="O130" i="39"/>
  <c r="M130" i="39"/>
  <c r="J130" i="39"/>
  <c r="AK129" i="39"/>
  <c r="AJ129" i="39"/>
  <c r="AI129" i="39"/>
  <c r="AH129" i="39"/>
  <c r="AG129" i="39"/>
  <c r="AD129" i="39"/>
  <c r="AC129" i="39"/>
  <c r="X129" i="39"/>
  <c r="W129" i="39"/>
  <c r="V129" i="39"/>
  <c r="T129" i="39"/>
  <c r="S129" i="39"/>
  <c r="R129" i="39"/>
  <c r="P129" i="39"/>
  <c r="O129" i="39"/>
  <c r="M129" i="39"/>
  <c r="J129" i="39"/>
  <c r="AK128" i="39"/>
  <c r="AJ128" i="39"/>
  <c r="AH128" i="39"/>
  <c r="AG128" i="39"/>
  <c r="AD128" i="39"/>
  <c r="AC128" i="39"/>
  <c r="X128" i="39"/>
  <c r="W128" i="39"/>
  <c r="V128" i="39"/>
  <c r="T128" i="39"/>
  <c r="S128" i="39"/>
  <c r="P128" i="39"/>
  <c r="O128" i="39"/>
  <c r="M128" i="39"/>
  <c r="J128" i="39"/>
  <c r="AK127" i="39"/>
  <c r="AJ127" i="39"/>
  <c r="AH127" i="39"/>
  <c r="AG127" i="39"/>
  <c r="AD127" i="39"/>
  <c r="AC127" i="39"/>
  <c r="X127" i="39"/>
  <c r="W127" i="39"/>
  <c r="V127" i="39"/>
  <c r="T127" i="39"/>
  <c r="S127" i="39"/>
  <c r="P127" i="39"/>
  <c r="O127" i="39"/>
  <c r="M127" i="39"/>
  <c r="J127" i="39"/>
  <c r="AK122" i="39"/>
  <c r="AJ122" i="39"/>
  <c r="AI122" i="39"/>
  <c r="AH122" i="39"/>
  <c r="AG122" i="39"/>
  <c r="AD122" i="39"/>
  <c r="AC122" i="39"/>
  <c r="X122" i="39"/>
  <c r="W122" i="39"/>
  <c r="V122" i="39"/>
  <c r="T122" i="39"/>
  <c r="S122" i="39"/>
  <c r="R122" i="39"/>
  <c r="P122" i="39"/>
  <c r="O122" i="39"/>
  <c r="M122" i="39"/>
  <c r="J122" i="39"/>
  <c r="AM121" i="39"/>
  <c r="AW121" i="39" s="1"/>
  <c r="AL121" i="39"/>
  <c r="AE121" i="39"/>
  <c r="AT121" i="39" s="1"/>
  <c r="Y121" i="39"/>
  <c r="AQ121" i="39" s="1"/>
  <c r="Q121" i="39"/>
  <c r="U121" i="39" s="1"/>
  <c r="N121" i="39"/>
  <c r="L121" i="39"/>
  <c r="K121" i="39"/>
  <c r="I121" i="39" s="1"/>
  <c r="AM120" i="39"/>
  <c r="AW120" i="39" s="1"/>
  <c r="AL120" i="39"/>
  <c r="AE120" i="39"/>
  <c r="AT120" i="39" s="1"/>
  <c r="Y120" i="39"/>
  <c r="AQ120" i="39" s="1"/>
  <c r="Q120" i="39"/>
  <c r="U120" i="39" s="1"/>
  <c r="AA120" i="39" s="1"/>
  <c r="N120" i="39"/>
  <c r="L120" i="39"/>
  <c r="K120" i="39"/>
  <c r="AM119" i="39"/>
  <c r="AL119" i="39"/>
  <c r="AE119" i="39"/>
  <c r="AT119" i="39" s="1"/>
  <c r="Y119" i="39"/>
  <c r="AQ119" i="39" s="1"/>
  <c r="Q119" i="39"/>
  <c r="U119" i="39" s="1"/>
  <c r="AB119" i="39" s="1"/>
  <c r="N119" i="39"/>
  <c r="L119" i="39"/>
  <c r="K119" i="39"/>
  <c r="AM118" i="39"/>
  <c r="AW118" i="39" s="1"/>
  <c r="AL118" i="39"/>
  <c r="AE118" i="39"/>
  <c r="AE122" i="39" s="1"/>
  <c r="Y118" i="39"/>
  <c r="Q118" i="39"/>
  <c r="N118" i="39"/>
  <c r="L118" i="39"/>
  <c r="K118" i="39"/>
  <c r="AK117" i="39"/>
  <c r="AJ117" i="39"/>
  <c r="AI117" i="39"/>
  <c r="AH117" i="39"/>
  <c r="AG117" i="39"/>
  <c r="AD117" i="39"/>
  <c r="AC117" i="39"/>
  <c r="X117" i="39"/>
  <c r="W117" i="39"/>
  <c r="V117" i="39"/>
  <c r="T117" i="39"/>
  <c r="S117" i="39"/>
  <c r="R117" i="39"/>
  <c r="P117" i="39"/>
  <c r="O117" i="39"/>
  <c r="M117" i="39"/>
  <c r="J117" i="39"/>
  <c r="AM116" i="39"/>
  <c r="AW116" i="39" s="1"/>
  <c r="AL116" i="39"/>
  <c r="AE116" i="39"/>
  <c r="AT116" i="39" s="1"/>
  <c r="Y116" i="39"/>
  <c r="Q116" i="39"/>
  <c r="U116" i="39" s="1"/>
  <c r="AB116" i="39" s="1"/>
  <c r="N116" i="39"/>
  <c r="L116" i="39"/>
  <c r="K116" i="39"/>
  <c r="AM115" i="39"/>
  <c r="AL115" i="39"/>
  <c r="AV115" i="39" s="1"/>
  <c r="AE115" i="39"/>
  <c r="Y115" i="39"/>
  <c r="AQ115" i="39" s="1"/>
  <c r="Q115" i="39"/>
  <c r="N115" i="39"/>
  <c r="L115" i="39"/>
  <c r="K115" i="39"/>
  <c r="AK114" i="39"/>
  <c r="AJ114" i="39"/>
  <c r="AI114" i="39"/>
  <c r="AH114" i="39"/>
  <c r="AG114" i="39"/>
  <c r="AD114" i="39"/>
  <c r="AC114" i="39"/>
  <c r="X114" i="39"/>
  <c r="W114" i="39"/>
  <c r="V114" i="39"/>
  <c r="T114" i="39"/>
  <c r="S114" i="39"/>
  <c r="R114" i="39"/>
  <c r="P114" i="39"/>
  <c r="O114" i="39"/>
  <c r="M114" i="39"/>
  <c r="J114" i="39"/>
  <c r="AM113" i="39"/>
  <c r="AL113" i="39"/>
  <c r="AV113" i="39" s="1"/>
  <c r="AE113" i="39"/>
  <c r="AT113" i="39" s="1"/>
  <c r="Y113" i="39"/>
  <c r="AQ113" i="39" s="1"/>
  <c r="Q113" i="39"/>
  <c r="U113" i="39" s="1"/>
  <c r="N113" i="39"/>
  <c r="L113" i="39"/>
  <c r="K113" i="39"/>
  <c r="AM112" i="39"/>
  <c r="AL112" i="39"/>
  <c r="AV112" i="39" s="1"/>
  <c r="AE112" i="39"/>
  <c r="AT112" i="39" s="1"/>
  <c r="Y112" i="39"/>
  <c r="AQ112" i="39" s="1"/>
  <c r="Q112" i="39"/>
  <c r="U112" i="39" s="1"/>
  <c r="N112" i="39"/>
  <c r="L112" i="39"/>
  <c r="K112" i="39"/>
  <c r="AM111" i="39"/>
  <c r="AL111" i="39"/>
  <c r="AV111" i="39" s="1"/>
  <c r="AE111" i="39"/>
  <c r="AT111" i="39" s="1"/>
  <c r="Y111" i="39"/>
  <c r="AQ111" i="39" s="1"/>
  <c r="Q111" i="39"/>
  <c r="U111" i="39" s="1"/>
  <c r="AB111" i="39" s="1"/>
  <c r="N111" i="39"/>
  <c r="L111" i="39"/>
  <c r="K111" i="39"/>
  <c r="AM110" i="39"/>
  <c r="AL110" i="39"/>
  <c r="AV110" i="39" s="1"/>
  <c r="AE110" i="39"/>
  <c r="Y110" i="39"/>
  <c r="AQ110" i="39" s="1"/>
  <c r="Q110" i="39"/>
  <c r="U110" i="39" s="1"/>
  <c r="AB110" i="39" s="1"/>
  <c r="AS110" i="39" s="1"/>
  <c r="N110" i="39"/>
  <c r="I110" i="39"/>
  <c r="AM109" i="39"/>
  <c r="AW109" i="39" s="1"/>
  <c r="AL109" i="39"/>
  <c r="AE109" i="39"/>
  <c r="AT109" i="39" s="1"/>
  <c r="Y109" i="39"/>
  <c r="AQ109" i="39" s="1"/>
  <c r="Q109" i="39"/>
  <c r="U109" i="39" s="1"/>
  <c r="AB109" i="39" s="1"/>
  <c r="N109" i="39"/>
  <c r="L109" i="39"/>
  <c r="K109" i="39"/>
  <c r="AM108" i="39"/>
  <c r="AW108" i="39" s="1"/>
  <c r="AL108" i="39"/>
  <c r="AE108" i="39"/>
  <c r="AT108" i="39" s="1"/>
  <c r="Y108" i="39"/>
  <c r="AQ108" i="39" s="1"/>
  <c r="Q108" i="39"/>
  <c r="N108" i="39"/>
  <c r="L108" i="39"/>
  <c r="K108" i="39"/>
  <c r="AK107" i="39"/>
  <c r="AJ107" i="39"/>
  <c r="AI107" i="39"/>
  <c r="AH107" i="39"/>
  <c r="AG107" i="39"/>
  <c r="AD107" i="39"/>
  <c r="AC107" i="39"/>
  <c r="X107" i="39"/>
  <c r="W107" i="39"/>
  <c r="V107" i="39"/>
  <c r="T107" i="39"/>
  <c r="S107" i="39"/>
  <c r="R107" i="39"/>
  <c r="P107" i="39"/>
  <c r="O107" i="39"/>
  <c r="M107" i="39"/>
  <c r="J107" i="39"/>
  <c r="AM106" i="39"/>
  <c r="AW106" i="39" s="1"/>
  <c r="AL106" i="39"/>
  <c r="AE106" i="39"/>
  <c r="AT106" i="39" s="1"/>
  <c r="Y106" i="39"/>
  <c r="AQ106" i="39" s="1"/>
  <c r="Q106" i="39"/>
  <c r="U106" i="39" s="1"/>
  <c r="AP106" i="39" s="1"/>
  <c r="N106" i="39"/>
  <c r="L106" i="39"/>
  <c r="K106" i="39"/>
  <c r="AM105" i="39"/>
  <c r="AW105" i="39" s="1"/>
  <c r="AL105" i="39"/>
  <c r="AE105" i="39"/>
  <c r="AT105" i="39" s="1"/>
  <c r="Y105" i="39"/>
  <c r="AQ105" i="39" s="1"/>
  <c r="Q105" i="39"/>
  <c r="U105" i="39" s="1"/>
  <c r="N105" i="39"/>
  <c r="L105" i="39"/>
  <c r="K105" i="39"/>
  <c r="AM104" i="39"/>
  <c r="AW104" i="39" s="1"/>
  <c r="AL104" i="39"/>
  <c r="AE104" i="39"/>
  <c r="AT104" i="39" s="1"/>
  <c r="Y104" i="39"/>
  <c r="AQ104" i="39" s="1"/>
  <c r="Q104" i="39"/>
  <c r="U104" i="39" s="1"/>
  <c r="N104" i="39"/>
  <c r="L104" i="39"/>
  <c r="K104" i="39"/>
  <c r="AM103" i="39"/>
  <c r="AL103" i="39"/>
  <c r="AE103" i="39"/>
  <c r="AT103" i="39" s="1"/>
  <c r="Y103" i="39"/>
  <c r="AQ103" i="39" s="1"/>
  <c r="Q103" i="39"/>
  <c r="U103" i="39" s="1"/>
  <c r="AP103" i="39" s="1"/>
  <c r="N103" i="39"/>
  <c r="I103" i="39"/>
  <c r="AM102" i="39"/>
  <c r="AW102" i="39" s="1"/>
  <c r="AL102" i="39"/>
  <c r="AE102" i="39"/>
  <c r="AT102" i="39" s="1"/>
  <c r="Y102" i="39"/>
  <c r="Q102" i="39"/>
  <c r="U102" i="39" s="1"/>
  <c r="N102" i="39"/>
  <c r="L102" i="39"/>
  <c r="K102" i="39"/>
  <c r="AM101" i="39"/>
  <c r="AW101" i="39" s="1"/>
  <c r="AL101" i="39"/>
  <c r="AV101" i="39" s="1"/>
  <c r="AE101" i="39"/>
  <c r="Y101" i="39"/>
  <c r="Q101" i="39"/>
  <c r="U101" i="39" s="1"/>
  <c r="N101" i="39"/>
  <c r="L101" i="39"/>
  <c r="K101" i="39"/>
  <c r="AK100" i="39"/>
  <c r="AJ100" i="39"/>
  <c r="AI100" i="39"/>
  <c r="AH100" i="39"/>
  <c r="AG100" i="39"/>
  <c r="AD100" i="39"/>
  <c r="AC100" i="39"/>
  <c r="X100" i="39"/>
  <c r="W100" i="39"/>
  <c r="V100" i="39"/>
  <c r="T100" i="39"/>
  <c r="S100" i="39"/>
  <c r="R100" i="39"/>
  <c r="P100" i="39"/>
  <c r="O100" i="39"/>
  <c r="M100" i="39"/>
  <c r="J100" i="39"/>
  <c r="AM99" i="39"/>
  <c r="AW99" i="39" s="1"/>
  <c r="AL99" i="39"/>
  <c r="AE99" i="39"/>
  <c r="AT99" i="39" s="1"/>
  <c r="Y99" i="39"/>
  <c r="AQ99" i="39" s="1"/>
  <c r="Q99" i="39"/>
  <c r="U99" i="39" s="1"/>
  <c r="N99" i="39"/>
  <c r="L99" i="39"/>
  <c r="K99" i="39"/>
  <c r="AM98" i="39"/>
  <c r="AW98" i="39" s="1"/>
  <c r="AL98" i="39"/>
  <c r="AE98" i="39"/>
  <c r="AT98" i="39" s="1"/>
  <c r="Y98" i="39"/>
  <c r="AQ98" i="39" s="1"/>
  <c r="Q98" i="39"/>
  <c r="U98" i="39" s="1"/>
  <c r="N98" i="39"/>
  <c r="L98" i="39"/>
  <c r="K98" i="39"/>
  <c r="AW97" i="39"/>
  <c r="AM97" i="39"/>
  <c r="AL97" i="39"/>
  <c r="AE97" i="39"/>
  <c r="AT97" i="39" s="1"/>
  <c r="Y97" i="39"/>
  <c r="AQ97" i="39" s="1"/>
  <c r="Q97" i="39"/>
  <c r="U97" i="39" s="1"/>
  <c r="N97" i="39"/>
  <c r="L97" i="39"/>
  <c r="K97" i="39"/>
  <c r="AM96" i="39"/>
  <c r="AW96" i="39" s="1"/>
  <c r="AL96" i="39"/>
  <c r="AE96" i="39"/>
  <c r="AT96" i="39" s="1"/>
  <c r="Y96" i="39"/>
  <c r="AQ96" i="39" s="1"/>
  <c r="Q96" i="39"/>
  <c r="U96" i="39" s="1"/>
  <c r="AP96" i="39" s="1"/>
  <c r="N96" i="39"/>
  <c r="I96" i="39"/>
  <c r="AM95" i="39"/>
  <c r="AW95" i="39" s="1"/>
  <c r="AL95" i="39"/>
  <c r="AV95" i="39" s="1"/>
  <c r="AE95" i="39"/>
  <c r="AT95" i="39" s="1"/>
  <c r="Y95" i="39"/>
  <c r="AQ95" i="39" s="1"/>
  <c r="Q95" i="39"/>
  <c r="U95" i="39" s="1"/>
  <c r="N95" i="39"/>
  <c r="L95" i="39"/>
  <c r="K95" i="39"/>
  <c r="AW94" i="39"/>
  <c r="AM94" i="39"/>
  <c r="AL94" i="39"/>
  <c r="AV94" i="39" s="1"/>
  <c r="AE94" i="39"/>
  <c r="Y94" i="39"/>
  <c r="AQ94" i="39" s="1"/>
  <c r="Q94" i="39"/>
  <c r="U94" i="39" s="1"/>
  <c r="N94" i="39"/>
  <c r="L94" i="39"/>
  <c r="K94" i="39"/>
  <c r="AK93" i="39"/>
  <c r="AJ93" i="39"/>
  <c r="AI93" i="39"/>
  <c r="AH93" i="39"/>
  <c r="AG93" i="39"/>
  <c r="AD93" i="39"/>
  <c r="AC93" i="39"/>
  <c r="X93" i="39"/>
  <c r="W93" i="39"/>
  <c r="V93" i="39"/>
  <c r="T93" i="39"/>
  <c r="S93" i="39"/>
  <c r="P93" i="39"/>
  <c r="O93" i="39"/>
  <c r="M93" i="39"/>
  <c r="J93" i="39"/>
  <c r="AM92" i="39"/>
  <c r="AW92" i="39" s="1"/>
  <c r="AL92" i="39"/>
  <c r="AE92" i="39"/>
  <c r="AT92" i="39" s="1"/>
  <c r="Y92" i="39"/>
  <c r="AQ92" i="39" s="1"/>
  <c r="Q92" i="39"/>
  <c r="U92" i="39" s="1"/>
  <c r="AB92" i="39" s="1"/>
  <c r="N92" i="39"/>
  <c r="L92" i="39"/>
  <c r="K92" i="39"/>
  <c r="AM91" i="39"/>
  <c r="AW91" i="39" s="1"/>
  <c r="AL91" i="39"/>
  <c r="AV91" i="39" s="1"/>
  <c r="AE91" i="39"/>
  <c r="AT91" i="39" s="1"/>
  <c r="Y91" i="39"/>
  <c r="AQ91" i="39" s="1"/>
  <c r="Q91" i="39"/>
  <c r="U91" i="39" s="1"/>
  <c r="AB91" i="39" s="1"/>
  <c r="N91" i="39"/>
  <c r="L91" i="39"/>
  <c r="K91" i="39"/>
  <c r="AW90" i="39"/>
  <c r="AM90" i="39"/>
  <c r="AL90" i="39"/>
  <c r="AV90" i="39" s="1"/>
  <c r="AE90" i="39"/>
  <c r="AT90" i="39" s="1"/>
  <c r="Y90" i="39"/>
  <c r="AQ90" i="39" s="1"/>
  <c r="Q90" i="39"/>
  <c r="U90" i="39" s="1"/>
  <c r="AB90" i="39" s="1"/>
  <c r="N90" i="39"/>
  <c r="L90" i="39"/>
  <c r="K90" i="39"/>
  <c r="AM89" i="39"/>
  <c r="AW89" i="39" s="1"/>
  <c r="AL89" i="39"/>
  <c r="AI89" i="39"/>
  <c r="AE89" i="39"/>
  <c r="AT89" i="39" s="1"/>
  <c r="Y89" i="39"/>
  <c r="AQ89" i="39" s="1"/>
  <c r="U89" i="39"/>
  <c r="AA89" i="39" s="1"/>
  <c r="AR89" i="39" s="1"/>
  <c r="R89" i="39"/>
  <c r="R93" i="39" s="1"/>
  <c r="Q89" i="39"/>
  <c r="N89" i="39"/>
  <c r="I89" i="39"/>
  <c r="AM88" i="39"/>
  <c r="AW88" i="39" s="1"/>
  <c r="AL88" i="39"/>
  <c r="AE88" i="39"/>
  <c r="AT88" i="39" s="1"/>
  <c r="Y88" i="39"/>
  <c r="Q88" i="39"/>
  <c r="U88" i="39" s="1"/>
  <c r="AP88" i="39" s="1"/>
  <c r="N88" i="39"/>
  <c r="L88" i="39"/>
  <c r="K88" i="39"/>
  <c r="AM87" i="39"/>
  <c r="AW87" i="39" s="1"/>
  <c r="AL87" i="39"/>
  <c r="AE87" i="39"/>
  <c r="Y87" i="39"/>
  <c r="AQ87" i="39" s="1"/>
  <c r="Q87" i="39"/>
  <c r="U87" i="39" s="1"/>
  <c r="N87" i="39"/>
  <c r="L87" i="39"/>
  <c r="K87" i="39"/>
  <c r="AK86" i="39"/>
  <c r="AJ86" i="39"/>
  <c r="AI86" i="39"/>
  <c r="AH86" i="39"/>
  <c r="AG86" i="39"/>
  <c r="AD86" i="39"/>
  <c r="AC86" i="39"/>
  <c r="X86" i="39"/>
  <c r="W86" i="39"/>
  <c r="V86" i="39"/>
  <c r="T86" i="39"/>
  <c r="S86" i="39"/>
  <c r="R86" i="39"/>
  <c r="P86" i="39"/>
  <c r="O86" i="39"/>
  <c r="M86" i="39"/>
  <c r="J86" i="39"/>
  <c r="AM85" i="39"/>
  <c r="AW85" i="39" s="1"/>
  <c r="AL85" i="39"/>
  <c r="AE85" i="39"/>
  <c r="AT85" i="39" s="1"/>
  <c r="Y85" i="39"/>
  <c r="AQ85" i="39" s="1"/>
  <c r="Q85" i="39"/>
  <c r="U85" i="39" s="1"/>
  <c r="AP85" i="39" s="1"/>
  <c r="N85" i="39"/>
  <c r="L85" i="39"/>
  <c r="K85" i="39"/>
  <c r="AW84" i="39"/>
  <c r="AM84" i="39"/>
  <c r="AL84" i="39"/>
  <c r="AV84" i="39" s="1"/>
  <c r="AE84" i="39"/>
  <c r="AT84" i="39" s="1"/>
  <c r="Y84" i="39"/>
  <c r="AQ84" i="39" s="1"/>
  <c r="Q84" i="39"/>
  <c r="U84" i="39" s="1"/>
  <c r="N84" i="39"/>
  <c r="L84" i="39"/>
  <c r="K84" i="39"/>
  <c r="AM83" i="39"/>
  <c r="AW83" i="39" s="1"/>
  <c r="AL83" i="39"/>
  <c r="AV83" i="39" s="1"/>
  <c r="AE83" i="39"/>
  <c r="AT83" i="39" s="1"/>
  <c r="Y83" i="39"/>
  <c r="AQ83" i="39" s="1"/>
  <c r="Q83" i="39"/>
  <c r="U83" i="39" s="1"/>
  <c r="N83" i="39"/>
  <c r="L83" i="39"/>
  <c r="K83" i="39"/>
  <c r="AM82" i="39"/>
  <c r="AW82" i="39" s="1"/>
  <c r="AL82" i="39"/>
  <c r="AV82" i="39" s="1"/>
  <c r="AE82" i="39"/>
  <c r="AT82" i="39" s="1"/>
  <c r="Y82" i="39"/>
  <c r="Q82" i="39"/>
  <c r="U82" i="39" s="1"/>
  <c r="N82" i="39"/>
  <c r="I82" i="39"/>
  <c r="AM81" i="39"/>
  <c r="AL81" i="39"/>
  <c r="AV81" i="39" s="1"/>
  <c r="AE81" i="39"/>
  <c r="AT81" i="39" s="1"/>
  <c r="Y81" i="39"/>
  <c r="AQ81" i="39" s="1"/>
  <c r="Q81" i="39"/>
  <c r="U81" i="39" s="1"/>
  <c r="AB81" i="39" s="1"/>
  <c r="N81" i="39"/>
  <c r="L81" i="39"/>
  <c r="K81" i="39"/>
  <c r="AM80" i="39"/>
  <c r="AL80" i="39"/>
  <c r="AV80" i="39" s="1"/>
  <c r="AE80" i="39"/>
  <c r="Y80" i="39"/>
  <c r="AQ80" i="39" s="1"/>
  <c r="Q80" i="39"/>
  <c r="N80" i="39"/>
  <c r="L80" i="39"/>
  <c r="K80" i="39"/>
  <c r="AT79" i="39"/>
  <c r="AS79" i="39"/>
  <c r="AQ79" i="39"/>
  <c r="AK79" i="39"/>
  <c r="AJ79" i="39"/>
  <c r="AI79" i="39"/>
  <c r="AH79" i="39"/>
  <c r="AG79" i="39"/>
  <c r="AD79" i="39"/>
  <c r="AC79" i="39"/>
  <c r="X79" i="39"/>
  <c r="W79" i="39"/>
  <c r="V79" i="39"/>
  <c r="T79" i="39"/>
  <c r="S79" i="39"/>
  <c r="R79" i="39"/>
  <c r="P79" i="39"/>
  <c r="O79" i="39"/>
  <c r="M79" i="39"/>
  <c r="J79" i="39"/>
  <c r="AM78" i="39"/>
  <c r="AL78" i="39"/>
  <c r="AV78" i="39" s="1"/>
  <c r="AE78" i="39"/>
  <c r="Y78" i="39"/>
  <c r="Q78" i="39"/>
  <c r="U78" i="39" s="1"/>
  <c r="N78" i="39"/>
  <c r="L78" i="39"/>
  <c r="K78" i="39"/>
  <c r="AM77" i="39"/>
  <c r="AW77" i="39" s="1"/>
  <c r="AL77" i="39"/>
  <c r="AE77" i="39"/>
  <c r="Y77" i="39"/>
  <c r="Q77" i="39"/>
  <c r="U77" i="39" s="1"/>
  <c r="N77" i="39"/>
  <c r="L77" i="39"/>
  <c r="K77" i="39"/>
  <c r="I77" i="39" s="1"/>
  <c r="AM76" i="39"/>
  <c r="AW76" i="39" s="1"/>
  <c r="AL76" i="39"/>
  <c r="AE76" i="39"/>
  <c r="Y76" i="39"/>
  <c r="Q76" i="39"/>
  <c r="U76" i="39" s="1"/>
  <c r="N76" i="39"/>
  <c r="L76" i="39"/>
  <c r="K76" i="39"/>
  <c r="AM75" i="39"/>
  <c r="AW75" i="39" s="1"/>
  <c r="AL75" i="39"/>
  <c r="AE75" i="39"/>
  <c r="Y75" i="39"/>
  <c r="Q75" i="39"/>
  <c r="U75" i="39" s="1"/>
  <c r="N75" i="39"/>
  <c r="L75" i="39"/>
  <c r="K75" i="39"/>
  <c r="AM74" i="39"/>
  <c r="AL74" i="39"/>
  <c r="AV74" i="39" s="1"/>
  <c r="AE74" i="39"/>
  <c r="Y74" i="39"/>
  <c r="Q74" i="39"/>
  <c r="U74" i="39" s="1"/>
  <c r="N74" i="39"/>
  <c r="L74" i="39"/>
  <c r="K74" i="39"/>
  <c r="AM73" i="39"/>
  <c r="AW73" i="39" s="1"/>
  <c r="AL73" i="39"/>
  <c r="AE73" i="39"/>
  <c r="Y73" i="39"/>
  <c r="Q73" i="39"/>
  <c r="N73" i="39"/>
  <c r="L73" i="39"/>
  <c r="K73" i="39"/>
  <c r="AK72" i="39"/>
  <c r="AJ72" i="39"/>
  <c r="AI72" i="39"/>
  <c r="AH72" i="39"/>
  <c r="AG72" i="39"/>
  <c r="AD72" i="39"/>
  <c r="AC72" i="39"/>
  <c r="X72" i="39"/>
  <c r="W72" i="39"/>
  <c r="V72" i="39"/>
  <c r="T72" i="39"/>
  <c r="S72" i="39"/>
  <c r="R72" i="39"/>
  <c r="P72" i="39"/>
  <c r="O72" i="39"/>
  <c r="M72" i="39"/>
  <c r="J72" i="39"/>
  <c r="AV71" i="39"/>
  <c r="AM71" i="39"/>
  <c r="AL71" i="39"/>
  <c r="AE71" i="39"/>
  <c r="AT71" i="39" s="1"/>
  <c r="Y71" i="39"/>
  <c r="AQ71" i="39" s="1"/>
  <c r="Q71" i="39"/>
  <c r="U71" i="39" s="1"/>
  <c r="AB71" i="39" s="1"/>
  <c r="N71" i="39"/>
  <c r="L71" i="39"/>
  <c r="K71" i="39"/>
  <c r="AM70" i="39"/>
  <c r="AL70" i="39"/>
  <c r="AV70" i="39" s="1"/>
  <c r="AE70" i="39"/>
  <c r="AT70" i="39" s="1"/>
  <c r="Y70" i="39"/>
  <c r="AQ70" i="39" s="1"/>
  <c r="Q70" i="39"/>
  <c r="U70" i="39" s="1"/>
  <c r="N70" i="39"/>
  <c r="L70" i="39"/>
  <c r="K70" i="39"/>
  <c r="AM69" i="39"/>
  <c r="AL69" i="39"/>
  <c r="AV69" i="39" s="1"/>
  <c r="AE69" i="39"/>
  <c r="AT69" i="39" s="1"/>
  <c r="Y69" i="39"/>
  <c r="AQ69" i="39" s="1"/>
  <c r="Q69" i="39"/>
  <c r="U69" i="39" s="1"/>
  <c r="N69" i="39"/>
  <c r="L69" i="39"/>
  <c r="K69" i="39"/>
  <c r="AM68" i="39"/>
  <c r="AW68" i="39" s="1"/>
  <c r="AI68" i="39"/>
  <c r="AI130" i="39" s="1"/>
  <c r="AE68" i="39"/>
  <c r="AT68" i="39" s="1"/>
  <c r="Y68" i="39"/>
  <c r="AQ68" i="39" s="1"/>
  <c r="R68" i="39"/>
  <c r="R130" i="39" s="1"/>
  <c r="Q68" i="39"/>
  <c r="U68" i="39" s="1"/>
  <c r="N68" i="39"/>
  <c r="I68" i="39"/>
  <c r="AM67" i="39"/>
  <c r="AL67" i="39"/>
  <c r="AV67" i="39" s="1"/>
  <c r="AE67" i="39"/>
  <c r="AT67" i="39" s="1"/>
  <c r="Y67" i="39"/>
  <c r="AQ67" i="39" s="1"/>
  <c r="Q67" i="39"/>
  <c r="U67" i="39" s="1"/>
  <c r="N67" i="39"/>
  <c r="L67" i="39"/>
  <c r="K67" i="39"/>
  <c r="AM66" i="39"/>
  <c r="AL66" i="39"/>
  <c r="AV66" i="39" s="1"/>
  <c r="AE66" i="39"/>
  <c r="AT66" i="39" s="1"/>
  <c r="Y66" i="39"/>
  <c r="AQ66" i="39" s="1"/>
  <c r="Q66" i="39"/>
  <c r="U66" i="39" s="1"/>
  <c r="N66" i="39"/>
  <c r="L66" i="39"/>
  <c r="K66" i="39"/>
  <c r="AK65" i="39"/>
  <c r="AJ65" i="39"/>
  <c r="AI65" i="39"/>
  <c r="AH65" i="39"/>
  <c r="AG65" i="39"/>
  <c r="AD65" i="39"/>
  <c r="AC65" i="39"/>
  <c r="X65" i="39"/>
  <c r="W65" i="39"/>
  <c r="V65" i="39"/>
  <c r="T65" i="39"/>
  <c r="S65" i="39"/>
  <c r="P65" i="39"/>
  <c r="O65" i="39"/>
  <c r="M65" i="39"/>
  <c r="J65" i="39"/>
  <c r="AM64" i="39"/>
  <c r="AW64" i="39" s="1"/>
  <c r="AL64" i="39"/>
  <c r="AV64" i="39" s="1"/>
  <c r="AE64" i="39"/>
  <c r="AT64" i="39" s="1"/>
  <c r="Y64" i="39"/>
  <c r="AQ64" i="39" s="1"/>
  <c r="Q64" i="39"/>
  <c r="U64" i="39" s="1"/>
  <c r="N64" i="39"/>
  <c r="L64" i="39"/>
  <c r="K64" i="39"/>
  <c r="AM63" i="39"/>
  <c r="AN63" i="39" s="1"/>
  <c r="AL63" i="39"/>
  <c r="AV63" i="39" s="1"/>
  <c r="AE63" i="39"/>
  <c r="AT63" i="39" s="1"/>
  <c r="Y63" i="39"/>
  <c r="AQ63" i="39" s="1"/>
  <c r="Q63" i="39"/>
  <c r="U63" i="39" s="1"/>
  <c r="N63" i="39"/>
  <c r="L63" i="39"/>
  <c r="K63" i="39"/>
  <c r="AM62" i="39"/>
  <c r="AW62" i="39" s="1"/>
  <c r="AL62" i="39"/>
  <c r="AV62" i="39" s="1"/>
  <c r="AE62" i="39"/>
  <c r="AT62" i="39" s="1"/>
  <c r="Y62" i="39"/>
  <c r="AQ62" i="39" s="1"/>
  <c r="Q62" i="39"/>
  <c r="U62" i="39" s="1"/>
  <c r="N62" i="39"/>
  <c r="L62" i="39"/>
  <c r="K62" i="39"/>
  <c r="AM61" i="39"/>
  <c r="AW61" i="39" s="1"/>
  <c r="AL61" i="39"/>
  <c r="AV61" i="39" s="1"/>
  <c r="AI61" i="39"/>
  <c r="AE61" i="39"/>
  <c r="AT61" i="39" s="1"/>
  <c r="Y61" i="39"/>
  <c r="AQ61" i="39" s="1"/>
  <c r="R61" i="39"/>
  <c r="R65" i="39" s="1"/>
  <c r="Q61" i="39"/>
  <c r="U61" i="39" s="1"/>
  <c r="Z61" i="39" s="1"/>
  <c r="N61" i="39"/>
  <c r="I61" i="39"/>
  <c r="AM60" i="39"/>
  <c r="AW60" i="39" s="1"/>
  <c r="AL60" i="39"/>
  <c r="AV60" i="39" s="1"/>
  <c r="AE60" i="39"/>
  <c r="AT60" i="39" s="1"/>
  <c r="Y60" i="39"/>
  <c r="AQ60" i="39" s="1"/>
  <c r="Q60" i="39"/>
  <c r="U60" i="39" s="1"/>
  <c r="N60" i="39"/>
  <c r="L60" i="39"/>
  <c r="K60" i="39"/>
  <c r="AM59" i="39"/>
  <c r="AN59" i="39" s="1"/>
  <c r="AL59" i="39"/>
  <c r="AV59" i="39" s="1"/>
  <c r="AE59" i="39"/>
  <c r="AT59" i="39" s="1"/>
  <c r="Y59" i="39"/>
  <c r="Q59" i="39"/>
  <c r="U59" i="39" s="1"/>
  <c r="N59" i="39"/>
  <c r="L59" i="39"/>
  <c r="K59" i="39"/>
  <c r="AV58" i="39"/>
  <c r="AK58" i="39"/>
  <c r="AJ58" i="39"/>
  <c r="AI58" i="39"/>
  <c r="AH58" i="39"/>
  <c r="AG58" i="39"/>
  <c r="AD58" i="39"/>
  <c r="AC58" i="39"/>
  <c r="X58" i="39"/>
  <c r="W58" i="39"/>
  <c r="V58" i="39"/>
  <c r="T58" i="39"/>
  <c r="S58" i="39"/>
  <c r="R58" i="39"/>
  <c r="P58" i="39"/>
  <c r="O58" i="39"/>
  <c r="M58" i="39"/>
  <c r="J58" i="39"/>
  <c r="AM57" i="39"/>
  <c r="AM58" i="39" s="1"/>
  <c r="AL57" i="39"/>
  <c r="AV57" i="39" s="1"/>
  <c r="AE57" i="39"/>
  <c r="AE58" i="39" s="1"/>
  <c r="Y57" i="39"/>
  <c r="AQ57" i="39" s="1"/>
  <c r="AQ58" i="39" s="1"/>
  <c r="Q57" i="39"/>
  <c r="Q58" i="39" s="1"/>
  <c r="N57" i="39"/>
  <c r="L57" i="39"/>
  <c r="L58" i="39" s="1"/>
  <c r="K57" i="39"/>
  <c r="K58" i="39" s="1"/>
  <c r="AK56" i="39"/>
  <c r="AJ56" i="39"/>
  <c r="AI56" i="39"/>
  <c r="AH56" i="39"/>
  <c r="AG56" i="39"/>
  <c r="AD56" i="39"/>
  <c r="AC56" i="39"/>
  <c r="X56" i="39"/>
  <c r="W56" i="39"/>
  <c r="V56" i="39"/>
  <c r="T56" i="39"/>
  <c r="S56" i="39"/>
  <c r="R56" i="39"/>
  <c r="P56" i="39"/>
  <c r="O56" i="39"/>
  <c r="M56" i="39"/>
  <c r="J56" i="39"/>
  <c r="AM55" i="39"/>
  <c r="AW55" i="39" s="1"/>
  <c r="AL55" i="39"/>
  <c r="AV55" i="39" s="1"/>
  <c r="AE55" i="39"/>
  <c r="AT55" i="39" s="1"/>
  <c r="Y55" i="39"/>
  <c r="AQ55" i="39" s="1"/>
  <c r="Q55" i="39"/>
  <c r="U55" i="39" s="1"/>
  <c r="AP55" i="39" s="1"/>
  <c r="N55" i="39"/>
  <c r="L55" i="39"/>
  <c r="K55" i="39"/>
  <c r="AM54" i="39"/>
  <c r="AW54" i="39" s="1"/>
  <c r="AL54" i="39"/>
  <c r="AE54" i="39"/>
  <c r="AT54" i="39" s="1"/>
  <c r="Y54" i="39"/>
  <c r="AQ54" i="39" s="1"/>
  <c r="Q54" i="39"/>
  <c r="U54" i="39" s="1"/>
  <c r="AA54" i="39" s="1"/>
  <c r="N54" i="39"/>
  <c r="L54" i="39"/>
  <c r="K54" i="39"/>
  <c r="AM53" i="39"/>
  <c r="AW53" i="39" s="1"/>
  <c r="AL53" i="39"/>
  <c r="AE53" i="39"/>
  <c r="AT53" i="39" s="1"/>
  <c r="Y53" i="39"/>
  <c r="AQ53" i="39" s="1"/>
  <c r="Q53" i="39"/>
  <c r="U53" i="39" s="1"/>
  <c r="N53" i="39"/>
  <c r="L53" i="39"/>
  <c r="K53" i="39"/>
  <c r="AM52" i="39"/>
  <c r="AW52" i="39" s="1"/>
  <c r="AL52" i="39"/>
  <c r="AV52" i="39" s="1"/>
  <c r="AE52" i="39"/>
  <c r="AT52" i="39" s="1"/>
  <c r="Y52" i="39"/>
  <c r="AQ52" i="39" s="1"/>
  <c r="Q52" i="39"/>
  <c r="U52" i="39" s="1"/>
  <c r="AP52" i="39" s="1"/>
  <c r="N52" i="39"/>
  <c r="I52" i="39"/>
  <c r="AM51" i="39"/>
  <c r="AW51" i="39" s="1"/>
  <c r="AL51" i="39"/>
  <c r="AE51" i="39"/>
  <c r="AT51" i="39" s="1"/>
  <c r="Y51" i="39"/>
  <c r="Q51" i="39"/>
  <c r="U51" i="39" s="1"/>
  <c r="AA51" i="39" s="1"/>
  <c r="N51" i="39"/>
  <c r="L51" i="39"/>
  <c r="K51" i="39"/>
  <c r="AK50" i="39"/>
  <c r="AJ50" i="39"/>
  <c r="AH50" i="39"/>
  <c r="AG50" i="39"/>
  <c r="AD50" i="39"/>
  <c r="AC50" i="39"/>
  <c r="X50" i="39"/>
  <c r="W50" i="39"/>
  <c r="V50" i="39"/>
  <c r="T50" i="39"/>
  <c r="S50" i="39"/>
  <c r="R50" i="39"/>
  <c r="P50" i="39"/>
  <c r="O50" i="39"/>
  <c r="M50" i="39"/>
  <c r="J50" i="39"/>
  <c r="AM49" i="39"/>
  <c r="AW49" i="39" s="1"/>
  <c r="AL49" i="39"/>
  <c r="AV49" i="39" s="1"/>
  <c r="AE49" i="39"/>
  <c r="AT49" i="39" s="1"/>
  <c r="Y49" i="39"/>
  <c r="AQ49" i="39" s="1"/>
  <c r="Q49" i="39"/>
  <c r="U49" i="39" s="1"/>
  <c r="N49" i="39"/>
  <c r="L49" i="39"/>
  <c r="K49" i="39"/>
  <c r="AM48" i="39"/>
  <c r="AW48" i="39" s="1"/>
  <c r="AL48" i="39"/>
  <c r="AI48" i="39"/>
  <c r="AI50" i="39" s="1"/>
  <c r="AE48" i="39"/>
  <c r="AT48" i="39" s="1"/>
  <c r="Y48" i="39"/>
  <c r="AQ48" i="39" s="1"/>
  <c r="R48" i="39"/>
  <c r="Q48" i="39"/>
  <c r="U48" i="39" s="1"/>
  <c r="N48" i="39"/>
  <c r="I48" i="39"/>
  <c r="AM47" i="39"/>
  <c r="AL47" i="39"/>
  <c r="AE47" i="39"/>
  <c r="AT47" i="39" s="1"/>
  <c r="Y47" i="39"/>
  <c r="Q47" i="39"/>
  <c r="U47" i="39" s="1"/>
  <c r="AP47" i="39" s="1"/>
  <c r="N47" i="39"/>
  <c r="L47" i="39"/>
  <c r="K47" i="39"/>
  <c r="AK46" i="39"/>
  <c r="AJ46" i="39"/>
  <c r="AI46" i="39"/>
  <c r="AH46" i="39"/>
  <c r="AG46" i="39"/>
  <c r="AD46" i="39"/>
  <c r="AC46" i="39"/>
  <c r="X46" i="39"/>
  <c r="W46" i="39"/>
  <c r="V46" i="39"/>
  <c r="T46" i="39"/>
  <c r="S46" i="39"/>
  <c r="R46" i="39"/>
  <c r="P46" i="39"/>
  <c r="O46" i="39"/>
  <c r="M46" i="39"/>
  <c r="J46" i="39"/>
  <c r="AM45" i="39"/>
  <c r="AM46" i="39" s="1"/>
  <c r="AL45" i="39"/>
  <c r="AL46" i="39" s="1"/>
  <c r="AE45" i="39"/>
  <c r="AT45" i="39" s="1"/>
  <c r="AT46" i="39" s="1"/>
  <c r="Y45" i="39"/>
  <c r="Q45" i="39"/>
  <c r="U45" i="39" s="1"/>
  <c r="N45" i="39"/>
  <c r="N46" i="39" s="1"/>
  <c r="L45" i="39"/>
  <c r="K45" i="39"/>
  <c r="K46" i="39" s="1"/>
  <c r="AK44" i="39"/>
  <c r="AJ44" i="39"/>
  <c r="AI44" i="39"/>
  <c r="AH44" i="39"/>
  <c r="AG44" i="39"/>
  <c r="AD44" i="39"/>
  <c r="AC44" i="39"/>
  <c r="X44" i="39"/>
  <c r="W44" i="39"/>
  <c r="V44" i="39"/>
  <c r="T44" i="39"/>
  <c r="S44" i="39"/>
  <c r="R44" i="39"/>
  <c r="P44" i="39"/>
  <c r="O44" i="39"/>
  <c r="M44" i="39"/>
  <c r="J44" i="39"/>
  <c r="AM43" i="39"/>
  <c r="AL43" i="39"/>
  <c r="AL135" i="39" s="1"/>
  <c r="AE43" i="39"/>
  <c r="Y43" i="39"/>
  <c r="AQ43" i="39" s="1"/>
  <c r="AQ135" i="39" s="1"/>
  <c r="Q43" i="39"/>
  <c r="Q135" i="39" s="1"/>
  <c r="N43" i="39"/>
  <c r="L43" i="39"/>
  <c r="L44" i="39" s="1"/>
  <c r="K43" i="39"/>
  <c r="AK42" i="39"/>
  <c r="AJ42" i="39"/>
  <c r="AI42" i="39"/>
  <c r="AH42" i="39"/>
  <c r="AG42" i="39"/>
  <c r="AD42" i="39"/>
  <c r="AC42" i="39"/>
  <c r="X42" i="39"/>
  <c r="W42" i="39"/>
  <c r="V42" i="39"/>
  <c r="T42" i="39"/>
  <c r="S42" i="39"/>
  <c r="R42" i="39"/>
  <c r="P42" i="39"/>
  <c r="O42" i="39"/>
  <c r="M42" i="39"/>
  <c r="J42" i="39"/>
  <c r="AM41" i="39"/>
  <c r="AW41" i="39" s="1"/>
  <c r="AL41" i="39"/>
  <c r="AE41" i="39"/>
  <c r="AT41" i="39" s="1"/>
  <c r="Y41" i="39"/>
  <c r="AQ41" i="39" s="1"/>
  <c r="Q41" i="39"/>
  <c r="U41" i="39" s="1"/>
  <c r="N41" i="39"/>
  <c r="L41" i="39"/>
  <c r="K41" i="39"/>
  <c r="AM40" i="39"/>
  <c r="AW40" i="39" s="1"/>
  <c r="AL40" i="39"/>
  <c r="AE40" i="39"/>
  <c r="AT40" i="39" s="1"/>
  <c r="Y40" i="39"/>
  <c r="AQ40" i="39" s="1"/>
  <c r="Q40" i="39"/>
  <c r="U40" i="39" s="1"/>
  <c r="N40" i="39"/>
  <c r="L40" i="39"/>
  <c r="K40" i="39"/>
  <c r="AM39" i="39"/>
  <c r="AW39" i="39" s="1"/>
  <c r="AL39" i="39"/>
  <c r="AE39" i="39"/>
  <c r="AT39" i="39" s="1"/>
  <c r="Y39" i="39"/>
  <c r="AQ39" i="39" s="1"/>
  <c r="Q39" i="39"/>
  <c r="U39" i="39" s="1"/>
  <c r="N39" i="39"/>
  <c r="L39" i="39"/>
  <c r="K39" i="39"/>
  <c r="AM38" i="39"/>
  <c r="AW38" i="39" s="1"/>
  <c r="AL38" i="39"/>
  <c r="AE38" i="39"/>
  <c r="AT38" i="39" s="1"/>
  <c r="Y38" i="39"/>
  <c r="AQ38" i="39" s="1"/>
  <c r="Q38" i="39"/>
  <c r="U38" i="39" s="1"/>
  <c r="N38" i="39"/>
  <c r="L38" i="39"/>
  <c r="K38" i="39"/>
  <c r="AM37" i="39"/>
  <c r="AM129" i="39" s="1"/>
  <c r="AL37" i="39"/>
  <c r="AE37" i="39"/>
  <c r="AT37" i="39" s="1"/>
  <c r="Y37" i="39"/>
  <c r="Q37" i="39"/>
  <c r="N37" i="39"/>
  <c r="L37" i="39"/>
  <c r="K37" i="39"/>
  <c r="I37" i="39" s="1"/>
  <c r="AK36" i="39"/>
  <c r="AJ36" i="39"/>
  <c r="AH36" i="39"/>
  <c r="AG36" i="39"/>
  <c r="AD36" i="39"/>
  <c r="AC36" i="39"/>
  <c r="X36" i="39"/>
  <c r="W36" i="39"/>
  <c r="V36" i="39"/>
  <c r="T36" i="39"/>
  <c r="S36" i="39"/>
  <c r="R36" i="39"/>
  <c r="P36" i="39"/>
  <c r="O36" i="39"/>
  <c r="M36" i="39"/>
  <c r="J36" i="39"/>
  <c r="AM35" i="39"/>
  <c r="AL35" i="39"/>
  <c r="AV35" i="39" s="1"/>
  <c r="AE35" i="39"/>
  <c r="AT35" i="39" s="1"/>
  <c r="Y35" i="39"/>
  <c r="AQ35" i="39" s="1"/>
  <c r="Q35" i="39"/>
  <c r="U35" i="39" s="1"/>
  <c r="AB35" i="39" s="1"/>
  <c r="N35" i="39"/>
  <c r="L35" i="39"/>
  <c r="K35" i="39"/>
  <c r="AM34" i="39"/>
  <c r="AL34" i="39"/>
  <c r="AV34" i="39" s="1"/>
  <c r="AE34" i="39"/>
  <c r="AT34" i="39" s="1"/>
  <c r="Y34" i="39"/>
  <c r="AQ34" i="39" s="1"/>
  <c r="Q34" i="39"/>
  <c r="U34" i="39" s="1"/>
  <c r="N34" i="39"/>
  <c r="L34" i="39"/>
  <c r="K34" i="39"/>
  <c r="AM33" i="39"/>
  <c r="AL33" i="39"/>
  <c r="AV33" i="39" s="1"/>
  <c r="AE33" i="39"/>
  <c r="AT33" i="39" s="1"/>
  <c r="Y33" i="39"/>
  <c r="AQ33" i="39" s="1"/>
  <c r="Q33" i="39"/>
  <c r="U33" i="39" s="1"/>
  <c r="N33" i="39"/>
  <c r="L33" i="39"/>
  <c r="K33" i="39"/>
  <c r="AM32" i="39"/>
  <c r="AW32" i="39" s="1"/>
  <c r="AI32" i="39"/>
  <c r="AI128" i="39" s="1"/>
  <c r="AE32" i="39"/>
  <c r="AT32" i="39" s="1"/>
  <c r="Y32" i="39"/>
  <c r="AQ32" i="39" s="1"/>
  <c r="R32" i="39"/>
  <c r="R128" i="39" s="1"/>
  <c r="Q32" i="39"/>
  <c r="U32" i="39" s="1"/>
  <c r="N32" i="39"/>
  <c r="I32" i="39"/>
  <c r="AM31" i="39"/>
  <c r="AL31" i="39"/>
  <c r="AV31" i="39" s="1"/>
  <c r="AE31" i="39"/>
  <c r="AT31" i="39" s="1"/>
  <c r="Y31" i="39"/>
  <c r="Q31" i="39"/>
  <c r="N31" i="39"/>
  <c r="L31" i="39"/>
  <c r="K31" i="39"/>
  <c r="AK30" i="39"/>
  <c r="AJ30" i="39"/>
  <c r="AI30" i="39"/>
  <c r="AH30" i="39"/>
  <c r="AG30" i="39"/>
  <c r="AD30" i="39"/>
  <c r="AC30" i="39"/>
  <c r="X30" i="39"/>
  <c r="W30" i="39"/>
  <c r="V30" i="39"/>
  <c r="T30" i="39"/>
  <c r="S30" i="39"/>
  <c r="R30" i="39"/>
  <c r="P30" i="39"/>
  <c r="O30" i="39"/>
  <c r="M30" i="39"/>
  <c r="J30" i="39"/>
  <c r="AM29" i="39"/>
  <c r="AW29" i="39" s="1"/>
  <c r="AL29" i="39"/>
  <c r="AV29" i="39" s="1"/>
  <c r="AE29" i="39"/>
  <c r="AT29" i="39" s="1"/>
  <c r="Y29" i="39"/>
  <c r="AQ29" i="39" s="1"/>
  <c r="Q29" i="39"/>
  <c r="U29" i="39" s="1"/>
  <c r="N29" i="39"/>
  <c r="L29" i="39"/>
  <c r="K29" i="39"/>
  <c r="AM28" i="39"/>
  <c r="AW28" i="39" s="1"/>
  <c r="AL28" i="39"/>
  <c r="AE28" i="39"/>
  <c r="AT28" i="39" s="1"/>
  <c r="Y28" i="39"/>
  <c r="AQ28" i="39" s="1"/>
  <c r="Q28" i="39"/>
  <c r="U28" i="39" s="1"/>
  <c r="N28" i="39"/>
  <c r="L28" i="39"/>
  <c r="K28" i="39"/>
  <c r="AM27" i="39"/>
  <c r="AW27" i="39" s="1"/>
  <c r="AL27" i="39"/>
  <c r="AV27" i="39" s="1"/>
  <c r="AE27" i="39"/>
  <c r="AT27" i="39" s="1"/>
  <c r="Y27" i="39"/>
  <c r="AQ27" i="39" s="1"/>
  <c r="Q27" i="39"/>
  <c r="U27" i="39" s="1"/>
  <c r="N27" i="39"/>
  <c r="L27" i="39"/>
  <c r="K27" i="39"/>
  <c r="AM26" i="39"/>
  <c r="AW26" i="39" s="1"/>
  <c r="AL26" i="39"/>
  <c r="AV26" i="39" s="1"/>
  <c r="AE26" i="39"/>
  <c r="AT26" i="39" s="1"/>
  <c r="Y26" i="39"/>
  <c r="AQ26" i="39" s="1"/>
  <c r="Q26" i="39"/>
  <c r="U26" i="39" s="1"/>
  <c r="N26" i="39"/>
  <c r="I26" i="39"/>
  <c r="AM25" i="39"/>
  <c r="AL25" i="39"/>
  <c r="AE25" i="39"/>
  <c r="Y25" i="39"/>
  <c r="AQ25" i="39" s="1"/>
  <c r="Q25" i="39"/>
  <c r="N25" i="39"/>
  <c r="L25" i="39"/>
  <c r="K25" i="39"/>
  <c r="I25" i="39" s="1"/>
  <c r="AK24" i="39"/>
  <c r="AJ24" i="39"/>
  <c r="AI24" i="39"/>
  <c r="AH24" i="39"/>
  <c r="AG24" i="39"/>
  <c r="AD24" i="39"/>
  <c r="AC24" i="39"/>
  <c r="X24" i="39"/>
  <c r="W24" i="39"/>
  <c r="V24" i="39"/>
  <c r="T24" i="39"/>
  <c r="S24" i="39"/>
  <c r="R24" i="39"/>
  <c r="P24" i="39"/>
  <c r="O24" i="39"/>
  <c r="M24" i="39"/>
  <c r="J24" i="39"/>
  <c r="AM23" i="39"/>
  <c r="AL23" i="39"/>
  <c r="AV23" i="39" s="1"/>
  <c r="AE23" i="39"/>
  <c r="AT23" i="39" s="1"/>
  <c r="Y23" i="39"/>
  <c r="AQ23" i="39" s="1"/>
  <c r="Q23" i="39"/>
  <c r="U23" i="39" s="1"/>
  <c r="AB23" i="39" s="1"/>
  <c r="N23" i="39"/>
  <c r="L23" i="39"/>
  <c r="K23" i="39"/>
  <c r="AM22" i="39"/>
  <c r="AL22" i="39"/>
  <c r="AV22" i="39" s="1"/>
  <c r="AE22" i="39"/>
  <c r="Y22" i="39"/>
  <c r="AQ22" i="39" s="1"/>
  <c r="Q22" i="39"/>
  <c r="U22" i="39" s="1"/>
  <c r="N22" i="39"/>
  <c r="L22" i="39"/>
  <c r="K22" i="39"/>
  <c r="AM21" i="39"/>
  <c r="AL21" i="39"/>
  <c r="AV21" i="39" s="1"/>
  <c r="AE21" i="39"/>
  <c r="AT21" i="39" s="1"/>
  <c r="Y21" i="39"/>
  <c r="AQ21" i="39" s="1"/>
  <c r="Q21" i="39"/>
  <c r="U21" i="39" s="1"/>
  <c r="N21" i="39"/>
  <c r="L21" i="39"/>
  <c r="K21" i="39"/>
  <c r="AM20" i="39"/>
  <c r="AL20" i="39"/>
  <c r="AV20" i="39" s="1"/>
  <c r="AE20" i="39"/>
  <c r="AT20" i="39" s="1"/>
  <c r="Y20" i="39"/>
  <c r="AQ20" i="39" s="1"/>
  <c r="Q20" i="39"/>
  <c r="U20" i="39" s="1"/>
  <c r="AB20" i="39" s="1"/>
  <c r="AS20" i="39" s="1"/>
  <c r="N20" i="39"/>
  <c r="I20" i="39"/>
  <c r="AM19" i="39"/>
  <c r="AW19" i="39" s="1"/>
  <c r="AL19" i="39"/>
  <c r="AE19" i="39"/>
  <c r="AT19" i="39" s="1"/>
  <c r="Y19" i="39"/>
  <c r="AQ19" i="39" s="1"/>
  <c r="Q19" i="39"/>
  <c r="U19" i="39" s="1"/>
  <c r="N19" i="39"/>
  <c r="L19" i="39"/>
  <c r="L24" i="39" s="1"/>
  <c r="K19" i="39"/>
  <c r="AK18" i="39"/>
  <c r="AJ18" i="39"/>
  <c r="AI18" i="39"/>
  <c r="AH18" i="39"/>
  <c r="AG18" i="39"/>
  <c r="AD18" i="39"/>
  <c r="AC18" i="39"/>
  <c r="X18" i="39"/>
  <c r="W18" i="39"/>
  <c r="V18" i="39"/>
  <c r="T18" i="39"/>
  <c r="S18" i="39"/>
  <c r="R18" i="39"/>
  <c r="P18" i="39"/>
  <c r="O18" i="39"/>
  <c r="M18" i="39"/>
  <c r="J18" i="39"/>
  <c r="AM17" i="39"/>
  <c r="AL17" i="39"/>
  <c r="AE17" i="39"/>
  <c r="Y17" i="39"/>
  <c r="Q17" i="39"/>
  <c r="N17" i="39"/>
  <c r="L17" i="39"/>
  <c r="K17" i="39"/>
  <c r="AM16" i="39"/>
  <c r="AW16" i="39" s="1"/>
  <c r="AL16" i="39"/>
  <c r="AV16" i="39" s="1"/>
  <c r="AI16" i="39"/>
  <c r="AI127" i="39" s="1"/>
  <c r="AE16" i="39"/>
  <c r="AT16" i="39" s="1"/>
  <c r="Y16" i="39"/>
  <c r="AQ16" i="39" s="1"/>
  <c r="R16" i="39"/>
  <c r="R127" i="39" s="1"/>
  <c r="Q16" i="39"/>
  <c r="U16" i="39" s="1"/>
  <c r="N16" i="39"/>
  <c r="I16" i="39"/>
  <c r="AT15" i="39"/>
  <c r="AM15" i="39"/>
  <c r="AW15" i="39" s="1"/>
  <c r="AL15" i="39"/>
  <c r="AV15" i="39" s="1"/>
  <c r="AE15" i="39"/>
  <c r="Y15" i="39"/>
  <c r="AQ15" i="39" s="1"/>
  <c r="Q15" i="39"/>
  <c r="U15" i="39" s="1"/>
  <c r="AP15" i="39" s="1"/>
  <c r="N15" i="39"/>
  <c r="L15" i="39"/>
  <c r="K15" i="39"/>
  <c r="I15" i="39" s="1"/>
  <c r="AM14" i="39"/>
  <c r="AM18" i="39" s="1"/>
  <c r="AL14" i="39"/>
  <c r="AV14" i="39" s="1"/>
  <c r="AE14" i="39"/>
  <c r="Y14" i="39"/>
  <c r="Q14" i="39"/>
  <c r="N14" i="39"/>
  <c r="L14" i="39"/>
  <c r="K14" i="39"/>
  <c r="AK13" i="39"/>
  <c r="AJ13" i="39"/>
  <c r="AI13" i="39"/>
  <c r="AH13" i="39"/>
  <c r="AG13" i="39"/>
  <c r="AD13" i="39"/>
  <c r="AC13" i="39"/>
  <c r="X13" i="39"/>
  <c r="W13" i="39"/>
  <c r="V13" i="39"/>
  <c r="T13" i="39"/>
  <c r="S13" i="39"/>
  <c r="R13" i="39"/>
  <c r="P13" i="39"/>
  <c r="O13" i="39"/>
  <c r="M13" i="39"/>
  <c r="J13" i="39"/>
  <c r="AM12" i="39"/>
  <c r="AL12" i="39"/>
  <c r="AE12" i="39"/>
  <c r="AE13" i="39" s="1"/>
  <c r="Y12" i="39"/>
  <c r="AQ12" i="39" s="1"/>
  <c r="Q12" i="39"/>
  <c r="N12" i="39"/>
  <c r="L12" i="39"/>
  <c r="L13" i="39" s="1"/>
  <c r="K12" i="39"/>
  <c r="K136" i="39" s="1"/>
  <c r="AB325" i="32"/>
  <c r="AA325" i="32"/>
  <c r="Z325" i="32"/>
  <c r="Y325" i="32"/>
  <c r="X325" i="32"/>
  <c r="W325" i="32"/>
  <c r="V325" i="32"/>
  <c r="U325" i="32"/>
  <c r="T325" i="32"/>
  <c r="S325" i="32"/>
  <c r="AK313" i="32"/>
  <c r="AJ313" i="32"/>
  <c r="AI313" i="32"/>
  <c r="AH313" i="32"/>
  <c r="AG313" i="32"/>
  <c r="AD313" i="32"/>
  <c r="AC313" i="32"/>
  <c r="X313" i="32"/>
  <c r="W313" i="32"/>
  <c r="V313" i="32"/>
  <c r="T313" i="32"/>
  <c r="S313" i="32"/>
  <c r="R313" i="32"/>
  <c r="P313" i="32"/>
  <c r="O313" i="32"/>
  <c r="M313" i="32"/>
  <c r="J313" i="32"/>
  <c r="AK312" i="32"/>
  <c r="AJ312" i="32"/>
  <c r="AI312" i="32"/>
  <c r="AH312" i="32"/>
  <c r="AG312" i="32"/>
  <c r="AD312" i="32"/>
  <c r="AC312" i="32"/>
  <c r="X312" i="32"/>
  <c r="W312" i="32"/>
  <c r="V312" i="32"/>
  <c r="T312" i="32"/>
  <c r="S312" i="32"/>
  <c r="R312" i="32"/>
  <c r="P312" i="32"/>
  <c r="O312" i="32"/>
  <c r="M312" i="32"/>
  <c r="J312" i="32"/>
  <c r="AK311" i="32"/>
  <c r="AJ311" i="32"/>
  <c r="AI311" i="32"/>
  <c r="AH311" i="32"/>
  <c r="AG311" i="32"/>
  <c r="AD311" i="32"/>
  <c r="AC311" i="32"/>
  <c r="X311" i="32"/>
  <c r="W311" i="32"/>
  <c r="V311" i="32"/>
  <c r="T311" i="32"/>
  <c r="S311" i="32"/>
  <c r="R311" i="32"/>
  <c r="P311" i="32"/>
  <c r="O311" i="32"/>
  <c r="M311" i="32"/>
  <c r="J311" i="32"/>
  <c r="AK310" i="32"/>
  <c r="AJ310" i="32"/>
  <c r="AI310" i="32"/>
  <c r="AH310" i="32"/>
  <c r="AG310" i="32"/>
  <c r="AD310" i="32"/>
  <c r="AC310" i="32"/>
  <c r="X310" i="32"/>
  <c r="W310" i="32"/>
  <c r="V310" i="32"/>
  <c r="T310" i="32"/>
  <c r="S310" i="32"/>
  <c r="R310" i="32"/>
  <c r="P310" i="32"/>
  <c r="O310" i="32"/>
  <c r="M310" i="32"/>
  <c r="J310" i="32"/>
  <c r="AK309" i="32"/>
  <c r="AJ309" i="32"/>
  <c r="AI309" i="32"/>
  <c r="AH309" i="32"/>
  <c r="AG309" i="32"/>
  <c r="AD309" i="32"/>
  <c r="AC309" i="32"/>
  <c r="X309" i="32"/>
  <c r="W309" i="32"/>
  <c r="V309" i="32"/>
  <c r="T309" i="32"/>
  <c r="S309" i="32"/>
  <c r="R309" i="32"/>
  <c r="P309" i="32"/>
  <c r="O309" i="32"/>
  <c r="M309" i="32"/>
  <c r="J309" i="32"/>
  <c r="AW308" i="32"/>
  <c r="AV308" i="32"/>
  <c r="AU308" i="32"/>
  <c r="AT308" i="32"/>
  <c r="AS308" i="32"/>
  <c r="AR308" i="32"/>
  <c r="AQ308" i="32"/>
  <c r="AP308" i="32"/>
  <c r="AO308" i="32"/>
  <c r="AN308" i="32"/>
  <c r="AM308" i="32"/>
  <c r="AL308" i="32"/>
  <c r="AK308" i="32"/>
  <c r="AJ308" i="32"/>
  <c r="AI308" i="32"/>
  <c r="AH308" i="32"/>
  <c r="AG308" i="32"/>
  <c r="AF308" i="32"/>
  <c r="AE308" i="32"/>
  <c r="AD308" i="32"/>
  <c r="AC308" i="32"/>
  <c r="AB308" i="32"/>
  <c r="AA308" i="32"/>
  <c r="Z308" i="32"/>
  <c r="Y308" i="32"/>
  <c r="X308" i="32"/>
  <c r="W308" i="32"/>
  <c r="V308" i="32"/>
  <c r="U308" i="32"/>
  <c r="T308" i="32"/>
  <c r="S308" i="32"/>
  <c r="R308" i="32"/>
  <c r="Q308" i="32"/>
  <c r="P308" i="32"/>
  <c r="O308" i="32"/>
  <c r="N308" i="32"/>
  <c r="M308" i="32"/>
  <c r="L308" i="32"/>
  <c r="K308" i="32"/>
  <c r="J308" i="32"/>
  <c r="I308" i="32"/>
  <c r="AK307" i="32"/>
  <c r="AJ307" i="32"/>
  <c r="AI307" i="32"/>
  <c r="AH307" i="32"/>
  <c r="AG307" i="32"/>
  <c r="AD307" i="32"/>
  <c r="AC307" i="32"/>
  <c r="X307" i="32"/>
  <c r="W307" i="32"/>
  <c r="V307" i="32"/>
  <c r="T307" i="32"/>
  <c r="S307" i="32"/>
  <c r="R307" i="32"/>
  <c r="P307" i="32"/>
  <c r="O307" i="32"/>
  <c r="M307" i="32"/>
  <c r="J307" i="32"/>
  <c r="AK306" i="32"/>
  <c r="AJ306" i="32"/>
  <c r="AI306" i="32"/>
  <c r="AH306" i="32"/>
  <c r="AG306" i="32"/>
  <c r="AD306" i="32"/>
  <c r="AC306" i="32"/>
  <c r="X306" i="32"/>
  <c r="W306" i="32"/>
  <c r="V306" i="32"/>
  <c r="T306" i="32"/>
  <c r="S306" i="32"/>
  <c r="R306" i="32"/>
  <c r="P306" i="32"/>
  <c r="O306" i="32"/>
  <c r="M306" i="32"/>
  <c r="J306" i="32"/>
  <c r="AK305" i="32"/>
  <c r="AJ305" i="32"/>
  <c r="AH305" i="32"/>
  <c r="AG305" i="32"/>
  <c r="AD305" i="32"/>
  <c r="X305" i="32"/>
  <c r="W305" i="32"/>
  <c r="V305" i="32"/>
  <c r="T305" i="32"/>
  <c r="S305" i="32"/>
  <c r="P305" i="32"/>
  <c r="O305" i="32"/>
  <c r="M305" i="32"/>
  <c r="J305" i="32"/>
  <c r="AK304" i="32"/>
  <c r="AJ304" i="32"/>
  <c r="AH304" i="32"/>
  <c r="AG304" i="32"/>
  <c r="AD304" i="32"/>
  <c r="AC304" i="32"/>
  <c r="X304" i="32"/>
  <c r="W304" i="32"/>
  <c r="V304" i="32"/>
  <c r="T304" i="32"/>
  <c r="S304" i="32"/>
  <c r="P304" i="32"/>
  <c r="O304" i="32"/>
  <c r="M304" i="32"/>
  <c r="J304" i="32"/>
  <c r="AK299" i="32"/>
  <c r="AJ299" i="32"/>
  <c r="AI299" i="32"/>
  <c r="AH299" i="32"/>
  <c r="AG299" i="32"/>
  <c r="AD299" i="32"/>
  <c r="AC299" i="32"/>
  <c r="X299" i="32"/>
  <c r="W299" i="32"/>
  <c r="V299" i="32"/>
  <c r="T299" i="32"/>
  <c r="S299" i="32"/>
  <c r="R299" i="32"/>
  <c r="P299" i="32"/>
  <c r="O299" i="32"/>
  <c r="M299" i="32"/>
  <c r="J299" i="32"/>
  <c r="AM298" i="32"/>
  <c r="AL298" i="32"/>
  <c r="AL299" i="32" s="1"/>
  <c r="AE298" i="32"/>
  <c r="AT298" i="32" s="1"/>
  <c r="AT299" i="32" s="1"/>
  <c r="Y298" i="32"/>
  <c r="Q298" i="32"/>
  <c r="Q299" i="32" s="1"/>
  <c r="N298" i="32"/>
  <c r="N299" i="32" s="1"/>
  <c r="L298" i="32"/>
  <c r="L299" i="32" s="1"/>
  <c r="K298" i="32"/>
  <c r="AK297" i="32"/>
  <c r="AJ297" i="32"/>
  <c r="AI297" i="32"/>
  <c r="AH297" i="32"/>
  <c r="AG297" i="32"/>
  <c r="AD297" i="32"/>
  <c r="AC297" i="32"/>
  <c r="X297" i="32"/>
  <c r="W297" i="32"/>
  <c r="V297" i="32"/>
  <c r="T297" i="32"/>
  <c r="S297" i="32"/>
  <c r="R297" i="32"/>
  <c r="P297" i="32"/>
  <c r="O297" i="32"/>
  <c r="M297" i="32"/>
  <c r="J297" i="32"/>
  <c r="AM296" i="32"/>
  <c r="AW296" i="32" s="1"/>
  <c r="AL296" i="32"/>
  <c r="AE296" i="32"/>
  <c r="AT296" i="32" s="1"/>
  <c r="Y296" i="32"/>
  <c r="AQ296" i="32" s="1"/>
  <c r="Q296" i="32"/>
  <c r="U296" i="32" s="1"/>
  <c r="AP296" i="32" s="1"/>
  <c r="N296" i="32"/>
  <c r="L296" i="32"/>
  <c r="K296" i="32"/>
  <c r="AM295" i="32"/>
  <c r="AW295" i="32" s="1"/>
  <c r="AL295" i="32"/>
  <c r="AE295" i="32"/>
  <c r="AT295" i="32" s="1"/>
  <c r="Y295" i="32"/>
  <c r="AQ295" i="32" s="1"/>
  <c r="Q295" i="32"/>
  <c r="U295" i="32" s="1"/>
  <c r="N295" i="32"/>
  <c r="I295" i="32"/>
  <c r="AM294" i="32"/>
  <c r="AW294" i="32" s="1"/>
  <c r="AL294" i="32"/>
  <c r="AE294" i="32"/>
  <c r="AT294" i="32" s="1"/>
  <c r="Y294" i="32"/>
  <c r="AQ294" i="32" s="1"/>
  <c r="Q294" i="32"/>
  <c r="U294" i="32" s="1"/>
  <c r="AB294" i="32" s="1"/>
  <c r="N294" i="32"/>
  <c r="L294" i="32"/>
  <c r="K294" i="32"/>
  <c r="AM293" i="32"/>
  <c r="AW293" i="32" s="1"/>
  <c r="AL293" i="32"/>
  <c r="AE293" i="32"/>
  <c r="AT293" i="32" s="1"/>
  <c r="Y293" i="32"/>
  <c r="AQ293" i="32" s="1"/>
  <c r="Q293" i="32"/>
  <c r="U293" i="32" s="1"/>
  <c r="N293" i="32"/>
  <c r="L293" i="32"/>
  <c r="K293" i="32"/>
  <c r="AM292" i="32"/>
  <c r="AW292" i="32" s="1"/>
  <c r="AL292" i="32"/>
  <c r="AE292" i="32"/>
  <c r="AT292" i="32" s="1"/>
  <c r="Y292" i="32"/>
  <c r="AQ292" i="32" s="1"/>
  <c r="Q292" i="32"/>
  <c r="U292" i="32" s="1"/>
  <c r="N292" i="32"/>
  <c r="L292" i="32"/>
  <c r="K292" i="32"/>
  <c r="AM291" i="32"/>
  <c r="AW291" i="32" s="1"/>
  <c r="AL291" i="32"/>
  <c r="AV291" i="32" s="1"/>
  <c r="AE291" i="32"/>
  <c r="Y291" i="32"/>
  <c r="Q291" i="32"/>
  <c r="N291" i="32"/>
  <c r="L291" i="32"/>
  <c r="K291" i="32"/>
  <c r="AK290" i="32"/>
  <c r="AJ290" i="32"/>
  <c r="AI290" i="32"/>
  <c r="AH290" i="32"/>
  <c r="AG290" i="32"/>
  <c r="AD290" i="32"/>
  <c r="X290" i="32"/>
  <c r="W290" i="32"/>
  <c r="V290" i="32"/>
  <c r="T290" i="32"/>
  <c r="S290" i="32"/>
  <c r="R290" i="32"/>
  <c r="P290" i="32"/>
  <c r="O290" i="32"/>
  <c r="M290" i="32"/>
  <c r="J290" i="32"/>
  <c r="AM289" i="32"/>
  <c r="AL289" i="32"/>
  <c r="AV289" i="32" s="1"/>
  <c r="AE289" i="32"/>
  <c r="AT289" i="32" s="1"/>
  <c r="Y289" i="32"/>
  <c r="Q289" i="32"/>
  <c r="U289" i="32" s="1"/>
  <c r="AB289" i="32" s="1"/>
  <c r="N289" i="32"/>
  <c r="L289" i="32"/>
  <c r="K289" i="32"/>
  <c r="AM288" i="32"/>
  <c r="AW288" i="32" s="1"/>
  <c r="AL288" i="32"/>
  <c r="AE288" i="32"/>
  <c r="AT288" i="32" s="1"/>
  <c r="Y288" i="32"/>
  <c r="AQ288" i="32" s="1"/>
  <c r="Q288" i="32"/>
  <c r="U288" i="32" s="1"/>
  <c r="AB288" i="32" s="1"/>
  <c r="N288" i="32"/>
  <c r="L288" i="32"/>
  <c r="K288" i="32"/>
  <c r="AM287" i="32"/>
  <c r="AW287" i="32" s="1"/>
  <c r="AL287" i="32"/>
  <c r="AE287" i="32"/>
  <c r="AT287" i="32" s="1"/>
  <c r="Y287" i="32"/>
  <c r="AQ287" i="32" s="1"/>
  <c r="Q287" i="32"/>
  <c r="U287" i="32" s="1"/>
  <c r="N287" i="32"/>
  <c r="L287" i="32"/>
  <c r="K287" i="32"/>
  <c r="AM286" i="32"/>
  <c r="AW286" i="32" s="1"/>
  <c r="AL286" i="32"/>
  <c r="AC286" i="32"/>
  <c r="Y286" i="32"/>
  <c r="AQ286" i="32" s="1"/>
  <c r="Q286" i="32"/>
  <c r="U286" i="32" s="1"/>
  <c r="AB286" i="32" s="1"/>
  <c r="N286" i="32"/>
  <c r="L286" i="32"/>
  <c r="K286" i="32"/>
  <c r="AM285" i="32"/>
  <c r="AL285" i="32"/>
  <c r="AV285" i="32" s="1"/>
  <c r="AE285" i="32"/>
  <c r="AT285" i="32" s="1"/>
  <c r="Y285" i="32"/>
  <c r="AQ285" i="32" s="1"/>
  <c r="Q285" i="32"/>
  <c r="U285" i="32" s="1"/>
  <c r="AA285" i="32" s="1"/>
  <c r="N285" i="32"/>
  <c r="L285" i="32"/>
  <c r="K285" i="32"/>
  <c r="AV284" i="32"/>
  <c r="AM284" i="32"/>
  <c r="AW284" i="32" s="1"/>
  <c r="AL284" i="32"/>
  <c r="AE284" i="32"/>
  <c r="AT284" i="32" s="1"/>
  <c r="Y284" i="32"/>
  <c r="AQ284" i="32" s="1"/>
  <c r="Q284" i="32"/>
  <c r="N284" i="32"/>
  <c r="L284" i="32"/>
  <c r="K284" i="32"/>
  <c r="AK283" i="32"/>
  <c r="AJ283" i="32"/>
  <c r="AI283" i="32"/>
  <c r="AH283" i="32"/>
  <c r="AG283" i="32"/>
  <c r="AD283" i="32"/>
  <c r="AC283" i="32"/>
  <c r="X283" i="32"/>
  <c r="W283" i="32"/>
  <c r="V283" i="32"/>
  <c r="T283" i="32"/>
  <c r="S283" i="32"/>
  <c r="R283" i="32"/>
  <c r="P283" i="32"/>
  <c r="O283" i="32"/>
  <c r="M283" i="32"/>
  <c r="J283" i="32"/>
  <c r="AM282" i="32"/>
  <c r="AW282" i="32" s="1"/>
  <c r="AL282" i="32"/>
  <c r="AE282" i="32"/>
  <c r="AT282" i="32" s="1"/>
  <c r="Y282" i="32"/>
  <c r="AQ282" i="32" s="1"/>
  <c r="Q282" i="32"/>
  <c r="U282" i="32" s="1"/>
  <c r="N282" i="32"/>
  <c r="L282" i="32"/>
  <c r="K282" i="32"/>
  <c r="AM281" i="32"/>
  <c r="AL281" i="32"/>
  <c r="AV281" i="32" s="1"/>
  <c r="AE281" i="32"/>
  <c r="AT281" i="32" s="1"/>
  <c r="Y281" i="32"/>
  <c r="AQ281" i="32" s="1"/>
  <c r="Q281" i="32"/>
  <c r="U281" i="32" s="1"/>
  <c r="N281" i="32"/>
  <c r="L281" i="32"/>
  <c r="K281" i="32"/>
  <c r="AM280" i="32"/>
  <c r="AW280" i="32" s="1"/>
  <c r="AL280" i="32"/>
  <c r="AE280" i="32"/>
  <c r="AT280" i="32" s="1"/>
  <c r="Y280" i="32"/>
  <c r="AQ280" i="32" s="1"/>
  <c r="Q280" i="32"/>
  <c r="U280" i="32" s="1"/>
  <c r="N280" i="32"/>
  <c r="L280" i="32"/>
  <c r="K280" i="32"/>
  <c r="AM279" i="32"/>
  <c r="AW279" i="32" s="1"/>
  <c r="AL279" i="32"/>
  <c r="AE279" i="32"/>
  <c r="AT279" i="32" s="1"/>
  <c r="Y279" i="32"/>
  <c r="Q279" i="32"/>
  <c r="U279" i="32" s="1"/>
  <c r="N279" i="32"/>
  <c r="L279" i="32"/>
  <c r="K279" i="32"/>
  <c r="AM278" i="32"/>
  <c r="AW278" i="32" s="1"/>
  <c r="AL278" i="32"/>
  <c r="AE278" i="32"/>
  <c r="AT278" i="32" s="1"/>
  <c r="Y278" i="32"/>
  <c r="AQ278" i="32" s="1"/>
  <c r="Q278" i="32"/>
  <c r="U278" i="32" s="1"/>
  <c r="Z278" i="32" s="1"/>
  <c r="N278" i="32"/>
  <c r="L278" i="32"/>
  <c r="K278" i="32"/>
  <c r="AM277" i="32"/>
  <c r="AL277" i="32"/>
  <c r="AV277" i="32" s="1"/>
  <c r="AE277" i="32"/>
  <c r="AT277" i="32" s="1"/>
  <c r="Y277" i="32"/>
  <c r="Q277" i="32"/>
  <c r="N277" i="32"/>
  <c r="L277" i="32"/>
  <c r="K277" i="32"/>
  <c r="AK276" i="32"/>
  <c r="AJ276" i="32"/>
  <c r="AI276" i="32"/>
  <c r="AH276" i="32"/>
  <c r="AG276" i="32"/>
  <c r="AD276" i="32"/>
  <c r="AC276" i="32"/>
  <c r="X276" i="32"/>
  <c r="W276" i="32"/>
  <c r="V276" i="32"/>
  <c r="T276" i="32"/>
  <c r="S276" i="32"/>
  <c r="R276" i="32"/>
  <c r="P276" i="32"/>
  <c r="O276" i="32"/>
  <c r="M276" i="32"/>
  <c r="J276" i="32"/>
  <c r="AM275" i="32"/>
  <c r="AW275" i="32" s="1"/>
  <c r="AL275" i="32"/>
  <c r="AV275" i="32" s="1"/>
  <c r="AE275" i="32"/>
  <c r="AT275" i="32" s="1"/>
  <c r="Y275" i="32"/>
  <c r="AQ275" i="32" s="1"/>
  <c r="Q275" i="32"/>
  <c r="U275" i="32" s="1"/>
  <c r="N275" i="32"/>
  <c r="L275" i="32"/>
  <c r="K275" i="32"/>
  <c r="AM274" i="32"/>
  <c r="AW274" i="32" s="1"/>
  <c r="AL274" i="32"/>
  <c r="AE274" i="32"/>
  <c r="AT274" i="32" s="1"/>
  <c r="Y274" i="32"/>
  <c r="AQ274" i="32" s="1"/>
  <c r="Q274" i="32"/>
  <c r="U274" i="32" s="1"/>
  <c r="AP274" i="32" s="1"/>
  <c r="N274" i="32"/>
  <c r="L274" i="32"/>
  <c r="K274" i="32"/>
  <c r="AM273" i="32"/>
  <c r="AW273" i="32" s="1"/>
  <c r="AL273" i="32"/>
  <c r="AV273" i="32" s="1"/>
  <c r="AE273" i="32"/>
  <c r="AT273" i="32" s="1"/>
  <c r="Y273" i="32"/>
  <c r="AQ273" i="32" s="1"/>
  <c r="Q273" i="32"/>
  <c r="U273" i="32" s="1"/>
  <c r="N273" i="32"/>
  <c r="L273" i="32"/>
  <c r="K273" i="32"/>
  <c r="I273" i="32" s="1"/>
  <c r="AM272" i="32"/>
  <c r="AW272" i="32" s="1"/>
  <c r="AL272" i="32"/>
  <c r="AE272" i="32"/>
  <c r="AT272" i="32" s="1"/>
  <c r="Y272" i="32"/>
  <c r="AQ272" i="32" s="1"/>
  <c r="Q272" i="32"/>
  <c r="U272" i="32" s="1"/>
  <c r="N272" i="32"/>
  <c r="L272" i="32"/>
  <c r="K272" i="32"/>
  <c r="AM271" i="32"/>
  <c r="AW271" i="32" s="1"/>
  <c r="AL271" i="32"/>
  <c r="AV271" i="32" s="1"/>
  <c r="AE271" i="32"/>
  <c r="AT271" i="32" s="1"/>
  <c r="Y271" i="32"/>
  <c r="AQ271" i="32" s="1"/>
  <c r="Q271" i="32"/>
  <c r="U271" i="32" s="1"/>
  <c r="N271" i="32"/>
  <c r="L271" i="32"/>
  <c r="K271" i="32"/>
  <c r="AM270" i="32"/>
  <c r="AW270" i="32" s="1"/>
  <c r="AL270" i="32"/>
  <c r="AV270" i="32" s="1"/>
  <c r="AE270" i="32"/>
  <c r="AT270" i="32" s="1"/>
  <c r="Y270" i="32"/>
  <c r="Q270" i="32"/>
  <c r="N270" i="32"/>
  <c r="L270" i="32"/>
  <c r="K270" i="32"/>
  <c r="AK269" i="32"/>
  <c r="AJ269" i="32"/>
  <c r="AI269" i="32"/>
  <c r="AH269" i="32"/>
  <c r="AG269" i="32"/>
  <c r="AD269" i="32"/>
  <c r="AC269" i="32"/>
  <c r="X269" i="32"/>
  <c r="W269" i="32"/>
  <c r="V269" i="32"/>
  <c r="T269" i="32"/>
  <c r="S269" i="32"/>
  <c r="R269" i="32"/>
  <c r="P269" i="32"/>
  <c r="O269" i="32"/>
  <c r="M269" i="32"/>
  <c r="J269" i="32"/>
  <c r="AM268" i="32"/>
  <c r="AW268" i="32" s="1"/>
  <c r="AL268" i="32"/>
  <c r="AE268" i="32"/>
  <c r="AT268" i="32" s="1"/>
  <c r="Y268" i="32"/>
  <c r="AQ268" i="32" s="1"/>
  <c r="Q268" i="32"/>
  <c r="U268" i="32" s="1"/>
  <c r="AA268" i="32" s="1"/>
  <c r="N268" i="32"/>
  <c r="L268" i="32"/>
  <c r="K268" i="32"/>
  <c r="AM267" i="32"/>
  <c r="AW267" i="32" s="1"/>
  <c r="AL267" i="32"/>
  <c r="AE267" i="32"/>
  <c r="AT267" i="32" s="1"/>
  <c r="Y267" i="32"/>
  <c r="AQ267" i="32" s="1"/>
  <c r="Q267" i="32"/>
  <c r="U267" i="32" s="1"/>
  <c r="AP267" i="32" s="1"/>
  <c r="N267" i="32"/>
  <c r="L267" i="32"/>
  <c r="K267" i="32"/>
  <c r="AM266" i="32"/>
  <c r="AW266" i="32" s="1"/>
  <c r="AL266" i="32"/>
  <c r="AE266" i="32"/>
  <c r="AT266" i="32" s="1"/>
  <c r="Y266" i="32"/>
  <c r="AQ266" i="32" s="1"/>
  <c r="Q266" i="32"/>
  <c r="U266" i="32" s="1"/>
  <c r="AB266" i="32" s="1"/>
  <c r="N266" i="32"/>
  <c r="L266" i="32"/>
  <c r="K266" i="32"/>
  <c r="AM265" i="32"/>
  <c r="AW265" i="32" s="1"/>
  <c r="AL265" i="32"/>
  <c r="AE265" i="32"/>
  <c r="AT265" i="32" s="1"/>
  <c r="Y265" i="32"/>
  <c r="AQ265" i="32" s="1"/>
  <c r="Q265" i="32"/>
  <c r="U265" i="32" s="1"/>
  <c r="AP265" i="32" s="1"/>
  <c r="N265" i="32"/>
  <c r="L265" i="32"/>
  <c r="K265" i="32"/>
  <c r="AM264" i="32"/>
  <c r="AL264" i="32"/>
  <c r="AE264" i="32"/>
  <c r="AT264" i="32" s="1"/>
  <c r="Y264" i="32"/>
  <c r="Q264" i="32"/>
  <c r="N264" i="32"/>
  <c r="L264" i="32"/>
  <c r="K264" i="32"/>
  <c r="AK263" i="32"/>
  <c r="AJ263" i="32"/>
  <c r="AI263" i="32"/>
  <c r="AH263" i="32"/>
  <c r="AG263" i="32"/>
  <c r="AD263" i="32"/>
  <c r="AC263" i="32"/>
  <c r="X263" i="32"/>
  <c r="W263" i="32"/>
  <c r="V263" i="32"/>
  <c r="T263" i="32"/>
  <c r="S263" i="32"/>
  <c r="R263" i="32"/>
  <c r="P263" i="32"/>
  <c r="O263" i="32"/>
  <c r="M263" i="32"/>
  <c r="J263" i="32"/>
  <c r="AM262" i="32"/>
  <c r="AW262" i="32" s="1"/>
  <c r="AL262" i="32"/>
  <c r="AE262" i="32"/>
  <c r="AT262" i="32" s="1"/>
  <c r="Y262" i="32"/>
  <c r="AQ262" i="32" s="1"/>
  <c r="Q262" i="32"/>
  <c r="U262" i="32" s="1"/>
  <c r="N262" i="32"/>
  <c r="L262" i="32"/>
  <c r="K262" i="32"/>
  <c r="AM261" i="32"/>
  <c r="AL261" i="32"/>
  <c r="AE261" i="32"/>
  <c r="AT261" i="32" s="1"/>
  <c r="AT263" i="32" s="1"/>
  <c r="Y261" i="32"/>
  <c r="Y263" i="32" s="1"/>
  <c r="Q261" i="32"/>
  <c r="U261" i="32" s="1"/>
  <c r="AB261" i="32" s="1"/>
  <c r="N261" i="32"/>
  <c r="L261" i="32"/>
  <c r="K261" i="32"/>
  <c r="AK260" i="32"/>
  <c r="AJ260" i="32"/>
  <c r="AH260" i="32"/>
  <c r="AG260" i="32"/>
  <c r="AD260" i="32"/>
  <c r="AC260" i="32"/>
  <c r="X260" i="32"/>
  <c r="W260" i="32"/>
  <c r="V260" i="32"/>
  <c r="T260" i="32"/>
  <c r="S260" i="32"/>
  <c r="P260" i="32"/>
  <c r="O260" i="32"/>
  <c r="M260" i="32"/>
  <c r="J260" i="32"/>
  <c r="AM259" i="32"/>
  <c r="AL259" i="32"/>
  <c r="AV259" i="32" s="1"/>
  <c r="AE259" i="32"/>
  <c r="AT259" i="32" s="1"/>
  <c r="Y259" i="32"/>
  <c r="AQ259" i="32" s="1"/>
  <c r="Q259" i="32"/>
  <c r="U259" i="32" s="1"/>
  <c r="N259" i="32"/>
  <c r="L259" i="32"/>
  <c r="K259" i="32"/>
  <c r="AM258" i="32"/>
  <c r="AW258" i="32" s="1"/>
  <c r="AL258" i="32"/>
  <c r="AV258" i="32" s="1"/>
  <c r="AE258" i="32"/>
  <c r="AT258" i="32" s="1"/>
  <c r="Y258" i="32"/>
  <c r="AQ258" i="32" s="1"/>
  <c r="Q258" i="32"/>
  <c r="U258" i="32" s="1"/>
  <c r="N258" i="32"/>
  <c r="L258" i="32"/>
  <c r="AM257" i="32"/>
  <c r="AW257" i="32" s="1"/>
  <c r="AL257" i="32"/>
  <c r="AE257" i="32"/>
  <c r="AT257" i="32" s="1"/>
  <c r="Y257" i="32"/>
  <c r="AQ257" i="32" s="1"/>
  <c r="Q257" i="32"/>
  <c r="U257" i="32" s="1"/>
  <c r="N257" i="32"/>
  <c r="L257" i="32"/>
  <c r="K257" i="32"/>
  <c r="AM256" i="32"/>
  <c r="AW256" i="32" s="1"/>
  <c r="AI256" i="32"/>
  <c r="AE256" i="32"/>
  <c r="AT256" i="32" s="1"/>
  <c r="Y256" i="32"/>
  <c r="R256" i="32"/>
  <c r="R260" i="32" s="1"/>
  <c r="Q256" i="32"/>
  <c r="N256" i="32"/>
  <c r="L256" i="32"/>
  <c r="K256" i="32"/>
  <c r="AM255" i="32"/>
  <c r="AL255" i="32"/>
  <c r="AV255" i="32" s="1"/>
  <c r="AE255" i="32"/>
  <c r="AT255" i="32" s="1"/>
  <c r="Y255" i="32"/>
  <c r="AQ255" i="32" s="1"/>
  <c r="Q255" i="32"/>
  <c r="U255" i="32" s="1"/>
  <c r="AB255" i="32" s="1"/>
  <c r="N255" i="32"/>
  <c r="L255" i="32"/>
  <c r="K255" i="32"/>
  <c r="AV254" i="32"/>
  <c r="AM254" i="32"/>
  <c r="AW254" i="32" s="1"/>
  <c r="AL254" i="32"/>
  <c r="AE254" i="32"/>
  <c r="Y254" i="32"/>
  <c r="AQ254" i="32" s="1"/>
  <c r="Q254" i="32"/>
  <c r="N254" i="32"/>
  <c r="L254" i="32"/>
  <c r="K254" i="32"/>
  <c r="AK253" i="32"/>
  <c r="AJ253" i="32"/>
  <c r="AI253" i="32"/>
  <c r="AH253" i="32"/>
  <c r="AG253" i="32"/>
  <c r="AD253" i="32"/>
  <c r="AC253" i="32"/>
  <c r="X253" i="32"/>
  <c r="W253" i="32"/>
  <c r="V253" i="32"/>
  <c r="T253" i="32"/>
  <c r="S253" i="32"/>
  <c r="R253" i="32"/>
  <c r="P253" i="32"/>
  <c r="O253" i="32"/>
  <c r="M253" i="32"/>
  <c r="J253" i="32"/>
  <c r="AM252" i="32"/>
  <c r="AW252" i="32" s="1"/>
  <c r="AL252" i="32"/>
  <c r="AV252" i="32" s="1"/>
  <c r="AE252" i="32"/>
  <c r="AT252" i="32" s="1"/>
  <c r="Y252" i="32"/>
  <c r="AQ252" i="32" s="1"/>
  <c r="Q252" i="32"/>
  <c r="U252" i="32" s="1"/>
  <c r="N252" i="32"/>
  <c r="L252" i="32"/>
  <c r="K252" i="32"/>
  <c r="AM251" i="32"/>
  <c r="AW251" i="32" s="1"/>
  <c r="AL251" i="32"/>
  <c r="AE251" i="32"/>
  <c r="Y251" i="32"/>
  <c r="AQ251" i="32" s="1"/>
  <c r="Q251" i="32"/>
  <c r="U251" i="32" s="1"/>
  <c r="N251" i="32"/>
  <c r="L251" i="32"/>
  <c r="K251" i="32"/>
  <c r="AK250" i="32"/>
  <c r="AJ250" i="32"/>
  <c r="AI250" i="32"/>
  <c r="AH250" i="32"/>
  <c r="AG250" i="32"/>
  <c r="AD250" i="32"/>
  <c r="AC250" i="32"/>
  <c r="X250" i="32"/>
  <c r="W250" i="32"/>
  <c r="V250" i="32"/>
  <c r="T250" i="32"/>
  <c r="S250" i="32"/>
  <c r="R250" i="32"/>
  <c r="P250" i="32"/>
  <c r="O250" i="32"/>
  <c r="M250" i="32"/>
  <c r="J250" i="32"/>
  <c r="AM249" i="32"/>
  <c r="AW249" i="32" s="1"/>
  <c r="AL249" i="32"/>
  <c r="AN249" i="32" s="1"/>
  <c r="AE249" i="32"/>
  <c r="AT249" i="32" s="1"/>
  <c r="Y249" i="32"/>
  <c r="Q249" i="32"/>
  <c r="U249" i="32" s="1"/>
  <c r="N249" i="32"/>
  <c r="L249" i="32"/>
  <c r="K249" i="32"/>
  <c r="AM248" i="32"/>
  <c r="AW248" i="32" s="1"/>
  <c r="AL248" i="32"/>
  <c r="AV248" i="32" s="1"/>
  <c r="AE248" i="32"/>
  <c r="AT248" i="32" s="1"/>
  <c r="Y248" i="32"/>
  <c r="Q248" i="32"/>
  <c r="U248" i="32" s="1"/>
  <c r="N248" i="32"/>
  <c r="L248" i="32"/>
  <c r="K248" i="32"/>
  <c r="AM247" i="32"/>
  <c r="AW247" i="32" s="1"/>
  <c r="AL247" i="32"/>
  <c r="AV247" i="32" s="1"/>
  <c r="AE247" i="32"/>
  <c r="AT247" i="32" s="1"/>
  <c r="Y247" i="32"/>
  <c r="Q247" i="32"/>
  <c r="U247" i="32" s="1"/>
  <c r="N247" i="32"/>
  <c r="L247" i="32"/>
  <c r="K247" i="32"/>
  <c r="AM246" i="32"/>
  <c r="AL246" i="32"/>
  <c r="AE246" i="32"/>
  <c r="AT246" i="32" s="1"/>
  <c r="Y246" i="32"/>
  <c r="Q246" i="32"/>
  <c r="U246" i="32" s="1"/>
  <c r="N246" i="32"/>
  <c r="L246" i="32"/>
  <c r="K246" i="32"/>
  <c r="AM245" i="32"/>
  <c r="AW245" i="32" s="1"/>
  <c r="AL245" i="32"/>
  <c r="AE245" i="32"/>
  <c r="AT245" i="32" s="1"/>
  <c r="Y245" i="32"/>
  <c r="Q245" i="32"/>
  <c r="U245" i="32" s="1"/>
  <c r="N245" i="32"/>
  <c r="L245" i="32"/>
  <c r="K245" i="32"/>
  <c r="AM244" i="32"/>
  <c r="AW244" i="32" s="1"/>
  <c r="AL244" i="32"/>
  <c r="AV244" i="32" s="1"/>
  <c r="AE244" i="32"/>
  <c r="Y244" i="32"/>
  <c r="Q244" i="32"/>
  <c r="N244" i="32"/>
  <c r="L244" i="32"/>
  <c r="K244" i="32"/>
  <c r="AK243" i="32"/>
  <c r="AJ243" i="32"/>
  <c r="AI243" i="32"/>
  <c r="AH243" i="32"/>
  <c r="AG243" i="32"/>
  <c r="AD243" i="32"/>
  <c r="AC243" i="32"/>
  <c r="X243" i="32"/>
  <c r="W243" i="32"/>
  <c r="V243" i="32"/>
  <c r="T243" i="32"/>
  <c r="S243" i="32"/>
  <c r="R243" i="32"/>
  <c r="P243" i="32"/>
  <c r="O243" i="32"/>
  <c r="M243" i="32"/>
  <c r="J243" i="32"/>
  <c r="AM242" i="32"/>
  <c r="AW242" i="32" s="1"/>
  <c r="AL242" i="32"/>
  <c r="AE242" i="32"/>
  <c r="AT242" i="32" s="1"/>
  <c r="Y242" i="32"/>
  <c r="AQ242" i="32" s="1"/>
  <c r="Q242" i="32"/>
  <c r="N242" i="32"/>
  <c r="L242" i="32"/>
  <c r="K242" i="32"/>
  <c r="AM241" i="32"/>
  <c r="AW241" i="32" s="1"/>
  <c r="AL241" i="32"/>
  <c r="AE241" i="32"/>
  <c r="AT241" i="32" s="1"/>
  <c r="Y241" i="32"/>
  <c r="AQ241" i="32" s="1"/>
  <c r="U241" i="32"/>
  <c r="AP241" i="32" s="1"/>
  <c r="N241" i="32"/>
  <c r="L241" i="32"/>
  <c r="K241" i="32"/>
  <c r="AM240" i="32"/>
  <c r="AM243" i="32" s="1"/>
  <c r="AL240" i="32"/>
  <c r="AE240" i="32"/>
  <c r="Y240" i="32"/>
  <c r="Q240" i="32"/>
  <c r="U240" i="32" s="1"/>
  <c r="AB240" i="32" s="1"/>
  <c r="N240" i="32"/>
  <c r="L240" i="32"/>
  <c r="K240" i="32"/>
  <c r="AK239" i="32"/>
  <c r="AJ239" i="32"/>
  <c r="AI239" i="32"/>
  <c r="AH239" i="32"/>
  <c r="AG239" i="32"/>
  <c r="AD239" i="32"/>
  <c r="AC239" i="32"/>
  <c r="X239" i="32"/>
  <c r="W239" i="32"/>
  <c r="V239" i="32"/>
  <c r="T239" i="32"/>
  <c r="S239" i="32"/>
  <c r="R239" i="32"/>
  <c r="P239" i="32"/>
  <c r="O239" i="32"/>
  <c r="M239" i="32"/>
  <c r="J239" i="32"/>
  <c r="AM238" i="32"/>
  <c r="AW238" i="32" s="1"/>
  <c r="AL238" i="32"/>
  <c r="AE238" i="32"/>
  <c r="AT238" i="32" s="1"/>
  <c r="Y238" i="32"/>
  <c r="AQ238" i="32" s="1"/>
  <c r="Q238" i="32"/>
  <c r="U238" i="32" s="1"/>
  <c r="N238" i="32"/>
  <c r="L238" i="32"/>
  <c r="K238" i="32"/>
  <c r="I238" i="32" s="1"/>
  <c r="AM237" i="32"/>
  <c r="AW237" i="32" s="1"/>
  <c r="AL237" i="32"/>
  <c r="AE237" i="32"/>
  <c r="AT237" i="32" s="1"/>
  <c r="Y237" i="32"/>
  <c r="AQ237" i="32" s="1"/>
  <c r="Q237" i="32"/>
  <c r="U237" i="32" s="1"/>
  <c r="AB237" i="32" s="1"/>
  <c r="AS237" i="32" s="1"/>
  <c r="N237" i="32"/>
  <c r="K237" i="32"/>
  <c r="AM236" i="32"/>
  <c r="AW236" i="32" s="1"/>
  <c r="AL236" i="32"/>
  <c r="AE236" i="32"/>
  <c r="AT236" i="32" s="1"/>
  <c r="Y236" i="32"/>
  <c r="AQ236" i="32" s="1"/>
  <c r="Q236" i="32"/>
  <c r="U236" i="32" s="1"/>
  <c r="AB236" i="32" s="1"/>
  <c r="N236" i="32"/>
  <c r="L236" i="32"/>
  <c r="K236" i="32"/>
  <c r="AM235" i="32"/>
  <c r="AW235" i="32" s="1"/>
  <c r="AL235" i="32"/>
  <c r="AE235" i="32"/>
  <c r="AT235" i="32" s="1"/>
  <c r="Y235" i="32"/>
  <c r="Q235" i="32"/>
  <c r="U235" i="32" s="1"/>
  <c r="AB235" i="32" s="1"/>
  <c r="N235" i="32"/>
  <c r="L235" i="32"/>
  <c r="K235" i="32"/>
  <c r="AM234" i="32"/>
  <c r="AL234" i="32"/>
  <c r="AV234" i="32" s="1"/>
  <c r="AE234" i="32"/>
  <c r="AT234" i="32" s="1"/>
  <c r="Y234" i="32"/>
  <c r="AQ234" i="32" s="1"/>
  <c r="Q234" i="32"/>
  <c r="U234" i="32" s="1"/>
  <c r="N234" i="32"/>
  <c r="L234" i="32"/>
  <c r="K234" i="32"/>
  <c r="AM233" i="32"/>
  <c r="AW233" i="32" s="1"/>
  <c r="AL233" i="32"/>
  <c r="AV233" i="32" s="1"/>
  <c r="AE233" i="32"/>
  <c r="Y233" i="32"/>
  <c r="AQ233" i="32" s="1"/>
  <c r="Q233" i="32"/>
  <c r="U233" i="32" s="1"/>
  <c r="AB233" i="32" s="1"/>
  <c r="AS233" i="32" s="1"/>
  <c r="N233" i="32"/>
  <c r="L233" i="32"/>
  <c r="K233" i="32"/>
  <c r="AK232" i="32"/>
  <c r="AJ232" i="32"/>
  <c r="AI232" i="32"/>
  <c r="AH232" i="32"/>
  <c r="AG232" i="32"/>
  <c r="AD232" i="32"/>
  <c r="AC232" i="32"/>
  <c r="X232" i="32"/>
  <c r="W232" i="32"/>
  <c r="V232" i="32"/>
  <c r="T232" i="32"/>
  <c r="S232" i="32"/>
  <c r="R232" i="32"/>
  <c r="P232" i="32"/>
  <c r="O232" i="32"/>
  <c r="M232" i="32"/>
  <c r="J232" i="32"/>
  <c r="AM231" i="32"/>
  <c r="AW231" i="32" s="1"/>
  <c r="AL231" i="32"/>
  <c r="AE231" i="32"/>
  <c r="AT231" i="32" s="1"/>
  <c r="Y231" i="32"/>
  <c r="AQ231" i="32" s="1"/>
  <c r="Q231" i="32"/>
  <c r="U231" i="32" s="1"/>
  <c r="AB231" i="32" s="1"/>
  <c r="N231" i="32"/>
  <c r="L231" i="32"/>
  <c r="K231" i="32"/>
  <c r="I231" i="32" s="1"/>
  <c r="AM230" i="32"/>
  <c r="AW230" i="32" s="1"/>
  <c r="AL230" i="32"/>
  <c r="AE230" i="32"/>
  <c r="AT230" i="32" s="1"/>
  <c r="Y230" i="32"/>
  <c r="AQ230" i="32" s="1"/>
  <c r="Q230" i="32"/>
  <c r="U230" i="32" s="1"/>
  <c r="AB230" i="32" s="1"/>
  <c r="N230" i="32"/>
  <c r="L230" i="32"/>
  <c r="I230" i="32" s="1"/>
  <c r="AM229" i="32"/>
  <c r="AW229" i="32" s="1"/>
  <c r="AL229" i="32"/>
  <c r="AV229" i="32" s="1"/>
  <c r="AE229" i="32"/>
  <c r="AT229" i="32" s="1"/>
  <c r="Y229" i="32"/>
  <c r="AQ229" i="32" s="1"/>
  <c r="Q229" i="32"/>
  <c r="U229" i="32" s="1"/>
  <c r="N229" i="32"/>
  <c r="L229" i="32"/>
  <c r="K229" i="32"/>
  <c r="AM228" i="32"/>
  <c r="AW228" i="32" s="1"/>
  <c r="AL228" i="32"/>
  <c r="AV228" i="32" s="1"/>
  <c r="AE228" i="32"/>
  <c r="AT228" i="32" s="1"/>
  <c r="Y228" i="32"/>
  <c r="AQ228" i="32" s="1"/>
  <c r="U228" i="32"/>
  <c r="AB228" i="32" s="1"/>
  <c r="AS228" i="32" s="1"/>
  <c r="Q228" i="32"/>
  <c r="N228" i="32"/>
  <c r="L228" i="32"/>
  <c r="K228" i="32"/>
  <c r="I228" i="32" s="1"/>
  <c r="AM227" i="32"/>
  <c r="AL227" i="32"/>
  <c r="AV227" i="32" s="1"/>
  <c r="AE227" i="32"/>
  <c r="AT227" i="32" s="1"/>
  <c r="Y227" i="32"/>
  <c r="AQ227" i="32" s="1"/>
  <c r="Q227" i="32"/>
  <c r="U227" i="32" s="1"/>
  <c r="AB227" i="32" s="1"/>
  <c r="N227" i="32"/>
  <c r="L227" i="32"/>
  <c r="K227" i="32"/>
  <c r="AM226" i="32"/>
  <c r="AL226" i="32"/>
  <c r="AV226" i="32" s="1"/>
  <c r="AE226" i="32"/>
  <c r="Y226" i="32"/>
  <c r="Q226" i="32"/>
  <c r="U226" i="32" s="1"/>
  <c r="AB226" i="32" s="1"/>
  <c r="N226" i="32"/>
  <c r="L226" i="32"/>
  <c r="K226" i="32"/>
  <c r="AK225" i="32"/>
  <c r="AJ225" i="32"/>
  <c r="AI225" i="32"/>
  <c r="AH225" i="32"/>
  <c r="AG225" i="32"/>
  <c r="AD225" i="32"/>
  <c r="AC225" i="32"/>
  <c r="X225" i="32"/>
  <c r="W225" i="32"/>
  <c r="V225" i="32"/>
  <c r="T225" i="32"/>
  <c r="S225" i="32"/>
  <c r="R225" i="32"/>
  <c r="P225" i="32"/>
  <c r="O225" i="32"/>
  <c r="M225" i="32"/>
  <c r="J225" i="32"/>
  <c r="AM224" i="32"/>
  <c r="AW224" i="32" s="1"/>
  <c r="AL224" i="32"/>
  <c r="AE224" i="32"/>
  <c r="AT224" i="32" s="1"/>
  <c r="Y224" i="32"/>
  <c r="AQ224" i="32" s="1"/>
  <c r="Q224" i="32"/>
  <c r="U224" i="32" s="1"/>
  <c r="N224" i="32"/>
  <c r="L224" i="32"/>
  <c r="K224" i="32"/>
  <c r="AM223" i="32"/>
  <c r="AW223" i="32" s="1"/>
  <c r="AL223" i="32"/>
  <c r="AE223" i="32"/>
  <c r="AT223" i="32" s="1"/>
  <c r="Y223" i="32"/>
  <c r="AQ223" i="32" s="1"/>
  <c r="Q223" i="32"/>
  <c r="U223" i="32" s="1"/>
  <c r="AB223" i="32" s="1"/>
  <c r="N223" i="32"/>
  <c r="L223" i="32"/>
  <c r="K223" i="32"/>
  <c r="AM222" i="32"/>
  <c r="AL222" i="32"/>
  <c r="AE222" i="32"/>
  <c r="AT222" i="32" s="1"/>
  <c r="Y222" i="32"/>
  <c r="Q222" i="32"/>
  <c r="N222" i="32"/>
  <c r="L222" i="32"/>
  <c r="K222" i="32"/>
  <c r="AK221" i="32"/>
  <c r="AJ221" i="32"/>
  <c r="AI221" i="32"/>
  <c r="AH221" i="32"/>
  <c r="AG221" i="32"/>
  <c r="AD221" i="32"/>
  <c r="AC221" i="32"/>
  <c r="X221" i="32"/>
  <c r="W221" i="32"/>
  <c r="V221" i="32"/>
  <c r="T221" i="32"/>
  <c r="S221" i="32"/>
  <c r="R221" i="32"/>
  <c r="P221" i="32"/>
  <c r="O221" i="32"/>
  <c r="M221" i="32"/>
  <c r="J221" i="32"/>
  <c r="AM220" i="32"/>
  <c r="AL220" i="32"/>
  <c r="AE220" i="32"/>
  <c r="Y220" i="32"/>
  <c r="Q220" i="32"/>
  <c r="N220" i="32"/>
  <c r="N221" i="32" s="1"/>
  <c r="L220" i="32"/>
  <c r="L221" i="32" s="1"/>
  <c r="K220" i="32"/>
  <c r="AK219" i="32"/>
  <c r="AJ219" i="32"/>
  <c r="AH219" i="32"/>
  <c r="AG219" i="32"/>
  <c r="AD219" i="32"/>
  <c r="AC219" i="32"/>
  <c r="X219" i="32"/>
  <c r="W219" i="32"/>
  <c r="V219" i="32"/>
  <c r="T219" i="32"/>
  <c r="S219" i="32"/>
  <c r="R219" i="32"/>
  <c r="P219" i="32"/>
  <c r="O219" i="32"/>
  <c r="M219" i="32"/>
  <c r="J219" i="32"/>
  <c r="AM218" i="32"/>
  <c r="AL218" i="32"/>
  <c r="AV218" i="32" s="1"/>
  <c r="AE218" i="32"/>
  <c r="AT218" i="32" s="1"/>
  <c r="Y218" i="32"/>
  <c r="AQ218" i="32" s="1"/>
  <c r="Q218" i="32"/>
  <c r="U218" i="32" s="1"/>
  <c r="AB218" i="32" s="1"/>
  <c r="N218" i="32"/>
  <c r="L218" i="32"/>
  <c r="K218" i="32"/>
  <c r="AM217" i="32"/>
  <c r="AW217" i="32" s="1"/>
  <c r="AL217" i="32"/>
  <c r="AV217" i="32" s="1"/>
  <c r="AE217" i="32"/>
  <c r="AT217" i="32" s="1"/>
  <c r="Y217" i="32"/>
  <c r="AQ217" i="32" s="1"/>
  <c r="Q217" i="32"/>
  <c r="U217" i="32" s="1"/>
  <c r="N217" i="32"/>
  <c r="L217" i="32"/>
  <c r="K217" i="32"/>
  <c r="AM216" i="32"/>
  <c r="AW216" i="32" s="1"/>
  <c r="AL216" i="32"/>
  <c r="AV216" i="32" s="1"/>
  <c r="AE216" i="32"/>
  <c r="AT216" i="32" s="1"/>
  <c r="Y216" i="32"/>
  <c r="AQ216" i="32" s="1"/>
  <c r="Q216" i="32"/>
  <c r="U216" i="32" s="1"/>
  <c r="N216" i="32"/>
  <c r="L216" i="32"/>
  <c r="K216" i="32"/>
  <c r="AM215" i="32"/>
  <c r="AW215" i="32" s="1"/>
  <c r="AI215" i="32"/>
  <c r="AI219" i="32" s="1"/>
  <c r="AE215" i="32"/>
  <c r="AT215" i="32" s="1"/>
  <c r="Y215" i="32"/>
  <c r="AQ215" i="32" s="1"/>
  <c r="R215" i="32"/>
  <c r="Q215" i="32"/>
  <c r="U215" i="32" s="1"/>
  <c r="N215" i="32"/>
  <c r="L215" i="32"/>
  <c r="K215" i="32"/>
  <c r="AM214" i="32"/>
  <c r="AW214" i="32" s="1"/>
  <c r="AL214" i="32"/>
  <c r="AE214" i="32"/>
  <c r="AT214" i="32" s="1"/>
  <c r="Y214" i="32"/>
  <c r="AQ214" i="32" s="1"/>
  <c r="Q214" i="32"/>
  <c r="U214" i="32" s="1"/>
  <c r="AB214" i="32" s="1"/>
  <c r="N214" i="32"/>
  <c r="L214" i="32"/>
  <c r="K214" i="32"/>
  <c r="AM213" i="32"/>
  <c r="AW213" i="32" s="1"/>
  <c r="AL213" i="32"/>
  <c r="AE213" i="32"/>
  <c r="AT213" i="32" s="1"/>
  <c r="Y213" i="32"/>
  <c r="Q213" i="32"/>
  <c r="N213" i="32"/>
  <c r="L213" i="32"/>
  <c r="K213" i="32"/>
  <c r="AK212" i="32"/>
  <c r="AJ212" i="32"/>
  <c r="AH212" i="32"/>
  <c r="AG212" i="32"/>
  <c r="AD212" i="32"/>
  <c r="AC212" i="32"/>
  <c r="X212" i="32"/>
  <c r="W212" i="32"/>
  <c r="V212" i="32"/>
  <c r="T212" i="32"/>
  <c r="S212" i="32"/>
  <c r="R212" i="32"/>
  <c r="P212" i="32"/>
  <c r="O212" i="32"/>
  <c r="M212" i="32"/>
  <c r="J212" i="32"/>
  <c r="AM211" i="32"/>
  <c r="AW211" i="32" s="1"/>
  <c r="AL211" i="32"/>
  <c r="AE211" i="32"/>
  <c r="AT211" i="32" s="1"/>
  <c r="Y211" i="32"/>
  <c r="AQ211" i="32" s="1"/>
  <c r="Q211" i="32"/>
  <c r="U211" i="32" s="1"/>
  <c r="N211" i="32"/>
  <c r="L211" i="32"/>
  <c r="K211" i="32"/>
  <c r="AM210" i="32"/>
  <c r="AW210" i="32" s="1"/>
  <c r="AL210" i="32"/>
  <c r="AE210" i="32"/>
  <c r="AT210" i="32" s="1"/>
  <c r="Y210" i="32"/>
  <c r="AQ210" i="32" s="1"/>
  <c r="Q210" i="32"/>
  <c r="U210" i="32" s="1"/>
  <c r="AA210" i="32" s="1"/>
  <c r="N210" i="32"/>
  <c r="L210" i="32"/>
  <c r="K210" i="32"/>
  <c r="AM209" i="32"/>
  <c r="AW209" i="32" s="1"/>
  <c r="AL209" i="32"/>
  <c r="AE209" i="32"/>
  <c r="AT209" i="32" s="1"/>
  <c r="Y209" i="32"/>
  <c r="AQ209" i="32" s="1"/>
  <c r="Q209" i="32"/>
  <c r="U209" i="32" s="1"/>
  <c r="AA209" i="32" s="1"/>
  <c r="AR209" i="32" s="1"/>
  <c r="N209" i="32"/>
  <c r="L209" i="32"/>
  <c r="I209" i="32" s="1"/>
  <c r="AM208" i="32"/>
  <c r="AW208" i="32" s="1"/>
  <c r="AL208" i="32"/>
  <c r="AE208" i="32"/>
  <c r="AT208" i="32" s="1"/>
  <c r="Y208" i="32"/>
  <c r="AQ208" i="32" s="1"/>
  <c r="Q208" i="32"/>
  <c r="U208" i="32" s="1"/>
  <c r="AB208" i="32" s="1"/>
  <c r="N208" i="32"/>
  <c r="L208" i="32"/>
  <c r="K208" i="32"/>
  <c r="AT207" i="32"/>
  <c r="AM207" i="32"/>
  <c r="AW207" i="32" s="1"/>
  <c r="AI207" i="32"/>
  <c r="AI212" i="32" s="1"/>
  <c r="AE207" i="32"/>
  <c r="Y207" i="32"/>
  <c r="AQ207" i="32" s="1"/>
  <c r="R207" i="32"/>
  <c r="Q207" i="32"/>
  <c r="U207" i="32" s="1"/>
  <c r="N207" i="32"/>
  <c r="L207" i="32"/>
  <c r="K207" i="32"/>
  <c r="AM206" i="32"/>
  <c r="AL206" i="32"/>
  <c r="AV206" i="32" s="1"/>
  <c r="AE206" i="32"/>
  <c r="AT206" i="32" s="1"/>
  <c r="Y206" i="32"/>
  <c r="AQ206" i="32" s="1"/>
  <c r="Q206" i="32"/>
  <c r="U206" i="32" s="1"/>
  <c r="N206" i="32"/>
  <c r="L206" i="32"/>
  <c r="K206" i="32"/>
  <c r="AM205" i="32"/>
  <c r="AL205" i="32"/>
  <c r="AV205" i="32" s="1"/>
  <c r="AE205" i="32"/>
  <c r="AT205" i="32" s="1"/>
  <c r="Y205" i="32"/>
  <c r="AQ205" i="32" s="1"/>
  <c r="Q205" i="32"/>
  <c r="U205" i="32" s="1"/>
  <c r="N205" i="32"/>
  <c r="L205" i="32"/>
  <c r="K205" i="32"/>
  <c r="AM204" i="32"/>
  <c r="AL204" i="32"/>
  <c r="AE204" i="32"/>
  <c r="AT204" i="32" s="1"/>
  <c r="Y204" i="32"/>
  <c r="Q204" i="32"/>
  <c r="N204" i="32"/>
  <c r="L204" i="32"/>
  <c r="K204" i="32"/>
  <c r="AK203" i="32"/>
  <c r="AJ203" i="32"/>
  <c r="AI203" i="32"/>
  <c r="AH203" i="32"/>
  <c r="AG203" i="32"/>
  <c r="AD203" i="32"/>
  <c r="AC203" i="32"/>
  <c r="X203" i="32"/>
  <c r="W203" i="32"/>
  <c r="V203" i="32"/>
  <c r="T203" i="32"/>
  <c r="S203" i="32"/>
  <c r="R203" i="32"/>
  <c r="P203" i="32"/>
  <c r="O203" i="32"/>
  <c r="M203" i="32"/>
  <c r="J203" i="32"/>
  <c r="AM202" i="32"/>
  <c r="AL202" i="32"/>
  <c r="AV202" i="32" s="1"/>
  <c r="AE202" i="32"/>
  <c r="AT202" i="32" s="1"/>
  <c r="Y202" i="32"/>
  <c r="Q202" i="32"/>
  <c r="U202" i="32" s="1"/>
  <c r="AB202" i="32" s="1"/>
  <c r="N202" i="32"/>
  <c r="L202" i="32"/>
  <c r="K202" i="32"/>
  <c r="AM201" i="32"/>
  <c r="AW201" i="32" s="1"/>
  <c r="AL201" i="32"/>
  <c r="AV201" i="32" s="1"/>
  <c r="AE201" i="32"/>
  <c r="AT201" i="32" s="1"/>
  <c r="Y201" i="32"/>
  <c r="Q201" i="32"/>
  <c r="U201" i="32" s="1"/>
  <c r="AB201" i="32" s="1"/>
  <c r="N201" i="32"/>
  <c r="L201" i="32"/>
  <c r="K201" i="32"/>
  <c r="AM200" i="32"/>
  <c r="AW200" i="32" s="1"/>
  <c r="AL200" i="32"/>
  <c r="AV200" i="32" s="1"/>
  <c r="AE200" i="32"/>
  <c r="AT200" i="32" s="1"/>
  <c r="Y200" i="32"/>
  <c r="Q200" i="32"/>
  <c r="U200" i="32" s="1"/>
  <c r="AB200" i="32" s="1"/>
  <c r="N200" i="32"/>
  <c r="L200" i="32"/>
  <c r="K200" i="32"/>
  <c r="AM199" i="32"/>
  <c r="AW199" i="32" s="1"/>
  <c r="AL199" i="32"/>
  <c r="AV199" i="32" s="1"/>
  <c r="AE199" i="32"/>
  <c r="AT199" i="32" s="1"/>
  <c r="Y199" i="32"/>
  <c r="Q199" i="32"/>
  <c r="U199" i="32" s="1"/>
  <c r="AB199" i="32" s="1"/>
  <c r="N199" i="32"/>
  <c r="L199" i="32"/>
  <c r="K199" i="32"/>
  <c r="AM198" i="32"/>
  <c r="AL198" i="32"/>
  <c r="AV198" i="32" s="1"/>
  <c r="AE198" i="32"/>
  <c r="AT198" i="32" s="1"/>
  <c r="Y198" i="32"/>
  <c r="Q198" i="32"/>
  <c r="U198" i="32" s="1"/>
  <c r="AB198" i="32" s="1"/>
  <c r="N198" i="32"/>
  <c r="L198" i="32"/>
  <c r="K198" i="32"/>
  <c r="AK197" i="32"/>
  <c r="AJ197" i="32"/>
  <c r="AI197" i="32"/>
  <c r="AH197" i="32"/>
  <c r="AG197" i="32"/>
  <c r="AD197" i="32"/>
  <c r="AC197" i="32"/>
  <c r="X197" i="32"/>
  <c r="W197" i="32"/>
  <c r="V197" i="32"/>
  <c r="T197" i="32"/>
  <c r="S197" i="32"/>
  <c r="R197" i="32"/>
  <c r="P197" i="32"/>
  <c r="O197" i="32"/>
  <c r="M197" i="32"/>
  <c r="J197" i="32"/>
  <c r="AM196" i="32"/>
  <c r="AW196" i="32" s="1"/>
  <c r="AL196" i="32"/>
  <c r="AE196" i="32"/>
  <c r="AT196" i="32" s="1"/>
  <c r="Y196" i="32"/>
  <c r="AQ196" i="32" s="1"/>
  <c r="Q196" i="32"/>
  <c r="U196" i="32" s="1"/>
  <c r="AB196" i="32" s="1"/>
  <c r="N196" i="32"/>
  <c r="L196" i="32"/>
  <c r="K196" i="32"/>
  <c r="AM195" i="32"/>
  <c r="AW195" i="32" s="1"/>
  <c r="AL195" i="32"/>
  <c r="AE195" i="32"/>
  <c r="AT195" i="32" s="1"/>
  <c r="Y195" i="32"/>
  <c r="Q195" i="32"/>
  <c r="U195" i="32" s="1"/>
  <c r="AB195" i="32" s="1"/>
  <c r="N195" i="32"/>
  <c r="L195" i="32"/>
  <c r="K195" i="32"/>
  <c r="AM194" i="32"/>
  <c r="AL194" i="32"/>
  <c r="AE194" i="32"/>
  <c r="AT194" i="32" s="1"/>
  <c r="Y194" i="32"/>
  <c r="Q194" i="32"/>
  <c r="U194" i="32" s="1"/>
  <c r="N194" i="32"/>
  <c r="L194" i="32"/>
  <c r="K194" i="32"/>
  <c r="AK193" i="32"/>
  <c r="AJ193" i="32"/>
  <c r="AH193" i="32"/>
  <c r="AG193" i="32"/>
  <c r="AD193" i="32"/>
  <c r="AC193" i="32"/>
  <c r="X193" i="32"/>
  <c r="W193" i="32"/>
  <c r="V193" i="32"/>
  <c r="T193" i="32"/>
  <c r="S193" i="32"/>
  <c r="P193" i="32"/>
  <c r="O193" i="32"/>
  <c r="M193" i="32"/>
  <c r="J193" i="32"/>
  <c r="AM192" i="32"/>
  <c r="AW192" i="32" s="1"/>
  <c r="AL192" i="32"/>
  <c r="AE192" i="32"/>
  <c r="AT192" i="32" s="1"/>
  <c r="Y192" i="32"/>
  <c r="AQ192" i="32" s="1"/>
  <c r="Q192" i="32"/>
  <c r="U192" i="32" s="1"/>
  <c r="N192" i="32"/>
  <c r="L192" i="32"/>
  <c r="K192" i="32"/>
  <c r="AM191" i="32"/>
  <c r="AW191" i="32" s="1"/>
  <c r="AL191" i="32"/>
  <c r="AE191" i="32"/>
  <c r="AT191" i="32" s="1"/>
  <c r="Y191" i="32"/>
  <c r="AQ191" i="32" s="1"/>
  <c r="Q191" i="32"/>
  <c r="U191" i="32" s="1"/>
  <c r="N191" i="32"/>
  <c r="L191" i="32"/>
  <c r="K191" i="32"/>
  <c r="AM190" i="32"/>
  <c r="AW190" i="32" s="1"/>
  <c r="AL190" i="32"/>
  <c r="AE190" i="32"/>
  <c r="AT190" i="32" s="1"/>
  <c r="Y190" i="32"/>
  <c r="Q190" i="32"/>
  <c r="N190" i="32"/>
  <c r="L190" i="32"/>
  <c r="K190" i="32"/>
  <c r="AM189" i="32"/>
  <c r="AW189" i="32" s="1"/>
  <c r="AI189" i="32"/>
  <c r="AI193" i="32" s="1"/>
  <c r="AE189" i="32"/>
  <c r="AT189" i="32" s="1"/>
  <c r="Y189" i="32"/>
  <c r="AQ189" i="32" s="1"/>
  <c r="R189" i="32"/>
  <c r="R193" i="32" s="1"/>
  <c r="Q189" i="32"/>
  <c r="U189" i="32" s="1"/>
  <c r="AP189" i="32" s="1"/>
  <c r="N189" i="32"/>
  <c r="L189" i="32"/>
  <c r="K189" i="32"/>
  <c r="AM188" i="32"/>
  <c r="AW188" i="32" s="1"/>
  <c r="AL188" i="32"/>
  <c r="AV188" i="32" s="1"/>
  <c r="AE188" i="32"/>
  <c r="AT188" i="32" s="1"/>
  <c r="Y188" i="32"/>
  <c r="Q188" i="32"/>
  <c r="U188" i="32" s="1"/>
  <c r="AB188" i="32" s="1"/>
  <c r="N188" i="32"/>
  <c r="L188" i="32"/>
  <c r="K188" i="32"/>
  <c r="AM187" i="32"/>
  <c r="AW187" i="32" s="1"/>
  <c r="AL187" i="32"/>
  <c r="AV187" i="32" s="1"/>
  <c r="AE187" i="32"/>
  <c r="Y187" i="32"/>
  <c r="AQ187" i="32" s="1"/>
  <c r="Q187" i="32"/>
  <c r="U187" i="32" s="1"/>
  <c r="Z187" i="32" s="1"/>
  <c r="N187" i="32"/>
  <c r="L187" i="32"/>
  <c r="K187" i="32"/>
  <c r="AK186" i="32"/>
  <c r="AJ186" i="32"/>
  <c r="AI186" i="32"/>
  <c r="AH186" i="32"/>
  <c r="AG186" i="32"/>
  <c r="AD186" i="32"/>
  <c r="AC186" i="32"/>
  <c r="X186" i="32"/>
  <c r="W186" i="32"/>
  <c r="V186" i="32"/>
  <c r="T186" i="32"/>
  <c r="S186" i="32"/>
  <c r="R186" i="32"/>
  <c r="P186" i="32"/>
  <c r="O186" i="32"/>
  <c r="M186" i="32"/>
  <c r="J186" i="32"/>
  <c r="AM185" i="32"/>
  <c r="AW185" i="32" s="1"/>
  <c r="AL185" i="32"/>
  <c r="AE185" i="32"/>
  <c r="AT185" i="32" s="1"/>
  <c r="AA185" i="32"/>
  <c r="Y185" i="32"/>
  <c r="AQ185" i="32" s="1"/>
  <c r="Q185" i="32"/>
  <c r="U185" i="32" s="1"/>
  <c r="AB185" i="32" s="1"/>
  <c r="N185" i="32"/>
  <c r="L185" i="32"/>
  <c r="K185" i="32"/>
  <c r="AM184" i="32"/>
  <c r="AW184" i="32" s="1"/>
  <c r="AL184" i="32"/>
  <c r="AE184" i="32"/>
  <c r="AT184" i="32" s="1"/>
  <c r="Y184" i="32"/>
  <c r="AQ184" i="32" s="1"/>
  <c r="Q184" i="32"/>
  <c r="N184" i="32"/>
  <c r="L184" i="32"/>
  <c r="K184" i="32"/>
  <c r="AM183" i="32"/>
  <c r="AL183" i="32"/>
  <c r="AE183" i="32"/>
  <c r="Y183" i="32"/>
  <c r="AQ183" i="32" s="1"/>
  <c r="Q183" i="32"/>
  <c r="U183" i="32" s="1"/>
  <c r="AP183" i="32" s="1"/>
  <c r="N183" i="32"/>
  <c r="L183" i="32"/>
  <c r="K183" i="32"/>
  <c r="AK182" i="32"/>
  <c r="AJ182" i="32"/>
  <c r="AI182" i="32"/>
  <c r="AH182" i="32"/>
  <c r="AG182" i="32"/>
  <c r="AD182" i="32"/>
  <c r="AC182" i="32"/>
  <c r="X182" i="32"/>
  <c r="W182" i="32"/>
  <c r="V182" i="32"/>
  <c r="T182" i="32"/>
  <c r="S182" i="32"/>
  <c r="R182" i="32"/>
  <c r="P182" i="32"/>
  <c r="O182" i="32"/>
  <c r="M182" i="32"/>
  <c r="J182" i="32"/>
  <c r="AM181" i="32"/>
  <c r="AW181" i="32" s="1"/>
  <c r="AL181" i="32"/>
  <c r="AE181" i="32"/>
  <c r="AT181" i="32" s="1"/>
  <c r="Y181" i="32"/>
  <c r="AQ181" i="32" s="1"/>
  <c r="Q181" i="32"/>
  <c r="U181" i="32" s="1"/>
  <c r="AA181" i="32" s="1"/>
  <c r="N181" i="32"/>
  <c r="L181" i="32"/>
  <c r="K181" i="32"/>
  <c r="AM180" i="32"/>
  <c r="AW180" i="32" s="1"/>
  <c r="AL180" i="32"/>
  <c r="AE180" i="32"/>
  <c r="AT180" i="32" s="1"/>
  <c r="Y180" i="32"/>
  <c r="AQ180" i="32" s="1"/>
  <c r="Q180" i="32"/>
  <c r="U180" i="32" s="1"/>
  <c r="AA180" i="32" s="1"/>
  <c r="N180" i="32"/>
  <c r="L180" i="32"/>
  <c r="K180" i="32"/>
  <c r="AM179" i="32"/>
  <c r="AW179" i="32" s="1"/>
  <c r="AL179" i="32"/>
  <c r="AE179" i="32"/>
  <c r="AT179" i="32" s="1"/>
  <c r="Y179" i="32"/>
  <c r="AQ179" i="32" s="1"/>
  <c r="Q179" i="32"/>
  <c r="U179" i="32" s="1"/>
  <c r="N179" i="32"/>
  <c r="L179" i="32"/>
  <c r="K179" i="32"/>
  <c r="AM178" i="32"/>
  <c r="AW178" i="32" s="1"/>
  <c r="AL178" i="32"/>
  <c r="AE178" i="32"/>
  <c r="AT178" i="32" s="1"/>
  <c r="Y178" i="32"/>
  <c r="AQ178" i="32" s="1"/>
  <c r="Q178" i="32"/>
  <c r="U178" i="32" s="1"/>
  <c r="N178" i="32"/>
  <c r="L178" i="32"/>
  <c r="K178" i="32"/>
  <c r="AM177" i="32"/>
  <c r="AL177" i="32"/>
  <c r="AE177" i="32"/>
  <c r="Y177" i="32"/>
  <c r="AQ177" i="32" s="1"/>
  <c r="Q177" i="32"/>
  <c r="U177" i="32" s="1"/>
  <c r="AA177" i="32" s="1"/>
  <c r="N177" i="32"/>
  <c r="L177" i="32"/>
  <c r="K177" i="32"/>
  <c r="AK176" i="32"/>
  <c r="AJ176" i="32"/>
  <c r="AI176" i="32"/>
  <c r="AH176" i="32"/>
  <c r="AG176" i="32"/>
  <c r="AD176" i="32"/>
  <c r="AC176" i="32"/>
  <c r="X176" i="32"/>
  <c r="W176" i="32"/>
  <c r="V176" i="32"/>
  <c r="T176" i="32"/>
  <c r="S176" i="32"/>
  <c r="R176" i="32"/>
  <c r="P176" i="32"/>
  <c r="O176" i="32"/>
  <c r="M176" i="32"/>
  <c r="J176" i="32"/>
  <c r="AM175" i="32"/>
  <c r="AW175" i="32" s="1"/>
  <c r="AL175" i="32"/>
  <c r="AV175" i="32" s="1"/>
  <c r="AE175" i="32"/>
  <c r="AT175" i="32" s="1"/>
  <c r="Y175" i="32"/>
  <c r="AQ175" i="32" s="1"/>
  <c r="Q175" i="32"/>
  <c r="U175" i="32" s="1"/>
  <c r="AB175" i="32" s="1"/>
  <c r="N175" i="32"/>
  <c r="L175" i="32"/>
  <c r="K175" i="32"/>
  <c r="AM174" i="32"/>
  <c r="AL174" i="32"/>
  <c r="AV174" i="32" s="1"/>
  <c r="AE174" i="32"/>
  <c r="AT174" i="32" s="1"/>
  <c r="Y174" i="32"/>
  <c r="U174" i="32"/>
  <c r="AB174" i="32" s="1"/>
  <c r="AS174" i="32" s="1"/>
  <c r="Q174" i="32"/>
  <c r="N174" i="32"/>
  <c r="K174" i="32"/>
  <c r="AM173" i="32"/>
  <c r="AW173" i="32" s="1"/>
  <c r="AL173" i="32"/>
  <c r="AE173" i="32"/>
  <c r="AT173" i="32" s="1"/>
  <c r="Y173" i="32"/>
  <c r="AQ173" i="32" s="1"/>
  <c r="U173" i="32"/>
  <c r="Q173" i="32"/>
  <c r="N173" i="32"/>
  <c r="L173" i="32"/>
  <c r="K173" i="32"/>
  <c r="AM172" i="32"/>
  <c r="AW172" i="32" s="1"/>
  <c r="AL172" i="32"/>
  <c r="AE172" i="32"/>
  <c r="AT172" i="32" s="1"/>
  <c r="Y172" i="32"/>
  <c r="AQ172" i="32" s="1"/>
  <c r="Q172" i="32"/>
  <c r="U172" i="32" s="1"/>
  <c r="N172" i="32"/>
  <c r="L172" i="32"/>
  <c r="K172" i="32"/>
  <c r="AM171" i="32"/>
  <c r="AW171" i="32" s="1"/>
  <c r="AL171" i="32"/>
  <c r="AE171" i="32"/>
  <c r="AT171" i="32" s="1"/>
  <c r="Y171" i="32"/>
  <c r="AQ171" i="32" s="1"/>
  <c r="Q171" i="32"/>
  <c r="U171" i="32" s="1"/>
  <c r="N171" i="32"/>
  <c r="L171" i="32"/>
  <c r="K171" i="32"/>
  <c r="AM170" i="32"/>
  <c r="AW170" i="32" s="1"/>
  <c r="AL170" i="32"/>
  <c r="AE170" i="32"/>
  <c r="AT170" i="32" s="1"/>
  <c r="Y170" i="32"/>
  <c r="AQ170" i="32" s="1"/>
  <c r="Q170" i="32"/>
  <c r="N170" i="32"/>
  <c r="L170" i="32"/>
  <c r="K170" i="32"/>
  <c r="AK169" i="32"/>
  <c r="AJ169" i="32"/>
  <c r="AI169" i="32"/>
  <c r="AH169" i="32"/>
  <c r="AG169" i="32"/>
  <c r="AD169" i="32"/>
  <c r="AC169" i="32"/>
  <c r="X169" i="32"/>
  <c r="W169" i="32"/>
  <c r="V169" i="32"/>
  <c r="T169" i="32"/>
  <c r="S169" i="32"/>
  <c r="R169" i="32"/>
  <c r="P169" i="32"/>
  <c r="O169" i="32"/>
  <c r="M169" i="32"/>
  <c r="J169" i="32"/>
  <c r="AM168" i="32"/>
  <c r="AW168" i="32" s="1"/>
  <c r="AL168" i="32"/>
  <c r="AV168" i="32" s="1"/>
  <c r="AE168" i="32"/>
  <c r="AT168" i="32" s="1"/>
  <c r="Y168" i="32"/>
  <c r="AQ168" i="32" s="1"/>
  <c r="Q168" i="32"/>
  <c r="U168" i="32" s="1"/>
  <c r="N168" i="32"/>
  <c r="L168" i="32"/>
  <c r="K168" i="32"/>
  <c r="AM167" i="32"/>
  <c r="AW167" i="32" s="1"/>
  <c r="AL167" i="32"/>
  <c r="AV167" i="32" s="1"/>
  <c r="AE167" i="32"/>
  <c r="AT167" i="32" s="1"/>
  <c r="Y167" i="32"/>
  <c r="AQ167" i="32" s="1"/>
  <c r="Q167" i="32"/>
  <c r="U167" i="32" s="1"/>
  <c r="N167" i="32"/>
  <c r="L167" i="32"/>
  <c r="K167" i="32"/>
  <c r="AM166" i="32"/>
  <c r="AW166" i="32" s="1"/>
  <c r="AL166" i="32"/>
  <c r="AV166" i="32" s="1"/>
  <c r="AE166" i="32"/>
  <c r="AT166" i="32" s="1"/>
  <c r="Y166" i="32"/>
  <c r="AQ166" i="32" s="1"/>
  <c r="Q166" i="32"/>
  <c r="U166" i="32" s="1"/>
  <c r="AB166" i="32" s="1"/>
  <c r="N166" i="32"/>
  <c r="L166" i="32"/>
  <c r="K166" i="32"/>
  <c r="AM165" i="32"/>
  <c r="AL165" i="32"/>
  <c r="AV165" i="32" s="1"/>
  <c r="AE165" i="32"/>
  <c r="AT165" i="32" s="1"/>
  <c r="Y165" i="32"/>
  <c r="AQ165" i="32" s="1"/>
  <c r="Q165" i="32"/>
  <c r="U165" i="32" s="1"/>
  <c r="AB165" i="32" s="1"/>
  <c r="N165" i="32"/>
  <c r="L165" i="32"/>
  <c r="K165" i="32"/>
  <c r="AM164" i="32"/>
  <c r="AW164" i="32" s="1"/>
  <c r="AL164" i="32"/>
  <c r="AE164" i="32"/>
  <c r="AT164" i="32" s="1"/>
  <c r="Y164" i="32"/>
  <c r="AQ164" i="32" s="1"/>
  <c r="Q164" i="32"/>
  <c r="U164" i="32" s="1"/>
  <c r="N164" i="32"/>
  <c r="L164" i="32"/>
  <c r="K164" i="32"/>
  <c r="AM163" i="32"/>
  <c r="AW163" i="32" s="1"/>
  <c r="AL163" i="32"/>
  <c r="AV163" i="32" s="1"/>
  <c r="AE163" i="32"/>
  <c r="Y163" i="32"/>
  <c r="AQ163" i="32" s="1"/>
  <c r="Q163" i="32"/>
  <c r="U163" i="32" s="1"/>
  <c r="N163" i="32"/>
  <c r="L163" i="32"/>
  <c r="K163" i="32"/>
  <c r="AK162" i="32"/>
  <c r="AJ162" i="32"/>
  <c r="AI162" i="32"/>
  <c r="AH162" i="32"/>
  <c r="AG162" i="32"/>
  <c r="AD162" i="32"/>
  <c r="AC162" i="32"/>
  <c r="X162" i="32"/>
  <c r="W162" i="32"/>
  <c r="V162" i="32"/>
  <c r="T162" i="32"/>
  <c r="S162" i="32"/>
  <c r="R162" i="32"/>
  <c r="P162" i="32"/>
  <c r="O162" i="32"/>
  <c r="M162" i="32"/>
  <c r="J162" i="32"/>
  <c r="AM161" i="32"/>
  <c r="AW161" i="32" s="1"/>
  <c r="AL161" i="32"/>
  <c r="AE161" i="32"/>
  <c r="AT161" i="32" s="1"/>
  <c r="Y161" i="32"/>
  <c r="AQ161" i="32" s="1"/>
  <c r="Q161" i="32"/>
  <c r="U161" i="32" s="1"/>
  <c r="AB161" i="32" s="1"/>
  <c r="N161" i="32"/>
  <c r="L161" i="32"/>
  <c r="K161" i="32"/>
  <c r="AM160" i="32"/>
  <c r="AW160" i="32" s="1"/>
  <c r="AL160" i="32"/>
  <c r="AE160" i="32"/>
  <c r="AT160" i="32" s="1"/>
  <c r="Y160" i="32"/>
  <c r="AQ160" i="32" s="1"/>
  <c r="Q160" i="32"/>
  <c r="U160" i="32" s="1"/>
  <c r="AB160" i="32" s="1"/>
  <c r="N160" i="32"/>
  <c r="L160" i="32"/>
  <c r="K160" i="32"/>
  <c r="AM159" i="32"/>
  <c r="AW159" i="32" s="1"/>
  <c r="AL159" i="32"/>
  <c r="AV159" i="32" s="1"/>
  <c r="AE159" i="32"/>
  <c r="AT159" i="32" s="1"/>
  <c r="Y159" i="32"/>
  <c r="AQ159" i="32" s="1"/>
  <c r="Q159" i="32"/>
  <c r="U159" i="32" s="1"/>
  <c r="AB159" i="32" s="1"/>
  <c r="N159" i="32"/>
  <c r="L159" i="32"/>
  <c r="K159" i="32"/>
  <c r="AM158" i="32"/>
  <c r="AW158" i="32" s="1"/>
  <c r="AL158" i="32"/>
  <c r="AE158" i="32"/>
  <c r="AT158" i="32" s="1"/>
  <c r="Y158" i="32"/>
  <c r="Q158" i="32"/>
  <c r="U158" i="32" s="1"/>
  <c r="AB158" i="32" s="1"/>
  <c r="N158" i="32"/>
  <c r="L158" i="32"/>
  <c r="K158" i="32"/>
  <c r="AV157" i="32"/>
  <c r="AM157" i="32"/>
  <c r="AW157" i="32" s="1"/>
  <c r="AL157" i="32"/>
  <c r="AE157" i="32"/>
  <c r="AT157" i="32" s="1"/>
  <c r="Y157" i="32"/>
  <c r="AQ157" i="32" s="1"/>
  <c r="Q157" i="32"/>
  <c r="U157" i="32" s="1"/>
  <c r="N157" i="32"/>
  <c r="L157" i="32"/>
  <c r="K157" i="32"/>
  <c r="AM156" i="32"/>
  <c r="AL156" i="32"/>
  <c r="AE156" i="32"/>
  <c r="Y156" i="32"/>
  <c r="Q156" i="32"/>
  <c r="U156" i="32" s="1"/>
  <c r="AB156" i="32" s="1"/>
  <c r="N156" i="32"/>
  <c r="L156" i="32"/>
  <c r="K156" i="32"/>
  <c r="AK155" i="32"/>
  <c r="AJ155" i="32"/>
  <c r="AI155" i="32"/>
  <c r="AH155" i="32"/>
  <c r="AG155" i="32"/>
  <c r="AD155" i="32"/>
  <c r="AC155" i="32"/>
  <c r="X155" i="32"/>
  <c r="W155" i="32"/>
  <c r="V155" i="32"/>
  <c r="T155" i="32"/>
  <c r="S155" i="32"/>
  <c r="R155" i="32"/>
  <c r="P155" i="32"/>
  <c r="O155" i="32"/>
  <c r="M155" i="32"/>
  <c r="J155" i="32"/>
  <c r="AM154" i="32"/>
  <c r="AW154" i="32" s="1"/>
  <c r="AL154" i="32"/>
  <c r="AE154" i="32"/>
  <c r="AT154" i="32" s="1"/>
  <c r="Y154" i="32"/>
  <c r="AQ154" i="32" s="1"/>
  <c r="Q154" i="32"/>
  <c r="U154" i="32" s="1"/>
  <c r="N154" i="32"/>
  <c r="L154" i="32"/>
  <c r="K154" i="32"/>
  <c r="AM153" i="32"/>
  <c r="AW153" i="32" s="1"/>
  <c r="AL153" i="32"/>
  <c r="AE153" i="32"/>
  <c r="AT153" i="32" s="1"/>
  <c r="Y153" i="32"/>
  <c r="AQ153" i="32" s="1"/>
  <c r="Q153" i="32"/>
  <c r="U153" i="32" s="1"/>
  <c r="AB153" i="32" s="1"/>
  <c r="N153" i="32"/>
  <c r="L153" i="32"/>
  <c r="K153" i="32"/>
  <c r="AM152" i="32"/>
  <c r="AW152" i="32" s="1"/>
  <c r="AL152" i="32"/>
  <c r="AE152" i="32"/>
  <c r="AT152" i="32" s="1"/>
  <c r="Y152" i="32"/>
  <c r="AQ152" i="32" s="1"/>
  <c r="Q152" i="32"/>
  <c r="N152" i="32"/>
  <c r="K152" i="32"/>
  <c r="AM151" i="32"/>
  <c r="AW151" i="32" s="1"/>
  <c r="AL151" i="32"/>
  <c r="AV151" i="32" s="1"/>
  <c r="AE151" i="32"/>
  <c r="AT151" i="32" s="1"/>
  <c r="Y151" i="32"/>
  <c r="AQ151" i="32" s="1"/>
  <c r="Q151" i="32"/>
  <c r="U151" i="32" s="1"/>
  <c r="AB151" i="32" s="1"/>
  <c r="N151" i="32"/>
  <c r="L151" i="32"/>
  <c r="K151" i="32"/>
  <c r="AM150" i="32"/>
  <c r="AW150" i="32" s="1"/>
  <c r="AL150" i="32"/>
  <c r="AV150" i="32" s="1"/>
  <c r="AE150" i="32"/>
  <c r="AT150" i="32" s="1"/>
  <c r="Y150" i="32"/>
  <c r="AQ150" i="32" s="1"/>
  <c r="Q150" i="32"/>
  <c r="U150" i="32" s="1"/>
  <c r="AB150" i="32" s="1"/>
  <c r="N150" i="32"/>
  <c r="L150" i="32"/>
  <c r="K150" i="32"/>
  <c r="AM149" i="32"/>
  <c r="AW149" i="32" s="1"/>
  <c r="AL149" i="32"/>
  <c r="AV149" i="32" s="1"/>
  <c r="AE149" i="32"/>
  <c r="Y149" i="32"/>
  <c r="Q149" i="32"/>
  <c r="U149" i="32" s="1"/>
  <c r="AB149" i="32" s="1"/>
  <c r="N149" i="32"/>
  <c r="L149" i="32"/>
  <c r="K149" i="32"/>
  <c r="AK148" i="32"/>
  <c r="AJ148" i="32"/>
  <c r="AI148" i="32"/>
  <c r="AH148" i="32"/>
  <c r="AG148" i="32"/>
  <c r="AD148" i="32"/>
  <c r="AC148" i="32"/>
  <c r="X148" i="32"/>
  <c r="W148" i="32"/>
  <c r="V148" i="32"/>
  <c r="T148" i="32"/>
  <c r="S148" i="32"/>
  <c r="R148" i="32"/>
  <c r="P148" i="32"/>
  <c r="O148" i="32"/>
  <c r="M148" i="32"/>
  <c r="J148" i="32"/>
  <c r="AM147" i="32"/>
  <c r="AW147" i="32" s="1"/>
  <c r="AL147" i="32"/>
  <c r="AE147" i="32"/>
  <c r="AT147" i="32" s="1"/>
  <c r="Y147" i="32"/>
  <c r="AQ147" i="32" s="1"/>
  <c r="Q147" i="32"/>
  <c r="U147" i="32" s="1"/>
  <c r="AB147" i="32" s="1"/>
  <c r="N147" i="32"/>
  <c r="L147" i="32"/>
  <c r="K147" i="32"/>
  <c r="AM146" i="32"/>
  <c r="AW146" i="32" s="1"/>
  <c r="AL146" i="32"/>
  <c r="AE146" i="32"/>
  <c r="AT146" i="32" s="1"/>
  <c r="Y146" i="32"/>
  <c r="AQ146" i="32" s="1"/>
  <c r="Q146" i="32"/>
  <c r="U146" i="32" s="1"/>
  <c r="AB146" i="32" s="1"/>
  <c r="N146" i="32"/>
  <c r="L146" i="32"/>
  <c r="K146" i="32"/>
  <c r="AM145" i="32"/>
  <c r="AL145" i="32"/>
  <c r="AV145" i="32" s="1"/>
  <c r="AE145" i="32"/>
  <c r="Y145" i="32"/>
  <c r="AQ145" i="32" s="1"/>
  <c r="Q145" i="32"/>
  <c r="U145" i="32" s="1"/>
  <c r="AB145" i="32" s="1"/>
  <c r="N145" i="32"/>
  <c r="L145" i="32"/>
  <c r="K145" i="32"/>
  <c r="AK144" i="32"/>
  <c r="AJ144" i="32"/>
  <c r="AI144" i="32"/>
  <c r="AH144" i="32"/>
  <c r="AG144" i="32"/>
  <c r="AD144" i="32"/>
  <c r="AC144" i="32"/>
  <c r="X144" i="32"/>
  <c r="W144" i="32"/>
  <c r="V144" i="32"/>
  <c r="T144" i="32"/>
  <c r="S144" i="32"/>
  <c r="R144" i="32"/>
  <c r="P144" i="32"/>
  <c r="O144" i="32"/>
  <c r="M144" i="32"/>
  <c r="J144" i="32"/>
  <c r="AM143" i="32"/>
  <c r="AM144" i="32" s="1"/>
  <c r="AL143" i="32"/>
  <c r="AL144" i="32" s="1"/>
  <c r="AE143" i="32"/>
  <c r="AE144" i="32" s="1"/>
  <c r="Y143" i="32"/>
  <c r="AQ143" i="32" s="1"/>
  <c r="AQ144" i="32" s="1"/>
  <c r="Q143" i="32"/>
  <c r="U143" i="32" s="1"/>
  <c r="N143" i="32"/>
  <c r="N144" i="32" s="1"/>
  <c r="L143" i="32"/>
  <c r="L144" i="32" s="1"/>
  <c r="K143" i="32"/>
  <c r="AK142" i="32"/>
  <c r="AJ142" i="32"/>
  <c r="AI142" i="32"/>
  <c r="AH142" i="32"/>
  <c r="AG142" i="32"/>
  <c r="AD142" i="32"/>
  <c r="AC142" i="32"/>
  <c r="X142" i="32"/>
  <c r="W142" i="32"/>
  <c r="V142" i="32"/>
  <c r="T142" i="32"/>
  <c r="S142" i="32"/>
  <c r="R142" i="32"/>
  <c r="P142" i="32"/>
  <c r="O142" i="32"/>
  <c r="M142" i="32"/>
  <c r="J142" i="32"/>
  <c r="AM141" i="32"/>
  <c r="AW141" i="32" s="1"/>
  <c r="AL141" i="32"/>
  <c r="AV141" i="32" s="1"/>
  <c r="AE141" i="32"/>
  <c r="AT141" i="32" s="1"/>
  <c r="Y141" i="32"/>
  <c r="Q141" i="32"/>
  <c r="U141" i="32" s="1"/>
  <c r="AB141" i="32" s="1"/>
  <c r="N141" i="32"/>
  <c r="L141" i="32"/>
  <c r="K141" i="32"/>
  <c r="AM140" i="32"/>
  <c r="AL140" i="32"/>
  <c r="AV140" i="32" s="1"/>
  <c r="AE140" i="32"/>
  <c r="Y140" i="32"/>
  <c r="AQ140" i="32" s="1"/>
  <c r="Q140" i="32"/>
  <c r="U140" i="32" s="1"/>
  <c r="AA140" i="32" s="1"/>
  <c r="N140" i="32"/>
  <c r="K140" i="32"/>
  <c r="I140" i="32" s="1"/>
  <c r="AM139" i="32"/>
  <c r="AW139" i="32" s="1"/>
  <c r="AL139" i="32"/>
  <c r="AE139" i="32"/>
  <c r="AT139" i="32" s="1"/>
  <c r="Y139" i="32"/>
  <c r="AQ139" i="32" s="1"/>
  <c r="Q139" i="32"/>
  <c r="U139" i="32" s="1"/>
  <c r="AP139" i="32" s="1"/>
  <c r="N139" i="32"/>
  <c r="L139" i="32"/>
  <c r="K139" i="32"/>
  <c r="AM138" i="32"/>
  <c r="AW138" i="32" s="1"/>
  <c r="AL138" i="32"/>
  <c r="AE138" i="32"/>
  <c r="AT138" i="32" s="1"/>
  <c r="Y138" i="32"/>
  <c r="AQ138" i="32" s="1"/>
  <c r="Q138" i="32"/>
  <c r="U138" i="32" s="1"/>
  <c r="AA138" i="32" s="1"/>
  <c r="N138" i="32"/>
  <c r="L138" i="32"/>
  <c r="K138" i="32"/>
  <c r="AM137" i="32"/>
  <c r="AL137" i="32"/>
  <c r="AE137" i="32"/>
  <c r="AT137" i="32" s="1"/>
  <c r="Y137" i="32"/>
  <c r="AQ137" i="32" s="1"/>
  <c r="Q137" i="32"/>
  <c r="U137" i="32" s="1"/>
  <c r="N137" i="32"/>
  <c r="L137" i="32"/>
  <c r="K137" i="32"/>
  <c r="AM136" i="32"/>
  <c r="AW136" i="32" s="1"/>
  <c r="AL136" i="32"/>
  <c r="AE136" i="32"/>
  <c r="AT136" i="32" s="1"/>
  <c r="Y136" i="32"/>
  <c r="AQ136" i="32" s="1"/>
  <c r="Q136" i="32"/>
  <c r="U136" i="32" s="1"/>
  <c r="N136" i="32"/>
  <c r="L136" i="32"/>
  <c r="K136" i="32"/>
  <c r="AK135" i="32"/>
  <c r="AJ135" i="32"/>
  <c r="AI135" i="32"/>
  <c r="AH135" i="32"/>
  <c r="AG135" i="32"/>
  <c r="AD135" i="32"/>
  <c r="AC135" i="32"/>
  <c r="X135" i="32"/>
  <c r="W135" i="32"/>
  <c r="V135" i="32"/>
  <c r="T135" i="32"/>
  <c r="S135" i="32"/>
  <c r="R135" i="32"/>
  <c r="P135" i="32"/>
  <c r="O135" i="32"/>
  <c r="M135" i="32"/>
  <c r="J135" i="32"/>
  <c r="AM134" i="32"/>
  <c r="AL134" i="32"/>
  <c r="AV134" i="32" s="1"/>
  <c r="AE134" i="32"/>
  <c r="AT134" i="32" s="1"/>
  <c r="Y134" i="32"/>
  <c r="AQ134" i="32" s="1"/>
  <c r="Q134" i="32"/>
  <c r="U134" i="32" s="1"/>
  <c r="AB134" i="32" s="1"/>
  <c r="N134" i="32"/>
  <c r="L134" i="32"/>
  <c r="K134" i="32"/>
  <c r="AM133" i="32"/>
  <c r="AL133" i="32"/>
  <c r="AV133" i="32" s="1"/>
  <c r="AE133" i="32"/>
  <c r="AT133" i="32" s="1"/>
  <c r="Y133" i="32"/>
  <c r="AQ133" i="32" s="1"/>
  <c r="Q133" i="32"/>
  <c r="U133" i="32" s="1"/>
  <c r="AA133" i="32" s="1"/>
  <c r="N133" i="32"/>
  <c r="L133" i="32"/>
  <c r="K133" i="32"/>
  <c r="AM132" i="32"/>
  <c r="AW132" i="32" s="1"/>
  <c r="AL132" i="32"/>
  <c r="AE132" i="32"/>
  <c r="AT132" i="32" s="1"/>
  <c r="Y132" i="32"/>
  <c r="AQ132" i="32" s="1"/>
  <c r="Q132" i="32"/>
  <c r="U132" i="32" s="1"/>
  <c r="N132" i="32"/>
  <c r="L132" i="32"/>
  <c r="K132" i="32"/>
  <c r="AM131" i="32"/>
  <c r="AW131" i="32" s="1"/>
  <c r="AL131" i="32"/>
  <c r="AE131" i="32"/>
  <c r="AT131" i="32" s="1"/>
  <c r="Y131" i="32"/>
  <c r="AQ131" i="32" s="1"/>
  <c r="Q131" i="32"/>
  <c r="U131" i="32" s="1"/>
  <c r="N131" i="32"/>
  <c r="L131" i="32"/>
  <c r="K131" i="32"/>
  <c r="AM130" i="32"/>
  <c r="AW130" i="32" s="1"/>
  <c r="AL130" i="32"/>
  <c r="AV130" i="32" s="1"/>
  <c r="AE130" i="32"/>
  <c r="AT130" i="32" s="1"/>
  <c r="Y130" i="32"/>
  <c r="Q130" i="32"/>
  <c r="U130" i="32" s="1"/>
  <c r="N130" i="32"/>
  <c r="L130" i="32"/>
  <c r="K130" i="32"/>
  <c r="AM129" i="32"/>
  <c r="AL129" i="32"/>
  <c r="AV129" i="32" s="1"/>
  <c r="AE129" i="32"/>
  <c r="AT129" i="32" s="1"/>
  <c r="Y129" i="32"/>
  <c r="AQ129" i="32" s="1"/>
  <c r="Q129" i="32"/>
  <c r="N129" i="32"/>
  <c r="N135" i="32" s="1"/>
  <c r="L129" i="32"/>
  <c r="K129" i="32"/>
  <c r="AK128" i="32"/>
  <c r="AJ128" i="32"/>
  <c r="AI128" i="32"/>
  <c r="AH128" i="32"/>
  <c r="AG128" i="32"/>
  <c r="AD128" i="32"/>
  <c r="AC128" i="32"/>
  <c r="X128" i="32"/>
  <c r="W128" i="32"/>
  <c r="V128" i="32"/>
  <c r="T128" i="32"/>
  <c r="S128" i="32"/>
  <c r="R128" i="32"/>
  <c r="P128" i="32"/>
  <c r="O128" i="32"/>
  <c r="M128" i="32"/>
  <c r="J128" i="32"/>
  <c r="AM127" i="32"/>
  <c r="AL127" i="32"/>
  <c r="AV127" i="32" s="1"/>
  <c r="AE127" i="32"/>
  <c r="AT127" i="32" s="1"/>
  <c r="Y127" i="32"/>
  <c r="Q127" i="32"/>
  <c r="U127" i="32" s="1"/>
  <c r="AB127" i="32" s="1"/>
  <c r="N127" i="32"/>
  <c r="L127" i="32"/>
  <c r="K127" i="32"/>
  <c r="AV126" i="32"/>
  <c r="AM126" i="32"/>
  <c r="AL126" i="32"/>
  <c r="AE126" i="32"/>
  <c r="AT126" i="32" s="1"/>
  <c r="Y126" i="32"/>
  <c r="Q126" i="32"/>
  <c r="U126" i="32" s="1"/>
  <c r="AB126" i="32" s="1"/>
  <c r="AS126" i="32" s="1"/>
  <c r="N126" i="32"/>
  <c r="I126" i="32"/>
  <c r="AM125" i="32"/>
  <c r="AL125" i="32"/>
  <c r="AE125" i="32"/>
  <c r="AT125" i="32" s="1"/>
  <c r="Y125" i="32"/>
  <c r="AQ125" i="32" s="1"/>
  <c r="Q125" i="32"/>
  <c r="U125" i="32" s="1"/>
  <c r="AB125" i="32" s="1"/>
  <c r="N125" i="32"/>
  <c r="L125" i="32"/>
  <c r="K125" i="32"/>
  <c r="AM124" i="32"/>
  <c r="AW124" i="32" s="1"/>
  <c r="AL124" i="32"/>
  <c r="AE124" i="32"/>
  <c r="AT124" i="32" s="1"/>
  <c r="Y124" i="32"/>
  <c r="AQ124" i="32" s="1"/>
  <c r="Q124" i="32"/>
  <c r="U124" i="32" s="1"/>
  <c r="N124" i="32"/>
  <c r="L124" i="32"/>
  <c r="K124" i="32"/>
  <c r="AM123" i="32"/>
  <c r="AW123" i="32" s="1"/>
  <c r="AL123" i="32"/>
  <c r="AE123" i="32"/>
  <c r="AT123" i="32" s="1"/>
  <c r="Y123" i="32"/>
  <c r="AQ123" i="32" s="1"/>
  <c r="Q123" i="32"/>
  <c r="N123" i="32"/>
  <c r="L123" i="32"/>
  <c r="K123" i="32"/>
  <c r="AK122" i="32"/>
  <c r="AJ122" i="32"/>
  <c r="AI122" i="32"/>
  <c r="AH122" i="32"/>
  <c r="AG122" i="32"/>
  <c r="AD122" i="32"/>
  <c r="AC122" i="32"/>
  <c r="X122" i="32"/>
  <c r="W122" i="32"/>
  <c r="V122" i="32"/>
  <c r="T122" i="32"/>
  <c r="S122" i="32"/>
  <c r="R122" i="32"/>
  <c r="P122" i="32"/>
  <c r="O122" i="32"/>
  <c r="M122" i="32"/>
  <c r="J122" i="32"/>
  <c r="AM121" i="32"/>
  <c r="AW121" i="32" s="1"/>
  <c r="AL121" i="32"/>
  <c r="AE121" i="32"/>
  <c r="AT121" i="32" s="1"/>
  <c r="Y121" i="32"/>
  <c r="AQ121" i="32" s="1"/>
  <c r="Q121" i="32"/>
  <c r="U121" i="32" s="1"/>
  <c r="N121" i="32"/>
  <c r="L121" i="32"/>
  <c r="K121" i="32"/>
  <c r="AM120" i="32"/>
  <c r="AW120" i="32" s="1"/>
  <c r="AL120" i="32"/>
  <c r="AV120" i="32" s="1"/>
  <c r="AE120" i="32"/>
  <c r="AT120" i="32" s="1"/>
  <c r="Y120" i="32"/>
  <c r="AQ120" i="32" s="1"/>
  <c r="Q120" i="32"/>
  <c r="U120" i="32" s="1"/>
  <c r="AP120" i="32" s="1"/>
  <c r="N120" i="32"/>
  <c r="L120" i="32"/>
  <c r="K120" i="32"/>
  <c r="I120" i="32" s="1"/>
  <c r="AM119" i="32"/>
  <c r="AW119" i="32" s="1"/>
  <c r="AL119" i="32"/>
  <c r="AV119" i="32" s="1"/>
  <c r="AE119" i="32"/>
  <c r="Y119" i="32"/>
  <c r="AQ119" i="32" s="1"/>
  <c r="Q119" i="32"/>
  <c r="U119" i="32" s="1"/>
  <c r="N119" i="32"/>
  <c r="L119" i="32"/>
  <c r="K119" i="32"/>
  <c r="I119" i="32" s="1"/>
  <c r="AK118" i="32"/>
  <c r="AJ118" i="32"/>
  <c r="AI118" i="32"/>
  <c r="AH118" i="32"/>
  <c r="AG118" i="32"/>
  <c r="AD118" i="32"/>
  <c r="AC118" i="32"/>
  <c r="X118" i="32"/>
  <c r="W118" i="32"/>
  <c r="V118" i="32"/>
  <c r="T118" i="32"/>
  <c r="S118" i="32"/>
  <c r="R118" i="32"/>
  <c r="P118" i="32"/>
  <c r="O118" i="32"/>
  <c r="M118" i="32"/>
  <c r="J118" i="32"/>
  <c r="AM117" i="32"/>
  <c r="AW117" i="32" s="1"/>
  <c r="AL117" i="32"/>
  <c r="AV117" i="32" s="1"/>
  <c r="AE117" i="32"/>
  <c r="AT117" i="32" s="1"/>
  <c r="Y117" i="32"/>
  <c r="AQ117" i="32" s="1"/>
  <c r="Q117" i="32"/>
  <c r="U117" i="32" s="1"/>
  <c r="AA117" i="32" s="1"/>
  <c r="N117" i="32"/>
  <c r="L117" i="32"/>
  <c r="K117" i="32"/>
  <c r="AM116" i="32"/>
  <c r="AW116" i="32" s="1"/>
  <c r="AL116" i="32"/>
  <c r="AE116" i="32"/>
  <c r="AT116" i="32" s="1"/>
  <c r="Y116" i="32"/>
  <c r="AQ116" i="32" s="1"/>
  <c r="Q116" i="32"/>
  <c r="U116" i="32" s="1"/>
  <c r="AA116" i="32" s="1"/>
  <c r="N116" i="32"/>
  <c r="L116" i="32"/>
  <c r="K116" i="32"/>
  <c r="AM115" i="32"/>
  <c r="AW115" i="32" s="1"/>
  <c r="AL115" i="32"/>
  <c r="AE115" i="32"/>
  <c r="AT115" i="32" s="1"/>
  <c r="Y115" i="32"/>
  <c r="AQ115" i="32" s="1"/>
  <c r="Q115" i="32"/>
  <c r="U115" i="32" s="1"/>
  <c r="N115" i="32"/>
  <c r="L115" i="32"/>
  <c r="K115" i="32"/>
  <c r="AM114" i="32"/>
  <c r="AW114" i="32" s="1"/>
  <c r="AL114" i="32"/>
  <c r="AE114" i="32"/>
  <c r="AT114" i="32" s="1"/>
  <c r="Y114" i="32"/>
  <c r="AQ114" i="32" s="1"/>
  <c r="Q114" i="32"/>
  <c r="U114" i="32" s="1"/>
  <c r="AA114" i="32" s="1"/>
  <c r="N114" i="32"/>
  <c r="L114" i="32"/>
  <c r="K114" i="32"/>
  <c r="AM113" i="32"/>
  <c r="AL113" i="32"/>
  <c r="AE113" i="32"/>
  <c r="AT113" i="32" s="1"/>
  <c r="Y113" i="32"/>
  <c r="AQ113" i="32" s="1"/>
  <c r="Q113" i="32"/>
  <c r="N113" i="32"/>
  <c r="L113" i="32"/>
  <c r="K113" i="32"/>
  <c r="AM112" i="32"/>
  <c r="AW112" i="32" s="1"/>
  <c r="AL112" i="32"/>
  <c r="AE112" i="32"/>
  <c r="AT112" i="32" s="1"/>
  <c r="Y112" i="32"/>
  <c r="Q112" i="32"/>
  <c r="N112" i="32"/>
  <c r="L112" i="32"/>
  <c r="K112" i="32"/>
  <c r="AK111" i="32"/>
  <c r="AJ111" i="32"/>
  <c r="AI111" i="32"/>
  <c r="AH111" i="32"/>
  <c r="AG111" i="32"/>
  <c r="AD111" i="32"/>
  <c r="AC111" i="32"/>
  <c r="X111" i="32"/>
  <c r="W111" i="32"/>
  <c r="V111" i="32"/>
  <c r="T111" i="32"/>
  <c r="S111" i="32"/>
  <c r="R111" i="32"/>
  <c r="P111" i="32"/>
  <c r="O111" i="32"/>
  <c r="M111" i="32"/>
  <c r="J111" i="32"/>
  <c r="AM110" i="32"/>
  <c r="AW110" i="32" s="1"/>
  <c r="AL110" i="32"/>
  <c r="AV110" i="32" s="1"/>
  <c r="AE110" i="32"/>
  <c r="AT110" i="32" s="1"/>
  <c r="Y110" i="32"/>
  <c r="AQ110" i="32" s="1"/>
  <c r="Q110" i="32"/>
  <c r="U110" i="32" s="1"/>
  <c r="AB110" i="32" s="1"/>
  <c r="N110" i="32"/>
  <c r="L110" i="32"/>
  <c r="K110" i="32"/>
  <c r="AM109" i="32"/>
  <c r="AL109" i="32"/>
  <c r="AV109" i="32" s="1"/>
  <c r="AE109" i="32"/>
  <c r="AT109" i="32" s="1"/>
  <c r="Y109" i="32"/>
  <c r="AQ109" i="32" s="1"/>
  <c r="Q109" i="32"/>
  <c r="U109" i="32" s="1"/>
  <c r="AB109" i="32" s="1"/>
  <c r="N109" i="32"/>
  <c r="L109" i="32"/>
  <c r="K109" i="32"/>
  <c r="AM108" i="32"/>
  <c r="AW108" i="32" s="1"/>
  <c r="AL108" i="32"/>
  <c r="AV108" i="32" s="1"/>
  <c r="AE108" i="32"/>
  <c r="AT108" i="32" s="1"/>
  <c r="Y108" i="32"/>
  <c r="AQ108" i="32" s="1"/>
  <c r="Q108" i="32"/>
  <c r="U108" i="32" s="1"/>
  <c r="N108" i="32"/>
  <c r="L108" i="32"/>
  <c r="K108" i="32"/>
  <c r="AK107" i="32"/>
  <c r="AJ107" i="32"/>
  <c r="AI107" i="32"/>
  <c r="AH107" i="32"/>
  <c r="AG107" i="32"/>
  <c r="AD107" i="32"/>
  <c r="AC107" i="32"/>
  <c r="X107" i="32"/>
  <c r="W107" i="32"/>
  <c r="V107" i="32"/>
  <c r="T107" i="32"/>
  <c r="S107" i="32"/>
  <c r="R107" i="32"/>
  <c r="P107" i="32"/>
  <c r="O107" i="32"/>
  <c r="M107" i="32"/>
  <c r="J107" i="32"/>
  <c r="AM106" i="32"/>
  <c r="AL106" i="32"/>
  <c r="AV106" i="32" s="1"/>
  <c r="AV107" i="32" s="1"/>
  <c r="AE106" i="32"/>
  <c r="Y106" i="32"/>
  <c r="Q106" i="32"/>
  <c r="N106" i="32"/>
  <c r="L106" i="32"/>
  <c r="K106" i="32"/>
  <c r="AK105" i="32"/>
  <c r="AJ105" i="32"/>
  <c r="AI105" i="32"/>
  <c r="AH105" i="32"/>
  <c r="AG105" i="32"/>
  <c r="AD105" i="32"/>
  <c r="AC105" i="32"/>
  <c r="X105" i="32"/>
  <c r="W105" i="32"/>
  <c r="V105" i="32"/>
  <c r="T105" i="32"/>
  <c r="S105" i="32"/>
  <c r="R105" i="32"/>
  <c r="P105" i="32"/>
  <c r="O105" i="32"/>
  <c r="M105" i="32"/>
  <c r="J105" i="32"/>
  <c r="AM104" i="32"/>
  <c r="AW104" i="32" s="1"/>
  <c r="AL104" i="32"/>
  <c r="AE104" i="32"/>
  <c r="AT104" i="32" s="1"/>
  <c r="Y104" i="32"/>
  <c r="AQ104" i="32" s="1"/>
  <c r="Q104" i="32"/>
  <c r="U104" i="32" s="1"/>
  <c r="AB104" i="32" s="1"/>
  <c r="N104" i="32"/>
  <c r="L104" i="32"/>
  <c r="I104" i="32" s="1"/>
  <c r="K104" i="32"/>
  <c r="AM103" i="32"/>
  <c r="AW103" i="32" s="1"/>
  <c r="AL103" i="32"/>
  <c r="AE103" i="32"/>
  <c r="AT103" i="32" s="1"/>
  <c r="Y103" i="32"/>
  <c r="AQ103" i="32" s="1"/>
  <c r="Q103" i="32"/>
  <c r="U103" i="32" s="1"/>
  <c r="AB103" i="32" s="1"/>
  <c r="N103" i="32"/>
  <c r="L103" i="32"/>
  <c r="K103" i="32"/>
  <c r="AM102" i="32"/>
  <c r="AW102" i="32" s="1"/>
  <c r="AL102" i="32"/>
  <c r="AE102" i="32"/>
  <c r="AT102" i="32" s="1"/>
  <c r="Y102" i="32"/>
  <c r="AQ102" i="32" s="1"/>
  <c r="Q102" i="32"/>
  <c r="U102" i="32" s="1"/>
  <c r="AB102" i="32" s="1"/>
  <c r="AS102" i="32" s="1"/>
  <c r="N102" i="32"/>
  <c r="K102" i="32"/>
  <c r="I102" i="32" s="1"/>
  <c r="AM101" i="32"/>
  <c r="AW101" i="32" s="1"/>
  <c r="AL101" i="32"/>
  <c r="AV101" i="32" s="1"/>
  <c r="AE101" i="32"/>
  <c r="AT101" i="32" s="1"/>
  <c r="Y101" i="32"/>
  <c r="Q101" i="32"/>
  <c r="U101" i="32" s="1"/>
  <c r="N101" i="32"/>
  <c r="L101" i="32"/>
  <c r="K101" i="32"/>
  <c r="AM100" i="32"/>
  <c r="AL100" i="32"/>
  <c r="AV100" i="32" s="1"/>
  <c r="AE100" i="32"/>
  <c r="AT100" i="32" s="1"/>
  <c r="Y100" i="32"/>
  <c r="Q100" i="32"/>
  <c r="U100" i="32" s="1"/>
  <c r="N100" i="32"/>
  <c r="L100" i="32"/>
  <c r="I100" i="32" s="1"/>
  <c r="AM99" i="32"/>
  <c r="AL99" i="32"/>
  <c r="AV99" i="32" s="1"/>
  <c r="AE99" i="32"/>
  <c r="Y99" i="32"/>
  <c r="AQ99" i="32" s="1"/>
  <c r="Q99" i="32"/>
  <c r="U99" i="32" s="1"/>
  <c r="AB99" i="32" s="1"/>
  <c r="N99" i="32"/>
  <c r="L99" i="32"/>
  <c r="K99" i="32"/>
  <c r="AM98" i="32"/>
  <c r="AL98" i="32"/>
  <c r="AV98" i="32" s="1"/>
  <c r="AE98" i="32"/>
  <c r="AT98" i="32" s="1"/>
  <c r="Y98" i="32"/>
  <c r="AQ98" i="32" s="1"/>
  <c r="Q98" i="32"/>
  <c r="U98" i="32" s="1"/>
  <c r="N98" i="32"/>
  <c r="L98" i="32"/>
  <c r="K98" i="32"/>
  <c r="AV97" i="32"/>
  <c r="AM97" i="32"/>
  <c r="AL97" i="32"/>
  <c r="AE97" i="32"/>
  <c r="Y97" i="32"/>
  <c r="AQ97" i="32" s="1"/>
  <c r="Q97" i="32"/>
  <c r="U97" i="32" s="1"/>
  <c r="N97" i="32"/>
  <c r="L97" i="32"/>
  <c r="K97" i="32"/>
  <c r="AM96" i="32"/>
  <c r="AL96" i="32"/>
  <c r="AV96" i="32" s="1"/>
  <c r="AE96" i="32"/>
  <c r="Y96" i="32"/>
  <c r="AQ96" i="32" s="1"/>
  <c r="Q96" i="32"/>
  <c r="U96" i="32" s="1"/>
  <c r="AB96" i="32" s="1"/>
  <c r="N96" i="32"/>
  <c r="L96" i="32"/>
  <c r="K96" i="32"/>
  <c r="AK95" i="32"/>
  <c r="AJ95" i="32"/>
  <c r="AI95" i="32"/>
  <c r="AH95" i="32"/>
  <c r="AG95" i="32"/>
  <c r="AD95" i="32"/>
  <c r="X95" i="32"/>
  <c r="W95" i="32"/>
  <c r="V95" i="32"/>
  <c r="T95" i="32"/>
  <c r="S95" i="32"/>
  <c r="P95" i="32"/>
  <c r="O95" i="32"/>
  <c r="M95" i="32"/>
  <c r="J95" i="32"/>
  <c r="AM94" i="32"/>
  <c r="AW94" i="32" s="1"/>
  <c r="AL94" i="32"/>
  <c r="AV94" i="32" s="1"/>
  <c r="AE94" i="32"/>
  <c r="AT94" i="32" s="1"/>
  <c r="Y94" i="32"/>
  <c r="AQ94" i="32" s="1"/>
  <c r="Q94" i="32"/>
  <c r="U94" i="32" s="1"/>
  <c r="N94" i="32"/>
  <c r="L94" i="32"/>
  <c r="K94" i="32"/>
  <c r="AM93" i="32"/>
  <c r="AL93" i="32"/>
  <c r="AV93" i="32" s="1"/>
  <c r="AE93" i="32"/>
  <c r="AT93" i="32" s="1"/>
  <c r="Y93" i="32"/>
  <c r="AQ93" i="32" s="1"/>
  <c r="Q93" i="32"/>
  <c r="U93" i="32" s="1"/>
  <c r="N93" i="32"/>
  <c r="L93" i="32"/>
  <c r="I93" i="32" s="1"/>
  <c r="AM92" i="32"/>
  <c r="AL92" i="32"/>
  <c r="AV92" i="32" s="1"/>
  <c r="AE92" i="32"/>
  <c r="AT92" i="32" s="1"/>
  <c r="Y92" i="32"/>
  <c r="AQ92" i="32" s="1"/>
  <c r="Q92" i="32"/>
  <c r="U92" i="32" s="1"/>
  <c r="N92" i="32"/>
  <c r="L92" i="32"/>
  <c r="K92" i="32"/>
  <c r="AM91" i="32"/>
  <c r="AW91" i="32" s="1"/>
  <c r="AI91" i="32"/>
  <c r="AL91" i="32" s="1"/>
  <c r="AC91" i="32"/>
  <c r="AE91" i="32" s="1"/>
  <c r="AT91" i="32" s="1"/>
  <c r="Y91" i="32"/>
  <c r="AQ91" i="32" s="1"/>
  <c r="R91" i="32"/>
  <c r="R95" i="32" s="1"/>
  <c r="Q91" i="32"/>
  <c r="U91" i="32" s="1"/>
  <c r="N91" i="32"/>
  <c r="L91" i="32"/>
  <c r="K91" i="32"/>
  <c r="AM90" i="32"/>
  <c r="AW90" i="32" s="1"/>
  <c r="AL90" i="32"/>
  <c r="AE90" i="32"/>
  <c r="AT90" i="32" s="1"/>
  <c r="Y90" i="32"/>
  <c r="AQ90" i="32" s="1"/>
  <c r="Q90" i="32"/>
  <c r="N90" i="32"/>
  <c r="L90" i="32"/>
  <c r="K90" i="32"/>
  <c r="AK89" i="32"/>
  <c r="AJ89" i="32"/>
  <c r="AI89" i="32"/>
  <c r="AH89" i="32"/>
  <c r="AG89" i="32"/>
  <c r="AD89" i="32"/>
  <c r="AC89" i="32"/>
  <c r="X89" i="32"/>
  <c r="W89" i="32"/>
  <c r="V89" i="32"/>
  <c r="T89" i="32"/>
  <c r="S89" i="32"/>
  <c r="R89" i="32"/>
  <c r="P89" i="32"/>
  <c r="O89" i="32"/>
  <c r="M89" i="32"/>
  <c r="J89" i="32"/>
  <c r="AM88" i="32"/>
  <c r="AL88" i="32"/>
  <c r="AV88" i="32" s="1"/>
  <c r="AE88" i="32"/>
  <c r="AT88" i="32" s="1"/>
  <c r="Y88" i="32"/>
  <c r="AQ88" i="32" s="1"/>
  <c r="Q88" i="32"/>
  <c r="U88" i="32" s="1"/>
  <c r="AB88" i="32" s="1"/>
  <c r="N88" i="32"/>
  <c r="L88" i="32"/>
  <c r="K88" i="32"/>
  <c r="AM87" i="32"/>
  <c r="AL87" i="32"/>
  <c r="AV87" i="32" s="1"/>
  <c r="AE87" i="32"/>
  <c r="AT87" i="32" s="1"/>
  <c r="Y87" i="32"/>
  <c r="AQ87" i="32" s="1"/>
  <c r="Q87" i="32"/>
  <c r="U87" i="32" s="1"/>
  <c r="AB87" i="32" s="1"/>
  <c r="N87" i="32"/>
  <c r="L87" i="32"/>
  <c r="K87" i="32"/>
  <c r="AM86" i="32"/>
  <c r="AL86" i="32"/>
  <c r="AE86" i="32"/>
  <c r="AT86" i="32" s="1"/>
  <c r="Y86" i="32"/>
  <c r="AQ86" i="32" s="1"/>
  <c r="Q86" i="32"/>
  <c r="U86" i="32" s="1"/>
  <c r="N86" i="32"/>
  <c r="L86" i="32"/>
  <c r="K86" i="32"/>
  <c r="AM85" i="32"/>
  <c r="AW85" i="32" s="1"/>
  <c r="AL85" i="32"/>
  <c r="AV85" i="32" s="1"/>
  <c r="AE85" i="32"/>
  <c r="AT85" i="32" s="1"/>
  <c r="Y85" i="32"/>
  <c r="AQ85" i="32" s="1"/>
  <c r="Q85" i="32"/>
  <c r="U85" i="32" s="1"/>
  <c r="N85" i="32"/>
  <c r="L85" i="32"/>
  <c r="K85" i="32"/>
  <c r="AM84" i="32"/>
  <c r="AL84" i="32"/>
  <c r="AV84" i="32" s="1"/>
  <c r="AE84" i="32"/>
  <c r="AT84" i="32" s="1"/>
  <c r="Y84" i="32"/>
  <c r="AQ84" i="32" s="1"/>
  <c r="Q84" i="32"/>
  <c r="N84" i="32"/>
  <c r="N89" i="32" s="1"/>
  <c r="L84" i="32"/>
  <c r="K84" i="32"/>
  <c r="AK83" i="32"/>
  <c r="AJ83" i="32"/>
  <c r="AI83" i="32"/>
  <c r="AH83" i="32"/>
  <c r="AG83" i="32"/>
  <c r="AD83" i="32"/>
  <c r="AC83" i="32"/>
  <c r="X83" i="32"/>
  <c r="W83" i="32"/>
  <c r="V83" i="32"/>
  <c r="T83" i="32"/>
  <c r="S83" i="32"/>
  <c r="R83" i="32"/>
  <c r="P83" i="32"/>
  <c r="O83" i="32"/>
  <c r="M83" i="32"/>
  <c r="J83" i="32"/>
  <c r="AM82" i="32"/>
  <c r="AW82" i="32" s="1"/>
  <c r="AL82" i="32"/>
  <c r="AV82" i="32" s="1"/>
  <c r="AE82" i="32"/>
  <c r="AT82" i="32" s="1"/>
  <c r="Y82" i="32"/>
  <c r="AQ82" i="32" s="1"/>
  <c r="Q82" i="32"/>
  <c r="U82" i="32" s="1"/>
  <c r="N82" i="32"/>
  <c r="L82" i="32"/>
  <c r="K82" i="32"/>
  <c r="AM81" i="32"/>
  <c r="AL81" i="32"/>
  <c r="AV81" i="32" s="1"/>
  <c r="AE81" i="32"/>
  <c r="AT81" i="32" s="1"/>
  <c r="Y81" i="32"/>
  <c r="AQ81" i="32" s="1"/>
  <c r="Q81" i="32"/>
  <c r="U81" i="32" s="1"/>
  <c r="N81" i="32"/>
  <c r="L81" i="32"/>
  <c r="K81" i="32"/>
  <c r="AM80" i="32"/>
  <c r="AW80" i="32" s="1"/>
  <c r="AL80" i="32"/>
  <c r="AV80" i="32" s="1"/>
  <c r="AE80" i="32"/>
  <c r="AT80" i="32" s="1"/>
  <c r="Y80" i="32"/>
  <c r="AQ80" i="32" s="1"/>
  <c r="Q80" i="32"/>
  <c r="U80" i="32" s="1"/>
  <c r="N80" i="32"/>
  <c r="L80" i="32"/>
  <c r="K80" i="32"/>
  <c r="AM79" i="32"/>
  <c r="AW79" i="32" s="1"/>
  <c r="AL79" i="32"/>
  <c r="AV79" i="32" s="1"/>
  <c r="AE79" i="32"/>
  <c r="AT79" i="32" s="1"/>
  <c r="Y79" i="32"/>
  <c r="AQ79" i="32" s="1"/>
  <c r="Q79" i="32"/>
  <c r="U79" i="32" s="1"/>
  <c r="N79" i="32"/>
  <c r="L79" i="32"/>
  <c r="K79" i="32"/>
  <c r="AM78" i="32"/>
  <c r="AW78" i="32" s="1"/>
  <c r="AL78" i="32"/>
  <c r="AV78" i="32" s="1"/>
  <c r="AE78" i="32"/>
  <c r="AT78" i="32" s="1"/>
  <c r="Y78" i="32"/>
  <c r="AQ78" i="32" s="1"/>
  <c r="Q78" i="32"/>
  <c r="U78" i="32" s="1"/>
  <c r="N78" i="32"/>
  <c r="L78" i="32"/>
  <c r="K78" i="32"/>
  <c r="AM77" i="32"/>
  <c r="AL77" i="32"/>
  <c r="AV77" i="32" s="1"/>
  <c r="AE77" i="32"/>
  <c r="AT77" i="32" s="1"/>
  <c r="Y77" i="32"/>
  <c r="Q77" i="32"/>
  <c r="U77" i="32" s="1"/>
  <c r="N77" i="32"/>
  <c r="L77" i="32"/>
  <c r="K77" i="32"/>
  <c r="AK76" i="32"/>
  <c r="AJ76" i="32"/>
  <c r="AI76" i="32"/>
  <c r="AH76" i="32"/>
  <c r="AG76" i="32"/>
  <c r="AD76" i="32"/>
  <c r="AC76" i="32"/>
  <c r="X76" i="32"/>
  <c r="W76" i="32"/>
  <c r="V76" i="32"/>
  <c r="T76" i="32"/>
  <c r="S76" i="32"/>
  <c r="R76" i="32"/>
  <c r="P76" i="32"/>
  <c r="O76" i="32"/>
  <c r="M76" i="32"/>
  <c r="J76" i="32"/>
  <c r="AM75" i="32"/>
  <c r="AW75" i="32" s="1"/>
  <c r="AL75" i="32"/>
  <c r="AE75" i="32"/>
  <c r="AT75" i="32" s="1"/>
  <c r="Y75" i="32"/>
  <c r="AQ75" i="32" s="1"/>
  <c r="Q75" i="32"/>
  <c r="U75" i="32" s="1"/>
  <c r="N75" i="32"/>
  <c r="L75" i="32"/>
  <c r="K75" i="32"/>
  <c r="AM74" i="32"/>
  <c r="AW74" i="32" s="1"/>
  <c r="AL74" i="32"/>
  <c r="AE74" i="32"/>
  <c r="AT74" i="32" s="1"/>
  <c r="Y74" i="32"/>
  <c r="Q74" i="32"/>
  <c r="U74" i="32" s="1"/>
  <c r="AB74" i="32" s="1"/>
  <c r="AS74" i="32" s="1"/>
  <c r="N74" i="32"/>
  <c r="K74" i="32"/>
  <c r="I74" i="32" s="1"/>
  <c r="AM73" i="32"/>
  <c r="AL73" i="32"/>
  <c r="AV73" i="32" s="1"/>
  <c r="AE73" i="32"/>
  <c r="AT73" i="32" s="1"/>
  <c r="Y73" i="32"/>
  <c r="Q73" i="32"/>
  <c r="U73" i="32" s="1"/>
  <c r="N73" i="32"/>
  <c r="L73" i="32"/>
  <c r="K73" i="32"/>
  <c r="AM72" i="32"/>
  <c r="AL72" i="32"/>
  <c r="AV72" i="32" s="1"/>
  <c r="AE72" i="32"/>
  <c r="AT72" i="32" s="1"/>
  <c r="Y72" i="32"/>
  <c r="AQ72" i="32" s="1"/>
  <c r="Q72" i="32"/>
  <c r="U72" i="32" s="1"/>
  <c r="N72" i="32"/>
  <c r="L72" i="32"/>
  <c r="K72" i="32"/>
  <c r="AM71" i="32"/>
  <c r="AW71" i="32" s="1"/>
  <c r="AL71" i="32"/>
  <c r="AE71" i="32"/>
  <c r="Y71" i="32"/>
  <c r="AQ71" i="32" s="1"/>
  <c r="Q71" i="32"/>
  <c r="U71" i="32" s="1"/>
  <c r="N71" i="32"/>
  <c r="L71" i="32"/>
  <c r="K71" i="32"/>
  <c r="AK70" i="32"/>
  <c r="AJ70" i="32"/>
  <c r="AH70" i="32"/>
  <c r="AG70" i="32"/>
  <c r="AD70" i="32"/>
  <c r="AC70" i="32"/>
  <c r="X70" i="32"/>
  <c r="W70" i="32"/>
  <c r="V70" i="32"/>
  <c r="T70" i="32"/>
  <c r="S70" i="32"/>
  <c r="P70" i="32"/>
  <c r="O70" i="32"/>
  <c r="M70" i="32"/>
  <c r="J70" i="32"/>
  <c r="AM69" i="32"/>
  <c r="AW69" i="32" s="1"/>
  <c r="AL69" i="32"/>
  <c r="AE69" i="32"/>
  <c r="AT69" i="32" s="1"/>
  <c r="Y69" i="32"/>
  <c r="AQ69" i="32" s="1"/>
  <c r="Q69" i="32"/>
  <c r="U69" i="32" s="1"/>
  <c r="N69" i="32"/>
  <c r="L69" i="32"/>
  <c r="K69" i="32"/>
  <c r="AM68" i="32"/>
  <c r="AW68" i="32" s="1"/>
  <c r="AL68" i="32"/>
  <c r="AE68" i="32"/>
  <c r="AT68" i="32" s="1"/>
  <c r="Y68" i="32"/>
  <c r="AQ68" i="32" s="1"/>
  <c r="Q68" i="32"/>
  <c r="U68" i="32" s="1"/>
  <c r="N68" i="32"/>
  <c r="L68" i="32"/>
  <c r="K68" i="32"/>
  <c r="AM67" i="32"/>
  <c r="AW67" i="32" s="1"/>
  <c r="AL67" i="32"/>
  <c r="AE67" i="32"/>
  <c r="AT67" i="32" s="1"/>
  <c r="Y67" i="32"/>
  <c r="Q67" i="32"/>
  <c r="U67" i="32" s="1"/>
  <c r="AB67" i="32" s="1"/>
  <c r="N67" i="32"/>
  <c r="L67" i="32"/>
  <c r="K67" i="32"/>
  <c r="I67" i="32" s="1"/>
  <c r="AM66" i="32"/>
  <c r="AW66" i="32" s="1"/>
  <c r="AL66" i="32"/>
  <c r="AE66" i="32"/>
  <c r="AT66" i="32" s="1"/>
  <c r="Y66" i="32"/>
  <c r="AQ66" i="32" s="1"/>
  <c r="Q66" i="32"/>
  <c r="N66" i="32"/>
  <c r="L66" i="32"/>
  <c r="K66" i="32"/>
  <c r="AM65" i="32"/>
  <c r="AW65" i="32" s="1"/>
  <c r="AI65" i="32"/>
  <c r="AI70" i="32" s="1"/>
  <c r="AE65" i="32"/>
  <c r="AT65" i="32" s="1"/>
  <c r="Y65" i="32"/>
  <c r="AQ65" i="32" s="1"/>
  <c r="R65" i="32"/>
  <c r="R70" i="32" s="1"/>
  <c r="Q65" i="32"/>
  <c r="N65" i="32"/>
  <c r="L65" i="32"/>
  <c r="K65" i="32"/>
  <c r="AM64" i="32"/>
  <c r="AL64" i="32"/>
  <c r="AV64" i="32" s="1"/>
  <c r="AE64" i="32"/>
  <c r="Y64" i="32"/>
  <c r="AQ64" i="32" s="1"/>
  <c r="Q64" i="32"/>
  <c r="U64" i="32" s="1"/>
  <c r="AB64" i="32" s="1"/>
  <c r="N64" i="32"/>
  <c r="L64" i="32"/>
  <c r="K64" i="32"/>
  <c r="AK63" i="32"/>
  <c r="AJ63" i="32"/>
  <c r="AH63" i="32"/>
  <c r="AG63" i="32"/>
  <c r="AD63" i="32"/>
  <c r="X63" i="32"/>
  <c r="W63" i="32"/>
  <c r="V63" i="32"/>
  <c r="T63" i="32"/>
  <c r="S63" i="32"/>
  <c r="P63" i="32"/>
  <c r="O63" i="32"/>
  <c r="M63" i="32"/>
  <c r="J63" i="32"/>
  <c r="AM62" i="32"/>
  <c r="AW62" i="32" s="1"/>
  <c r="AL62" i="32"/>
  <c r="AV62" i="32" s="1"/>
  <c r="AE62" i="32"/>
  <c r="AT62" i="32" s="1"/>
  <c r="Y62" i="32"/>
  <c r="AQ62" i="32" s="1"/>
  <c r="Q62" i="32"/>
  <c r="U62" i="32" s="1"/>
  <c r="N62" i="32"/>
  <c r="L62" i="32"/>
  <c r="K62" i="32"/>
  <c r="AM61" i="32"/>
  <c r="AW61" i="32" s="1"/>
  <c r="AL61" i="32"/>
  <c r="AV61" i="32" s="1"/>
  <c r="AE61" i="32"/>
  <c r="AT61" i="32" s="1"/>
  <c r="Y61" i="32"/>
  <c r="AQ61" i="32" s="1"/>
  <c r="Q61" i="32"/>
  <c r="U61" i="32" s="1"/>
  <c r="N61" i="32"/>
  <c r="L61" i="32"/>
  <c r="K61" i="32"/>
  <c r="AM60" i="32"/>
  <c r="AW60" i="32" s="1"/>
  <c r="AL60" i="32"/>
  <c r="AV60" i="32" s="1"/>
  <c r="AE60" i="32"/>
  <c r="AT60" i="32" s="1"/>
  <c r="Y60" i="32"/>
  <c r="AQ60" i="32" s="1"/>
  <c r="Q60" i="32"/>
  <c r="U60" i="32" s="1"/>
  <c r="N60" i="32"/>
  <c r="K60" i="32"/>
  <c r="AM59" i="32"/>
  <c r="AL59" i="32"/>
  <c r="AV59" i="32" s="1"/>
  <c r="AE59" i="32"/>
  <c r="AT59" i="32" s="1"/>
  <c r="Y59" i="32"/>
  <c r="AQ59" i="32" s="1"/>
  <c r="Q59" i="32"/>
  <c r="U59" i="32" s="1"/>
  <c r="N59" i="32"/>
  <c r="L59" i="32"/>
  <c r="K59" i="32"/>
  <c r="AM58" i="32"/>
  <c r="AW58" i="32" s="1"/>
  <c r="AI58" i="32"/>
  <c r="AI63" i="32" s="1"/>
  <c r="AC58" i="32"/>
  <c r="Y58" i="32"/>
  <c r="AQ58" i="32" s="1"/>
  <c r="R58" i="32"/>
  <c r="Q58" i="32"/>
  <c r="N58" i="32"/>
  <c r="L58" i="32"/>
  <c r="K58" i="32"/>
  <c r="AM57" i="32"/>
  <c r="AW57" i="32" s="1"/>
  <c r="AL57" i="32"/>
  <c r="AE57" i="32"/>
  <c r="AT57" i="32" s="1"/>
  <c r="Y57" i="32"/>
  <c r="Q57" i="32"/>
  <c r="N57" i="32"/>
  <c r="L57" i="32"/>
  <c r="K57" i="32"/>
  <c r="AK56" i="32"/>
  <c r="AJ56" i="32"/>
  <c r="AI56" i="32"/>
  <c r="AH56" i="32"/>
  <c r="AG56" i="32"/>
  <c r="AD56" i="32"/>
  <c r="AC56" i="32"/>
  <c r="X56" i="32"/>
  <c r="W56" i="32"/>
  <c r="V56" i="32"/>
  <c r="T56" i="32"/>
  <c r="S56" i="32"/>
  <c r="R56" i="32"/>
  <c r="P56" i="32"/>
  <c r="O56" i="32"/>
  <c r="M56" i="32"/>
  <c r="J56" i="32"/>
  <c r="AM55" i="32"/>
  <c r="AW55" i="32" s="1"/>
  <c r="AL55" i="32"/>
  <c r="AV55" i="32" s="1"/>
  <c r="AE55" i="32"/>
  <c r="AT55" i="32" s="1"/>
  <c r="Y55" i="32"/>
  <c r="AQ55" i="32" s="1"/>
  <c r="Q55" i="32"/>
  <c r="U55" i="32" s="1"/>
  <c r="AB55" i="32" s="1"/>
  <c r="N55" i="32"/>
  <c r="L55" i="32"/>
  <c r="K55" i="32"/>
  <c r="AM54" i="32"/>
  <c r="AW54" i="32" s="1"/>
  <c r="AL54" i="32"/>
  <c r="AV54" i="32" s="1"/>
  <c r="AE54" i="32"/>
  <c r="AT54" i="32" s="1"/>
  <c r="Y54" i="32"/>
  <c r="AQ54" i="32" s="1"/>
  <c r="Q54" i="32"/>
  <c r="U54" i="32" s="1"/>
  <c r="AB54" i="32" s="1"/>
  <c r="N54" i="32"/>
  <c r="L54" i="32"/>
  <c r="K54" i="32"/>
  <c r="AM53" i="32"/>
  <c r="AL53" i="32"/>
  <c r="AV53" i="32" s="1"/>
  <c r="AE53" i="32"/>
  <c r="AT53" i="32" s="1"/>
  <c r="Y53" i="32"/>
  <c r="AQ53" i="32" s="1"/>
  <c r="Q53" i="32"/>
  <c r="U53" i="32" s="1"/>
  <c r="N53" i="32"/>
  <c r="L53" i="32"/>
  <c r="I53" i="32" s="1"/>
  <c r="AM52" i="32"/>
  <c r="AW52" i="32" s="1"/>
  <c r="AL52" i="32"/>
  <c r="AE52" i="32"/>
  <c r="AT52" i="32" s="1"/>
  <c r="Y52" i="32"/>
  <c r="AQ52" i="32" s="1"/>
  <c r="Q52" i="32"/>
  <c r="U52" i="32" s="1"/>
  <c r="N52" i="32"/>
  <c r="L52" i="32"/>
  <c r="K52" i="32"/>
  <c r="AM51" i="32"/>
  <c r="AW51" i="32" s="1"/>
  <c r="AL51" i="32"/>
  <c r="AE51" i="32"/>
  <c r="AT51" i="32" s="1"/>
  <c r="Y51" i="32"/>
  <c r="AQ51" i="32" s="1"/>
  <c r="Q51" i="32"/>
  <c r="N51" i="32"/>
  <c r="L51" i="32"/>
  <c r="K51" i="32"/>
  <c r="AK50" i="32"/>
  <c r="AJ50" i="32"/>
  <c r="AI50" i="32"/>
  <c r="AH50" i="32"/>
  <c r="AG50" i="32"/>
  <c r="AD50" i="32"/>
  <c r="AC50" i="32"/>
  <c r="X50" i="32"/>
  <c r="W50" i="32"/>
  <c r="V50" i="32"/>
  <c r="T50" i="32"/>
  <c r="S50" i="32"/>
  <c r="R50" i="32"/>
  <c r="P50" i="32"/>
  <c r="O50" i="32"/>
  <c r="M50" i="32"/>
  <c r="J50" i="32"/>
  <c r="AM49" i="32"/>
  <c r="AW49" i="32" s="1"/>
  <c r="AL49" i="32"/>
  <c r="AV49" i="32" s="1"/>
  <c r="AE49" i="32"/>
  <c r="AT49" i="32" s="1"/>
  <c r="Y49" i="32"/>
  <c r="AQ49" i="32" s="1"/>
  <c r="Q49" i="32"/>
  <c r="U49" i="32" s="1"/>
  <c r="N49" i="32"/>
  <c r="L49" i="32"/>
  <c r="K49" i="32"/>
  <c r="AM48" i="32"/>
  <c r="AL48" i="32"/>
  <c r="AV48" i="32" s="1"/>
  <c r="AE48" i="32"/>
  <c r="Y48" i="32"/>
  <c r="Q48" i="32"/>
  <c r="U48" i="32" s="1"/>
  <c r="AB48" i="32" s="1"/>
  <c r="N48" i="32"/>
  <c r="L48" i="32"/>
  <c r="AM47" i="32"/>
  <c r="AW47" i="32" s="1"/>
  <c r="AL47" i="32"/>
  <c r="AE47" i="32"/>
  <c r="AT47" i="32" s="1"/>
  <c r="Y47" i="32"/>
  <c r="AQ47" i="32" s="1"/>
  <c r="Q47" i="32"/>
  <c r="U47" i="32" s="1"/>
  <c r="AA47" i="32" s="1"/>
  <c r="N47" i="32"/>
  <c r="L47" i="32"/>
  <c r="K47" i="32"/>
  <c r="AM46" i="32"/>
  <c r="AW46" i="32" s="1"/>
  <c r="AL46" i="32"/>
  <c r="AE46" i="32"/>
  <c r="AT46" i="32" s="1"/>
  <c r="Y46" i="32"/>
  <c r="AQ46" i="32" s="1"/>
  <c r="Q46" i="32"/>
  <c r="U46" i="32" s="1"/>
  <c r="AA46" i="32" s="1"/>
  <c r="N46" i="32"/>
  <c r="L46" i="32"/>
  <c r="K46" i="32"/>
  <c r="AM45" i="32"/>
  <c r="AL45" i="32"/>
  <c r="AE45" i="32"/>
  <c r="AT45" i="32" s="1"/>
  <c r="Y45" i="32"/>
  <c r="AQ45" i="32" s="1"/>
  <c r="Q45" i="32"/>
  <c r="U45" i="32" s="1"/>
  <c r="N45" i="32"/>
  <c r="L45" i="32"/>
  <c r="K45" i="32"/>
  <c r="AM44" i="32"/>
  <c r="AW44" i="32" s="1"/>
  <c r="AL44" i="32"/>
  <c r="AE44" i="32"/>
  <c r="AT44" i="32" s="1"/>
  <c r="Y44" i="32"/>
  <c r="AQ44" i="32" s="1"/>
  <c r="Q44" i="32"/>
  <c r="U44" i="32" s="1"/>
  <c r="AA44" i="32" s="1"/>
  <c r="N44" i="32"/>
  <c r="L44" i="32"/>
  <c r="K44" i="32"/>
  <c r="AK43" i="32"/>
  <c r="AJ43" i="32"/>
  <c r="AI43" i="32"/>
  <c r="AH43" i="32"/>
  <c r="AG43" i="32"/>
  <c r="AD43" i="32"/>
  <c r="AC43" i="32"/>
  <c r="X43" i="32"/>
  <c r="W43" i="32"/>
  <c r="V43" i="32"/>
  <c r="T43" i="32"/>
  <c r="S43" i="32"/>
  <c r="R43" i="32"/>
  <c r="P43" i="32"/>
  <c r="O43" i="32"/>
  <c r="M43" i="32"/>
  <c r="J43" i="32"/>
  <c r="AM42" i="32"/>
  <c r="AW42" i="32" s="1"/>
  <c r="AW43" i="32" s="1"/>
  <c r="AL42" i="32"/>
  <c r="AV42" i="32" s="1"/>
  <c r="AV43" i="32" s="1"/>
  <c r="AE42" i="32"/>
  <c r="AT42" i="32" s="1"/>
  <c r="AT43" i="32" s="1"/>
  <c r="Y42" i="32"/>
  <c r="Q42" i="32"/>
  <c r="Q43" i="32" s="1"/>
  <c r="N42" i="32"/>
  <c r="N43" i="32" s="1"/>
  <c r="L42" i="32"/>
  <c r="K42" i="32"/>
  <c r="AK41" i="32"/>
  <c r="AJ41" i="32"/>
  <c r="AI41" i="32"/>
  <c r="AH41" i="32"/>
  <c r="AG41" i="32"/>
  <c r="AD41" i="32"/>
  <c r="AC41" i="32"/>
  <c r="X41" i="32"/>
  <c r="W41" i="32"/>
  <c r="V41" i="32"/>
  <c r="T41" i="32"/>
  <c r="S41" i="32"/>
  <c r="R41" i="32"/>
  <c r="P41" i="32"/>
  <c r="O41" i="32"/>
  <c r="M41" i="32"/>
  <c r="J41" i="32"/>
  <c r="AM40" i="32"/>
  <c r="AW40" i="32" s="1"/>
  <c r="AL40" i="32"/>
  <c r="AV40" i="32" s="1"/>
  <c r="AE40" i="32"/>
  <c r="AT40" i="32" s="1"/>
  <c r="Y40" i="32"/>
  <c r="AQ40" i="32" s="1"/>
  <c r="Q40" i="32"/>
  <c r="U40" i="32" s="1"/>
  <c r="N40" i="32"/>
  <c r="L40" i="32"/>
  <c r="K40" i="32"/>
  <c r="AM39" i="32"/>
  <c r="AW39" i="32" s="1"/>
  <c r="AL39" i="32"/>
  <c r="AV39" i="32" s="1"/>
  <c r="AE39" i="32"/>
  <c r="AT39" i="32" s="1"/>
  <c r="Y39" i="32"/>
  <c r="AQ39" i="32" s="1"/>
  <c r="Q39" i="32"/>
  <c r="U39" i="32" s="1"/>
  <c r="N39" i="32"/>
  <c r="L39" i="32"/>
  <c r="K39" i="32"/>
  <c r="AM38" i="32"/>
  <c r="AM41" i="32" s="1"/>
  <c r="AL38" i="32"/>
  <c r="AV38" i="32" s="1"/>
  <c r="AE38" i="32"/>
  <c r="Y38" i="32"/>
  <c r="Q38" i="32"/>
  <c r="U38" i="32" s="1"/>
  <c r="N38" i="32"/>
  <c r="L38" i="32"/>
  <c r="K38" i="32"/>
  <c r="K41" i="32" s="1"/>
  <c r="AK37" i="32"/>
  <c r="AJ37" i="32"/>
  <c r="AI37" i="32"/>
  <c r="AH37" i="32"/>
  <c r="AG37" i="32"/>
  <c r="AD37" i="32"/>
  <c r="AC37" i="32"/>
  <c r="X37" i="32"/>
  <c r="W37" i="32"/>
  <c r="V37" i="32"/>
  <c r="T37" i="32"/>
  <c r="S37" i="32"/>
  <c r="R37" i="32"/>
  <c r="P37" i="32"/>
  <c r="O37" i="32"/>
  <c r="M37" i="32"/>
  <c r="J37" i="32"/>
  <c r="AM36" i="32"/>
  <c r="AW36" i="32" s="1"/>
  <c r="AL36" i="32"/>
  <c r="AE36" i="32"/>
  <c r="AT36" i="32" s="1"/>
  <c r="Y36" i="32"/>
  <c r="AQ36" i="32" s="1"/>
  <c r="Q36" i="32"/>
  <c r="U36" i="32" s="1"/>
  <c r="AB36" i="32" s="1"/>
  <c r="N36" i="32"/>
  <c r="L36" i="32"/>
  <c r="K36" i="32"/>
  <c r="AM35" i="32"/>
  <c r="AM37" i="32" s="1"/>
  <c r="AL35" i="32"/>
  <c r="AE35" i="32"/>
  <c r="Y35" i="32"/>
  <c r="Y37" i="32" s="1"/>
  <c r="Q35" i="32"/>
  <c r="N35" i="32"/>
  <c r="L35" i="32"/>
  <c r="L37" i="32" s="1"/>
  <c r="K35" i="32"/>
  <c r="AK34" i="32"/>
  <c r="AJ34" i="32"/>
  <c r="AI34" i="32"/>
  <c r="AH34" i="32"/>
  <c r="AG34" i="32"/>
  <c r="AD34" i="32"/>
  <c r="AC34" i="32"/>
  <c r="X34" i="32"/>
  <c r="W34" i="32"/>
  <c r="V34" i="32"/>
  <c r="T34" i="32"/>
  <c r="S34" i="32"/>
  <c r="R34" i="32"/>
  <c r="P34" i="32"/>
  <c r="O34" i="32"/>
  <c r="M34" i="32"/>
  <c r="J34" i="32"/>
  <c r="AM33" i="32"/>
  <c r="AW33" i="32" s="1"/>
  <c r="AL33" i="32"/>
  <c r="AE33" i="32"/>
  <c r="AT33" i="32" s="1"/>
  <c r="Y33" i="32"/>
  <c r="AQ33" i="32" s="1"/>
  <c r="Q33" i="32"/>
  <c r="U33" i="32" s="1"/>
  <c r="AP33" i="32" s="1"/>
  <c r="N33" i="32"/>
  <c r="L33" i="32"/>
  <c r="K33" i="32"/>
  <c r="AM32" i="32"/>
  <c r="AW32" i="32" s="1"/>
  <c r="AL32" i="32"/>
  <c r="AV32" i="32" s="1"/>
  <c r="AE32" i="32"/>
  <c r="Y32" i="32"/>
  <c r="Q32" i="32"/>
  <c r="Q34" i="32" s="1"/>
  <c r="N32" i="32"/>
  <c r="L32" i="32"/>
  <c r="K32" i="32"/>
  <c r="AK31" i="32"/>
  <c r="AJ31" i="32"/>
  <c r="AH31" i="32"/>
  <c r="AG31" i="32"/>
  <c r="AD31" i="32"/>
  <c r="AC31" i="32"/>
  <c r="X31" i="32"/>
  <c r="W31" i="32"/>
  <c r="V31" i="32"/>
  <c r="T31" i="32"/>
  <c r="S31" i="32"/>
  <c r="P31" i="32"/>
  <c r="O31" i="32"/>
  <c r="M31" i="32"/>
  <c r="J31" i="32"/>
  <c r="AM30" i="32"/>
  <c r="AW30" i="32" s="1"/>
  <c r="AL30" i="32"/>
  <c r="AV30" i="32" s="1"/>
  <c r="AE30" i="32"/>
  <c r="AT30" i="32" s="1"/>
  <c r="Y30" i="32"/>
  <c r="AQ30" i="32" s="1"/>
  <c r="Q30" i="32"/>
  <c r="U30" i="32" s="1"/>
  <c r="AB30" i="32" s="1"/>
  <c r="N30" i="32"/>
  <c r="L30" i="32"/>
  <c r="K30" i="32"/>
  <c r="AM29" i="32"/>
  <c r="AW29" i="32" s="1"/>
  <c r="AI29" i="32"/>
  <c r="AE29" i="32"/>
  <c r="AT29" i="32" s="1"/>
  <c r="Y29" i="32"/>
  <c r="AQ29" i="32" s="1"/>
  <c r="R29" i="32"/>
  <c r="R304" i="32" s="1"/>
  <c r="Q29" i="32"/>
  <c r="N29" i="32"/>
  <c r="L29" i="32"/>
  <c r="K29" i="32"/>
  <c r="AM28" i="32"/>
  <c r="AW28" i="32" s="1"/>
  <c r="AL28" i="32"/>
  <c r="AE28" i="32"/>
  <c r="AT28" i="32" s="1"/>
  <c r="Y28" i="32"/>
  <c r="Q28" i="32"/>
  <c r="N28" i="32"/>
  <c r="L28" i="32"/>
  <c r="K28" i="32"/>
  <c r="AK27" i="32"/>
  <c r="AJ27" i="32"/>
  <c r="AI27" i="32"/>
  <c r="AH27" i="32"/>
  <c r="AG27" i="32"/>
  <c r="AD27" i="32"/>
  <c r="AC27" i="32"/>
  <c r="X27" i="32"/>
  <c r="W27" i="32"/>
  <c r="V27" i="32"/>
  <c r="T27" i="32"/>
  <c r="S27" i="32"/>
  <c r="R27" i="32"/>
  <c r="P27" i="32"/>
  <c r="O27" i="32"/>
  <c r="M27" i="32"/>
  <c r="J27" i="32"/>
  <c r="AM26" i="32"/>
  <c r="AW26" i="32" s="1"/>
  <c r="AL26" i="32"/>
  <c r="AV26" i="32" s="1"/>
  <c r="AE26" i="32"/>
  <c r="AT26" i="32" s="1"/>
  <c r="Y26" i="32"/>
  <c r="AQ26" i="32" s="1"/>
  <c r="Q26" i="32"/>
  <c r="U26" i="32" s="1"/>
  <c r="AB26" i="32" s="1"/>
  <c r="N26" i="32"/>
  <c r="L26" i="32"/>
  <c r="K26" i="32"/>
  <c r="AM25" i="32"/>
  <c r="AW25" i="32" s="1"/>
  <c r="AL25" i="32"/>
  <c r="AE25" i="32"/>
  <c r="AT25" i="32" s="1"/>
  <c r="Y25" i="32"/>
  <c r="AQ25" i="32" s="1"/>
  <c r="Q25" i="32"/>
  <c r="U25" i="32" s="1"/>
  <c r="AP25" i="32" s="1"/>
  <c r="N25" i="32"/>
  <c r="L25" i="32"/>
  <c r="K25" i="32"/>
  <c r="I25" i="32" s="1"/>
  <c r="AM24" i="32"/>
  <c r="AW24" i="32" s="1"/>
  <c r="AL24" i="32"/>
  <c r="AV24" i="32" s="1"/>
  <c r="AE24" i="32"/>
  <c r="AT24" i="32" s="1"/>
  <c r="Y24" i="32"/>
  <c r="Y27" i="32" s="1"/>
  <c r="Q24" i="32"/>
  <c r="N24" i="32"/>
  <c r="L24" i="32"/>
  <c r="I24" i="32" s="1"/>
  <c r="AM23" i="32"/>
  <c r="AW23" i="32" s="1"/>
  <c r="AL23" i="32"/>
  <c r="AE23" i="32"/>
  <c r="Y23" i="32"/>
  <c r="AQ23" i="32" s="1"/>
  <c r="Q23" i="32"/>
  <c r="U23" i="32" s="1"/>
  <c r="AA23" i="32" s="1"/>
  <c r="N23" i="32"/>
  <c r="L23" i="32"/>
  <c r="K23" i="32"/>
  <c r="AK22" i="32"/>
  <c r="AJ22" i="32"/>
  <c r="AI22" i="32"/>
  <c r="AH22" i="32"/>
  <c r="AG22" i="32"/>
  <c r="AD22" i="32"/>
  <c r="AC22" i="32"/>
  <c r="X22" i="32"/>
  <c r="W22" i="32"/>
  <c r="V22" i="32"/>
  <c r="T22" i="32"/>
  <c r="S22" i="32"/>
  <c r="R22" i="32"/>
  <c r="P22" i="32"/>
  <c r="O22" i="32"/>
  <c r="M22" i="32"/>
  <c r="J22" i="32"/>
  <c r="AM21" i="32"/>
  <c r="AW21" i="32" s="1"/>
  <c r="AL21" i="32"/>
  <c r="AV21" i="32" s="1"/>
  <c r="AE21" i="32"/>
  <c r="AT21" i="32" s="1"/>
  <c r="Y21" i="32"/>
  <c r="Q21" i="32"/>
  <c r="U21" i="32" s="1"/>
  <c r="AA21" i="32" s="1"/>
  <c r="N21" i="32"/>
  <c r="L21" i="32"/>
  <c r="K21" i="32"/>
  <c r="AM20" i="32"/>
  <c r="AW20" i="32" s="1"/>
  <c r="AL20" i="32"/>
  <c r="AE20" i="32"/>
  <c r="AT20" i="32" s="1"/>
  <c r="Y20" i="32"/>
  <c r="AQ20" i="32" s="1"/>
  <c r="Q20" i="32"/>
  <c r="U20" i="32" s="1"/>
  <c r="N20" i="32"/>
  <c r="L20" i="32"/>
  <c r="K20" i="32"/>
  <c r="AM19" i="32"/>
  <c r="AW19" i="32" s="1"/>
  <c r="AL19" i="32"/>
  <c r="AE19" i="32"/>
  <c r="AT19" i="32" s="1"/>
  <c r="Y19" i="32"/>
  <c r="AQ19" i="32" s="1"/>
  <c r="Q19" i="32"/>
  <c r="N19" i="32"/>
  <c r="L19" i="32"/>
  <c r="K19" i="32"/>
  <c r="AM18" i="32"/>
  <c r="AW18" i="32" s="1"/>
  <c r="AL18" i="32"/>
  <c r="AE18" i="32"/>
  <c r="AT18" i="32" s="1"/>
  <c r="Y18" i="32"/>
  <c r="AQ18" i="32" s="1"/>
  <c r="Q18" i="32"/>
  <c r="U18" i="32" s="1"/>
  <c r="AA18" i="32" s="1"/>
  <c r="N18" i="32"/>
  <c r="L18" i="32"/>
  <c r="K18" i="32"/>
  <c r="AK17" i="32"/>
  <c r="AJ17" i="32"/>
  <c r="AI17" i="32"/>
  <c r="AH17" i="32"/>
  <c r="AG17" i="32"/>
  <c r="AD17" i="32"/>
  <c r="AC17" i="32"/>
  <c r="X17" i="32"/>
  <c r="W17" i="32"/>
  <c r="V17" i="32"/>
  <c r="T17" i="32"/>
  <c r="S17" i="32"/>
  <c r="R17" i="32"/>
  <c r="P17" i="32"/>
  <c r="O17" i="32"/>
  <c r="M17" i="32"/>
  <c r="J17" i="32"/>
  <c r="AM16" i="32"/>
  <c r="AL16" i="32"/>
  <c r="AE16" i="32"/>
  <c r="AT16" i="32" s="1"/>
  <c r="Y16" i="32"/>
  <c r="Q16" i="32"/>
  <c r="N16" i="32"/>
  <c r="L16" i="32"/>
  <c r="K16" i="32"/>
  <c r="AM15" i="32"/>
  <c r="AW15" i="32" s="1"/>
  <c r="AL15" i="32"/>
  <c r="AV15" i="32" s="1"/>
  <c r="AE15" i="32"/>
  <c r="AT15" i="32" s="1"/>
  <c r="Y15" i="32"/>
  <c r="AQ15" i="32" s="1"/>
  <c r="Q15" i="32"/>
  <c r="U15" i="32" s="1"/>
  <c r="N15" i="32"/>
  <c r="L15" i="32"/>
  <c r="K15" i="32"/>
  <c r="AM14" i="32"/>
  <c r="AL14" i="32"/>
  <c r="AE14" i="32"/>
  <c r="Y14" i="32"/>
  <c r="Q14" i="32"/>
  <c r="U14" i="32" s="1"/>
  <c r="AA14" i="32" s="1"/>
  <c r="N14" i="32"/>
  <c r="N17" i="32" s="1"/>
  <c r="L14" i="32"/>
  <c r="K14" i="32"/>
  <c r="AK13" i="32"/>
  <c r="AJ13" i="32"/>
  <c r="AI13" i="32"/>
  <c r="AH13" i="32"/>
  <c r="AG13" i="32"/>
  <c r="AD13" i="32"/>
  <c r="AC13" i="32"/>
  <c r="X13" i="32"/>
  <c r="W13" i="32"/>
  <c r="V13" i="32"/>
  <c r="T13" i="32"/>
  <c r="S13" i="32"/>
  <c r="R13" i="32"/>
  <c r="P13" i="32"/>
  <c r="O13" i="32"/>
  <c r="M13" i="32"/>
  <c r="J13" i="32"/>
  <c r="AM12" i="32"/>
  <c r="AL12" i="32"/>
  <c r="AE12" i="32"/>
  <c r="Y12" i="32"/>
  <c r="Q12" i="32"/>
  <c r="N12" i="32"/>
  <c r="L12" i="32"/>
  <c r="L313" i="32" s="1"/>
  <c r="K12" i="32"/>
  <c r="K13" i="32" s="1"/>
  <c r="AK86" i="31"/>
  <c r="AJ86" i="31"/>
  <c r="AI86" i="31"/>
  <c r="AH86" i="31"/>
  <c r="AG86" i="31"/>
  <c r="AD86" i="31"/>
  <c r="AC86" i="31"/>
  <c r="X86" i="31"/>
  <c r="W86" i="31"/>
  <c r="V86" i="31"/>
  <c r="T86" i="31"/>
  <c r="S86" i="31"/>
  <c r="R86" i="31"/>
  <c r="P86" i="31"/>
  <c r="O86" i="31"/>
  <c r="M86" i="31"/>
  <c r="J86" i="31"/>
  <c r="AK85" i="31"/>
  <c r="AJ85" i="31"/>
  <c r="AI85" i="31"/>
  <c r="AH85" i="31"/>
  <c r="AG85" i="31"/>
  <c r="AD85" i="31"/>
  <c r="AC85" i="31"/>
  <c r="X85" i="31"/>
  <c r="W85" i="31"/>
  <c r="V85" i="31"/>
  <c r="T85" i="31"/>
  <c r="S85" i="31"/>
  <c r="R85" i="31"/>
  <c r="P85" i="31"/>
  <c r="O85" i="31"/>
  <c r="M85" i="31"/>
  <c r="J85" i="31"/>
  <c r="AK84" i="31"/>
  <c r="AJ84" i="31"/>
  <c r="AI84" i="31"/>
  <c r="AH84" i="31"/>
  <c r="AG84" i="31"/>
  <c r="AD84" i="31"/>
  <c r="AC84" i="31"/>
  <c r="X84" i="31"/>
  <c r="W84" i="31"/>
  <c r="V84" i="31"/>
  <c r="T84" i="31"/>
  <c r="S84" i="31"/>
  <c r="R84" i="31"/>
  <c r="P84" i="31"/>
  <c r="O84" i="31"/>
  <c r="M84" i="31"/>
  <c r="J84" i="31"/>
  <c r="AK83" i="31"/>
  <c r="AJ83" i="31"/>
  <c r="AI83" i="31"/>
  <c r="AH83" i="31"/>
  <c r="AG83" i="31"/>
  <c r="AD83" i="31"/>
  <c r="AC83" i="31"/>
  <c r="X83" i="31"/>
  <c r="W83" i="31"/>
  <c r="V83" i="31"/>
  <c r="T83" i="31"/>
  <c r="S83" i="31"/>
  <c r="R83" i="31"/>
  <c r="P83" i="31"/>
  <c r="O83" i="31"/>
  <c r="M83" i="31"/>
  <c r="J83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AW81" i="31"/>
  <c r="AV81" i="31"/>
  <c r="AU81" i="31"/>
  <c r="AT81" i="31"/>
  <c r="AS81" i="31"/>
  <c r="AR81" i="31"/>
  <c r="AQ81" i="31"/>
  <c r="AP81" i="31"/>
  <c r="AO81" i="31"/>
  <c r="AN81" i="31"/>
  <c r="AM81" i="31"/>
  <c r="AL81" i="31"/>
  <c r="AK81" i="31"/>
  <c r="AJ81" i="31"/>
  <c r="AI81" i="31"/>
  <c r="AH81" i="31"/>
  <c r="AG81" i="31"/>
  <c r="AF81" i="31"/>
  <c r="AE81" i="31"/>
  <c r="AD81" i="31"/>
  <c r="AC81" i="31"/>
  <c r="AB81" i="31"/>
  <c r="AA81" i="31"/>
  <c r="Z81" i="31"/>
  <c r="Y81" i="31"/>
  <c r="X81" i="31"/>
  <c r="W81" i="31"/>
  <c r="V81" i="31"/>
  <c r="U81" i="31"/>
  <c r="T81" i="31"/>
  <c r="S81" i="31"/>
  <c r="R81" i="31"/>
  <c r="Q81" i="31"/>
  <c r="P81" i="31"/>
  <c r="O81" i="31"/>
  <c r="N81" i="31"/>
  <c r="M81" i="31"/>
  <c r="L81" i="31"/>
  <c r="K81" i="31"/>
  <c r="J81" i="31"/>
  <c r="I81" i="31"/>
  <c r="AK80" i="31"/>
  <c r="AJ80" i="31"/>
  <c r="AI80" i="31"/>
  <c r="AH80" i="31"/>
  <c r="AG80" i="31"/>
  <c r="AD80" i="31"/>
  <c r="AC80" i="31"/>
  <c r="X80" i="31"/>
  <c r="W80" i="31"/>
  <c r="V80" i="31"/>
  <c r="T80" i="31"/>
  <c r="S80" i="31"/>
  <c r="R80" i="31"/>
  <c r="P80" i="31"/>
  <c r="O80" i="31"/>
  <c r="M80" i="31"/>
  <c r="J80" i="31"/>
  <c r="AW79" i="31"/>
  <c r="AV79" i="31"/>
  <c r="AU79" i="31"/>
  <c r="AT79" i="31"/>
  <c r="AS79" i="31"/>
  <c r="AR79" i="31"/>
  <c r="AQ79" i="31"/>
  <c r="AP79" i="31"/>
  <c r="AO79" i="31"/>
  <c r="AN79" i="31"/>
  <c r="AM79" i="31"/>
  <c r="AL79" i="31"/>
  <c r="AK79" i="31"/>
  <c r="AJ79" i="31"/>
  <c r="AI79" i="31"/>
  <c r="AH79" i="31"/>
  <c r="AG79" i="31"/>
  <c r="AF79" i="31"/>
  <c r="AE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AK78" i="31"/>
  <c r="AJ78" i="31"/>
  <c r="AH78" i="31"/>
  <c r="AG78" i="31"/>
  <c r="AD78" i="31"/>
  <c r="AC78" i="31"/>
  <c r="X78" i="31"/>
  <c r="W78" i="31"/>
  <c r="V78" i="31"/>
  <c r="T78" i="31"/>
  <c r="S78" i="31"/>
  <c r="P78" i="31"/>
  <c r="O78" i="31"/>
  <c r="M78" i="31"/>
  <c r="J78" i="31"/>
  <c r="AK77" i="31"/>
  <c r="AJ77" i="31"/>
  <c r="AI77" i="31"/>
  <c r="AH77" i="31"/>
  <c r="AG77" i="31"/>
  <c r="AD77" i="31"/>
  <c r="AC77" i="31"/>
  <c r="X77" i="31"/>
  <c r="W77" i="31"/>
  <c r="V77" i="31"/>
  <c r="T77" i="31"/>
  <c r="S77" i="31"/>
  <c r="R77" i="31"/>
  <c r="P77" i="31"/>
  <c r="O77" i="31"/>
  <c r="M77" i="31"/>
  <c r="J77" i="31"/>
  <c r="AK72" i="31"/>
  <c r="AJ72" i="31"/>
  <c r="AI72" i="31"/>
  <c r="AH72" i="31"/>
  <c r="AG72" i="31"/>
  <c r="AD72" i="31"/>
  <c r="AC72" i="31"/>
  <c r="X72" i="31"/>
  <c r="W72" i="31"/>
  <c r="V72" i="31"/>
  <c r="T72" i="31"/>
  <c r="S72" i="31"/>
  <c r="R72" i="31"/>
  <c r="P72" i="31"/>
  <c r="O72" i="31"/>
  <c r="M72" i="31"/>
  <c r="J72" i="31"/>
  <c r="AM71" i="31"/>
  <c r="AL71" i="31"/>
  <c r="AV71" i="31" s="1"/>
  <c r="AE71" i="31"/>
  <c r="AT71" i="31" s="1"/>
  <c r="AB71" i="31"/>
  <c r="Y71" i="31"/>
  <c r="AQ71" i="31" s="1"/>
  <c r="Q71" i="31"/>
  <c r="U71" i="31" s="1"/>
  <c r="AA71" i="31" s="1"/>
  <c r="N71" i="31"/>
  <c r="L71" i="31"/>
  <c r="K71" i="31"/>
  <c r="AM70" i="31"/>
  <c r="AW70" i="31" s="1"/>
  <c r="AL70" i="31"/>
  <c r="AE70" i="31"/>
  <c r="AT70" i="31" s="1"/>
  <c r="Y70" i="31"/>
  <c r="AQ70" i="31" s="1"/>
  <c r="Q70" i="31"/>
  <c r="U70" i="31" s="1"/>
  <c r="AB70" i="31" s="1"/>
  <c r="N70" i="31"/>
  <c r="L70" i="31"/>
  <c r="AM69" i="31"/>
  <c r="AW69" i="31" s="1"/>
  <c r="AL69" i="31"/>
  <c r="AE69" i="31"/>
  <c r="AT69" i="31" s="1"/>
  <c r="Y69" i="31"/>
  <c r="AQ69" i="31" s="1"/>
  <c r="Q69" i="31"/>
  <c r="U69" i="31" s="1"/>
  <c r="N69" i="31"/>
  <c r="L69" i="31"/>
  <c r="K69" i="31"/>
  <c r="AM68" i="31"/>
  <c r="AW68" i="31" s="1"/>
  <c r="AL68" i="31"/>
  <c r="AE68" i="31"/>
  <c r="AT68" i="31" s="1"/>
  <c r="Y68" i="31"/>
  <c r="AQ68" i="31" s="1"/>
  <c r="Q68" i="31"/>
  <c r="U68" i="31" s="1"/>
  <c r="N68" i="31"/>
  <c r="L68" i="31"/>
  <c r="K68" i="31"/>
  <c r="AM67" i="31"/>
  <c r="AL67" i="31"/>
  <c r="AE67" i="31"/>
  <c r="AT67" i="31" s="1"/>
  <c r="Y67" i="31"/>
  <c r="AQ67" i="31" s="1"/>
  <c r="Q67" i="31"/>
  <c r="N67" i="31"/>
  <c r="L67" i="31"/>
  <c r="K67" i="31"/>
  <c r="AK66" i="31"/>
  <c r="AJ66" i="31"/>
  <c r="AI66" i="31"/>
  <c r="AH66" i="31"/>
  <c r="AG66" i="31"/>
  <c r="AD66" i="31"/>
  <c r="AC66" i="31"/>
  <c r="X66" i="31"/>
  <c r="W66" i="31"/>
  <c r="V66" i="31"/>
  <c r="T66" i="31"/>
  <c r="S66" i="31"/>
  <c r="R66" i="31"/>
  <c r="P66" i="31"/>
  <c r="O66" i="31"/>
  <c r="M66" i="31"/>
  <c r="J66" i="31"/>
  <c r="AM65" i="31"/>
  <c r="AW65" i="31" s="1"/>
  <c r="AL65" i="31"/>
  <c r="AV65" i="31" s="1"/>
  <c r="AE65" i="31"/>
  <c r="AT65" i="31" s="1"/>
  <c r="Y65" i="31"/>
  <c r="AQ65" i="31" s="1"/>
  <c r="Q65" i="31"/>
  <c r="U65" i="31" s="1"/>
  <c r="AB65" i="31" s="1"/>
  <c r="N65" i="31"/>
  <c r="L65" i="31"/>
  <c r="K65" i="31"/>
  <c r="AM64" i="31"/>
  <c r="AW64" i="31" s="1"/>
  <c r="AL64" i="31"/>
  <c r="AE64" i="31"/>
  <c r="Y64" i="31"/>
  <c r="AQ64" i="31" s="1"/>
  <c r="AQ66" i="31" s="1"/>
  <c r="Q64" i="31"/>
  <c r="N64" i="31"/>
  <c r="L64" i="31"/>
  <c r="K64" i="31"/>
  <c r="AK63" i="31"/>
  <c r="AJ63" i="31"/>
  <c r="AI63" i="31"/>
  <c r="AH63" i="31"/>
  <c r="AG63" i="31"/>
  <c r="AD63" i="31"/>
  <c r="AC63" i="31"/>
  <c r="X63" i="31"/>
  <c r="W63" i="31"/>
  <c r="V63" i="31"/>
  <c r="T63" i="31"/>
  <c r="S63" i="31"/>
  <c r="R63" i="31"/>
  <c r="P63" i="31"/>
  <c r="O63" i="31"/>
  <c r="M63" i="31"/>
  <c r="J63" i="31"/>
  <c r="AM62" i="31"/>
  <c r="AL62" i="31"/>
  <c r="AV62" i="31" s="1"/>
  <c r="AE62" i="31"/>
  <c r="AT62" i="31" s="1"/>
  <c r="Y62" i="31"/>
  <c r="AQ62" i="31" s="1"/>
  <c r="Q62" i="31"/>
  <c r="U62" i="31" s="1"/>
  <c r="N62" i="31"/>
  <c r="L62" i="31"/>
  <c r="K62" i="31"/>
  <c r="AM61" i="31"/>
  <c r="AW61" i="31" s="1"/>
  <c r="AL61" i="31"/>
  <c r="AV61" i="31" s="1"/>
  <c r="AE61" i="31"/>
  <c r="Y61" i="31"/>
  <c r="AQ61" i="31" s="1"/>
  <c r="Q61" i="31"/>
  <c r="U61" i="31" s="1"/>
  <c r="N61" i="31"/>
  <c r="I61" i="31"/>
  <c r="AM60" i="31"/>
  <c r="AW60" i="31" s="1"/>
  <c r="AL60" i="31"/>
  <c r="AE60" i="31"/>
  <c r="AT60" i="31" s="1"/>
  <c r="AA60" i="31"/>
  <c r="Y60" i="31"/>
  <c r="AQ60" i="31" s="1"/>
  <c r="Q60" i="31"/>
  <c r="U60" i="31" s="1"/>
  <c r="AB60" i="31" s="1"/>
  <c r="N60" i="31"/>
  <c r="L60" i="31"/>
  <c r="K60" i="31"/>
  <c r="AM59" i="31"/>
  <c r="AW59" i="31" s="1"/>
  <c r="AL59" i="31"/>
  <c r="AE59" i="31"/>
  <c r="AT59" i="31" s="1"/>
  <c r="Y59" i="31"/>
  <c r="AQ59" i="31" s="1"/>
  <c r="Q59" i="31"/>
  <c r="U59" i="31" s="1"/>
  <c r="N59" i="31"/>
  <c r="L59" i="31"/>
  <c r="K59" i="31"/>
  <c r="AM58" i="31"/>
  <c r="AW58" i="31" s="1"/>
  <c r="AL58" i="31"/>
  <c r="AE58" i="31"/>
  <c r="AT58" i="31" s="1"/>
  <c r="Y58" i="31"/>
  <c r="AQ58" i="31" s="1"/>
  <c r="Q58" i="31"/>
  <c r="U58" i="31" s="1"/>
  <c r="AB58" i="31" s="1"/>
  <c r="N58" i="31"/>
  <c r="L58" i="31"/>
  <c r="K58" i="31"/>
  <c r="AM57" i="31"/>
  <c r="AL57" i="31"/>
  <c r="AE57" i="31"/>
  <c r="AT57" i="31" s="1"/>
  <c r="Y57" i="31"/>
  <c r="Q57" i="31"/>
  <c r="U57" i="31" s="1"/>
  <c r="N57" i="31"/>
  <c r="L57" i="31"/>
  <c r="K57" i="31"/>
  <c r="AK56" i="31"/>
  <c r="AJ56" i="31"/>
  <c r="AI56" i="31"/>
  <c r="AH56" i="31"/>
  <c r="AG56" i="31"/>
  <c r="AD56" i="31"/>
  <c r="AC56" i="31"/>
  <c r="X56" i="31"/>
  <c r="W56" i="31"/>
  <c r="V56" i="31"/>
  <c r="T56" i="31"/>
  <c r="S56" i="31"/>
  <c r="R56" i="31"/>
  <c r="P56" i="31"/>
  <c r="O56" i="31"/>
  <c r="M56" i="31"/>
  <c r="J56" i="31"/>
  <c r="AM55" i="31"/>
  <c r="AW55" i="31" s="1"/>
  <c r="AL55" i="31"/>
  <c r="AE55" i="31"/>
  <c r="AT55" i="31" s="1"/>
  <c r="Y55" i="31"/>
  <c r="AQ55" i="31" s="1"/>
  <c r="Q55" i="31"/>
  <c r="U55" i="31" s="1"/>
  <c r="N55" i="31"/>
  <c r="L55" i="31"/>
  <c r="K55" i="31"/>
  <c r="AM54" i="31"/>
  <c r="AL54" i="31"/>
  <c r="AV54" i="31" s="1"/>
  <c r="AE54" i="31"/>
  <c r="AT54" i="31" s="1"/>
  <c r="Y54" i="31"/>
  <c r="AQ54" i="31" s="1"/>
  <c r="Q54" i="31"/>
  <c r="U54" i="31" s="1"/>
  <c r="AB54" i="31" s="1"/>
  <c r="AS54" i="31" s="1"/>
  <c r="N54" i="31"/>
  <c r="I54" i="31"/>
  <c r="AM53" i="31"/>
  <c r="AW53" i="31" s="1"/>
  <c r="AL53" i="31"/>
  <c r="AN53" i="31" s="1"/>
  <c r="AE53" i="31"/>
  <c r="AT53" i="31" s="1"/>
  <c r="Y53" i="31"/>
  <c r="AQ53" i="31" s="1"/>
  <c r="Q53" i="31"/>
  <c r="U53" i="31" s="1"/>
  <c r="AB53" i="31" s="1"/>
  <c r="N53" i="31"/>
  <c r="L53" i="31"/>
  <c r="K53" i="31"/>
  <c r="AM52" i="31"/>
  <c r="AW52" i="31" s="1"/>
  <c r="AL52" i="31"/>
  <c r="AE52" i="31"/>
  <c r="Y52" i="31"/>
  <c r="Q52" i="31"/>
  <c r="U52" i="31" s="1"/>
  <c r="AB52" i="31" s="1"/>
  <c r="N52" i="31"/>
  <c r="L52" i="31"/>
  <c r="K52" i="31"/>
  <c r="AK51" i="31"/>
  <c r="AJ51" i="31"/>
  <c r="AI51" i="31"/>
  <c r="AH51" i="31"/>
  <c r="AG51" i="31"/>
  <c r="AD51" i="31"/>
  <c r="AC51" i="31"/>
  <c r="X51" i="31"/>
  <c r="W51" i="31"/>
  <c r="V51" i="31"/>
  <c r="T51" i="31"/>
  <c r="S51" i="31"/>
  <c r="R51" i="31"/>
  <c r="P51" i="31"/>
  <c r="O51" i="31"/>
  <c r="M51" i="31"/>
  <c r="J51" i="31"/>
  <c r="AM50" i="31"/>
  <c r="AW50" i="31" s="1"/>
  <c r="AL50" i="31"/>
  <c r="AE50" i="31"/>
  <c r="AT50" i="31" s="1"/>
  <c r="Y50" i="31"/>
  <c r="AQ50" i="31" s="1"/>
  <c r="Q50" i="31"/>
  <c r="U50" i="31" s="1"/>
  <c r="AB50" i="31" s="1"/>
  <c r="N50" i="31"/>
  <c r="L50" i="31"/>
  <c r="K50" i="31"/>
  <c r="AM49" i="31"/>
  <c r="AW49" i="31" s="1"/>
  <c r="AL49" i="31"/>
  <c r="AE49" i="31"/>
  <c r="AT49" i="31" s="1"/>
  <c r="Y49" i="31"/>
  <c r="AQ49" i="31" s="1"/>
  <c r="Q49" i="31"/>
  <c r="U49" i="31" s="1"/>
  <c r="N49" i="31"/>
  <c r="L49" i="31"/>
  <c r="K49" i="31"/>
  <c r="AM48" i="31"/>
  <c r="AW48" i="31" s="1"/>
  <c r="AL48" i="31"/>
  <c r="AE48" i="31"/>
  <c r="Y48" i="31"/>
  <c r="AQ48" i="31" s="1"/>
  <c r="Q48" i="31"/>
  <c r="N48" i="31"/>
  <c r="L48" i="31"/>
  <c r="K48" i="31"/>
  <c r="I48" i="31" s="1"/>
  <c r="AK47" i="31"/>
  <c r="AJ47" i="31"/>
  <c r="AI47" i="31"/>
  <c r="AH47" i="31"/>
  <c r="AG47" i="31"/>
  <c r="AD47" i="31"/>
  <c r="AC47" i="31"/>
  <c r="X47" i="31"/>
  <c r="W47" i="31"/>
  <c r="V47" i="31"/>
  <c r="T47" i="31"/>
  <c r="S47" i="31"/>
  <c r="R47" i="31"/>
  <c r="P47" i="31"/>
  <c r="O47" i="31"/>
  <c r="M47" i="31"/>
  <c r="J47" i="31"/>
  <c r="AM46" i="31"/>
  <c r="AW46" i="31" s="1"/>
  <c r="AL46" i="31"/>
  <c r="AV46" i="31" s="1"/>
  <c r="AE46" i="31"/>
  <c r="AT46" i="31" s="1"/>
  <c r="Y46" i="31"/>
  <c r="Q46" i="31"/>
  <c r="U46" i="31" s="1"/>
  <c r="AP46" i="31" s="1"/>
  <c r="N46" i="31"/>
  <c r="L46" i="31"/>
  <c r="K46" i="31"/>
  <c r="AM45" i="31"/>
  <c r="AW45" i="31" s="1"/>
  <c r="AL45" i="31"/>
  <c r="AV45" i="31" s="1"/>
  <c r="AE45" i="31"/>
  <c r="AT45" i="31" s="1"/>
  <c r="Y45" i="31"/>
  <c r="AQ45" i="31" s="1"/>
  <c r="Q45" i="31"/>
  <c r="U45" i="31" s="1"/>
  <c r="N45" i="31"/>
  <c r="L45" i="31"/>
  <c r="I45" i="31" s="1"/>
  <c r="AM44" i="31"/>
  <c r="AW44" i="31" s="1"/>
  <c r="AL44" i="31"/>
  <c r="AE44" i="31"/>
  <c r="AT44" i="31" s="1"/>
  <c r="Y44" i="31"/>
  <c r="AQ44" i="31" s="1"/>
  <c r="Q44" i="31"/>
  <c r="U44" i="31" s="1"/>
  <c r="N44" i="31"/>
  <c r="L44" i="31"/>
  <c r="K44" i="31"/>
  <c r="AM43" i="31"/>
  <c r="AL43" i="31"/>
  <c r="AE43" i="31"/>
  <c r="Y43" i="31"/>
  <c r="Q43" i="31"/>
  <c r="N43" i="31"/>
  <c r="L43" i="31"/>
  <c r="I43" i="31" s="1"/>
  <c r="K43" i="31"/>
  <c r="AK42" i="31"/>
  <c r="AJ42" i="31"/>
  <c r="AI42" i="31"/>
  <c r="AH42" i="31"/>
  <c r="AG42" i="31"/>
  <c r="AD42" i="31"/>
  <c r="AC42" i="31"/>
  <c r="X42" i="31"/>
  <c r="W42" i="31"/>
  <c r="V42" i="31"/>
  <c r="T42" i="31"/>
  <c r="S42" i="31"/>
  <c r="R42" i="31"/>
  <c r="P42" i="31"/>
  <c r="O42" i="31"/>
  <c r="M42" i="31"/>
  <c r="J42" i="31"/>
  <c r="AM41" i="31"/>
  <c r="AW41" i="31" s="1"/>
  <c r="AL41" i="31"/>
  <c r="AE41" i="31"/>
  <c r="Y41" i="31"/>
  <c r="AQ41" i="31" s="1"/>
  <c r="Q41" i="31"/>
  <c r="U41" i="31" s="1"/>
  <c r="AB41" i="31" s="1"/>
  <c r="N41" i="31"/>
  <c r="L41" i="31"/>
  <c r="K41" i="31"/>
  <c r="AM40" i="31"/>
  <c r="AM42" i="31" s="1"/>
  <c r="AL40" i="31"/>
  <c r="AE40" i="31"/>
  <c r="AT40" i="31" s="1"/>
  <c r="Y40" i="31"/>
  <c r="AQ40" i="31" s="1"/>
  <c r="Q40" i="31"/>
  <c r="U40" i="31" s="1"/>
  <c r="N40" i="31"/>
  <c r="L40" i="31"/>
  <c r="K40" i="31"/>
  <c r="AK39" i="31"/>
  <c r="AJ39" i="31"/>
  <c r="AI39" i="31"/>
  <c r="AH39" i="31"/>
  <c r="AG39" i="31"/>
  <c r="AD39" i="31"/>
  <c r="AC39" i="31"/>
  <c r="Y39" i="31"/>
  <c r="X39" i="31"/>
  <c r="W39" i="31"/>
  <c r="V39" i="31"/>
  <c r="T39" i="31"/>
  <c r="S39" i="31"/>
  <c r="R39" i="31"/>
  <c r="P39" i="31"/>
  <c r="O39" i="31"/>
  <c r="M39" i="31"/>
  <c r="J39" i="31"/>
  <c r="AM38" i="31"/>
  <c r="AL38" i="31"/>
  <c r="AL39" i="31" s="1"/>
  <c r="AE38" i="31"/>
  <c r="AE85" i="31" s="1"/>
  <c r="Y38" i="31"/>
  <c r="Y85" i="31" s="1"/>
  <c r="Q38" i="31"/>
  <c r="Q85" i="31" s="1"/>
  <c r="N38" i="31"/>
  <c r="N85" i="31" s="1"/>
  <c r="L38" i="31"/>
  <c r="L85" i="31" s="1"/>
  <c r="K38" i="31"/>
  <c r="AK37" i="31"/>
  <c r="AJ37" i="31"/>
  <c r="AI37" i="31"/>
  <c r="AH37" i="31"/>
  <c r="AG37" i="31"/>
  <c r="AD37" i="31"/>
  <c r="AC37" i="31"/>
  <c r="X37" i="31"/>
  <c r="W37" i="31"/>
  <c r="V37" i="31"/>
  <c r="T37" i="31"/>
  <c r="S37" i="31"/>
  <c r="R37" i="31"/>
  <c r="P37" i="31"/>
  <c r="O37" i="31"/>
  <c r="M37" i="31"/>
  <c r="J37" i="31"/>
  <c r="AT36" i="31"/>
  <c r="AM36" i="31"/>
  <c r="AL36" i="31"/>
  <c r="AV36" i="31" s="1"/>
  <c r="AE36" i="31"/>
  <c r="Y36" i="31"/>
  <c r="AQ36" i="31" s="1"/>
  <c r="Q36" i="31"/>
  <c r="U36" i="31" s="1"/>
  <c r="AA36" i="31" s="1"/>
  <c r="N36" i="31"/>
  <c r="L36" i="31"/>
  <c r="K36" i="31"/>
  <c r="I36" i="31" s="1"/>
  <c r="AM35" i="31"/>
  <c r="AW35" i="31" s="1"/>
  <c r="AL35" i="31"/>
  <c r="AE35" i="31"/>
  <c r="AT35" i="31" s="1"/>
  <c r="Y35" i="31"/>
  <c r="Q35" i="31"/>
  <c r="U35" i="31" s="1"/>
  <c r="AB35" i="31" s="1"/>
  <c r="N35" i="31"/>
  <c r="L35" i="31"/>
  <c r="AM34" i="31"/>
  <c r="AW34" i="31" s="1"/>
  <c r="AL34" i="31"/>
  <c r="AE34" i="31"/>
  <c r="AT34" i="31" s="1"/>
  <c r="Y34" i="31"/>
  <c r="AQ34" i="31" s="1"/>
  <c r="Q34" i="31"/>
  <c r="U34" i="31" s="1"/>
  <c r="AB34" i="31" s="1"/>
  <c r="N34" i="31"/>
  <c r="L34" i="31"/>
  <c r="K34" i="31"/>
  <c r="AM33" i="31"/>
  <c r="AW33" i="31" s="1"/>
  <c r="AL33" i="31"/>
  <c r="AE33" i="31"/>
  <c r="AT33" i="31" s="1"/>
  <c r="Y33" i="31"/>
  <c r="AQ33" i="31" s="1"/>
  <c r="Q33" i="31"/>
  <c r="U33" i="31" s="1"/>
  <c r="AP33" i="31" s="1"/>
  <c r="N33" i="31"/>
  <c r="L33" i="31"/>
  <c r="K33" i="31"/>
  <c r="AM32" i="31"/>
  <c r="AW32" i="31" s="1"/>
  <c r="AL32" i="31"/>
  <c r="AE32" i="31"/>
  <c r="Y32" i="31"/>
  <c r="AQ32" i="31" s="1"/>
  <c r="Q32" i="31"/>
  <c r="N32" i="31"/>
  <c r="L32" i="31"/>
  <c r="K32" i="31"/>
  <c r="AK31" i="31"/>
  <c r="AJ31" i="31"/>
  <c r="AI31" i="31"/>
  <c r="AH31" i="31"/>
  <c r="AG31" i="31"/>
  <c r="AD31" i="31"/>
  <c r="AC31" i="31"/>
  <c r="X31" i="31"/>
  <c r="W31" i="31"/>
  <c r="V31" i="31"/>
  <c r="T31" i="31"/>
  <c r="S31" i="31"/>
  <c r="R31" i="31"/>
  <c r="P31" i="31"/>
  <c r="O31" i="31"/>
  <c r="M31" i="31"/>
  <c r="J31" i="31"/>
  <c r="AM30" i="31"/>
  <c r="AW30" i="31" s="1"/>
  <c r="AL30" i="31"/>
  <c r="AE30" i="31"/>
  <c r="AT30" i="31" s="1"/>
  <c r="Y30" i="31"/>
  <c r="AQ30" i="31" s="1"/>
  <c r="Q30" i="31"/>
  <c r="U30" i="31" s="1"/>
  <c r="AB30" i="31" s="1"/>
  <c r="N30" i="31"/>
  <c r="L30" i="31"/>
  <c r="K30" i="31"/>
  <c r="AM29" i="31"/>
  <c r="AL29" i="31"/>
  <c r="AE29" i="31"/>
  <c r="Y29" i="31"/>
  <c r="Q29" i="31"/>
  <c r="U29" i="31" s="1"/>
  <c r="N29" i="31"/>
  <c r="K29" i="31"/>
  <c r="I29" i="31"/>
  <c r="AM28" i="31"/>
  <c r="AW28" i="31" s="1"/>
  <c r="AL28" i="31"/>
  <c r="AE28" i="31"/>
  <c r="AT28" i="31" s="1"/>
  <c r="Y28" i="31"/>
  <c r="AQ28" i="31" s="1"/>
  <c r="Q28" i="31"/>
  <c r="U28" i="31" s="1"/>
  <c r="AB28" i="31" s="1"/>
  <c r="N28" i="31"/>
  <c r="L28" i="31"/>
  <c r="K28" i="31"/>
  <c r="AM27" i="31"/>
  <c r="AW27" i="31" s="1"/>
  <c r="AI27" i="31"/>
  <c r="AI78" i="31" s="1"/>
  <c r="AE27" i="31"/>
  <c r="Y27" i="31"/>
  <c r="AQ27" i="31" s="1"/>
  <c r="R27" i="31"/>
  <c r="R78" i="31" s="1"/>
  <c r="Q27" i="31"/>
  <c r="U27" i="31" s="1"/>
  <c r="N27" i="31"/>
  <c r="L27" i="31"/>
  <c r="K27" i="31"/>
  <c r="AM26" i="31"/>
  <c r="AW26" i="31" s="1"/>
  <c r="AL26" i="31"/>
  <c r="AV26" i="31" s="1"/>
  <c r="AE26" i="31"/>
  <c r="AT26" i="31" s="1"/>
  <c r="Y26" i="31"/>
  <c r="Q26" i="31"/>
  <c r="U26" i="31" s="1"/>
  <c r="AB26" i="31" s="1"/>
  <c r="N26" i="31"/>
  <c r="L26" i="31"/>
  <c r="K26" i="31"/>
  <c r="AM25" i="31"/>
  <c r="AN25" i="31" s="1"/>
  <c r="AL25" i="31"/>
  <c r="AV25" i="31" s="1"/>
  <c r="AE25" i="31"/>
  <c r="Y25" i="31"/>
  <c r="U25" i="31"/>
  <c r="AB25" i="31" s="1"/>
  <c r="Q25" i="31"/>
  <c r="N25" i="31"/>
  <c r="L25" i="31"/>
  <c r="K25" i="31"/>
  <c r="AK24" i="31"/>
  <c r="AJ24" i="31"/>
  <c r="AI24" i="31"/>
  <c r="AH24" i="31"/>
  <c r="AG24" i="31"/>
  <c r="AD24" i="31"/>
  <c r="AC24" i="31"/>
  <c r="X24" i="31"/>
  <c r="W24" i="31"/>
  <c r="V24" i="31"/>
  <c r="T24" i="31"/>
  <c r="S24" i="31"/>
  <c r="R24" i="31"/>
  <c r="P24" i="31"/>
  <c r="O24" i="31"/>
  <c r="M24" i="31"/>
  <c r="J24" i="31"/>
  <c r="AM23" i="31"/>
  <c r="AM86" i="31" s="1"/>
  <c r="AL23" i="31"/>
  <c r="AE23" i="31"/>
  <c r="Y23" i="31"/>
  <c r="Q23" i="31"/>
  <c r="Q24" i="31" s="1"/>
  <c r="N23" i="31"/>
  <c r="L23" i="31"/>
  <c r="L86" i="31" s="1"/>
  <c r="K23" i="31"/>
  <c r="K86" i="31" s="1"/>
  <c r="AK22" i="31"/>
  <c r="AJ22" i="31"/>
  <c r="AI22" i="31"/>
  <c r="AH22" i="31"/>
  <c r="AG22" i="31"/>
  <c r="AD22" i="31"/>
  <c r="AC22" i="31"/>
  <c r="X22" i="31"/>
  <c r="W22" i="31"/>
  <c r="V22" i="31"/>
  <c r="T22" i="31"/>
  <c r="S22" i="31"/>
  <c r="R22" i="31"/>
  <c r="P22" i="31"/>
  <c r="O22" i="31"/>
  <c r="M22" i="31"/>
  <c r="J22" i="31"/>
  <c r="AM21" i="31"/>
  <c r="AW21" i="31" s="1"/>
  <c r="AL21" i="31"/>
  <c r="AE21" i="31"/>
  <c r="AT21" i="31" s="1"/>
  <c r="Y21" i="31"/>
  <c r="Q21" i="31"/>
  <c r="U21" i="31" s="1"/>
  <c r="AB21" i="31" s="1"/>
  <c r="N21" i="31"/>
  <c r="L21" i="31"/>
  <c r="K21" i="31"/>
  <c r="AM20" i="31"/>
  <c r="AW20" i="31" s="1"/>
  <c r="AL20" i="31"/>
  <c r="AE20" i="31"/>
  <c r="AT20" i="31" s="1"/>
  <c r="Y20" i="31"/>
  <c r="AQ20" i="31" s="1"/>
  <c r="Q20" i="31"/>
  <c r="U20" i="31" s="1"/>
  <c r="AB20" i="31" s="1"/>
  <c r="AS20" i="31" s="1"/>
  <c r="N20" i="31"/>
  <c r="L20" i="31"/>
  <c r="K20" i="31"/>
  <c r="AM19" i="31"/>
  <c r="AW19" i="31" s="1"/>
  <c r="AW22" i="31" s="1"/>
  <c r="AL19" i="31"/>
  <c r="AE19" i="31"/>
  <c r="Y19" i="31"/>
  <c r="AQ19" i="31" s="1"/>
  <c r="Q19" i="31"/>
  <c r="N19" i="31"/>
  <c r="L19" i="31"/>
  <c r="K19" i="31"/>
  <c r="AK18" i="31"/>
  <c r="AJ18" i="31"/>
  <c r="AI18" i="31"/>
  <c r="AH18" i="31"/>
  <c r="AG18" i="31"/>
  <c r="AD18" i="31"/>
  <c r="AC18" i="31"/>
  <c r="X18" i="31"/>
  <c r="W18" i="31"/>
  <c r="V18" i="31"/>
  <c r="T18" i="31"/>
  <c r="S18" i="31"/>
  <c r="R18" i="31"/>
  <c r="P18" i="31"/>
  <c r="O18" i="31"/>
  <c r="M18" i="31"/>
  <c r="J18" i="31"/>
  <c r="AM17" i="31"/>
  <c r="AW17" i="31" s="1"/>
  <c r="AL17" i="31"/>
  <c r="AE17" i="31"/>
  <c r="AT17" i="31" s="1"/>
  <c r="Y17" i="31"/>
  <c r="Q17" i="31"/>
  <c r="U17" i="31" s="1"/>
  <c r="AP17" i="31" s="1"/>
  <c r="N17" i="31"/>
  <c r="L17" i="31"/>
  <c r="K17" i="31"/>
  <c r="AM16" i="31"/>
  <c r="AW16" i="31" s="1"/>
  <c r="AL16" i="31"/>
  <c r="AV16" i="31" s="1"/>
  <c r="AE16" i="31"/>
  <c r="AT16" i="31" s="1"/>
  <c r="Y16" i="31"/>
  <c r="AQ16" i="31" s="1"/>
  <c r="Q16" i="31"/>
  <c r="N16" i="31"/>
  <c r="L16" i="31"/>
  <c r="K16" i="31"/>
  <c r="AK15" i="31"/>
  <c r="AJ15" i="31"/>
  <c r="AI15" i="31"/>
  <c r="AH15" i="31"/>
  <c r="AG15" i="31"/>
  <c r="AD15" i="31"/>
  <c r="AC15" i="31"/>
  <c r="X15" i="31"/>
  <c r="W15" i="31"/>
  <c r="V15" i="31"/>
  <c r="T15" i="31"/>
  <c r="S15" i="31"/>
  <c r="R15" i="31"/>
  <c r="P15" i="31"/>
  <c r="O15" i="31"/>
  <c r="M15" i="31"/>
  <c r="J15" i="31"/>
  <c r="AM14" i="31"/>
  <c r="AL14" i="31"/>
  <c r="AV14" i="31" s="1"/>
  <c r="AE14" i="31"/>
  <c r="Y14" i="31"/>
  <c r="AQ14" i="31" s="1"/>
  <c r="Q14" i="31"/>
  <c r="U14" i="31" s="1"/>
  <c r="N14" i="31"/>
  <c r="L14" i="31"/>
  <c r="K14" i="31"/>
  <c r="AM13" i="31"/>
  <c r="AL13" i="31"/>
  <c r="AV13" i="31" s="1"/>
  <c r="AE13" i="31"/>
  <c r="AT13" i="31" s="1"/>
  <c r="Y13" i="31"/>
  <c r="AQ13" i="31" s="1"/>
  <c r="Q13" i="31"/>
  <c r="U13" i="31" s="1"/>
  <c r="AB13" i="31" s="1"/>
  <c r="N13" i="31"/>
  <c r="L13" i="31"/>
  <c r="K13" i="31"/>
  <c r="AM12" i="31"/>
  <c r="AL12" i="31"/>
  <c r="AV12" i="31" s="1"/>
  <c r="AE12" i="31"/>
  <c r="Y12" i="31"/>
  <c r="AQ12" i="31" s="1"/>
  <c r="Q12" i="31"/>
  <c r="U12" i="31" s="1"/>
  <c r="AB12" i="31" s="1"/>
  <c r="N12" i="31"/>
  <c r="L12" i="31"/>
  <c r="K12" i="31"/>
  <c r="AK112" i="30"/>
  <c r="AJ112" i="30"/>
  <c r="AI112" i="30"/>
  <c r="AH112" i="30"/>
  <c r="AG112" i="30"/>
  <c r="AD112" i="30"/>
  <c r="AC112" i="30"/>
  <c r="X112" i="30"/>
  <c r="W112" i="30"/>
  <c r="V112" i="30"/>
  <c r="T112" i="30"/>
  <c r="S112" i="30"/>
  <c r="R112" i="30"/>
  <c r="P112" i="30"/>
  <c r="O112" i="30"/>
  <c r="M112" i="30"/>
  <c r="J112" i="30"/>
  <c r="AK111" i="30"/>
  <c r="AJ111" i="30"/>
  <c r="AI111" i="30"/>
  <c r="AH111" i="30"/>
  <c r="AG111" i="30"/>
  <c r="AD111" i="30"/>
  <c r="AC111" i="30"/>
  <c r="X111" i="30"/>
  <c r="W111" i="30"/>
  <c r="V111" i="30"/>
  <c r="T111" i="30"/>
  <c r="S111" i="30"/>
  <c r="R111" i="30"/>
  <c r="P111" i="30"/>
  <c r="O111" i="30"/>
  <c r="M111" i="30"/>
  <c r="J111" i="30"/>
  <c r="AK110" i="30"/>
  <c r="AJ110" i="30"/>
  <c r="AI110" i="30"/>
  <c r="AH110" i="30"/>
  <c r="AG110" i="30"/>
  <c r="AD110" i="30"/>
  <c r="AC110" i="30"/>
  <c r="X110" i="30"/>
  <c r="W110" i="30"/>
  <c r="V110" i="30"/>
  <c r="T110" i="30"/>
  <c r="S110" i="30"/>
  <c r="R110" i="30"/>
  <c r="P110" i="30"/>
  <c r="O110" i="30"/>
  <c r="M110" i="30"/>
  <c r="J110" i="30"/>
  <c r="AK109" i="30"/>
  <c r="AJ109" i="30"/>
  <c r="AI109" i="30"/>
  <c r="AH109" i="30"/>
  <c r="AG109" i="30"/>
  <c r="AD109" i="30"/>
  <c r="AC109" i="30"/>
  <c r="X109" i="30"/>
  <c r="W109" i="30"/>
  <c r="V109" i="30"/>
  <c r="T109" i="30"/>
  <c r="S109" i="30"/>
  <c r="R109" i="30"/>
  <c r="P109" i="30"/>
  <c r="O109" i="30"/>
  <c r="M109" i="30"/>
  <c r="J109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AW107" i="30"/>
  <c r="AV107" i="30"/>
  <c r="AU107" i="30"/>
  <c r="AT107" i="30"/>
  <c r="AS107" i="30"/>
  <c r="AR107" i="30"/>
  <c r="AQ107" i="30"/>
  <c r="AP107" i="30"/>
  <c r="AO107" i="30"/>
  <c r="AN107" i="30"/>
  <c r="AM107" i="30"/>
  <c r="AL107" i="30"/>
  <c r="AK107" i="30"/>
  <c r="AJ107" i="30"/>
  <c r="AI107" i="30"/>
  <c r="AH107" i="30"/>
  <c r="AG107" i="30"/>
  <c r="AF107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AK106" i="30"/>
  <c r="AJ106" i="30"/>
  <c r="AH106" i="30"/>
  <c r="AG106" i="30"/>
  <c r="AD106" i="30"/>
  <c r="AC106" i="30"/>
  <c r="X106" i="30"/>
  <c r="W106" i="30"/>
  <c r="V106" i="30"/>
  <c r="T106" i="30"/>
  <c r="S106" i="30"/>
  <c r="P106" i="30"/>
  <c r="O106" i="30"/>
  <c r="M106" i="30"/>
  <c r="J106" i="30"/>
  <c r="AW105" i="30"/>
  <c r="AV105" i="30"/>
  <c r="AU105" i="30"/>
  <c r="AT105" i="30"/>
  <c r="AS105" i="30"/>
  <c r="AR105" i="30"/>
  <c r="AQ105" i="30"/>
  <c r="AP105" i="30"/>
  <c r="AO105" i="30"/>
  <c r="AN105" i="30"/>
  <c r="AM105" i="30"/>
  <c r="AL105" i="30"/>
  <c r="AK105" i="30"/>
  <c r="AJ105" i="30"/>
  <c r="AI105" i="30"/>
  <c r="AH105" i="30"/>
  <c r="AG105" i="30"/>
  <c r="AF105" i="30"/>
  <c r="AE105" i="30"/>
  <c r="AD105" i="30"/>
  <c r="AC105" i="30"/>
  <c r="AB105" i="30"/>
  <c r="AA105" i="30"/>
  <c r="Z105" i="30"/>
  <c r="Y105" i="30"/>
  <c r="X105" i="30"/>
  <c r="W105" i="30"/>
  <c r="V105" i="30"/>
  <c r="U105" i="30"/>
  <c r="T105" i="30"/>
  <c r="S105" i="30"/>
  <c r="R105" i="30"/>
  <c r="Q105" i="30"/>
  <c r="P105" i="30"/>
  <c r="O105" i="30"/>
  <c r="N105" i="30"/>
  <c r="M105" i="30"/>
  <c r="L105" i="30"/>
  <c r="K105" i="30"/>
  <c r="J105" i="30"/>
  <c r="I105" i="30"/>
  <c r="AK104" i="30"/>
  <c r="AJ104" i="30"/>
  <c r="AH104" i="30"/>
  <c r="AG104" i="30"/>
  <c r="AD104" i="30"/>
  <c r="X104" i="30"/>
  <c r="W104" i="30"/>
  <c r="V104" i="30"/>
  <c r="T104" i="30"/>
  <c r="S104" i="30"/>
  <c r="P104" i="30"/>
  <c r="O104" i="30"/>
  <c r="M104" i="30"/>
  <c r="J104" i="30"/>
  <c r="AK103" i="30"/>
  <c r="AJ103" i="30"/>
  <c r="AI103" i="30"/>
  <c r="AH103" i="30"/>
  <c r="AG103" i="30"/>
  <c r="AD103" i="30"/>
  <c r="AC103" i="30"/>
  <c r="X103" i="30"/>
  <c r="W103" i="30"/>
  <c r="V103" i="30"/>
  <c r="T103" i="30"/>
  <c r="S103" i="30"/>
  <c r="R103" i="30"/>
  <c r="P103" i="30"/>
  <c r="O103" i="30"/>
  <c r="M103" i="30"/>
  <c r="J103" i="30"/>
  <c r="AK98" i="30"/>
  <c r="AJ98" i="30"/>
  <c r="AI98" i="30"/>
  <c r="AH98" i="30"/>
  <c r="AG98" i="30"/>
  <c r="AD98" i="30"/>
  <c r="AC98" i="30"/>
  <c r="X98" i="30"/>
  <c r="W98" i="30"/>
  <c r="V98" i="30"/>
  <c r="T98" i="30"/>
  <c r="S98" i="30"/>
  <c r="R98" i="30"/>
  <c r="P98" i="30"/>
  <c r="O98" i="30"/>
  <c r="M98" i="30"/>
  <c r="J98" i="30"/>
  <c r="AM97" i="30"/>
  <c r="AW97" i="30" s="1"/>
  <c r="AL97" i="30"/>
  <c r="AV97" i="30" s="1"/>
  <c r="AE97" i="30"/>
  <c r="AT97" i="30" s="1"/>
  <c r="Y97" i="30"/>
  <c r="AQ97" i="30" s="1"/>
  <c r="Q97" i="30"/>
  <c r="U97" i="30" s="1"/>
  <c r="AB97" i="30" s="1"/>
  <c r="N97" i="30"/>
  <c r="L97" i="30"/>
  <c r="K97" i="30"/>
  <c r="AM96" i="30"/>
  <c r="AW96" i="30" s="1"/>
  <c r="AL96" i="30"/>
  <c r="AE96" i="30"/>
  <c r="AT96" i="30" s="1"/>
  <c r="Y96" i="30"/>
  <c r="AQ96" i="30" s="1"/>
  <c r="Q96" i="30"/>
  <c r="U96" i="30" s="1"/>
  <c r="N96" i="30"/>
  <c r="I96" i="30"/>
  <c r="AM95" i="30"/>
  <c r="AW95" i="30" s="1"/>
  <c r="AL95" i="30"/>
  <c r="AV95" i="30" s="1"/>
  <c r="AE95" i="30"/>
  <c r="AT95" i="30" s="1"/>
  <c r="Y95" i="30"/>
  <c r="AQ95" i="30" s="1"/>
  <c r="Q95" i="30"/>
  <c r="U95" i="30" s="1"/>
  <c r="AP95" i="30" s="1"/>
  <c r="N95" i="30"/>
  <c r="L95" i="30"/>
  <c r="K95" i="30"/>
  <c r="AM94" i="30"/>
  <c r="AW94" i="30" s="1"/>
  <c r="AL94" i="30"/>
  <c r="AE94" i="30"/>
  <c r="AT94" i="30" s="1"/>
  <c r="Y94" i="30"/>
  <c r="AQ94" i="30" s="1"/>
  <c r="Q94" i="30"/>
  <c r="U94" i="30" s="1"/>
  <c r="N94" i="30"/>
  <c r="L94" i="30"/>
  <c r="K94" i="30"/>
  <c r="I94" i="30" s="1"/>
  <c r="AM93" i="30"/>
  <c r="AW93" i="30" s="1"/>
  <c r="AL93" i="30"/>
  <c r="AE93" i="30"/>
  <c r="AT93" i="30" s="1"/>
  <c r="Y93" i="30"/>
  <c r="AQ93" i="30" s="1"/>
  <c r="Q93" i="30"/>
  <c r="U93" i="30" s="1"/>
  <c r="AP93" i="30" s="1"/>
  <c r="N93" i="30"/>
  <c r="L93" i="30"/>
  <c r="K93" i="30"/>
  <c r="I93" i="30" s="1"/>
  <c r="AM92" i="30"/>
  <c r="AL92" i="30"/>
  <c r="AE92" i="30"/>
  <c r="Y92" i="30"/>
  <c r="Q92" i="30"/>
  <c r="N92" i="30"/>
  <c r="L92" i="30"/>
  <c r="K92" i="30"/>
  <c r="AK91" i="30"/>
  <c r="AJ91" i="30"/>
  <c r="AH91" i="30"/>
  <c r="AG91" i="30"/>
  <c r="AD91" i="30"/>
  <c r="X91" i="30"/>
  <c r="W91" i="30"/>
  <c r="V91" i="30"/>
  <c r="T91" i="30"/>
  <c r="S91" i="30"/>
  <c r="R91" i="30"/>
  <c r="P91" i="30"/>
  <c r="O91" i="30"/>
  <c r="M91" i="30"/>
  <c r="J91" i="30"/>
  <c r="AV90" i="30"/>
  <c r="AM90" i="30"/>
  <c r="AL90" i="30"/>
  <c r="AE90" i="30"/>
  <c r="AT90" i="30" s="1"/>
  <c r="Y90" i="30"/>
  <c r="AQ90" i="30" s="1"/>
  <c r="Q90" i="30"/>
  <c r="U90" i="30" s="1"/>
  <c r="N90" i="30"/>
  <c r="L90" i="30"/>
  <c r="K90" i="30"/>
  <c r="AM89" i="30"/>
  <c r="AL89" i="30"/>
  <c r="AV89" i="30" s="1"/>
  <c r="AE89" i="30"/>
  <c r="AT89" i="30" s="1"/>
  <c r="Y89" i="30"/>
  <c r="AQ89" i="30" s="1"/>
  <c r="Q89" i="30"/>
  <c r="U89" i="30" s="1"/>
  <c r="N89" i="30"/>
  <c r="I89" i="30"/>
  <c r="AM88" i="30"/>
  <c r="AW88" i="30" s="1"/>
  <c r="AL88" i="30"/>
  <c r="AV88" i="30" s="1"/>
  <c r="AE88" i="30"/>
  <c r="AT88" i="30" s="1"/>
  <c r="Y88" i="30"/>
  <c r="AQ88" i="30" s="1"/>
  <c r="Q88" i="30"/>
  <c r="U88" i="30" s="1"/>
  <c r="N88" i="30"/>
  <c r="L88" i="30"/>
  <c r="K88" i="30"/>
  <c r="AM87" i="30"/>
  <c r="AW87" i="30" s="1"/>
  <c r="AI87" i="30"/>
  <c r="AE87" i="30"/>
  <c r="AT87" i="30" s="1"/>
  <c r="AC87" i="30"/>
  <c r="AC91" i="30" s="1"/>
  <c r="Y87" i="30"/>
  <c r="AQ87" i="30" s="1"/>
  <c r="R87" i="30"/>
  <c r="Q87" i="30"/>
  <c r="U87" i="30" s="1"/>
  <c r="AB87" i="30" s="1"/>
  <c r="N87" i="30"/>
  <c r="L87" i="30"/>
  <c r="K87" i="30"/>
  <c r="AM86" i="30"/>
  <c r="AW86" i="30" s="1"/>
  <c r="AL86" i="30"/>
  <c r="AE86" i="30"/>
  <c r="AT86" i="30" s="1"/>
  <c r="Y86" i="30"/>
  <c r="AQ86" i="30" s="1"/>
  <c r="Q86" i="30"/>
  <c r="U86" i="30" s="1"/>
  <c r="N86" i="30"/>
  <c r="L86" i="30"/>
  <c r="I86" i="30" s="1"/>
  <c r="K86" i="30"/>
  <c r="AM85" i="30"/>
  <c r="AW85" i="30" s="1"/>
  <c r="AL85" i="30"/>
  <c r="AE85" i="30"/>
  <c r="Y85" i="30"/>
  <c r="Q85" i="30"/>
  <c r="N85" i="30"/>
  <c r="L85" i="30"/>
  <c r="K85" i="30"/>
  <c r="AK84" i="30"/>
  <c r="AJ84" i="30"/>
  <c r="AI84" i="30"/>
  <c r="AH84" i="30"/>
  <c r="AG84" i="30"/>
  <c r="AD84" i="30"/>
  <c r="AC84" i="30"/>
  <c r="X84" i="30"/>
  <c r="W84" i="30"/>
  <c r="V84" i="30"/>
  <c r="T84" i="30"/>
  <c r="S84" i="30"/>
  <c r="R84" i="30"/>
  <c r="P84" i="30"/>
  <c r="O84" i="30"/>
  <c r="M84" i="30"/>
  <c r="J84" i="30"/>
  <c r="AM83" i="30"/>
  <c r="AW83" i="30" s="1"/>
  <c r="AL83" i="30"/>
  <c r="AE83" i="30"/>
  <c r="AT83" i="30" s="1"/>
  <c r="Y83" i="30"/>
  <c r="AQ83" i="30" s="1"/>
  <c r="Q83" i="30"/>
  <c r="U83" i="30" s="1"/>
  <c r="AB83" i="30" s="1"/>
  <c r="N83" i="30"/>
  <c r="L83" i="30"/>
  <c r="K83" i="30"/>
  <c r="AM82" i="30"/>
  <c r="AW82" i="30" s="1"/>
  <c r="AL82" i="30"/>
  <c r="AE82" i="30"/>
  <c r="AT82" i="30" s="1"/>
  <c r="Y82" i="30"/>
  <c r="AQ82" i="30" s="1"/>
  <c r="Q82" i="30"/>
  <c r="U82" i="30" s="1"/>
  <c r="N82" i="30"/>
  <c r="L82" i="30"/>
  <c r="K82" i="30"/>
  <c r="I82" i="30" s="1"/>
  <c r="AM81" i="30"/>
  <c r="AW81" i="30" s="1"/>
  <c r="AL81" i="30"/>
  <c r="AE81" i="30"/>
  <c r="Y81" i="30"/>
  <c r="Q81" i="30"/>
  <c r="N81" i="30"/>
  <c r="L81" i="30"/>
  <c r="K81" i="30"/>
  <c r="I81" i="30" s="1"/>
  <c r="AK80" i="30"/>
  <c r="AJ80" i="30"/>
  <c r="AI80" i="30"/>
  <c r="AH80" i="30"/>
  <c r="AG80" i="30"/>
  <c r="AD80" i="30"/>
  <c r="AC80" i="30"/>
  <c r="X80" i="30"/>
  <c r="W80" i="30"/>
  <c r="V80" i="30"/>
  <c r="T80" i="30"/>
  <c r="S80" i="30"/>
  <c r="R80" i="30"/>
  <c r="P80" i="30"/>
  <c r="O80" i="30"/>
  <c r="M80" i="30"/>
  <c r="J80" i="30"/>
  <c r="AM79" i="30"/>
  <c r="AW79" i="30" s="1"/>
  <c r="AL79" i="30"/>
  <c r="AE79" i="30"/>
  <c r="AT79" i="30" s="1"/>
  <c r="Y79" i="30"/>
  <c r="AQ79" i="30" s="1"/>
  <c r="Q79" i="30"/>
  <c r="U79" i="30" s="1"/>
  <c r="N79" i="30"/>
  <c r="L79" i="30"/>
  <c r="K79" i="30"/>
  <c r="AM78" i="30"/>
  <c r="AW78" i="30" s="1"/>
  <c r="AL78" i="30"/>
  <c r="AE78" i="30"/>
  <c r="AT78" i="30" s="1"/>
  <c r="Y78" i="30"/>
  <c r="AQ78" i="30" s="1"/>
  <c r="Q78" i="30"/>
  <c r="U78" i="30" s="1"/>
  <c r="N78" i="30"/>
  <c r="L78" i="30"/>
  <c r="K78" i="30"/>
  <c r="AM77" i="30"/>
  <c r="AW77" i="30" s="1"/>
  <c r="AL77" i="30"/>
  <c r="AE77" i="30"/>
  <c r="AT77" i="30" s="1"/>
  <c r="Y77" i="30"/>
  <c r="AQ77" i="30" s="1"/>
  <c r="Q77" i="30"/>
  <c r="U77" i="30" s="1"/>
  <c r="N77" i="30"/>
  <c r="L77" i="30"/>
  <c r="K77" i="30"/>
  <c r="AM76" i="30"/>
  <c r="AW76" i="30" s="1"/>
  <c r="AL76" i="30"/>
  <c r="AE76" i="30"/>
  <c r="AT76" i="30" s="1"/>
  <c r="Y76" i="30"/>
  <c r="Q76" i="30"/>
  <c r="U76" i="30" s="1"/>
  <c r="N76" i="30"/>
  <c r="L76" i="30"/>
  <c r="K76" i="30"/>
  <c r="AM75" i="30"/>
  <c r="AL75" i="30"/>
  <c r="AE75" i="30"/>
  <c r="Y75" i="30"/>
  <c r="AQ75" i="30" s="1"/>
  <c r="Q75" i="30"/>
  <c r="U75" i="30" s="1"/>
  <c r="N75" i="30"/>
  <c r="L75" i="30"/>
  <c r="K75" i="30"/>
  <c r="AK74" i="30"/>
  <c r="AJ74" i="30"/>
  <c r="AI74" i="30"/>
  <c r="AH74" i="30"/>
  <c r="AG74" i="30"/>
  <c r="AD74" i="30"/>
  <c r="AC74" i="30"/>
  <c r="X74" i="30"/>
  <c r="W74" i="30"/>
  <c r="V74" i="30"/>
  <c r="T74" i="30"/>
  <c r="S74" i="30"/>
  <c r="R74" i="30"/>
  <c r="P74" i="30"/>
  <c r="O74" i="30"/>
  <c r="M74" i="30"/>
  <c r="J74" i="30"/>
  <c r="AM73" i="30"/>
  <c r="AW73" i="30" s="1"/>
  <c r="AL73" i="30"/>
  <c r="AE73" i="30"/>
  <c r="AT73" i="30" s="1"/>
  <c r="Y73" i="30"/>
  <c r="AQ73" i="30" s="1"/>
  <c r="Q73" i="30"/>
  <c r="U73" i="30" s="1"/>
  <c r="N73" i="30"/>
  <c r="N74" i="30" s="1"/>
  <c r="L73" i="30"/>
  <c r="K73" i="30"/>
  <c r="I73" i="30" s="1"/>
  <c r="AM72" i="30"/>
  <c r="AW72" i="30" s="1"/>
  <c r="AL72" i="30"/>
  <c r="AV72" i="30" s="1"/>
  <c r="AE72" i="30"/>
  <c r="Y72" i="30"/>
  <c r="Q72" i="30"/>
  <c r="U72" i="30" s="1"/>
  <c r="AB72" i="30" s="1"/>
  <c r="N72" i="30"/>
  <c r="L72" i="30"/>
  <c r="K72" i="30"/>
  <c r="AK71" i="30"/>
  <c r="AJ71" i="30"/>
  <c r="AI71" i="30"/>
  <c r="AH71" i="30"/>
  <c r="AG71" i="30"/>
  <c r="AD71" i="30"/>
  <c r="AC71" i="30"/>
  <c r="X71" i="30"/>
  <c r="W71" i="30"/>
  <c r="V71" i="30"/>
  <c r="T71" i="30"/>
  <c r="S71" i="30"/>
  <c r="R71" i="30"/>
  <c r="P71" i="30"/>
  <c r="O71" i="30"/>
  <c r="M71" i="30"/>
  <c r="J71" i="30"/>
  <c r="AM70" i="30"/>
  <c r="AW70" i="30" s="1"/>
  <c r="AL70" i="30"/>
  <c r="AV70" i="30" s="1"/>
  <c r="AE70" i="30"/>
  <c r="AT70" i="30" s="1"/>
  <c r="Y70" i="30"/>
  <c r="Q70" i="30"/>
  <c r="U70" i="30" s="1"/>
  <c r="AB70" i="30" s="1"/>
  <c r="N70" i="30"/>
  <c r="L70" i="30"/>
  <c r="K70" i="30"/>
  <c r="AM69" i="30"/>
  <c r="AW69" i="30" s="1"/>
  <c r="AL69" i="30"/>
  <c r="AE69" i="30"/>
  <c r="AT69" i="30" s="1"/>
  <c r="Y69" i="30"/>
  <c r="AQ69" i="30" s="1"/>
  <c r="Q69" i="30"/>
  <c r="U69" i="30" s="1"/>
  <c r="N69" i="30"/>
  <c r="I69" i="30"/>
  <c r="AM68" i="30"/>
  <c r="AW68" i="30" s="1"/>
  <c r="AL68" i="30"/>
  <c r="AE68" i="30"/>
  <c r="AT68" i="30" s="1"/>
  <c r="Y68" i="30"/>
  <c r="AQ68" i="30" s="1"/>
  <c r="Q68" i="30"/>
  <c r="U68" i="30" s="1"/>
  <c r="N68" i="30"/>
  <c r="L68" i="30"/>
  <c r="K68" i="30"/>
  <c r="AM67" i="30"/>
  <c r="AW67" i="30" s="1"/>
  <c r="AL67" i="30"/>
  <c r="AE67" i="30"/>
  <c r="AT67" i="30" s="1"/>
  <c r="Y67" i="30"/>
  <c r="AQ67" i="30" s="1"/>
  <c r="Q67" i="30"/>
  <c r="U67" i="30" s="1"/>
  <c r="N67" i="30"/>
  <c r="L67" i="30"/>
  <c r="K67" i="30"/>
  <c r="AM66" i="30"/>
  <c r="AW66" i="30" s="1"/>
  <c r="AL66" i="30"/>
  <c r="AE66" i="30"/>
  <c r="Y66" i="30"/>
  <c r="AQ66" i="30" s="1"/>
  <c r="Q66" i="30"/>
  <c r="U66" i="30" s="1"/>
  <c r="N66" i="30"/>
  <c r="L66" i="30"/>
  <c r="K66" i="30"/>
  <c r="AK65" i="30"/>
  <c r="AJ65" i="30"/>
  <c r="AI65" i="30"/>
  <c r="AH65" i="30"/>
  <c r="AG65" i="30"/>
  <c r="AD65" i="30"/>
  <c r="AC65" i="30"/>
  <c r="X65" i="30"/>
  <c r="W65" i="30"/>
  <c r="V65" i="30"/>
  <c r="T65" i="30"/>
  <c r="S65" i="30"/>
  <c r="R65" i="30"/>
  <c r="P65" i="30"/>
  <c r="O65" i="30"/>
  <c r="M65" i="30"/>
  <c r="J65" i="30"/>
  <c r="AM64" i="30"/>
  <c r="AW64" i="30" s="1"/>
  <c r="AL64" i="30"/>
  <c r="AE64" i="30"/>
  <c r="AT64" i="30" s="1"/>
  <c r="Y64" i="30"/>
  <c r="AQ64" i="30" s="1"/>
  <c r="Q64" i="30"/>
  <c r="U64" i="30" s="1"/>
  <c r="N64" i="30"/>
  <c r="L64" i="30"/>
  <c r="K64" i="30"/>
  <c r="AM63" i="30"/>
  <c r="AW63" i="30" s="1"/>
  <c r="AL63" i="30"/>
  <c r="AV63" i="30" s="1"/>
  <c r="AE63" i="30"/>
  <c r="Y63" i="30"/>
  <c r="AQ63" i="30" s="1"/>
  <c r="Q63" i="30"/>
  <c r="U63" i="30" s="1"/>
  <c r="AB63" i="30" s="1"/>
  <c r="N63" i="30"/>
  <c r="L63" i="30"/>
  <c r="K63" i="30"/>
  <c r="AM62" i="30"/>
  <c r="AW62" i="30" s="1"/>
  <c r="AL62" i="30"/>
  <c r="AE62" i="30"/>
  <c r="AT62" i="30" s="1"/>
  <c r="Y62" i="30"/>
  <c r="Q62" i="30"/>
  <c r="U62" i="30" s="1"/>
  <c r="AB62" i="30" s="1"/>
  <c r="N62" i="30"/>
  <c r="L62" i="30"/>
  <c r="K62" i="30"/>
  <c r="AK61" i="30"/>
  <c r="AJ61" i="30"/>
  <c r="AH61" i="30"/>
  <c r="AG61" i="30"/>
  <c r="AD61" i="30"/>
  <c r="AC61" i="30"/>
  <c r="X61" i="30"/>
  <c r="W61" i="30"/>
  <c r="V61" i="30"/>
  <c r="T61" i="30"/>
  <c r="S61" i="30"/>
  <c r="P61" i="30"/>
  <c r="O61" i="30"/>
  <c r="M61" i="30"/>
  <c r="J61" i="30"/>
  <c r="AM60" i="30"/>
  <c r="AW60" i="30" s="1"/>
  <c r="AL60" i="30"/>
  <c r="AV60" i="30" s="1"/>
  <c r="AE60" i="30"/>
  <c r="AT60" i="30" s="1"/>
  <c r="Y60" i="30"/>
  <c r="AQ60" i="30" s="1"/>
  <c r="Q60" i="30"/>
  <c r="U60" i="30" s="1"/>
  <c r="N60" i="30"/>
  <c r="L60" i="30"/>
  <c r="K60" i="30"/>
  <c r="AM59" i="30"/>
  <c r="AW59" i="30" s="1"/>
  <c r="AL59" i="30"/>
  <c r="AV59" i="30" s="1"/>
  <c r="AE59" i="30"/>
  <c r="AT59" i="30" s="1"/>
  <c r="Y59" i="30"/>
  <c r="AQ59" i="30" s="1"/>
  <c r="Q59" i="30"/>
  <c r="U59" i="30" s="1"/>
  <c r="AB59" i="30" s="1"/>
  <c r="N59" i="30"/>
  <c r="L59" i="30"/>
  <c r="K59" i="30"/>
  <c r="I59" i="30" s="1"/>
  <c r="AM58" i="30"/>
  <c r="AW58" i="30" s="1"/>
  <c r="AL58" i="30"/>
  <c r="AE58" i="30"/>
  <c r="AT58" i="30" s="1"/>
  <c r="Y58" i="30"/>
  <c r="Q58" i="30"/>
  <c r="U58" i="30" s="1"/>
  <c r="AB58" i="30" s="1"/>
  <c r="N58" i="30"/>
  <c r="L58" i="30"/>
  <c r="K58" i="30"/>
  <c r="AM57" i="30"/>
  <c r="AW57" i="30" s="1"/>
  <c r="AI57" i="30"/>
  <c r="AI61" i="30" s="1"/>
  <c r="AE57" i="30"/>
  <c r="AT57" i="30" s="1"/>
  <c r="Y57" i="30"/>
  <c r="AQ57" i="30" s="1"/>
  <c r="R57" i="30"/>
  <c r="Q57" i="30"/>
  <c r="U57" i="30" s="1"/>
  <c r="AA57" i="30" s="1"/>
  <c r="N57" i="30"/>
  <c r="L57" i="30"/>
  <c r="K57" i="30"/>
  <c r="AM56" i="30"/>
  <c r="AW56" i="30" s="1"/>
  <c r="AL56" i="30"/>
  <c r="AE56" i="30"/>
  <c r="AT56" i="30" s="1"/>
  <c r="Y56" i="30"/>
  <c r="AQ56" i="30" s="1"/>
  <c r="Q56" i="30"/>
  <c r="U56" i="30" s="1"/>
  <c r="N56" i="30"/>
  <c r="L56" i="30"/>
  <c r="K56" i="30"/>
  <c r="AM55" i="30"/>
  <c r="AW55" i="30" s="1"/>
  <c r="AL55" i="30"/>
  <c r="AE55" i="30"/>
  <c r="AT55" i="30" s="1"/>
  <c r="Y55" i="30"/>
  <c r="AQ55" i="30" s="1"/>
  <c r="Q55" i="30"/>
  <c r="U55" i="30" s="1"/>
  <c r="N55" i="30"/>
  <c r="L55" i="30"/>
  <c r="K55" i="30"/>
  <c r="AK54" i="30"/>
  <c r="AJ54" i="30"/>
  <c r="AI54" i="30"/>
  <c r="AH54" i="30"/>
  <c r="AG54" i="30"/>
  <c r="AD54" i="30"/>
  <c r="AC54" i="30"/>
  <c r="X54" i="30"/>
  <c r="W54" i="30"/>
  <c r="V54" i="30"/>
  <c r="T54" i="30"/>
  <c r="S54" i="30"/>
  <c r="R54" i="30"/>
  <c r="P54" i="30"/>
  <c r="O54" i="30"/>
  <c r="M54" i="30"/>
  <c r="J54" i="30"/>
  <c r="AM53" i="30"/>
  <c r="AW53" i="30" s="1"/>
  <c r="AL53" i="30"/>
  <c r="AV53" i="30" s="1"/>
  <c r="AE53" i="30"/>
  <c r="AT53" i="30" s="1"/>
  <c r="Y53" i="30"/>
  <c r="AQ53" i="30" s="1"/>
  <c r="Q53" i="30"/>
  <c r="U53" i="30" s="1"/>
  <c r="AB53" i="30" s="1"/>
  <c r="N53" i="30"/>
  <c r="L53" i="30"/>
  <c r="K53" i="30"/>
  <c r="AM52" i="30"/>
  <c r="AW52" i="30" s="1"/>
  <c r="AL52" i="30"/>
  <c r="AV52" i="30" s="1"/>
  <c r="AE52" i="30"/>
  <c r="AT52" i="30" s="1"/>
  <c r="Y52" i="30"/>
  <c r="AQ52" i="30" s="1"/>
  <c r="U52" i="30"/>
  <c r="AB52" i="30" s="1"/>
  <c r="AS52" i="30" s="1"/>
  <c r="Q52" i="30"/>
  <c r="N52" i="30"/>
  <c r="K52" i="30"/>
  <c r="I52" i="30" s="1"/>
  <c r="AM51" i="30"/>
  <c r="AW51" i="30" s="1"/>
  <c r="AL51" i="30"/>
  <c r="AE51" i="30"/>
  <c r="AT51" i="30" s="1"/>
  <c r="Y51" i="30"/>
  <c r="AQ51" i="30" s="1"/>
  <c r="Q51" i="30"/>
  <c r="N51" i="30"/>
  <c r="L51" i="30"/>
  <c r="K51" i="30"/>
  <c r="AM50" i="30"/>
  <c r="AL50" i="30"/>
  <c r="AI50" i="30"/>
  <c r="AE50" i="30"/>
  <c r="AT50" i="30" s="1"/>
  <c r="Y50" i="30"/>
  <c r="AQ50" i="30" s="1"/>
  <c r="R50" i="30"/>
  <c r="Q50" i="30"/>
  <c r="U50" i="30" s="1"/>
  <c r="N50" i="30"/>
  <c r="L50" i="30"/>
  <c r="K50" i="30"/>
  <c r="AM49" i="30"/>
  <c r="AL49" i="30"/>
  <c r="AV49" i="30" s="1"/>
  <c r="AE49" i="30"/>
  <c r="AT49" i="30" s="1"/>
  <c r="Y49" i="30"/>
  <c r="Q49" i="30"/>
  <c r="U49" i="30" s="1"/>
  <c r="AB49" i="30" s="1"/>
  <c r="N49" i="30"/>
  <c r="L49" i="30"/>
  <c r="K49" i="30"/>
  <c r="AK48" i="30"/>
  <c r="AJ48" i="30"/>
  <c r="AI48" i="30"/>
  <c r="AH48" i="30"/>
  <c r="AG48" i="30"/>
  <c r="AD48" i="30"/>
  <c r="AC48" i="30"/>
  <c r="X48" i="30"/>
  <c r="W48" i="30"/>
  <c r="V48" i="30"/>
  <c r="T48" i="30"/>
  <c r="S48" i="30"/>
  <c r="R48" i="30"/>
  <c r="P48" i="30"/>
  <c r="O48" i="30"/>
  <c r="M48" i="30"/>
  <c r="J48" i="30"/>
  <c r="AM47" i="30"/>
  <c r="AW47" i="30" s="1"/>
  <c r="AL47" i="30"/>
  <c r="AE47" i="30"/>
  <c r="AT47" i="30" s="1"/>
  <c r="Y47" i="30"/>
  <c r="AQ47" i="30" s="1"/>
  <c r="Q47" i="30"/>
  <c r="U47" i="30" s="1"/>
  <c r="AB47" i="30" s="1"/>
  <c r="N47" i="30"/>
  <c r="L47" i="30"/>
  <c r="K47" i="30"/>
  <c r="AM46" i="30"/>
  <c r="AW46" i="30" s="1"/>
  <c r="AL46" i="30"/>
  <c r="AE46" i="30"/>
  <c r="AT46" i="30" s="1"/>
  <c r="Y46" i="30"/>
  <c r="AQ46" i="30" s="1"/>
  <c r="Q46" i="30"/>
  <c r="N46" i="30"/>
  <c r="L46" i="30"/>
  <c r="K46" i="30"/>
  <c r="AM45" i="30"/>
  <c r="AL45" i="30"/>
  <c r="AE45" i="30"/>
  <c r="Y45" i="30"/>
  <c r="Q45" i="30"/>
  <c r="U45" i="30" s="1"/>
  <c r="AB45" i="30" s="1"/>
  <c r="N45" i="30"/>
  <c r="L45" i="30"/>
  <c r="K45" i="30"/>
  <c r="AK44" i="30"/>
  <c r="AJ44" i="30"/>
  <c r="AI44" i="30"/>
  <c r="AH44" i="30"/>
  <c r="AG44" i="30"/>
  <c r="AD44" i="30"/>
  <c r="AC44" i="30"/>
  <c r="X44" i="30"/>
  <c r="W44" i="30"/>
  <c r="V44" i="30"/>
  <c r="T44" i="30"/>
  <c r="S44" i="30"/>
  <c r="R44" i="30"/>
  <c r="P44" i="30"/>
  <c r="O44" i="30"/>
  <c r="M44" i="30"/>
  <c r="J44" i="30"/>
  <c r="AM43" i="30"/>
  <c r="AW43" i="30" s="1"/>
  <c r="AL43" i="30"/>
  <c r="AE43" i="30"/>
  <c r="AT43" i="30" s="1"/>
  <c r="Y43" i="30"/>
  <c r="AQ43" i="30" s="1"/>
  <c r="Q43" i="30"/>
  <c r="U43" i="30" s="1"/>
  <c r="AB43" i="30" s="1"/>
  <c r="N43" i="30"/>
  <c r="L43" i="30"/>
  <c r="K43" i="30"/>
  <c r="AM42" i="30"/>
  <c r="AW42" i="30" s="1"/>
  <c r="AL42" i="30"/>
  <c r="AE42" i="30"/>
  <c r="AT42" i="30" s="1"/>
  <c r="Y42" i="30"/>
  <c r="AQ42" i="30" s="1"/>
  <c r="Q42" i="30"/>
  <c r="U42" i="30" s="1"/>
  <c r="N42" i="30"/>
  <c r="L42" i="30"/>
  <c r="K42" i="30"/>
  <c r="AM41" i="30"/>
  <c r="AW41" i="30" s="1"/>
  <c r="AL41" i="30"/>
  <c r="AE41" i="30"/>
  <c r="AT41" i="30" s="1"/>
  <c r="Y41" i="30"/>
  <c r="AQ41" i="30" s="1"/>
  <c r="Q41" i="30"/>
  <c r="U41" i="30" s="1"/>
  <c r="AB41" i="30" s="1"/>
  <c r="N41" i="30"/>
  <c r="L41" i="30"/>
  <c r="K41" i="30"/>
  <c r="AM40" i="30"/>
  <c r="AW40" i="30" s="1"/>
  <c r="AL40" i="30"/>
  <c r="AE40" i="30"/>
  <c r="AT40" i="30" s="1"/>
  <c r="Y40" i="30"/>
  <c r="AQ40" i="30" s="1"/>
  <c r="Q40" i="30"/>
  <c r="U40" i="30" s="1"/>
  <c r="AA40" i="30" s="1"/>
  <c r="N40" i="30"/>
  <c r="L40" i="30"/>
  <c r="I40" i="30" s="1"/>
  <c r="K40" i="30"/>
  <c r="AM39" i="30"/>
  <c r="AW39" i="30" s="1"/>
  <c r="AL39" i="30"/>
  <c r="AE39" i="30"/>
  <c r="AT39" i="30" s="1"/>
  <c r="Y39" i="30"/>
  <c r="AQ39" i="30" s="1"/>
  <c r="Q39" i="30"/>
  <c r="U39" i="30" s="1"/>
  <c r="N39" i="30"/>
  <c r="L39" i="30"/>
  <c r="K39" i="30"/>
  <c r="AW38" i="30"/>
  <c r="AM38" i="30"/>
  <c r="AL38" i="30"/>
  <c r="AE38" i="30"/>
  <c r="AT38" i="30" s="1"/>
  <c r="Y38" i="30"/>
  <c r="Y44" i="30" s="1"/>
  <c r="Q38" i="30"/>
  <c r="N38" i="30"/>
  <c r="L38" i="30"/>
  <c r="K38" i="30"/>
  <c r="AK37" i="30"/>
  <c r="AJ37" i="30"/>
  <c r="AI37" i="30"/>
  <c r="AH37" i="30"/>
  <c r="AG37" i="30"/>
  <c r="AD37" i="30"/>
  <c r="AC37" i="30"/>
  <c r="X37" i="30"/>
  <c r="W37" i="30"/>
  <c r="V37" i="30"/>
  <c r="T37" i="30"/>
  <c r="S37" i="30"/>
  <c r="R37" i="30"/>
  <c r="P37" i="30"/>
  <c r="O37" i="30"/>
  <c r="M37" i="30"/>
  <c r="J37" i="30"/>
  <c r="AM36" i="30"/>
  <c r="AW36" i="30" s="1"/>
  <c r="AL36" i="30"/>
  <c r="AE36" i="30"/>
  <c r="AT36" i="30" s="1"/>
  <c r="Y36" i="30"/>
  <c r="AQ36" i="30" s="1"/>
  <c r="Q36" i="30"/>
  <c r="U36" i="30" s="1"/>
  <c r="N36" i="30"/>
  <c r="L36" i="30"/>
  <c r="K36" i="30"/>
  <c r="AM35" i="30"/>
  <c r="AL35" i="30"/>
  <c r="AV35" i="30" s="1"/>
  <c r="AE35" i="30"/>
  <c r="AT35" i="30" s="1"/>
  <c r="Y35" i="30"/>
  <c r="AQ35" i="30" s="1"/>
  <c r="Q35" i="30"/>
  <c r="U35" i="30" s="1"/>
  <c r="N35" i="30"/>
  <c r="I35" i="30"/>
  <c r="AM34" i="30"/>
  <c r="AW34" i="30" s="1"/>
  <c r="AL34" i="30"/>
  <c r="AN34" i="30" s="1"/>
  <c r="AE34" i="30"/>
  <c r="AT34" i="30" s="1"/>
  <c r="Y34" i="30"/>
  <c r="Q34" i="30"/>
  <c r="U34" i="30" s="1"/>
  <c r="N34" i="30"/>
  <c r="L34" i="30"/>
  <c r="K34" i="30"/>
  <c r="AM33" i="30"/>
  <c r="AW33" i="30" s="1"/>
  <c r="AL33" i="30"/>
  <c r="AE33" i="30"/>
  <c r="AT33" i="30" s="1"/>
  <c r="Y33" i="30"/>
  <c r="Q33" i="30"/>
  <c r="U33" i="30" s="1"/>
  <c r="N33" i="30"/>
  <c r="L33" i="30"/>
  <c r="K33" i="30"/>
  <c r="AM32" i="30"/>
  <c r="AW32" i="30" s="1"/>
  <c r="AL32" i="30"/>
  <c r="AE32" i="30"/>
  <c r="Y32" i="30"/>
  <c r="Q32" i="30"/>
  <c r="N32" i="30"/>
  <c r="L32" i="30"/>
  <c r="K32" i="30"/>
  <c r="AM31" i="30"/>
  <c r="AW31" i="30" s="1"/>
  <c r="AL31" i="30"/>
  <c r="AE31" i="30"/>
  <c r="Y31" i="30"/>
  <c r="Q31" i="30"/>
  <c r="U31" i="30" s="1"/>
  <c r="AB31" i="30" s="1"/>
  <c r="N31" i="30"/>
  <c r="L31" i="30"/>
  <c r="K31" i="30"/>
  <c r="AK30" i="30"/>
  <c r="AJ30" i="30"/>
  <c r="AI30" i="30"/>
  <c r="AH30" i="30"/>
  <c r="AG30" i="30"/>
  <c r="AD30" i="30"/>
  <c r="AC30" i="30"/>
  <c r="X30" i="30"/>
  <c r="W30" i="30"/>
  <c r="V30" i="30"/>
  <c r="T30" i="30"/>
  <c r="S30" i="30"/>
  <c r="R30" i="30"/>
  <c r="P30" i="30"/>
  <c r="O30" i="30"/>
  <c r="M30" i="30"/>
  <c r="J30" i="30"/>
  <c r="AM29" i="30"/>
  <c r="AL29" i="30"/>
  <c r="AL30" i="30" s="1"/>
  <c r="AE29" i="30"/>
  <c r="AE111" i="30" s="1"/>
  <c r="Y29" i="30"/>
  <c r="Y111" i="30" s="1"/>
  <c r="Q29" i="30"/>
  <c r="N29" i="30"/>
  <c r="N111" i="30" s="1"/>
  <c r="L29" i="30"/>
  <c r="L111" i="30" s="1"/>
  <c r="K29" i="30"/>
  <c r="AK28" i="30"/>
  <c r="AJ28" i="30"/>
  <c r="AI28" i="30"/>
  <c r="AH28" i="30"/>
  <c r="AG28" i="30"/>
  <c r="AD28" i="30"/>
  <c r="AC28" i="30"/>
  <c r="X28" i="30"/>
  <c r="W28" i="30"/>
  <c r="V28" i="30"/>
  <c r="T28" i="30"/>
  <c r="S28" i="30"/>
  <c r="R28" i="30"/>
  <c r="P28" i="30"/>
  <c r="O28" i="30"/>
  <c r="M28" i="30"/>
  <c r="J28" i="30"/>
  <c r="AM27" i="30"/>
  <c r="AL27" i="30"/>
  <c r="AV27" i="30" s="1"/>
  <c r="AE27" i="30"/>
  <c r="AT27" i="30" s="1"/>
  <c r="Y27" i="30"/>
  <c r="AQ27" i="30" s="1"/>
  <c r="Q27" i="30"/>
  <c r="U27" i="30" s="1"/>
  <c r="AA27" i="30" s="1"/>
  <c r="N27" i="30"/>
  <c r="L27" i="30"/>
  <c r="K27" i="30"/>
  <c r="AM26" i="30"/>
  <c r="AW26" i="30" s="1"/>
  <c r="AL26" i="30"/>
  <c r="AE26" i="30"/>
  <c r="AT26" i="30" s="1"/>
  <c r="Y26" i="30"/>
  <c r="Q26" i="30"/>
  <c r="U26" i="30" s="1"/>
  <c r="N26" i="30"/>
  <c r="L26" i="30"/>
  <c r="AM25" i="30"/>
  <c r="AW25" i="30" s="1"/>
  <c r="AL25" i="30"/>
  <c r="AE25" i="30"/>
  <c r="AT25" i="30" s="1"/>
  <c r="Y25" i="30"/>
  <c r="AQ25" i="30" s="1"/>
  <c r="Q25" i="30"/>
  <c r="U25" i="30" s="1"/>
  <c r="N25" i="30"/>
  <c r="L25" i="30"/>
  <c r="K25" i="30"/>
  <c r="AM24" i="30"/>
  <c r="AL24" i="30"/>
  <c r="AE24" i="30"/>
  <c r="AT24" i="30" s="1"/>
  <c r="Y24" i="30"/>
  <c r="AQ24" i="30" s="1"/>
  <c r="Q24" i="30"/>
  <c r="N24" i="30"/>
  <c r="L24" i="30"/>
  <c r="K24" i="30"/>
  <c r="AK23" i="30"/>
  <c r="AJ23" i="30"/>
  <c r="AH23" i="30"/>
  <c r="AG23" i="30"/>
  <c r="AD23" i="30"/>
  <c r="AC23" i="30"/>
  <c r="X23" i="30"/>
  <c r="W23" i="30"/>
  <c r="V23" i="30"/>
  <c r="T23" i="30"/>
  <c r="S23" i="30"/>
  <c r="P23" i="30"/>
  <c r="O23" i="30"/>
  <c r="M23" i="30"/>
  <c r="J23" i="30"/>
  <c r="AM22" i="30"/>
  <c r="AW22" i="30" s="1"/>
  <c r="AL22" i="30"/>
  <c r="AE22" i="30"/>
  <c r="AT22" i="30" s="1"/>
  <c r="Y22" i="30"/>
  <c r="AQ22" i="30" s="1"/>
  <c r="Q22" i="30"/>
  <c r="U22" i="30" s="1"/>
  <c r="N22" i="30"/>
  <c r="L22" i="30"/>
  <c r="K22" i="30"/>
  <c r="AM21" i="30"/>
  <c r="AW21" i="30" s="1"/>
  <c r="AL21" i="30"/>
  <c r="AE21" i="30"/>
  <c r="AT21" i="30" s="1"/>
  <c r="Y21" i="30"/>
  <c r="AQ21" i="30" s="1"/>
  <c r="Q21" i="30"/>
  <c r="U21" i="30" s="1"/>
  <c r="N21" i="30"/>
  <c r="L21" i="30"/>
  <c r="K21" i="30"/>
  <c r="AM20" i="30"/>
  <c r="AL20" i="30"/>
  <c r="AE20" i="30"/>
  <c r="AT20" i="30" s="1"/>
  <c r="Y20" i="30"/>
  <c r="AQ20" i="30" s="1"/>
  <c r="Q20" i="30"/>
  <c r="N20" i="30"/>
  <c r="L20" i="30"/>
  <c r="K20" i="30"/>
  <c r="AM19" i="30"/>
  <c r="AW19" i="30" s="1"/>
  <c r="AL19" i="30"/>
  <c r="AI19" i="30"/>
  <c r="AI104" i="30" s="1"/>
  <c r="AC19" i="30"/>
  <c r="Y19" i="30"/>
  <c r="AQ19" i="30" s="1"/>
  <c r="R19" i="30"/>
  <c r="R104" i="30" s="1"/>
  <c r="Q19" i="30"/>
  <c r="N19" i="30"/>
  <c r="L19" i="30"/>
  <c r="K19" i="30"/>
  <c r="AM18" i="30"/>
  <c r="AW18" i="30" s="1"/>
  <c r="AL18" i="30"/>
  <c r="AV18" i="30" s="1"/>
  <c r="AE18" i="30"/>
  <c r="Y18" i="30"/>
  <c r="AQ18" i="30" s="1"/>
  <c r="Q18" i="30"/>
  <c r="U18" i="30" s="1"/>
  <c r="N18" i="30"/>
  <c r="L18" i="30"/>
  <c r="K18" i="30"/>
  <c r="I18" i="30" s="1"/>
  <c r="AK17" i="30"/>
  <c r="AJ17" i="30"/>
  <c r="AI17" i="30"/>
  <c r="AH17" i="30"/>
  <c r="AG17" i="30"/>
  <c r="AD17" i="30"/>
  <c r="AC17" i="30"/>
  <c r="X17" i="30"/>
  <c r="W17" i="30"/>
  <c r="V17" i="30"/>
  <c r="T17" i="30"/>
  <c r="S17" i="30"/>
  <c r="R17" i="30"/>
  <c r="P17" i="30"/>
  <c r="O17" i="30"/>
  <c r="M17" i="30"/>
  <c r="J17" i="30"/>
  <c r="AM16" i="30"/>
  <c r="AM112" i="30" s="1"/>
  <c r="AL16" i="30"/>
  <c r="AE16" i="30"/>
  <c r="AE112" i="30" s="1"/>
  <c r="Y16" i="30"/>
  <c r="Q16" i="30"/>
  <c r="Q17" i="30" s="1"/>
  <c r="N16" i="30"/>
  <c r="L16" i="30"/>
  <c r="L112" i="30" s="1"/>
  <c r="K16" i="30"/>
  <c r="AK15" i="30"/>
  <c r="AJ15" i="30"/>
  <c r="AI15" i="30"/>
  <c r="AH15" i="30"/>
  <c r="AG15" i="30"/>
  <c r="AD15" i="30"/>
  <c r="AC15" i="30"/>
  <c r="X15" i="30"/>
  <c r="W15" i="30"/>
  <c r="V15" i="30"/>
  <c r="T15" i="30"/>
  <c r="S15" i="30"/>
  <c r="R15" i="30"/>
  <c r="P15" i="30"/>
  <c r="O15" i="30"/>
  <c r="M15" i="30"/>
  <c r="J15" i="30"/>
  <c r="AM14" i="30"/>
  <c r="AL14" i="30"/>
  <c r="AE14" i="30"/>
  <c r="Y14" i="30"/>
  <c r="AQ14" i="30" s="1"/>
  <c r="Q14" i="30"/>
  <c r="N14" i="30"/>
  <c r="L14" i="30"/>
  <c r="K14" i="30"/>
  <c r="AM13" i="30"/>
  <c r="AW13" i="30" s="1"/>
  <c r="AL13" i="30"/>
  <c r="AV13" i="30" s="1"/>
  <c r="AE13" i="30"/>
  <c r="AT13" i="30" s="1"/>
  <c r="Y13" i="30"/>
  <c r="AQ13" i="30" s="1"/>
  <c r="Q13" i="30"/>
  <c r="U13" i="30" s="1"/>
  <c r="AB13" i="30" s="1"/>
  <c r="N13" i="30"/>
  <c r="L13" i="30"/>
  <c r="K13" i="30"/>
  <c r="AM12" i="30"/>
  <c r="AL12" i="30"/>
  <c r="AE12" i="30"/>
  <c r="Y12" i="30"/>
  <c r="AQ12" i="30" s="1"/>
  <c r="Q12" i="30"/>
  <c r="U12" i="30" s="1"/>
  <c r="N12" i="30"/>
  <c r="L12" i="30"/>
  <c r="K12" i="30"/>
  <c r="AK197" i="29"/>
  <c r="AJ197" i="29"/>
  <c r="AI197" i="29"/>
  <c r="AH197" i="29"/>
  <c r="AG197" i="29"/>
  <c r="AD197" i="29"/>
  <c r="AC197" i="29"/>
  <c r="X197" i="29"/>
  <c r="W197" i="29"/>
  <c r="V197" i="29"/>
  <c r="T197" i="29"/>
  <c r="S197" i="29"/>
  <c r="R197" i="29"/>
  <c r="P197" i="29"/>
  <c r="O197" i="29"/>
  <c r="M197" i="29"/>
  <c r="J197" i="29"/>
  <c r="AK196" i="29"/>
  <c r="AJ196" i="29"/>
  <c r="AI196" i="29"/>
  <c r="AH196" i="29"/>
  <c r="AG196" i="29"/>
  <c r="AD196" i="29"/>
  <c r="AC196" i="29"/>
  <c r="X196" i="29"/>
  <c r="W196" i="29"/>
  <c r="V196" i="29"/>
  <c r="T196" i="29"/>
  <c r="S196" i="29"/>
  <c r="R196" i="29"/>
  <c r="P196" i="29"/>
  <c r="O196" i="29"/>
  <c r="M196" i="29"/>
  <c r="J196" i="29"/>
  <c r="AK195" i="29"/>
  <c r="AJ195" i="29"/>
  <c r="AI195" i="29"/>
  <c r="AH195" i="29"/>
  <c r="AG195" i="29"/>
  <c r="AD195" i="29"/>
  <c r="AC195" i="29"/>
  <c r="X195" i="29"/>
  <c r="W195" i="29"/>
  <c r="V195" i="29"/>
  <c r="T195" i="29"/>
  <c r="S195" i="29"/>
  <c r="R195" i="29"/>
  <c r="P195" i="29"/>
  <c r="O195" i="29"/>
  <c r="M195" i="29"/>
  <c r="J195" i="29"/>
  <c r="AK194" i="29"/>
  <c r="AJ194" i="29"/>
  <c r="AI194" i="29"/>
  <c r="AH194" i="29"/>
  <c r="AG194" i="29"/>
  <c r="AD194" i="29"/>
  <c r="AC194" i="29"/>
  <c r="X194" i="29"/>
  <c r="W194" i="29"/>
  <c r="V194" i="29"/>
  <c r="T194" i="29"/>
  <c r="S194" i="29"/>
  <c r="R194" i="29"/>
  <c r="P194" i="29"/>
  <c r="O194" i="29"/>
  <c r="M194" i="29"/>
  <c r="J194" i="29"/>
  <c r="AW193" i="29"/>
  <c r="AV193" i="29"/>
  <c r="AU193" i="29"/>
  <c r="AT193" i="29"/>
  <c r="AS193" i="29"/>
  <c r="AR193" i="29"/>
  <c r="AQ193" i="29"/>
  <c r="AP193" i="29"/>
  <c r="AO193" i="29"/>
  <c r="AN193" i="29"/>
  <c r="AM193" i="29"/>
  <c r="AL193" i="29"/>
  <c r="AK193" i="29"/>
  <c r="AJ193" i="29"/>
  <c r="AI193" i="29"/>
  <c r="AH193" i="29"/>
  <c r="AG193" i="29"/>
  <c r="AF193" i="29"/>
  <c r="AE193" i="29"/>
  <c r="AD193" i="29"/>
  <c r="AC193" i="29"/>
  <c r="AB193" i="29"/>
  <c r="AA193" i="29"/>
  <c r="Z193" i="29"/>
  <c r="Y193" i="29"/>
  <c r="X193" i="29"/>
  <c r="W193" i="29"/>
  <c r="V193" i="29"/>
  <c r="U193" i="29"/>
  <c r="T193" i="29"/>
  <c r="S193" i="29"/>
  <c r="R193" i="29"/>
  <c r="Q193" i="29"/>
  <c r="P193" i="29"/>
  <c r="O193" i="29"/>
  <c r="N193" i="29"/>
  <c r="M193" i="29"/>
  <c r="L193" i="29"/>
  <c r="K193" i="29"/>
  <c r="J193" i="29"/>
  <c r="I193" i="29"/>
  <c r="AW192" i="29"/>
  <c r="AV192" i="29"/>
  <c r="AU192" i="29"/>
  <c r="AT192" i="29"/>
  <c r="AS192" i="29"/>
  <c r="AR192" i="29"/>
  <c r="AQ192" i="29"/>
  <c r="AP192" i="29"/>
  <c r="AO192" i="29"/>
  <c r="AN192" i="29"/>
  <c r="AM192" i="29"/>
  <c r="AL192" i="29"/>
  <c r="AK192" i="29"/>
  <c r="AJ192" i="29"/>
  <c r="AI192" i="29"/>
  <c r="AH192" i="29"/>
  <c r="AG192" i="29"/>
  <c r="AF192" i="29"/>
  <c r="AE192" i="29"/>
  <c r="AD192" i="29"/>
  <c r="AC192" i="29"/>
  <c r="AB192" i="29"/>
  <c r="AA192" i="29"/>
  <c r="Z192" i="29"/>
  <c r="Y192" i="29"/>
  <c r="X192" i="29"/>
  <c r="W192" i="29"/>
  <c r="V192" i="29"/>
  <c r="U192" i="29"/>
  <c r="T192" i="29"/>
  <c r="S192" i="29"/>
  <c r="R192" i="29"/>
  <c r="Q192" i="29"/>
  <c r="P192" i="29"/>
  <c r="O192" i="29"/>
  <c r="N192" i="29"/>
  <c r="M192" i="29"/>
  <c r="L192" i="29"/>
  <c r="K192" i="29"/>
  <c r="J192" i="29"/>
  <c r="I192" i="29"/>
  <c r="AK191" i="29"/>
  <c r="AJ191" i="29"/>
  <c r="AH191" i="29"/>
  <c r="AG191" i="29"/>
  <c r="AD191" i="29"/>
  <c r="AC191" i="29"/>
  <c r="X191" i="29"/>
  <c r="W191" i="29"/>
  <c r="V191" i="29"/>
  <c r="T191" i="29"/>
  <c r="S191" i="29"/>
  <c r="P191" i="29"/>
  <c r="O191" i="29"/>
  <c r="M191" i="29"/>
  <c r="J191" i="29"/>
  <c r="AW190" i="29"/>
  <c r="AV190" i="29"/>
  <c r="AU190" i="29"/>
  <c r="AT190" i="29"/>
  <c r="AS190" i="29"/>
  <c r="AR190" i="29"/>
  <c r="AQ190" i="29"/>
  <c r="AP190" i="29"/>
  <c r="AO190" i="29"/>
  <c r="AN190" i="29"/>
  <c r="AM190" i="29"/>
  <c r="AL190" i="29"/>
  <c r="AK190" i="29"/>
  <c r="AJ190" i="29"/>
  <c r="AI190" i="29"/>
  <c r="AH190" i="29"/>
  <c r="AG190" i="29"/>
  <c r="AF190" i="29"/>
  <c r="AE190" i="29"/>
  <c r="AD190" i="29"/>
  <c r="AC190" i="29"/>
  <c r="AB190" i="29"/>
  <c r="AA190" i="29"/>
  <c r="Z190" i="29"/>
  <c r="Y190" i="29"/>
  <c r="X190" i="29"/>
  <c r="W190" i="29"/>
  <c r="V190" i="29"/>
  <c r="U190" i="29"/>
  <c r="T190" i="29"/>
  <c r="S190" i="29"/>
  <c r="R190" i="29"/>
  <c r="Q190" i="29"/>
  <c r="P190" i="29"/>
  <c r="O190" i="29"/>
  <c r="N190" i="29"/>
  <c r="M190" i="29"/>
  <c r="L190" i="29"/>
  <c r="K190" i="29"/>
  <c r="J190" i="29"/>
  <c r="I190" i="29"/>
  <c r="AK189" i="29"/>
  <c r="AH189" i="29"/>
  <c r="AG189" i="29"/>
  <c r="AD189" i="29"/>
  <c r="X189" i="29"/>
  <c r="W189" i="29"/>
  <c r="V189" i="29"/>
  <c r="S189" i="29"/>
  <c r="P189" i="29"/>
  <c r="O189" i="29"/>
  <c r="M189" i="29"/>
  <c r="J189" i="29"/>
  <c r="AK188" i="29"/>
  <c r="AJ188" i="29"/>
  <c r="AI188" i="29"/>
  <c r="AH188" i="29"/>
  <c r="AG188" i="29"/>
  <c r="AD188" i="29"/>
  <c r="AC188" i="29"/>
  <c r="X188" i="29"/>
  <c r="W188" i="29"/>
  <c r="V188" i="29"/>
  <c r="T188" i="29"/>
  <c r="S188" i="29"/>
  <c r="P188" i="29"/>
  <c r="O188" i="29"/>
  <c r="M188" i="29"/>
  <c r="J188" i="29"/>
  <c r="AK183" i="29"/>
  <c r="AJ183" i="29"/>
  <c r="AH183" i="29"/>
  <c r="AG183" i="29"/>
  <c r="AD183" i="29"/>
  <c r="X183" i="29"/>
  <c r="W183" i="29"/>
  <c r="V183" i="29"/>
  <c r="T183" i="29"/>
  <c r="S183" i="29"/>
  <c r="P183" i="29"/>
  <c r="O183" i="29"/>
  <c r="M183" i="29"/>
  <c r="J183" i="29"/>
  <c r="AM182" i="29"/>
  <c r="AW182" i="29" s="1"/>
  <c r="AL182" i="29"/>
  <c r="AV182" i="29" s="1"/>
  <c r="AE182" i="29"/>
  <c r="AT182" i="29" s="1"/>
  <c r="Y182" i="29"/>
  <c r="AQ182" i="29" s="1"/>
  <c r="Q182" i="29"/>
  <c r="U182" i="29" s="1"/>
  <c r="AB182" i="29" s="1"/>
  <c r="N182" i="29"/>
  <c r="L182" i="29"/>
  <c r="K182" i="29"/>
  <c r="I182" i="29" s="1"/>
  <c r="AM181" i="29"/>
  <c r="AW181" i="29" s="1"/>
  <c r="AL181" i="29"/>
  <c r="AE181" i="29"/>
  <c r="AT181" i="29" s="1"/>
  <c r="Y181" i="29"/>
  <c r="AQ181" i="29" s="1"/>
  <c r="Q181" i="29"/>
  <c r="U181" i="29" s="1"/>
  <c r="AB181" i="29" s="1"/>
  <c r="AS181" i="29" s="1"/>
  <c r="N181" i="29"/>
  <c r="K181" i="29"/>
  <c r="I181" i="29" s="1"/>
  <c r="AM180" i="29"/>
  <c r="AW180" i="29" s="1"/>
  <c r="AL180" i="29"/>
  <c r="AE180" i="29"/>
  <c r="AT180" i="29" s="1"/>
  <c r="Y180" i="29"/>
  <c r="Q180" i="29"/>
  <c r="U180" i="29" s="1"/>
  <c r="AB180" i="29" s="1"/>
  <c r="N180" i="29"/>
  <c r="L180" i="29"/>
  <c r="K180" i="29"/>
  <c r="AM179" i="29"/>
  <c r="AW179" i="29" s="1"/>
  <c r="AL179" i="29"/>
  <c r="AI179" i="29"/>
  <c r="AI183" i="29" s="1"/>
  <c r="AC179" i="29"/>
  <c r="Y179" i="29"/>
  <c r="AQ179" i="29" s="1"/>
  <c r="R179" i="29"/>
  <c r="R183" i="29" s="1"/>
  <c r="Q179" i="29"/>
  <c r="U179" i="29" s="1"/>
  <c r="AB179" i="29" s="1"/>
  <c r="N179" i="29"/>
  <c r="L179" i="29"/>
  <c r="K179" i="29"/>
  <c r="AM178" i="29"/>
  <c r="AW178" i="29" s="1"/>
  <c r="AL178" i="29"/>
  <c r="AE178" i="29"/>
  <c r="AT178" i="29" s="1"/>
  <c r="Y178" i="29"/>
  <c r="AQ178" i="29" s="1"/>
  <c r="Q178" i="29"/>
  <c r="U178" i="29" s="1"/>
  <c r="N178" i="29"/>
  <c r="L178" i="29"/>
  <c r="K178" i="29"/>
  <c r="AM177" i="29"/>
  <c r="AW177" i="29" s="1"/>
  <c r="AL177" i="29"/>
  <c r="AV177" i="29" s="1"/>
  <c r="AE177" i="29"/>
  <c r="AT177" i="29" s="1"/>
  <c r="Y177" i="29"/>
  <c r="Q177" i="29"/>
  <c r="N177" i="29"/>
  <c r="L177" i="29"/>
  <c r="K177" i="29"/>
  <c r="AK176" i="29"/>
  <c r="AJ176" i="29"/>
  <c r="AI176" i="29"/>
  <c r="AH176" i="29"/>
  <c r="AG176" i="29"/>
  <c r="AD176" i="29"/>
  <c r="AC176" i="29"/>
  <c r="X176" i="29"/>
  <c r="W176" i="29"/>
  <c r="V176" i="29"/>
  <c r="T176" i="29"/>
  <c r="S176" i="29"/>
  <c r="R176" i="29"/>
  <c r="P176" i="29"/>
  <c r="O176" i="29"/>
  <c r="M176" i="29"/>
  <c r="J176" i="29"/>
  <c r="AM175" i="29"/>
  <c r="AW175" i="29" s="1"/>
  <c r="AL175" i="29"/>
  <c r="AE175" i="29"/>
  <c r="AT175" i="29" s="1"/>
  <c r="Y175" i="29"/>
  <c r="AQ175" i="29" s="1"/>
  <c r="Q175" i="29"/>
  <c r="U175" i="29" s="1"/>
  <c r="N175" i="29"/>
  <c r="L175" i="29"/>
  <c r="K175" i="29"/>
  <c r="AM174" i="29"/>
  <c r="AW174" i="29" s="1"/>
  <c r="AL174" i="29"/>
  <c r="AE174" i="29"/>
  <c r="AT174" i="29" s="1"/>
  <c r="Y174" i="29"/>
  <c r="AQ174" i="29" s="1"/>
  <c r="Q174" i="29"/>
  <c r="U174" i="29" s="1"/>
  <c r="AA174" i="29" s="1"/>
  <c r="N174" i="29"/>
  <c r="K174" i="29"/>
  <c r="AM173" i="29"/>
  <c r="AW173" i="29" s="1"/>
  <c r="AL173" i="29"/>
  <c r="AV173" i="29" s="1"/>
  <c r="AE173" i="29"/>
  <c r="AT173" i="29" s="1"/>
  <c r="Y173" i="29"/>
  <c r="AQ173" i="29" s="1"/>
  <c r="Q173" i="29"/>
  <c r="U173" i="29" s="1"/>
  <c r="N173" i="29"/>
  <c r="L173" i="29"/>
  <c r="K173" i="29"/>
  <c r="AM172" i="29"/>
  <c r="AW172" i="29" s="1"/>
  <c r="AL172" i="29"/>
  <c r="AV172" i="29" s="1"/>
  <c r="AE172" i="29"/>
  <c r="AT172" i="29" s="1"/>
  <c r="Y172" i="29"/>
  <c r="AQ172" i="29" s="1"/>
  <c r="Q172" i="29"/>
  <c r="U172" i="29" s="1"/>
  <c r="Z172" i="29" s="1"/>
  <c r="N172" i="29"/>
  <c r="L172" i="29"/>
  <c r="K172" i="29"/>
  <c r="AM171" i="29"/>
  <c r="AL171" i="29"/>
  <c r="AE171" i="29"/>
  <c r="Y171" i="29"/>
  <c r="AQ171" i="29" s="1"/>
  <c r="Q171" i="29"/>
  <c r="U171" i="29" s="1"/>
  <c r="N171" i="29"/>
  <c r="L171" i="29"/>
  <c r="K171" i="29"/>
  <c r="AK170" i="29"/>
  <c r="AJ170" i="29"/>
  <c r="AI170" i="29"/>
  <c r="AH170" i="29"/>
  <c r="AG170" i="29"/>
  <c r="AD170" i="29"/>
  <c r="AC170" i="29"/>
  <c r="X170" i="29"/>
  <c r="W170" i="29"/>
  <c r="V170" i="29"/>
  <c r="T170" i="29"/>
  <c r="S170" i="29"/>
  <c r="R170" i="29"/>
  <c r="P170" i="29"/>
  <c r="O170" i="29"/>
  <c r="M170" i="29"/>
  <c r="J170" i="29"/>
  <c r="AM169" i="29"/>
  <c r="AL169" i="29"/>
  <c r="AV169" i="29" s="1"/>
  <c r="AE169" i="29"/>
  <c r="AT169" i="29" s="1"/>
  <c r="Y169" i="29"/>
  <c r="AQ169" i="29" s="1"/>
  <c r="Q169" i="29"/>
  <c r="U169" i="29" s="1"/>
  <c r="N169" i="29"/>
  <c r="L169" i="29"/>
  <c r="K169" i="29"/>
  <c r="AM168" i="29"/>
  <c r="AW168" i="29" s="1"/>
  <c r="AL168" i="29"/>
  <c r="AE168" i="29"/>
  <c r="Y168" i="29"/>
  <c r="Q168" i="29"/>
  <c r="Q170" i="29" s="1"/>
  <c r="N168" i="29"/>
  <c r="L168" i="29"/>
  <c r="K168" i="29"/>
  <c r="AK167" i="29"/>
  <c r="AJ167" i="29"/>
  <c r="AH167" i="29"/>
  <c r="AG167" i="29"/>
  <c r="AD167" i="29"/>
  <c r="AC167" i="29"/>
  <c r="X167" i="29"/>
  <c r="W167" i="29"/>
  <c r="V167" i="29"/>
  <c r="T167" i="29"/>
  <c r="S167" i="29"/>
  <c r="P167" i="29"/>
  <c r="O167" i="29"/>
  <c r="M167" i="29"/>
  <c r="J167" i="29"/>
  <c r="AM166" i="29"/>
  <c r="AW166" i="29" s="1"/>
  <c r="AL166" i="29"/>
  <c r="AE166" i="29"/>
  <c r="AT166" i="29" s="1"/>
  <c r="Y166" i="29"/>
  <c r="AQ166" i="29" s="1"/>
  <c r="Q166" i="29"/>
  <c r="U166" i="29" s="1"/>
  <c r="N166" i="29"/>
  <c r="L166" i="29"/>
  <c r="K166" i="29"/>
  <c r="AM165" i="29"/>
  <c r="AW165" i="29" s="1"/>
  <c r="AL165" i="29"/>
  <c r="AE165" i="29"/>
  <c r="AT165" i="29" s="1"/>
  <c r="Y165" i="29"/>
  <c r="AQ165" i="29" s="1"/>
  <c r="Q165" i="29"/>
  <c r="U165" i="29" s="1"/>
  <c r="AB165" i="29" s="1"/>
  <c r="N165" i="29"/>
  <c r="L165" i="29"/>
  <c r="I165" i="29" s="1"/>
  <c r="AM164" i="29"/>
  <c r="AL164" i="29"/>
  <c r="AV164" i="29" s="1"/>
  <c r="AE164" i="29"/>
  <c r="AT164" i="29" s="1"/>
  <c r="Y164" i="29"/>
  <c r="Q164" i="29"/>
  <c r="U164" i="29" s="1"/>
  <c r="AB164" i="29" s="1"/>
  <c r="N164" i="29"/>
  <c r="L164" i="29"/>
  <c r="K164" i="29"/>
  <c r="AM163" i="29"/>
  <c r="AW163" i="29" s="1"/>
  <c r="AI163" i="29"/>
  <c r="AE163" i="29"/>
  <c r="AT163" i="29" s="1"/>
  <c r="Y163" i="29"/>
  <c r="AQ163" i="29" s="1"/>
  <c r="R163" i="29"/>
  <c r="Q163" i="29"/>
  <c r="N163" i="29"/>
  <c r="L163" i="29"/>
  <c r="K163" i="29"/>
  <c r="AM162" i="29"/>
  <c r="AL162" i="29"/>
  <c r="AE162" i="29"/>
  <c r="AT162" i="29" s="1"/>
  <c r="Y162" i="29"/>
  <c r="Q162" i="29"/>
  <c r="N162" i="29"/>
  <c r="L162" i="29"/>
  <c r="K162" i="29"/>
  <c r="AM161" i="29"/>
  <c r="AL161" i="29"/>
  <c r="AE161" i="29"/>
  <c r="Y161" i="29"/>
  <c r="AQ161" i="29" s="1"/>
  <c r="Q161" i="29"/>
  <c r="N161" i="29"/>
  <c r="L161" i="29"/>
  <c r="K161" i="29"/>
  <c r="AK160" i="29"/>
  <c r="AJ160" i="29"/>
  <c r="AI160" i="29"/>
  <c r="AH160" i="29"/>
  <c r="AG160" i="29"/>
  <c r="AD160" i="29"/>
  <c r="AC160" i="29"/>
  <c r="X160" i="29"/>
  <c r="W160" i="29"/>
  <c r="V160" i="29"/>
  <c r="T160" i="29"/>
  <c r="S160" i="29"/>
  <c r="R160" i="29"/>
  <c r="P160" i="29"/>
  <c r="O160" i="29"/>
  <c r="M160" i="29"/>
  <c r="J160" i="29"/>
  <c r="AM159" i="29"/>
  <c r="AL159" i="29"/>
  <c r="AV159" i="29" s="1"/>
  <c r="AE159" i="29"/>
  <c r="AT159" i="29" s="1"/>
  <c r="Y159" i="29"/>
  <c r="AQ159" i="29" s="1"/>
  <c r="Q159" i="29"/>
  <c r="U159" i="29" s="1"/>
  <c r="N159" i="29"/>
  <c r="L159" i="29"/>
  <c r="K159" i="29"/>
  <c r="AM158" i="29"/>
  <c r="AL158" i="29"/>
  <c r="AV158" i="29" s="1"/>
  <c r="AE158" i="29"/>
  <c r="AT158" i="29" s="1"/>
  <c r="Y158" i="29"/>
  <c r="AQ158" i="29" s="1"/>
  <c r="Q158" i="29"/>
  <c r="U158" i="29" s="1"/>
  <c r="N158" i="29"/>
  <c r="L158" i="29"/>
  <c r="K158" i="29"/>
  <c r="AM157" i="29"/>
  <c r="AL157" i="29"/>
  <c r="AV157" i="29" s="1"/>
  <c r="AE157" i="29"/>
  <c r="Y157" i="29"/>
  <c r="AQ157" i="29" s="1"/>
  <c r="Q157" i="29"/>
  <c r="N157" i="29"/>
  <c r="L157" i="29"/>
  <c r="K157" i="29"/>
  <c r="AK156" i="29"/>
  <c r="AJ156" i="29"/>
  <c r="AH156" i="29"/>
  <c r="AG156" i="29"/>
  <c r="AD156" i="29"/>
  <c r="AC156" i="29"/>
  <c r="X156" i="29"/>
  <c r="W156" i="29"/>
  <c r="V156" i="29"/>
  <c r="T156" i="29"/>
  <c r="S156" i="29"/>
  <c r="P156" i="29"/>
  <c r="O156" i="29"/>
  <c r="M156" i="29"/>
  <c r="J156" i="29"/>
  <c r="AM155" i="29"/>
  <c r="AL155" i="29"/>
  <c r="AV155" i="29" s="1"/>
  <c r="AE155" i="29"/>
  <c r="AT155" i="29" s="1"/>
  <c r="Y155" i="29"/>
  <c r="AQ155" i="29" s="1"/>
  <c r="Q155" i="29"/>
  <c r="U155" i="29" s="1"/>
  <c r="AP155" i="29" s="1"/>
  <c r="N155" i="29"/>
  <c r="L155" i="29"/>
  <c r="K155" i="29"/>
  <c r="AM154" i="29"/>
  <c r="AW154" i="29" s="1"/>
  <c r="AL154" i="29"/>
  <c r="AV154" i="29" s="1"/>
  <c r="AE154" i="29"/>
  <c r="AT154" i="29" s="1"/>
  <c r="AA154" i="29"/>
  <c r="Y154" i="29"/>
  <c r="AQ154" i="29" s="1"/>
  <c r="Q154" i="29"/>
  <c r="U154" i="29" s="1"/>
  <c r="AP154" i="29" s="1"/>
  <c r="N154" i="29"/>
  <c r="K154" i="29"/>
  <c r="I154" i="29" s="1"/>
  <c r="AM153" i="29"/>
  <c r="AW153" i="29" s="1"/>
  <c r="AI153" i="29"/>
  <c r="AL153" i="29" s="1"/>
  <c r="AE153" i="29"/>
  <c r="AT153" i="29" s="1"/>
  <c r="Y153" i="29"/>
  <c r="R153" i="29"/>
  <c r="R156" i="29" s="1"/>
  <c r="Q153" i="29"/>
  <c r="N153" i="29"/>
  <c r="L153" i="29"/>
  <c r="K153" i="29"/>
  <c r="AW152" i="29"/>
  <c r="AM152" i="29"/>
  <c r="AL152" i="29"/>
  <c r="AL156" i="29" s="1"/>
  <c r="AE152" i="29"/>
  <c r="AT152" i="29" s="1"/>
  <c r="Y152" i="29"/>
  <c r="AQ152" i="29" s="1"/>
  <c r="Q152" i="29"/>
  <c r="U152" i="29" s="1"/>
  <c r="N152" i="29"/>
  <c r="L152" i="29"/>
  <c r="K152" i="29"/>
  <c r="AK151" i="29"/>
  <c r="AJ151" i="29"/>
  <c r="AI151" i="29"/>
  <c r="AH151" i="29"/>
  <c r="AG151" i="29"/>
  <c r="AD151" i="29"/>
  <c r="AC151" i="29"/>
  <c r="X151" i="29"/>
  <c r="W151" i="29"/>
  <c r="V151" i="29"/>
  <c r="T151" i="29"/>
  <c r="S151" i="29"/>
  <c r="R151" i="29"/>
  <c r="P151" i="29"/>
  <c r="O151" i="29"/>
  <c r="M151" i="29"/>
  <c r="J151" i="29"/>
  <c r="AV150" i="29"/>
  <c r="AM150" i="29"/>
  <c r="AW150" i="29" s="1"/>
  <c r="AL150" i="29"/>
  <c r="AE150" i="29"/>
  <c r="AT150" i="29" s="1"/>
  <c r="Y150" i="29"/>
  <c r="AQ150" i="29" s="1"/>
  <c r="Q150" i="29"/>
  <c r="U150" i="29" s="1"/>
  <c r="N150" i="29"/>
  <c r="L150" i="29"/>
  <c r="K150" i="29"/>
  <c r="AM149" i="29"/>
  <c r="AW149" i="29" s="1"/>
  <c r="AL149" i="29"/>
  <c r="AE149" i="29"/>
  <c r="AT149" i="29" s="1"/>
  <c r="Y149" i="29"/>
  <c r="AQ149" i="29" s="1"/>
  <c r="Q149" i="29"/>
  <c r="U149" i="29" s="1"/>
  <c r="N149" i="29"/>
  <c r="L149" i="29"/>
  <c r="K149" i="29"/>
  <c r="AM148" i="29"/>
  <c r="AW148" i="29" s="1"/>
  <c r="AL148" i="29"/>
  <c r="AE148" i="29"/>
  <c r="Y148" i="29"/>
  <c r="AQ148" i="29" s="1"/>
  <c r="Q148" i="29"/>
  <c r="U148" i="29" s="1"/>
  <c r="N148" i="29"/>
  <c r="L148" i="29"/>
  <c r="K148" i="29"/>
  <c r="AK147" i="29"/>
  <c r="AJ147" i="29"/>
  <c r="AI147" i="29"/>
  <c r="AH147" i="29"/>
  <c r="AG147" i="29"/>
  <c r="AD147" i="29"/>
  <c r="AC147" i="29"/>
  <c r="X147" i="29"/>
  <c r="W147" i="29"/>
  <c r="V147" i="29"/>
  <c r="T147" i="29"/>
  <c r="S147" i="29"/>
  <c r="R147" i="29"/>
  <c r="P147" i="29"/>
  <c r="O147" i="29"/>
  <c r="M147" i="29"/>
  <c r="J147" i="29"/>
  <c r="AM146" i="29"/>
  <c r="AL146" i="29"/>
  <c r="AV146" i="29" s="1"/>
  <c r="AE146" i="29"/>
  <c r="AT146" i="29" s="1"/>
  <c r="Y146" i="29"/>
  <c r="AQ146" i="29" s="1"/>
  <c r="Q146" i="29"/>
  <c r="U146" i="29" s="1"/>
  <c r="N146" i="29"/>
  <c r="L146" i="29"/>
  <c r="K146" i="29"/>
  <c r="AM145" i="29"/>
  <c r="AL145" i="29"/>
  <c r="AV145" i="29" s="1"/>
  <c r="AE145" i="29"/>
  <c r="AT145" i="29" s="1"/>
  <c r="Y145" i="29"/>
  <c r="AQ145" i="29" s="1"/>
  <c r="Q145" i="29"/>
  <c r="U145" i="29" s="1"/>
  <c r="AB145" i="29" s="1"/>
  <c r="AS145" i="29" s="1"/>
  <c r="N145" i="29"/>
  <c r="L145" i="29"/>
  <c r="I145" i="29" s="1"/>
  <c r="AM144" i="29"/>
  <c r="AW144" i="29" s="1"/>
  <c r="AL144" i="29"/>
  <c r="AV144" i="29" s="1"/>
  <c r="AE144" i="29"/>
  <c r="AT144" i="29" s="1"/>
  <c r="Y144" i="29"/>
  <c r="AQ144" i="29" s="1"/>
  <c r="Q144" i="29"/>
  <c r="U144" i="29" s="1"/>
  <c r="N144" i="29"/>
  <c r="L144" i="29"/>
  <c r="K144" i="29"/>
  <c r="AM143" i="29"/>
  <c r="AW143" i="29" s="1"/>
  <c r="AL143" i="29"/>
  <c r="AE143" i="29"/>
  <c r="AT143" i="29" s="1"/>
  <c r="Y143" i="29"/>
  <c r="AQ143" i="29" s="1"/>
  <c r="Q143" i="29"/>
  <c r="U143" i="29" s="1"/>
  <c r="N143" i="29"/>
  <c r="L143" i="29"/>
  <c r="K143" i="29"/>
  <c r="AM142" i="29"/>
  <c r="AW142" i="29" s="1"/>
  <c r="AL142" i="29"/>
  <c r="AV142" i="29" s="1"/>
  <c r="AE142" i="29"/>
  <c r="AT142" i="29" s="1"/>
  <c r="Y142" i="29"/>
  <c r="AQ142" i="29" s="1"/>
  <c r="Q142" i="29"/>
  <c r="U142" i="29" s="1"/>
  <c r="AP142" i="29" s="1"/>
  <c r="N142" i="29"/>
  <c r="L142" i="29"/>
  <c r="K142" i="29"/>
  <c r="AM141" i="29"/>
  <c r="AL141" i="29"/>
  <c r="AE141" i="29"/>
  <c r="AT141" i="29" s="1"/>
  <c r="Y141" i="29"/>
  <c r="Q141" i="29"/>
  <c r="N141" i="29"/>
  <c r="L141" i="29"/>
  <c r="K141" i="29"/>
  <c r="AK140" i="29"/>
  <c r="AJ140" i="29"/>
  <c r="AI140" i="29"/>
  <c r="AH140" i="29"/>
  <c r="AG140" i="29"/>
  <c r="AD140" i="29"/>
  <c r="AC140" i="29"/>
  <c r="X140" i="29"/>
  <c r="W140" i="29"/>
  <c r="V140" i="29"/>
  <c r="T140" i="29"/>
  <c r="S140" i="29"/>
  <c r="R140" i="29"/>
  <c r="P140" i="29"/>
  <c r="O140" i="29"/>
  <c r="M140" i="29"/>
  <c r="J140" i="29"/>
  <c r="AM139" i="29"/>
  <c r="AN139" i="29" s="1"/>
  <c r="AU139" i="29" s="1"/>
  <c r="AL139" i="29"/>
  <c r="AV139" i="29" s="1"/>
  <c r="AE139" i="29"/>
  <c r="AT139" i="29" s="1"/>
  <c r="Y139" i="29"/>
  <c r="Q139" i="29"/>
  <c r="U139" i="29" s="1"/>
  <c r="AB139" i="29" s="1"/>
  <c r="N139" i="29"/>
  <c r="L139" i="29"/>
  <c r="K139" i="29"/>
  <c r="AM138" i="29"/>
  <c r="AW138" i="29" s="1"/>
  <c r="AL138" i="29"/>
  <c r="AV138" i="29" s="1"/>
  <c r="AE138" i="29"/>
  <c r="AT138" i="29" s="1"/>
  <c r="Y138" i="29"/>
  <c r="AQ138" i="29" s="1"/>
  <c r="Q138" i="29"/>
  <c r="U138" i="29" s="1"/>
  <c r="AB138" i="29" s="1"/>
  <c r="N138" i="29"/>
  <c r="L138" i="29"/>
  <c r="K138" i="29"/>
  <c r="AM137" i="29"/>
  <c r="AL137" i="29"/>
  <c r="AV137" i="29" s="1"/>
  <c r="AE137" i="29"/>
  <c r="AT137" i="29" s="1"/>
  <c r="Y137" i="29"/>
  <c r="AQ137" i="29" s="1"/>
  <c r="Q137" i="29"/>
  <c r="U137" i="29" s="1"/>
  <c r="AB137" i="29" s="1"/>
  <c r="AS137" i="29" s="1"/>
  <c r="N137" i="29"/>
  <c r="I137" i="29"/>
  <c r="AM136" i="29"/>
  <c r="AW136" i="29" s="1"/>
  <c r="AL136" i="29"/>
  <c r="AV136" i="29" s="1"/>
  <c r="AE136" i="29"/>
  <c r="AT136" i="29" s="1"/>
  <c r="Y136" i="29"/>
  <c r="AQ136" i="29" s="1"/>
  <c r="Q136" i="29"/>
  <c r="U136" i="29" s="1"/>
  <c r="N136" i="29"/>
  <c r="L136" i="29"/>
  <c r="K136" i="29"/>
  <c r="AM135" i="29"/>
  <c r="AW135" i="29" s="1"/>
  <c r="AL135" i="29"/>
  <c r="AV135" i="29" s="1"/>
  <c r="AE135" i="29"/>
  <c r="AT135" i="29" s="1"/>
  <c r="Y135" i="29"/>
  <c r="AQ135" i="29" s="1"/>
  <c r="Q135" i="29"/>
  <c r="U135" i="29" s="1"/>
  <c r="N135" i="29"/>
  <c r="L135" i="29"/>
  <c r="K135" i="29"/>
  <c r="AM134" i="29"/>
  <c r="AW134" i="29" s="1"/>
  <c r="AL134" i="29"/>
  <c r="AV134" i="29" s="1"/>
  <c r="AE134" i="29"/>
  <c r="AT134" i="29" s="1"/>
  <c r="Y134" i="29"/>
  <c r="AQ134" i="29" s="1"/>
  <c r="Q134" i="29"/>
  <c r="U134" i="29" s="1"/>
  <c r="N134" i="29"/>
  <c r="L134" i="29"/>
  <c r="K134" i="29"/>
  <c r="AM133" i="29"/>
  <c r="AW133" i="29" s="1"/>
  <c r="AL133" i="29"/>
  <c r="AE133" i="29"/>
  <c r="Y133" i="29"/>
  <c r="AQ133" i="29" s="1"/>
  <c r="Q133" i="29"/>
  <c r="N133" i="29"/>
  <c r="L133" i="29"/>
  <c r="K133" i="29"/>
  <c r="AK132" i="29"/>
  <c r="AJ132" i="29"/>
  <c r="AI132" i="29"/>
  <c r="AH132" i="29"/>
  <c r="AG132" i="29"/>
  <c r="AD132" i="29"/>
  <c r="AC132" i="29"/>
  <c r="X132" i="29"/>
  <c r="W132" i="29"/>
  <c r="V132" i="29"/>
  <c r="T132" i="29"/>
  <c r="S132" i="29"/>
  <c r="R132" i="29"/>
  <c r="P132" i="29"/>
  <c r="O132" i="29"/>
  <c r="M132" i="29"/>
  <c r="J132" i="29"/>
  <c r="AM131" i="29"/>
  <c r="AL131" i="29"/>
  <c r="AL196" i="29" s="1"/>
  <c r="AE131" i="29"/>
  <c r="AE196" i="29" s="1"/>
  <c r="Y131" i="29"/>
  <c r="Q131" i="29"/>
  <c r="Q196" i="29" s="1"/>
  <c r="N131" i="29"/>
  <c r="L131" i="29"/>
  <c r="K131" i="29"/>
  <c r="K196" i="29" s="1"/>
  <c r="AK130" i="29"/>
  <c r="AJ130" i="29"/>
  <c r="AH130" i="29"/>
  <c r="AG130" i="29"/>
  <c r="AD130" i="29"/>
  <c r="AC130" i="29"/>
  <c r="X130" i="29"/>
  <c r="W130" i="29"/>
  <c r="V130" i="29"/>
  <c r="T130" i="29"/>
  <c r="S130" i="29"/>
  <c r="R130" i="29"/>
  <c r="P130" i="29"/>
  <c r="O130" i="29"/>
  <c r="M130" i="29"/>
  <c r="J130" i="29"/>
  <c r="AM129" i="29"/>
  <c r="AW129" i="29" s="1"/>
  <c r="AL129" i="29"/>
  <c r="AV129" i="29" s="1"/>
  <c r="AE129" i="29"/>
  <c r="AT129" i="29" s="1"/>
  <c r="Y129" i="29"/>
  <c r="AQ129" i="29" s="1"/>
  <c r="Q129" i="29"/>
  <c r="U129" i="29" s="1"/>
  <c r="N129" i="29"/>
  <c r="L129" i="29"/>
  <c r="K129" i="29"/>
  <c r="I129" i="29" s="1"/>
  <c r="AM128" i="29"/>
  <c r="AW128" i="29" s="1"/>
  <c r="AL128" i="29"/>
  <c r="AV128" i="29" s="1"/>
  <c r="AE128" i="29"/>
  <c r="AT128" i="29" s="1"/>
  <c r="Y128" i="29"/>
  <c r="AQ128" i="29" s="1"/>
  <c r="Q128" i="29"/>
  <c r="U128" i="29" s="1"/>
  <c r="AB128" i="29" s="1"/>
  <c r="N128" i="29"/>
  <c r="L128" i="29"/>
  <c r="I128" i="29"/>
  <c r="AM127" i="29"/>
  <c r="AW127" i="29" s="1"/>
  <c r="AL127" i="29"/>
  <c r="AV127" i="29" s="1"/>
  <c r="AE127" i="29"/>
  <c r="AT127" i="29" s="1"/>
  <c r="Y127" i="29"/>
  <c r="AQ127" i="29" s="1"/>
  <c r="Q127" i="29"/>
  <c r="U127" i="29" s="1"/>
  <c r="AP127" i="29" s="1"/>
  <c r="N127" i="29"/>
  <c r="L127" i="29"/>
  <c r="K127" i="29"/>
  <c r="AW126" i="29"/>
  <c r="AM126" i="29"/>
  <c r="AL126" i="29"/>
  <c r="AV126" i="29" s="1"/>
  <c r="AI126" i="29"/>
  <c r="AI130" i="29" s="1"/>
  <c r="AE126" i="29"/>
  <c r="AT126" i="29" s="1"/>
  <c r="Y126" i="29"/>
  <c r="AQ126" i="29" s="1"/>
  <c r="R126" i="29"/>
  <c r="Q126" i="29"/>
  <c r="U126" i="29" s="1"/>
  <c r="N126" i="29"/>
  <c r="L126" i="29"/>
  <c r="K126" i="29"/>
  <c r="AM125" i="29"/>
  <c r="AL125" i="29"/>
  <c r="AE125" i="29"/>
  <c r="AT125" i="29" s="1"/>
  <c r="Y125" i="29"/>
  <c r="Q125" i="29"/>
  <c r="N125" i="29"/>
  <c r="L125" i="29"/>
  <c r="L130" i="29" s="1"/>
  <c r="K125" i="29"/>
  <c r="AK124" i="29"/>
  <c r="AJ124" i="29"/>
  <c r="AI124" i="29"/>
  <c r="AH124" i="29"/>
  <c r="AG124" i="29"/>
  <c r="AD124" i="29"/>
  <c r="AC124" i="29"/>
  <c r="X124" i="29"/>
  <c r="W124" i="29"/>
  <c r="V124" i="29"/>
  <c r="T124" i="29"/>
  <c r="S124" i="29"/>
  <c r="R124" i="29"/>
  <c r="P124" i="29"/>
  <c r="O124" i="29"/>
  <c r="M124" i="29"/>
  <c r="J124" i="29"/>
  <c r="AM123" i="29"/>
  <c r="AL123" i="29"/>
  <c r="AV123" i="29" s="1"/>
  <c r="AE123" i="29"/>
  <c r="AT123" i="29" s="1"/>
  <c r="Y123" i="29"/>
  <c r="AQ123" i="29" s="1"/>
  <c r="Q123" i="29"/>
  <c r="U123" i="29" s="1"/>
  <c r="N123" i="29"/>
  <c r="L123" i="29"/>
  <c r="K123" i="29"/>
  <c r="AM122" i="29"/>
  <c r="AL122" i="29"/>
  <c r="AV122" i="29" s="1"/>
  <c r="AE122" i="29"/>
  <c r="AT122" i="29" s="1"/>
  <c r="Y122" i="29"/>
  <c r="AQ122" i="29" s="1"/>
  <c r="Q122" i="29"/>
  <c r="U122" i="29" s="1"/>
  <c r="AB122" i="29" s="1"/>
  <c r="N122" i="29"/>
  <c r="L122" i="29"/>
  <c r="I122" i="29" s="1"/>
  <c r="AM121" i="29"/>
  <c r="AW121" i="29" s="1"/>
  <c r="AL121" i="29"/>
  <c r="AE121" i="29"/>
  <c r="AT121" i="29" s="1"/>
  <c r="Y121" i="29"/>
  <c r="AQ121" i="29" s="1"/>
  <c r="Q121" i="29"/>
  <c r="U121" i="29" s="1"/>
  <c r="N121" i="29"/>
  <c r="L121" i="29"/>
  <c r="K121" i="29"/>
  <c r="AP120" i="29"/>
  <c r="AM120" i="29"/>
  <c r="AW120" i="29" s="1"/>
  <c r="AL120" i="29"/>
  <c r="AN120" i="29" s="1"/>
  <c r="AE120" i="29"/>
  <c r="AT120" i="29" s="1"/>
  <c r="Y120" i="29"/>
  <c r="AQ120" i="29" s="1"/>
  <c r="Q120" i="29"/>
  <c r="U120" i="29" s="1"/>
  <c r="N120" i="29"/>
  <c r="L120" i="29"/>
  <c r="K120" i="29"/>
  <c r="AM119" i="29"/>
  <c r="AL119" i="29"/>
  <c r="AV119" i="29" s="1"/>
  <c r="AE119" i="29"/>
  <c r="AT119" i="29" s="1"/>
  <c r="Y119" i="29"/>
  <c r="Q119" i="29"/>
  <c r="N119" i="29"/>
  <c r="L119" i="29"/>
  <c r="K119" i="29"/>
  <c r="AK118" i="29"/>
  <c r="AJ118" i="29"/>
  <c r="AI118" i="29"/>
  <c r="AH118" i="29"/>
  <c r="AG118" i="29"/>
  <c r="AD118" i="29"/>
  <c r="AC118" i="29"/>
  <c r="X118" i="29"/>
  <c r="W118" i="29"/>
  <c r="V118" i="29"/>
  <c r="T118" i="29"/>
  <c r="S118" i="29"/>
  <c r="R118" i="29"/>
  <c r="P118" i="29"/>
  <c r="O118" i="29"/>
  <c r="M118" i="29"/>
  <c r="J118" i="29"/>
  <c r="AM117" i="29"/>
  <c r="AL117" i="29"/>
  <c r="AV117" i="29" s="1"/>
  <c r="AE117" i="29"/>
  <c r="AT117" i="29" s="1"/>
  <c r="Y117" i="29"/>
  <c r="AQ117" i="29" s="1"/>
  <c r="Q117" i="29"/>
  <c r="U117" i="29" s="1"/>
  <c r="N117" i="29"/>
  <c r="L117" i="29"/>
  <c r="K117" i="29"/>
  <c r="AM116" i="29"/>
  <c r="AL116" i="29"/>
  <c r="AV116" i="29" s="1"/>
  <c r="AE116" i="29"/>
  <c r="AT116" i="29" s="1"/>
  <c r="Y116" i="29"/>
  <c r="AQ116" i="29" s="1"/>
  <c r="Q116" i="29"/>
  <c r="U116" i="29" s="1"/>
  <c r="AB116" i="29" s="1"/>
  <c r="N116" i="29"/>
  <c r="L116" i="29"/>
  <c r="K116" i="29"/>
  <c r="AM115" i="29"/>
  <c r="AL115" i="29"/>
  <c r="AV115" i="29" s="1"/>
  <c r="AE115" i="29"/>
  <c r="AT115" i="29" s="1"/>
  <c r="Y115" i="29"/>
  <c r="AQ115" i="29" s="1"/>
  <c r="Q115" i="29"/>
  <c r="U115" i="29" s="1"/>
  <c r="N115" i="29"/>
  <c r="L115" i="29"/>
  <c r="K115" i="29"/>
  <c r="AM114" i="29"/>
  <c r="AL114" i="29"/>
  <c r="AV114" i="29" s="1"/>
  <c r="AE114" i="29"/>
  <c r="AT114" i="29" s="1"/>
  <c r="Y114" i="29"/>
  <c r="AQ114" i="29" s="1"/>
  <c r="Q114" i="29"/>
  <c r="U114" i="29" s="1"/>
  <c r="N114" i="29"/>
  <c r="L114" i="29"/>
  <c r="K114" i="29"/>
  <c r="AM113" i="29"/>
  <c r="AL113" i="29"/>
  <c r="AE113" i="29"/>
  <c r="Y113" i="29"/>
  <c r="Q113" i="29"/>
  <c r="N113" i="29"/>
  <c r="L113" i="29"/>
  <c r="K113" i="29"/>
  <c r="AK112" i="29"/>
  <c r="AJ112" i="29"/>
  <c r="AI112" i="29"/>
  <c r="AH112" i="29"/>
  <c r="AG112" i="29"/>
  <c r="AD112" i="29"/>
  <c r="AC112" i="29"/>
  <c r="X112" i="29"/>
  <c r="W112" i="29"/>
  <c r="V112" i="29"/>
  <c r="T112" i="29"/>
  <c r="S112" i="29"/>
  <c r="R112" i="29"/>
  <c r="P112" i="29"/>
  <c r="O112" i="29"/>
  <c r="M112" i="29"/>
  <c r="J112" i="29"/>
  <c r="AM111" i="29"/>
  <c r="AW111" i="29" s="1"/>
  <c r="AL111" i="29"/>
  <c r="AE111" i="29"/>
  <c r="AT111" i="29" s="1"/>
  <c r="Y111" i="29"/>
  <c r="AQ111" i="29" s="1"/>
  <c r="Q111" i="29"/>
  <c r="U111" i="29" s="1"/>
  <c r="N111" i="29"/>
  <c r="L111" i="29"/>
  <c r="K111" i="29"/>
  <c r="AM110" i="29"/>
  <c r="AW110" i="29" s="1"/>
  <c r="AL110" i="29"/>
  <c r="AV110" i="29" s="1"/>
  <c r="AE110" i="29"/>
  <c r="AT110" i="29" s="1"/>
  <c r="Y110" i="29"/>
  <c r="AQ110" i="29" s="1"/>
  <c r="Q110" i="29"/>
  <c r="U110" i="29" s="1"/>
  <c r="AP110" i="29" s="1"/>
  <c r="N110" i="29"/>
  <c r="L110" i="29"/>
  <c r="K110" i="29"/>
  <c r="AM109" i="29"/>
  <c r="AW109" i="29" s="1"/>
  <c r="AL109" i="29"/>
  <c r="AE109" i="29"/>
  <c r="AT109" i="29" s="1"/>
  <c r="Y109" i="29"/>
  <c r="AQ109" i="29" s="1"/>
  <c r="Q109" i="29"/>
  <c r="U109" i="29" s="1"/>
  <c r="AA109" i="29" s="1"/>
  <c r="N109" i="29"/>
  <c r="L109" i="29"/>
  <c r="K109" i="29"/>
  <c r="AM108" i="29"/>
  <c r="AW108" i="29" s="1"/>
  <c r="AL108" i="29"/>
  <c r="AV108" i="29" s="1"/>
  <c r="AE108" i="29"/>
  <c r="AT108" i="29" s="1"/>
  <c r="Y108" i="29"/>
  <c r="AQ108" i="29" s="1"/>
  <c r="Q108" i="29"/>
  <c r="U108" i="29" s="1"/>
  <c r="N108" i="29"/>
  <c r="L108" i="29"/>
  <c r="K108" i="29"/>
  <c r="AM107" i="29"/>
  <c r="AL107" i="29"/>
  <c r="AE107" i="29"/>
  <c r="AT107" i="29" s="1"/>
  <c r="Y107" i="29"/>
  <c r="Q107" i="29"/>
  <c r="N107" i="29"/>
  <c r="L107" i="29"/>
  <c r="K107" i="29"/>
  <c r="AK106" i="29"/>
  <c r="AJ106" i="29"/>
  <c r="AH106" i="29"/>
  <c r="AG106" i="29"/>
  <c r="AD106" i="29"/>
  <c r="AC106" i="29"/>
  <c r="X106" i="29"/>
  <c r="W106" i="29"/>
  <c r="V106" i="29"/>
  <c r="T106" i="29"/>
  <c r="S106" i="29"/>
  <c r="R106" i="29"/>
  <c r="P106" i="29"/>
  <c r="O106" i="29"/>
  <c r="M106" i="29"/>
  <c r="J106" i="29"/>
  <c r="AM105" i="29"/>
  <c r="AW105" i="29" s="1"/>
  <c r="AL105" i="29"/>
  <c r="AV105" i="29" s="1"/>
  <c r="AE105" i="29"/>
  <c r="AT105" i="29" s="1"/>
  <c r="Y105" i="29"/>
  <c r="AQ105" i="29" s="1"/>
  <c r="Q105" i="29"/>
  <c r="U105" i="29" s="1"/>
  <c r="N105" i="29"/>
  <c r="L105" i="29"/>
  <c r="K105" i="29"/>
  <c r="AM104" i="29"/>
  <c r="AW104" i="29" s="1"/>
  <c r="AL104" i="29"/>
  <c r="AV104" i="29" s="1"/>
  <c r="AE104" i="29"/>
  <c r="AT104" i="29" s="1"/>
  <c r="Y104" i="29"/>
  <c r="AQ104" i="29" s="1"/>
  <c r="Q104" i="29"/>
  <c r="U104" i="29" s="1"/>
  <c r="AB104" i="29" s="1"/>
  <c r="AS104" i="29" s="1"/>
  <c r="N104" i="29"/>
  <c r="K104" i="29"/>
  <c r="I104" i="29" s="1"/>
  <c r="AM103" i="29"/>
  <c r="AW103" i="29" s="1"/>
  <c r="AL103" i="29"/>
  <c r="AV103" i="29" s="1"/>
  <c r="AE103" i="29"/>
  <c r="AT103" i="29" s="1"/>
  <c r="Y103" i="29"/>
  <c r="AQ103" i="29" s="1"/>
  <c r="Q103" i="29"/>
  <c r="U103" i="29" s="1"/>
  <c r="AA103" i="29" s="1"/>
  <c r="AR103" i="29" s="1"/>
  <c r="N103" i="29"/>
  <c r="L103" i="29"/>
  <c r="K103" i="29"/>
  <c r="AM102" i="29"/>
  <c r="AW102" i="29" s="1"/>
  <c r="AL102" i="29"/>
  <c r="AV102" i="29" s="1"/>
  <c r="AI102" i="29"/>
  <c r="AI106" i="29" s="1"/>
  <c r="AE102" i="29"/>
  <c r="AT102" i="29" s="1"/>
  <c r="Y102" i="29"/>
  <c r="AQ102" i="29" s="1"/>
  <c r="R102" i="29"/>
  <c r="Q102" i="29"/>
  <c r="U102" i="29" s="1"/>
  <c r="N102" i="29"/>
  <c r="L102" i="29"/>
  <c r="K102" i="29"/>
  <c r="AM101" i="29"/>
  <c r="AN101" i="29" s="1"/>
  <c r="AL101" i="29"/>
  <c r="AE101" i="29"/>
  <c r="Y101" i="29"/>
  <c r="Q101" i="29"/>
  <c r="N101" i="29"/>
  <c r="L101" i="29"/>
  <c r="K101" i="29"/>
  <c r="AK100" i="29"/>
  <c r="AJ100" i="29"/>
  <c r="AI100" i="29"/>
  <c r="AH100" i="29"/>
  <c r="AG100" i="29"/>
  <c r="AD100" i="29"/>
  <c r="AC100" i="29"/>
  <c r="X100" i="29"/>
  <c r="W100" i="29"/>
  <c r="V100" i="29"/>
  <c r="T100" i="29"/>
  <c r="S100" i="29"/>
  <c r="R100" i="29"/>
  <c r="P100" i="29"/>
  <c r="O100" i="29"/>
  <c r="M100" i="29"/>
  <c r="J100" i="29"/>
  <c r="AM99" i="29"/>
  <c r="AW99" i="29" s="1"/>
  <c r="AL99" i="29"/>
  <c r="AV99" i="29" s="1"/>
  <c r="AE99" i="29"/>
  <c r="AT99" i="29" s="1"/>
  <c r="Y99" i="29"/>
  <c r="AQ99" i="29" s="1"/>
  <c r="Q99" i="29"/>
  <c r="U99" i="29" s="1"/>
  <c r="N99" i="29"/>
  <c r="L99" i="29"/>
  <c r="K99" i="29"/>
  <c r="AM98" i="29"/>
  <c r="AW98" i="29" s="1"/>
  <c r="AL98" i="29"/>
  <c r="AV98" i="29" s="1"/>
  <c r="AE98" i="29"/>
  <c r="AT98" i="29" s="1"/>
  <c r="Y98" i="29"/>
  <c r="AQ98" i="29" s="1"/>
  <c r="Q98" i="29"/>
  <c r="U98" i="29" s="1"/>
  <c r="AB98" i="29" s="1"/>
  <c r="N98" i="29"/>
  <c r="L98" i="29"/>
  <c r="K98" i="29"/>
  <c r="AM97" i="29"/>
  <c r="AW97" i="29" s="1"/>
  <c r="AL97" i="29"/>
  <c r="AV97" i="29" s="1"/>
  <c r="AE97" i="29"/>
  <c r="AT97" i="29" s="1"/>
  <c r="Y97" i="29"/>
  <c r="AQ97" i="29" s="1"/>
  <c r="Q97" i="29"/>
  <c r="U97" i="29" s="1"/>
  <c r="AB97" i="29" s="1"/>
  <c r="N97" i="29"/>
  <c r="L97" i="29"/>
  <c r="K97" i="29"/>
  <c r="AM96" i="29"/>
  <c r="AW96" i="29" s="1"/>
  <c r="AL96" i="29"/>
  <c r="AV96" i="29" s="1"/>
  <c r="AE96" i="29"/>
  <c r="AT96" i="29" s="1"/>
  <c r="Y96" i="29"/>
  <c r="AQ96" i="29" s="1"/>
  <c r="Q96" i="29"/>
  <c r="U96" i="29" s="1"/>
  <c r="N96" i="29"/>
  <c r="L96" i="29"/>
  <c r="K96" i="29"/>
  <c r="AM95" i="29"/>
  <c r="AW95" i="29" s="1"/>
  <c r="AL95" i="29"/>
  <c r="AV95" i="29" s="1"/>
  <c r="AE95" i="29"/>
  <c r="AT95" i="29" s="1"/>
  <c r="Y95" i="29"/>
  <c r="Q95" i="29"/>
  <c r="N95" i="29"/>
  <c r="L95" i="29"/>
  <c r="K95" i="29"/>
  <c r="AK94" i="29"/>
  <c r="AJ94" i="29"/>
  <c r="AI94" i="29"/>
  <c r="AH94" i="29"/>
  <c r="AG94" i="29"/>
  <c r="AD94" i="29"/>
  <c r="AC94" i="29"/>
  <c r="X94" i="29"/>
  <c r="W94" i="29"/>
  <c r="V94" i="29"/>
  <c r="T94" i="29"/>
  <c r="S94" i="29"/>
  <c r="P94" i="29"/>
  <c r="O94" i="29"/>
  <c r="M94" i="29"/>
  <c r="J94" i="29"/>
  <c r="AT93" i="29"/>
  <c r="AM93" i="29"/>
  <c r="AW93" i="29" s="1"/>
  <c r="AL93" i="29"/>
  <c r="AN93" i="29" s="1"/>
  <c r="AE93" i="29"/>
  <c r="Y93" i="29"/>
  <c r="AQ93" i="29" s="1"/>
  <c r="Q93" i="29"/>
  <c r="U93" i="29" s="1"/>
  <c r="N93" i="29"/>
  <c r="L93" i="29"/>
  <c r="K93" i="29"/>
  <c r="AM92" i="29"/>
  <c r="AW92" i="29" s="1"/>
  <c r="AL92" i="29"/>
  <c r="AE92" i="29"/>
  <c r="AT92" i="29" s="1"/>
  <c r="Y92" i="29"/>
  <c r="AQ92" i="29" s="1"/>
  <c r="Q92" i="29"/>
  <c r="U92" i="29" s="1"/>
  <c r="AP92" i="29" s="1"/>
  <c r="N92" i="29"/>
  <c r="L92" i="29"/>
  <c r="K92" i="29"/>
  <c r="AM91" i="29"/>
  <c r="AW91" i="29" s="1"/>
  <c r="AL91" i="29"/>
  <c r="AE91" i="29"/>
  <c r="AT91" i="29" s="1"/>
  <c r="Y91" i="29"/>
  <c r="Q91" i="29"/>
  <c r="U91" i="29" s="1"/>
  <c r="AB91" i="29" s="1"/>
  <c r="N91" i="29"/>
  <c r="L91" i="29"/>
  <c r="K91" i="29"/>
  <c r="AM90" i="29"/>
  <c r="AW90" i="29" s="1"/>
  <c r="AL90" i="29"/>
  <c r="AI90" i="29"/>
  <c r="AI189" i="29" s="1"/>
  <c r="AE90" i="29"/>
  <c r="AT90" i="29" s="1"/>
  <c r="Y90" i="29"/>
  <c r="AQ90" i="29" s="1"/>
  <c r="R90" i="29"/>
  <c r="Q90" i="29"/>
  <c r="U90" i="29" s="1"/>
  <c r="N90" i="29"/>
  <c r="L90" i="29"/>
  <c r="K90" i="29"/>
  <c r="AM89" i="29"/>
  <c r="AW89" i="29" s="1"/>
  <c r="AL89" i="29"/>
  <c r="AE89" i="29"/>
  <c r="AT89" i="29" s="1"/>
  <c r="Y89" i="29"/>
  <c r="AQ89" i="29" s="1"/>
  <c r="Q89" i="29"/>
  <c r="N89" i="29"/>
  <c r="L89" i="29"/>
  <c r="K89" i="29"/>
  <c r="AK88" i="29"/>
  <c r="AJ88" i="29"/>
  <c r="AI88" i="29"/>
  <c r="AH88" i="29"/>
  <c r="AG88" i="29"/>
  <c r="AD88" i="29"/>
  <c r="AC88" i="29"/>
  <c r="X88" i="29"/>
  <c r="W88" i="29"/>
  <c r="V88" i="29"/>
  <c r="T88" i="29"/>
  <c r="S88" i="29"/>
  <c r="R88" i="29"/>
  <c r="P88" i="29"/>
  <c r="O88" i="29"/>
  <c r="M88" i="29"/>
  <c r="J88" i="29"/>
  <c r="AM87" i="29"/>
  <c r="AL87" i="29"/>
  <c r="AV87" i="29" s="1"/>
  <c r="AE87" i="29"/>
  <c r="AT87" i="29" s="1"/>
  <c r="Y87" i="29"/>
  <c r="AQ87" i="29" s="1"/>
  <c r="Q87" i="29"/>
  <c r="U87" i="29" s="1"/>
  <c r="AB87" i="29" s="1"/>
  <c r="AS87" i="29" s="1"/>
  <c r="N87" i="29"/>
  <c r="L87" i="29"/>
  <c r="K87" i="29"/>
  <c r="AV86" i="29"/>
  <c r="AM86" i="29"/>
  <c r="AL86" i="29"/>
  <c r="AE86" i="29"/>
  <c r="AT86" i="29" s="1"/>
  <c r="Y86" i="29"/>
  <c r="AQ86" i="29" s="1"/>
  <c r="Q86" i="29"/>
  <c r="U86" i="29" s="1"/>
  <c r="AB86" i="29" s="1"/>
  <c r="N86" i="29"/>
  <c r="L86" i="29"/>
  <c r="K86" i="29"/>
  <c r="AM85" i="29"/>
  <c r="AN85" i="29" s="1"/>
  <c r="AL85" i="29"/>
  <c r="AV85" i="29" s="1"/>
  <c r="AE85" i="29"/>
  <c r="AT85" i="29" s="1"/>
  <c r="Y85" i="29"/>
  <c r="AQ85" i="29" s="1"/>
  <c r="U85" i="29"/>
  <c r="AB85" i="29" s="1"/>
  <c r="Q85" i="29"/>
  <c r="N85" i="29"/>
  <c r="L85" i="29"/>
  <c r="K85" i="29"/>
  <c r="AM84" i="29"/>
  <c r="AL84" i="29"/>
  <c r="AV84" i="29" s="1"/>
  <c r="AE84" i="29"/>
  <c r="AT84" i="29" s="1"/>
  <c r="Y84" i="29"/>
  <c r="AQ84" i="29" s="1"/>
  <c r="Q84" i="29"/>
  <c r="U84" i="29" s="1"/>
  <c r="AB84" i="29" s="1"/>
  <c r="N84" i="29"/>
  <c r="L84" i="29"/>
  <c r="K84" i="29"/>
  <c r="AM83" i="29"/>
  <c r="AL83" i="29"/>
  <c r="AL88" i="29" s="1"/>
  <c r="AE83" i="29"/>
  <c r="AT83" i="29" s="1"/>
  <c r="Y83" i="29"/>
  <c r="Q83" i="29"/>
  <c r="N83" i="29"/>
  <c r="L83" i="29"/>
  <c r="K83" i="29"/>
  <c r="AK82" i="29"/>
  <c r="AI82" i="29"/>
  <c r="AH82" i="29"/>
  <c r="AG82" i="29"/>
  <c r="AD82" i="29"/>
  <c r="AC82" i="29"/>
  <c r="X82" i="29"/>
  <c r="W82" i="29"/>
  <c r="V82" i="29"/>
  <c r="S82" i="29"/>
  <c r="R82" i="29"/>
  <c r="P82" i="29"/>
  <c r="O82" i="29"/>
  <c r="M82" i="29"/>
  <c r="J82" i="29"/>
  <c r="AM81" i="29"/>
  <c r="AW81" i="29" s="1"/>
  <c r="AL81" i="29"/>
  <c r="AE81" i="29"/>
  <c r="AT81" i="29" s="1"/>
  <c r="Y81" i="29"/>
  <c r="AQ81" i="29" s="1"/>
  <c r="Q81" i="29"/>
  <c r="U81" i="29" s="1"/>
  <c r="N81" i="29"/>
  <c r="L81" i="29"/>
  <c r="K81" i="29"/>
  <c r="AM80" i="29"/>
  <c r="AW80" i="29" s="1"/>
  <c r="AL80" i="29"/>
  <c r="AE80" i="29"/>
  <c r="Y80" i="29"/>
  <c r="Q80" i="29"/>
  <c r="N80" i="29"/>
  <c r="K80" i="29"/>
  <c r="AV79" i="29"/>
  <c r="AM79" i="29"/>
  <c r="AL79" i="29"/>
  <c r="AE79" i="29"/>
  <c r="AT79" i="29" s="1"/>
  <c r="Y79" i="29"/>
  <c r="AQ79" i="29" s="1"/>
  <c r="Q79" i="29"/>
  <c r="U79" i="29" s="1"/>
  <c r="N79" i="29"/>
  <c r="L79" i="29"/>
  <c r="K79" i="29"/>
  <c r="AM78" i="29"/>
  <c r="AL78" i="29"/>
  <c r="AV78" i="29" s="1"/>
  <c r="AE78" i="29"/>
  <c r="AT78" i="29" s="1"/>
  <c r="Y78" i="29"/>
  <c r="AQ78" i="29" s="1"/>
  <c r="Q78" i="29"/>
  <c r="U78" i="29" s="1"/>
  <c r="N78" i="29"/>
  <c r="L78" i="29"/>
  <c r="K78" i="29"/>
  <c r="AM77" i="29"/>
  <c r="AJ77" i="29"/>
  <c r="AE77" i="29"/>
  <c r="Y77" i="29"/>
  <c r="AQ77" i="29" s="1"/>
  <c r="T77" i="29"/>
  <c r="T189" i="29" s="1"/>
  <c r="Q77" i="29"/>
  <c r="N77" i="29"/>
  <c r="L77" i="29"/>
  <c r="K77" i="29"/>
  <c r="AK76" i="29"/>
  <c r="AJ76" i="29"/>
  <c r="AI76" i="29"/>
  <c r="AH76" i="29"/>
  <c r="AG76" i="29"/>
  <c r="AD76" i="29"/>
  <c r="AC76" i="29"/>
  <c r="X76" i="29"/>
  <c r="W76" i="29"/>
  <c r="V76" i="29"/>
  <c r="T76" i="29"/>
  <c r="S76" i="29"/>
  <c r="P76" i="29"/>
  <c r="O76" i="29"/>
  <c r="M76" i="29"/>
  <c r="J76" i="29"/>
  <c r="AM75" i="29"/>
  <c r="AL75" i="29"/>
  <c r="AV75" i="29" s="1"/>
  <c r="AE75" i="29"/>
  <c r="AT75" i="29" s="1"/>
  <c r="Y75" i="29"/>
  <c r="AQ75" i="29" s="1"/>
  <c r="Q75" i="29"/>
  <c r="U75" i="29" s="1"/>
  <c r="N75" i="29"/>
  <c r="L75" i="29"/>
  <c r="K75" i="29"/>
  <c r="AM74" i="29"/>
  <c r="AW74" i="29" s="1"/>
  <c r="AL74" i="29"/>
  <c r="AE74" i="29"/>
  <c r="AT74" i="29" s="1"/>
  <c r="Y74" i="29"/>
  <c r="AQ74" i="29" s="1"/>
  <c r="R74" i="29"/>
  <c r="Q74" i="29"/>
  <c r="N74" i="29"/>
  <c r="L74" i="29"/>
  <c r="K74" i="29"/>
  <c r="AM73" i="29"/>
  <c r="AL73" i="29"/>
  <c r="AV73" i="29" s="1"/>
  <c r="AE73" i="29"/>
  <c r="AT73" i="29" s="1"/>
  <c r="Y73" i="29"/>
  <c r="AQ73" i="29" s="1"/>
  <c r="Q73" i="29"/>
  <c r="U73" i="29" s="1"/>
  <c r="N73" i="29"/>
  <c r="L73" i="29"/>
  <c r="K73" i="29"/>
  <c r="AM72" i="29"/>
  <c r="AW72" i="29" s="1"/>
  <c r="AL72" i="29"/>
  <c r="AV72" i="29" s="1"/>
  <c r="AE72" i="29"/>
  <c r="AT72" i="29" s="1"/>
  <c r="Y72" i="29"/>
  <c r="AQ72" i="29" s="1"/>
  <c r="Q72" i="29"/>
  <c r="U72" i="29" s="1"/>
  <c r="AB72" i="29" s="1"/>
  <c r="N72" i="29"/>
  <c r="L72" i="29"/>
  <c r="K72" i="29"/>
  <c r="AK71" i="29"/>
  <c r="AJ71" i="29"/>
  <c r="AI71" i="29"/>
  <c r="AH71" i="29"/>
  <c r="AG71" i="29"/>
  <c r="AD71" i="29"/>
  <c r="AC71" i="29"/>
  <c r="X71" i="29"/>
  <c r="W71" i="29"/>
  <c r="V71" i="29"/>
  <c r="T71" i="29"/>
  <c r="S71" i="29"/>
  <c r="R71" i="29"/>
  <c r="P71" i="29"/>
  <c r="O71" i="29"/>
  <c r="M71" i="29"/>
  <c r="J71" i="29"/>
  <c r="AM70" i="29"/>
  <c r="AL70" i="29"/>
  <c r="AV70" i="29" s="1"/>
  <c r="AE70" i="29"/>
  <c r="AT70" i="29" s="1"/>
  <c r="Y70" i="29"/>
  <c r="AQ70" i="29" s="1"/>
  <c r="Q70" i="29"/>
  <c r="U70" i="29" s="1"/>
  <c r="AP70" i="29" s="1"/>
  <c r="N70" i="29"/>
  <c r="L70" i="29"/>
  <c r="K70" i="29"/>
  <c r="AM69" i="29"/>
  <c r="AL69" i="29"/>
  <c r="AE69" i="29"/>
  <c r="AT69" i="29" s="1"/>
  <c r="Y69" i="29"/>
  <c r="Q69" i="29"/>
  <c r="U69" i="29" s="1"/>
  <c r="AB69" i="29" s="1"/>
  <c r="N69" i="29"/>
  <c r="L69" i="29"/>
  <c r="L71" i="29" s="1"/>
  <c r="K69" i="29"/>
  <c r="AK68" i="29"/>
  <c r="AJ68" i="29"/>
  <c r="AI68" i="29"/>
  <c r="AH68" i="29"/>
  <c r="AG68" i="29"/>
  <c r="AD68" i="29"/>
  <c r="AC68" i="29"/>
  <c r="X68" i="29"/>
  <c r="W68" i="29"/>
  <c r="V68" i="29"/>
  <c r="T68" i="29"/>
  <c r="S68" i="29"/>
  <c r="R68" i="29"/>
  <c r="P68" i="29"/>
  <c r="O68" i="29"/>
  <c r="M68" i="29"/>
  <c r="J68" i="29"/>
  <c r="AM67" i="29"/>
  <c r="AL67" i="29"/>
  <c r="AV67" i="29" s="1"/>
  <c r="AE67" i="29"/>
  <c r="AT67" i="29" s="1"/>
  <c r="Y67" i="29"/>
  <c r="AQ67" i="29" s="1"/>
  <c r="Q67" i="29"/>
  <c r="U67" i="29" s="1"/>
  <c r="N67" i="29"/>
  <c r="L67" i="29"/>
  <c r="K67" i="29"/>
  <c r="AM66" i="29"/>
  <c r="AW66" i="29" s="1"/>
  <c r="AL66" i="29"/>
  <c r="AV66" i="29" s="1"/>
  <c r="AE66" i="29"/>
  <c r="AT66" i="29" s="1"/>
  <c r="Y66" i="29"/>
  <c r="AQ66" i="29" s="1"/>
  <c r="Q66" i="29"/>
  <c r="U66" i="29" s="1"/>
  <c r="AB66" i="29" s="1"/>
  <c r="N66" i="29"/>
  <c r="L66" i="29"/>
  <c r="K66" i="29"/>
  <c r="I66" i="29" s="1"/>
  <c r="AV65" i="29"/>
  <c r="AM65" i="29"/>
  <c r="AW65" i="29" s="1"/>
  <c r="AL65" i="29"/>
  <c r="AE65" i="29"/>
  <c r="Y65" i="29"/>
  <c r="Q65" i="29"/>
  <c r="U65" i="29" s="1"/>
  <c r="N65" i="29"/>
  <c r="L65" i="29"/>
  <c r="K65" i="29"/>
  <c r="AK64" i="29"/>
  <c r="AJ64" i="29"/>
  <c r="AI64" i="29"/>
  <c r="AH64" i="29"/>
  <c r="AG64" i="29"/>
  <c r="AD64" i="29"/>
  <c r="AC64" i="29"/>
  <c r="X64" i="29"/>
  <c r="W64" i="29"/>
  <c r="V64" i="29"/>
  <c r="T64" i="29"/>
  <c r="S64" i="29"/>
  <c r="R64" i="29"/>
  <c r="P64" i="29"/>
  <c r="O64" i="29"/>
  <c r="M64" i="29"/>
  <c r="J64" i="29"/>
  <c r="AM63" i="29"/>
  <c r="AL63" i="29"/>
  <c r="AV63" i="29" s="1"/>
  <c r="AE63" i="29"/>
  <c r="AT63" i="29" s="1"/>
  <c r="Y63" i="29"/>
  <c r="AQ63" i="29" s="1"/>
  <c r="Q63" i="29"/>
  <c r="U63" i="29" s="1"/>
  <c r="N63" i="29"/>
  <c r="L63" i="29"/>
  <c r="K63" i="29"/>
  <c r="AM62" i="29"/>
  <c r="AL62" i="29"/>
  <c r="AE62" i="29"/>
  <c r="Y62" i="29"/>
  <c r="Y64" i="29" s="1"/>
  <c r="Q62" i="29"/>
  <c r="N62" i="29"/>
  <c r="N64" i="29" s="1"/>
  <c r="L62" i="29"/>
  <c r="L64" i="29" s="1"/>
  <c r="K62" i="29"/>
  <c r="AK61" i="29"/>
  <c r="AJ61" i="29"/>
  <c r="AI61" i="29"/>
  <c r="AH61" i="29"/>
  <c r="AG61" i="29"/>
  <c r="AD61" i="29"/>
  <c r="AC61" i="29"/>
  <c r="X61" i="29"/>
  <c r="W61" i="29"/>
  <c r="V61" i="29"/>
  <c r="T61" i="29"/>
  <c r="S61" i="29"/>
  <c r="R61" i="29"/>
  <c r="P61" i="29"/>
  <c r="O61" i="29"/>
  <c r="M61" i="29"/>
  <c r="J61" i="29"/>
  <c r="AM60" i="29"/>
  <c r="AW60" i="29" s="1"/>
  <c r="AL60" i="29"/>
  <c r="AV60" i="29" s="1"/>
  <c r="AE60" i="29"/>
  <c r="AT60" i="29" s="1"/>
  <c r="Y60" i="29"/>
  <c r="AQ60" i="29" s="1"/>
  <c r="Q60" i="29"/>
  <c r="U60" i="29" s="1"/>
  <c r="N60" i="29"/>
  <c r="L60" i="29"/>
  <c r="K60" i="29"/>
  <c r="AM59" i="29"/>
  <c r="AW59" i="29" s="1"/>
  <c r="AL59" i="29"/>
  <c r="AV59" i="29" s="1"/>
  <c r="AE59" i="29"/>
  <c r="AT59" i="29" s="1"/>
  <c r="Y59" i="29"/>
  <c r="AQ59" i="29" s="1"/>
  <c r="Q59" i="29"/>
  <c r="U59" i="29" s="1"/>
  <c r="N59" i="29"/>
  <c r="L59" i="29"/>
  <c r="K59" i="29"/>
  <c r="AM58" i="29"/>
  <c r="AW58" i="29" s="1"/>
  <c r="AL58" i="29"/>
  <c r="AE58" i="29"/>
  <c r="AT58" i="29" s="1"/>
  <c r="Y58" i="29"/>
  <c r="Q58" i="29"/>
  <c r="N58" i="29"/>
  <c r="L58" i="29"/>
  <c r="K58" i="29"/>
  <c r="AK57" i="29"/>
  <c r="AJ57" i="29"/>
  <c r="AI57" i="29"/>
  <c r="AH57" i="29"/>
  <c r="AG57" i="29"/>
  <c r="AD57" i="29"/>
  <c r="AC57" i="29"/>
  <c r="X57" i="29"/>
  <c r="W57" i="29"/>
  <c r="V57" i="29"/>
  <c r="T57" i="29"/>
  <c r="S57" i="29"/>
  <c r="R57" i="29"/>
  <c r="P57" i="29"/>
  <c r="O57" i="29"/>
  <c r="M57" i="29"/>
  <c r="J57" i="29"/>
  <c r="AM56" i="29"/>
  <c r="AW56" i="29" s="1"/>
  <c r="AL56" i="29"/>
  <c r="AV56" i="29" s="1"/>
  <c r="AE56" i="29"/>
  <c r="AT56" i="29" s="1"/>
  <c r="Y56" i="29"/>
  <c r="AQ56" i="29" s="1"/>
  <c r="Q56" i="29"/>
  <c r="U56" i="29" s="1"/>
  <c r="AB56" i="29" s="1"/>
  <c r="N56" i="29"/>
  <c r="L56" i="29"/>
  <c r="K56" i="29"/>
  <c r="AM55" i="29"/>
  <c r="AW55" i="29" s="1"/>
  <c r="AL55" i="29"/>
  <c r="AV55" i="29" s="1"/>
  <c r="AE55" i="29"/>
  <c r="AT55" i="29" s="1"/>
  <c r="Y55" i="29"/>
  <c r="AQ55" i="29" s="1"/>
  <c r="U55" i="29"/>
  <c r="AB55" i="29" s="1"/>
  <c r="Q55" i="29"/>
  <c r="N55" i="29"/>
  <c r="L55" i="29"/>
  <c r="K55" i="29"/>
  <c r="AM54" i="29"/>
  <c r="AL54" i="29"/>
  <c r="AE54" i="29"/>
  <c r="AE57" i="29" s="1"/>
  <c r="Y54" i="29"/>
  <c r="Q54" i="29"/>
  <c r="N54" i="29"/>
  <c r="L54" i="29"/>
  <c r="L57" i="29" s="1"/>
  <c r="K54" i="29"/>
  <c r="AK53" i="29"/>
  <c r="AJ53" i="29"/>
  <c r="AI53" i="29"/>
  <c r="AH53" i="29"/>
  <c r="AG53" i="29"/>
  <c r="AD53" i="29"/>
  <c r="AC53" i="29"/>
  <c r="X53" i="29"/>
  <c r="W53" i="29"/>
  <c r="V53" i="29"/>
  <c r="T53" i="29"/>
  <c r="S53" i="29"/>
  <c r="R53" i="29"/>
  <c r="P53" i="29"/>
  <c r="O53" i="29"/>
  <c r="M53" i="29"/>
  <c r="J53" i="29"/>
  <c r="AM52" i="29"/>
  <c r="AW52" i="29" s="1"/>
  <c r="AL52" i="29"/>
  <c r="AE52" i="29"/>
  <c r="AT52" i="29" s="1"/>
  <c r="Y52" i="29"/>
  <c r="AQ52" i="29" s="1"/>
  <c r="Q52" i="29"/>
  <c r="U52" i="29" s="1"/>
  <c r="AB52" i="29" s="1"/>
  <c r="N52" i="29"/>
  <c r="L52" i="29"/>
  <c r="K52" i="29"/>
  <c r="AM51" i="29"/>
  <c r="AL51" i="29"/>
  <c r="AV51" i="29" s="1"/>
  <c r="AE51" i="29"/>
  <c r="AT51" i="29" s="1"/>
  <c r="Y51" i="29"/>
  <c r="Q51" i="29"/>
  <c r="U51" i="29" s="1"/>
  <c r="AB51" i="29" s="1"/>
  <c r="AB53" i="29" s="1"/>
  <c r="N51" i="29"/>
  <c r="L51" i="29"/>
  <c r="K51" i="29"/>
  <c r="AK50" i="29"/>
  <c r="AJ50" i="29"/>
  <c r="AI50" i="29"/>
  <c r="AH50" i="29"/>
  <c r="AG50" i="29"/>
  <c r="AD50" i="29"/>
  <c r="AC50" i="29"/>
  <c r="X50" i="29"/>
  <c r="W50" i="29"/>
  <c r="V50" i="29"/>
  <c r="T50" i="29"/>
  <c r="S50" i="29"/>
  <c r="R50" i="29"/>
  <c r="P50" i="29"/>
  <c r="O50" i="29"/>
  <c r="M50" i="29"/>
  <c r="J50" i="29"/>
  <c r="AM49" i="29"/>
  <c r="AL49" i="29"/>
  <c r="AV49" i="29" s="1"/>
  <c r="AE49" i="29"/>
  <c r="AT49" i="29" s="1"/>
  <c r="Y49" i="29"/>
  <c r="AQ49" i="29" s="1"/>
  <c r="Q49" i="29"/>
  <c r="U49" i="29" s="1"/>
  <c r="N49" i="29"/>
  <c r="L49" i="29"/>
  <c r="K49" i="29"/>
  <c r="AM48" i="29"/>
  <c r="AW48" i="29" s="1"/>
  <c r="AL48" i="29"/>
  <c r="AV48" i="29" s="1"/>
  <c r="AE48" i="29"/>
  <c r="AT48" i="29" s="1"/>
  <c r="Y48" i="29"/>
  <c r="AQ48" i="29" s="1"/>
  <c r="Q48" i="29"/>
  <c r="U48" i="29" s="1"/>
  <c r="AB48" i="29" s="1"/>
  <c r="N48" i="29"/>
  <c r="L48" i="29"/>
  <c r="K48" i="29"/>
  <c r="AM47" i="29"/>
  <c r="AL47" i="29"/>
  <c r="AV47" i="29" s="1"/>
  <c r="AV50" i="29" s="1"/>
  <c r="AE47" i="29"/>
  <c r="Y47" i="29"/>
  <c r="AQ47" i="29" s="1"/>
  <c r="Q47" i="29"/>
  <c r="N47" i="29"/>
  <c r="L47" i="29"/>
  <c r="K47" i="29"/>
  <c r="AK46" i="29"/>
  <c r="AJ46" i="29"/>
  <c r="AI46" i="29"/>
  <c r="AH46" i="29"/>
  <c r="AG46" i="29"/>
  <c r="AD46" i="29"/>
  <c r="AC46" i="29"/>
  <c r="X46" i="29"/>
  <c r="W46" i="29"/>
  <c r="V46" i="29"/>
  <c r="T46" i="29"/>
  <c r="S46" i="29"/>
  <c r="R46" i="29"/>
  <c r="P46" i="29"/>
  <c r="O46" i="29"/>
  <c r="M46" i="29"/>
  <c r="J46" i="29"/>
  <c r="AM45" i="29"/>
  <c r="AW45" i="29" s="1"/>
  <c r="AL45" i="29"/>
  <c r="AE45" i="29"/>
  <c r="AT45" i="29" s="1"/>
  <c r="Y45" i="29"/>
  <c r="AQ45" i="29" s="1"/>
  <c r="Q45" i="29"/>
  <c r="U45" i="29" s="1"/>
  <c r="AP45" i="29" s="1"/>
  <c r="N45" i="29"/>
  <c r="L45" i="29"/>
  <c r="K45" i="29"/>
  <c r="I45" i="29" s="1"/>
  <c r="AP44" i="29"/>
  <c r="AM44" i="29"/>
  <c r="AW44" i="29" s="1"/>
  <c r="AL44" i="29"/>
  <c r="AE44" i="29"/>
  <c r="AT44" i="29" s="1"/>
  <c r="Y44" i="29"/>
  <c r="AQ44" i="29" s="1"/>
  <c r="Q44" i="29"/>
  <c r="U44" i="29" s="1"/>
  <c r="N44" i="29"/>
  <c r="L44" i="29"/>
  <c r="K44" i="29"/>
  <c r="AM43" i="29"/>
  <c r="AL43" i="29"/>
  <c r="AE43" i="29"/>
  <c r="Y43" i="29"/>
  <c r="AQ43" i="29" s="1"/>
  <c r="Q43" i="29"/>
  <c r="U43" i="29" s="1"/>
  <c r="N43" i="29"/>
  <c r="L43" i="29"/>
  <c r="L46" i="29" s="1"/>
  <c r="K43" i="29"/>
  <c r="AK42" i="29"/>
  <c r="AJ42" i="29"/>
  <c r="AI42" i="29"/>
  <c r="AH42" i="29"/>
  <c r="AG42" i="29"/>
  <c r="AD42" i="29"/>
  <c r="AC42" i="29"/>
  <c r="X42" i="29"/>
  <c r="W42" i="29"/>
  <c r="AA44" i="29" s="1"/>
  <c r="V42" i="29"/>
  <c r="T42" i="29"/>
  <c r="S42" i="29"/>
  <c r="R42" i="29"/>
  <c r="P42" i="29"/>
  <c r="O42" i="29"/>
  <c r="M42" i="29"/>
  <c r="J42" i="29"/>
  <c r="AM41" i="29"/>
  <c r="AW41" i="29" s="1"/>
  <c r="AL41" i="29"/>
  <c r="AV41" i="29" s="1"/>
  <c r="AE41" i="29"/>
  <c r="AT41" i="29" s="1"/>
  <c r="Y41" i="29"/>
  <c r="AQ41" i="29" s="1"/>
  <c r="Q41" i="29"/>
  <c r="U41" i="29" s="1"/>
  <c r="AB41" i="29" s="1"/>
  <c r="N41" i="29"/>
  <c r="L41" i="29"/>
  <c r="K41" i="29"/>
  <c r="AM40" i="29"/>
  <c r="AW40" i="29" s="1"/>
  <c r="AL40" i="29"/>
  <c r="AV40" i="29" s="1"/>
  <c r="AE40" i="29"/>
  <c r="AT40" i="29" s="1"/>
  <c r="Y40" i="29"/>
  <c r="AQ40" i="29" s="1"/>
  <c r="Q40" i="29"/>
  <c r="U40" i="29" s="1"/>
  <c r="N40" i="29"/>
  <c r="L40" i="29"/>
  <c r="K40" i="29"/>
  <c r="AM39" i="29"/>
  <c r="AL39" i="29"/>
  <c r="AV39" i="29" s="1"/>
  <c r="AE39" i="29"/>
  <c r="AT39" i="29" s="1"/>
  <c r="AT42" i="29" s="1"/>
  <c r="Y39" i="29"/>
  <c r="Q39" i="29"/>
  <c r="U39" i="29" s="1"/>
  <c r="AB39" i="29" s="1"/>
  <c r="N39" i="29"/>
  <c r="L39" i="29"/>
  <c r="K39" i="29"/>
  <c r="AK38" i="29"/>
  <c r="AJ38" i="29"/>
  <c r="AI38" i="29"/>
  <c r="AH38" i="29"/>
  <c r="AG38" i="29"/>
  <c r="AD38" i="29"/>
  <c r="AC38" i="29"/>
  <c r="X38" i="29"/>
  <c r="W38" i="29"/>
  <c r="V38" i="29"/>
  <c r="T38" i="29"/>
  <c r="S38" i="29"/>
  <c r="R38" i="29"/>
  <c r="P38" i="29"/>
  <c r="O38" i="29"/>
  <c r="M38" i="29"/>
  <c r="J38" i="29"/>
  <c r="AV37" i="29"/>
  <c r="AM37" i="29"/>
  <c r="AW37" i="29" s="1"/>
  <c r="AL37" i="29"/>
  <c r="AE37" i="29"/>
  <c r="AT37" i="29" s="1"/>
  <c r="Y37" i="29"/>
  <c r="AQ37" i="29" s="1"/>
  <c r="Q37" i="29"/>
  <c r="U37" i="29" s="1"/>
  <c r="AB37" i="29" s="1"/>
  <c r="N37" i="29"/>
  <c r="L37" i="29"/>
  <c r="K37" i="29"/>
  <c r="AM36" i="29"/>
  <c r="AW36" i="29" s="1"/>
  <c r="AL36" i="29"/>
  <c r="AV36" i="29" s="1"/>
  <c r="AE36" i="29"/>
  <c r="AT36" i="29" s="1"/>
  <c r="Y36" i="29"/>
  <c r="AQ36" i="29" s="1"/>
  <c r="Q36" i="29"/>
  <c r="U36" i="29" s="1"/>
  <c r="AB36" i="29" s="1"/>
  <c r="N36" i="29"/>
  <c r="L36" i="29"/>
  <c r="K36" i="29"/>
  <c r="AM35" i="29"/>
  <c r="AW35" i="29" s="1"/>
  <c r="AL35" i="29"/>
  <c r="AE35" i="29"/>
  <c r="AT35" i="29" s="1"/>
  <c r="Y35" i="29"/>
  <c r="Q35" i="29"/>
  <c r="N35" i="29"/>
  <c r="N38" i="29" s="1"/>
  <c r="L35" i="29"/>
  <c r="K35" i="29"/>
  <c r="AK34" i="29"/>
  <c r="AJ34" i="29"/>
  <c r="AI34" i="29"/>
  <c r="AH34" i="29"/>
  <c r="AG34" i="29"/>
  <c r="AD34" i="29"/>
  <c r="AC34" i="29"/>
  <c r="X34" i="29"/>
  <c r="W34" i="29"/>
  <c r="V34" i="29"/>
  <c r="T34" i="29"/>
  <c r="S34" i="29"/>
  <c r="R34" i="29"/>
  <c r="P34" i="29"/>
  <c r="O34" i="29"/>
  <c r="M34" i="29"/>
  <c r="J34" i="29"/>
  <c r="AV33" i="29"/>
  <c r="AM33" i="29"/>
  <c r="AW33" i="29" s="1"/>
  <c r="AL33" i="29"/>
  <c r="AE33" i="29"/>
  <c r="AT33" i="29" s="1"/>
  <c r="Y33" i="29"/>
  <c r="AQ33" i="29" s="1"/>
  <c r="Q33" i="29"/>
  <c r="U33" i="29" s="1"/>
  <c r="N33" i="29"/>
  <c r="L33" i="29"/>
  <c r="K33" i="29"/>
  <c r="AM32" i="29"/>
  <c r="AW32" i="29" s="1"/>
  <c r="AL32" i="29"/>
  <c r="AE32" i="29"/>
  <c r="AE34" i="29" s="1"/>
  <c r="Y32" i="29"/>
  <c r="AQ32" i="29" s="1"/>
  <c r="Q32" i="29"/>
  <c r="U32" i="29" s="1"/>
  <c r="N32" i="29"/>
  <c r="L32" i="29"/>
  <c r="K32" i="29"/>
  <c r="AK31" i="29"/>
  <c r="AJ31" i="29"/>
  <c r="AI31" i="29"/>
  <c r="AH31" i="29"/>
  <c r="AG31" i="29"/>
  <c r="AD31" i="29"/>
  <c r="AC31" i="29"/>
  <c r="X31" i="29"/>
  <c r="W31" i="29"/>
  <c r="V31" i="29"/>
  <c r="T31" i="29"/>
  <c r="S31" i="29"/>
  <c r="R31" i="29"/>
  <c r="P31" i="29"/>
  <c r="O31" i="29"/>
  <c r="M31" i="29"/>
  <c r="J31" i="29"/>
  <c r="AM30" i="29"/>
  <c r="AW30" i="29" s="1"/>
  <c r="AL30" i="29"/>
  <c r="AE30" i="29"/>
  <c r="AT30" i="29" s="1"/>
  <c r="Y30" i="29"/>
  <c r="AQ30" i="29" s="1"/>
  <c r="Q30" i="29"/>
  <c r="U30" i="29" s="1"/>
  <c r="AP30" i="29" s="1"/>
  <c r="N30" i="29"/>
  <c r="L30" i="29"/>
  <c r="K30" i="29"/>
  <c r="AM29" i="29"/>
  <c r="AW29" i="29" s="1"/>
  <c r="AL29" i="29"/>
  <c r="AE29" i="29"/>
  <c r="AE31" i="29" s="1"/>
  <c r="Y29" i="29"/>
  <c r="AQ29" i="29" s="1"/>
  <c r="Q29" i="29"/>
  <c r="U29" i="29" s="1"/>
  <c r="AP29" i="29" s="1"/>
  <c r="N29" i="29"/>
  <c r="N31" i="29" s="1"/>
  <c r="L29" i="29"/>
  <c r="L31" i="29" s="1"/>
  <c r="K29" i="29"/>
  <c r="AK28" i="29"/>
  <c r="AJ28" i="29"/>
  <c r="AI28" i="29"/>
  <c r="AH28" i="29"/>
  <c r="AG28" i="29"/>
  <c r="AD28" i="29"/>
  <c r="AC28" i="29"/>
  <c r="X28" i="29"/>
  <c r="W28" i="29"/>
  <c r="AA30" i="29" s="1"/>
  <c r="V28" i="29"/>
  <c r="T28" i="29"/>
  <c r="S28" i="29"/>
  <c r="R28" i="29"/>
  <c r="P28" i="29"/>
  <c r="O28" i="29"/>
  <c r="M28" i="29"/>
  <c r="J28" i="29"/>
  <c r="AM27" i="29"/>
  <c r="AW27" i="29" s="1"/>
  <c r="AL27" i="29"/>
  <c r="AE27" i="29"/>
  <c r="AT27" i="29" s="1"/>
  <c r="Y27" i="29"/>
  <c r="AQ27" i="29" s="1"/>
  <c r="Q27" i="29"/>
  <c r="U27" i="29" s="1"/>
  <c r="AB27" i="29" s="1"/>
  <c r="N27" i="29"/>
  <c r="L27" i="29"/>
  <c r="K27" i="29"/>
  <c r="AM26" i="29"/>
  <c r="AL26" i="29"/>
  <c r="AE26" i="29"/>
  <c r="Y26" i="29"/>
  <c r="Q26" i="29"/>
  <c r="N26" i="29"/>
  <c r="L26" i="29"/>
  <c r="L28" i="29" s="1"/>
  <c r="K26" i="29"/>
  <c r="AK25" i="29"/>
  <c r="AJ25" i="29"/>
  <c r="AI25" i="29"/>
  <c r="AH25" i="29"/>
  <c r="AG25" i="29"/>
  <c r="AD25" i="29"/>
  <c r="AC25" i="29"/>
  <c r="X25" i="29"/>
  <c r="W25" i="29"/>
  <c r="V25" i="29"/>
  <c r="T25" i="29"/>
  <c r="S25" i="29"/>
  <c r="R25" i="29"/>
  <c r="P25" i="29"/>
  <c r="O25" i="29"/>
  <c r="M25" i="29"/>
  <c r="J25" i="29"/>
  <c r="AM24" i="29"/>
  <c r="AW24" i="29" s="1"/>
  <c r="AL24" i="29"/>
  <c r="AV24" i="29" s="1"/>
  <c r="AE24" i="29"/>
  <c r="AT24" i="29" s="1"/>
  <c r="Y24" i="29"/>
  <c r="AQ24" i="29" s="1"/>
  <c r="Q24" i="29"/>
  <c r="U24" i="29" s="1"/>
  <c r="AB24" i="29" s="1"/>
  <c r="N24" i="29"/>
  <c r="L24" i="29"/>
  <c r="K24" i="29"/>
  <c r="AM23" i="29"/>
  <c r="AW23" i="29" s="1"/>
  <c r="AL23" i="29"/>
  <c r="AV23" i="29" s="1"/>
  <c r="AE23" i="29"/>
  <c r="Y23" i="29"/>
  <c r="AQ23" i="29" s="1"/>
  <c r="Q23" i="29"/>
  <c r="N23" i="29"/>
  <c r="N25" i="29" s="1"/>
  <c r="L23" i="29"/>
  <c r="K23" i="29"/>
  <c r="K25" i="29" s="1"/>
  <c r="AK22" i="29"/>
  <c r="AJ22" i="29"/>
  <c r="AI22" i="29"/>
  <c r="AH22" i="29"/>
  <c r="AG22" i="29"/>
  <c r="AD22" i="29"/>
  <c r="AC22" i="29"/>
  <c r="X22" i="29"/>
  <c r="W22" i="29"/>
  <c r="V22" i="29"/>
  <c r="T22" i="29"/>
  <c r="S22" i="29"/>
  <c r="R22" i="29"/>
  <c r="P22" i="29"/>
  <c r="O22" i="29"/>
  <c r="M22" i="29"/>
  <c r="J22" i="29"/>
  <c r="AM21" i="29"/>
  <c r="AW21" i="29" s="1"/>
  <c r="AL21" i="29"/>
  <c r="AV21" i="29" s="1"/>
  <c r="AE21" i="29"/>
  <c r="AT21" i="29" s="1"/>
  <c r="Y21" i="29"/>
  <c r="AQ21" i="29" s="1"/>
  <c r="Q21" i="29"/>
  <c r="U21" i="29" s="1"/>
  <c r="N21" i="29"/>
  <c r="L21" i="29"/>
  <c r="K21" i="29"/>
  <c r="AM20" i="29"/>
  <c r="AL20" i="29"/>
  <c r="AV20" i="29" s="1"/>
  <c r="AV22" i="29" s="1"/>
  <c r="AE20" i="29"/>
  <c r="AT20" i="29" s="1"/>
  <c r="Y20" i="29"/>
  <c r="AQ20" i="29" s="1"/>
  <c r="Q20" i="29"/>
  <c r="U20" i="29" s="1"/>
  <c r="N20" i="29"/>
  <c r="N22" i="29" s="1"/>
  <c r="L20" i="29"/>
  <c r="L22" i="29" s="1"/>
  <c r="K20" i="29"/>
  <c r="AK19" i="29"/>
  <c r="AJ19" i="29"/>
  <c r="AI19" i="29"/>
  <c r="AH19" i="29"/>
  <c r="AG19" i="29"/>
  <c r="AD19" i="29"/>
  <c r="AC19" i="29"/>
  <c r="X19" i="29"/>
  <c r="W19" i="29"/>
  <c r="V19" i="29"/>
  <c r="T19" i="29"/>
  <c r="S19" i="29"/>
  <c r="R19" i="29"/>
  <c r="P19" i="29"/>
  <c r="O19" i="29"/>
  <c r="M19" i="29"/>
  <c r="J19" i="29"/>
  <c r="AM18" i="29"/>
  <c r="AW18" i="29" s="1"/>
  <c r="AL18" i="29"/>
  <c r="AV18" i="29" s="1"/>
  <c r="AE18" i="29"/>
  <c r="AT18" i="29" s="1"/>
  <c r="Y18" i="29"/>
  <c r="AQ18" i="29" s="1"/>
  <c r="Q18" i="29"/>
  <c r="U18" i="29" s="1"/>
  <c r="AP18" i="29" s="1"/>
  <c r="N18" i="29"/>
  <c r="L18" i="29"/>
  <c r="K18" i="29"/>
  <c r="AM17" i="29"/>
  <c r="AW17" i="29" s="1"/>
  <c r="AW19" i="29" s="1"/>
  <c r="AL17" i="29"/>
  <c r="AE17" i="29"/>
  <c r="AE19" i="29" s="1"/>
  <c r="Y17" i="29"/>
  <c r="Y19" i="29" s="1"/>
  <c r="Q17" i="29"/>
  <c r="U17" i="29" s="1"/>
  <c r="N17" i="29"/>
  <c r="L17" i="29"/>
  <c r="K17" i="29"/>
  <c r="AK16" i="29"/>
  <c r="AJ16" i="29"/>
  <c r="AI16" i="29"/>
  <c r="AH16" i="29"/>
  <c r="AG16" i="29"/>
  <c r="AD16" i="29"/>
  <c r="AC16" i="29"/>
  <c r="X16" i="29"/>
  <c r="W16" i="29"/>
  <c r="V16" i="29"/>
  <c r="T16" i="29"/>
  <c r="S16" i="29"/>
  <c r="R16" i="29"/>
  <c r="P16" i="29"/>
  <c r="O16" i="29"/>
  <c r="M16" i="29"/>
  <c r="J16" i="29"/>
  <c r="AM15" i="29"/>
  <c r="AW15" i="29" s="1"/>
  <c r="AL15" i="29"/>
  <c r="AE15" i="29"/>
  <c r="Y15" i="29"/>
  <c r="Q15" i="29"/>
  <c r="U15" i="29" s="1"/>
  <c r="AP15" i="29" s="1"/>
  <c r="N15" i="29"/>
  <c r="L15" i="29"/>
  <c r="K15" i="29"/>
  <c r="AM14" i="29"/>
  <c r="AW14" i="29" s="1"/>
  <c r="AL14" i="29"/>
  <c r="AV14" i="29" s="1"/>
  <c r="AE14" i="29"/>
  <c r="Y14" i="29"/>
  <c r="Q14" i="29"/>
  <c r="U14" i="29" s="1"/>
  <c r="N14" i="29"/>
  <c r="L14" i="29"/>
  <c r="K14" i="29"/>
  <c r="K16" i="29" s="1"/>
  <c r="AK13" i="29"/>
  <c r="AJ13" i="29"/>
  <c r="AI13" i="29"/>
  <c r="AH13" i="29"/>
  <c r="AG13" i="29"/>
  <c r="AD13" i="29"/>
  <c r="AC13" i="29"/>
  <c r="X13" i="29"/>
  <c r="W13" i="29"/>
  <c r="V13" i="29"/>
  <c r="T13" i="29"/>
  <c r="S13" i="29"/>
  <c r="R13" i="29"/>
  <c r="P13" i="29"/>
  <c r="O13" i="29"/>
  <c r="M13" i="29"/>
  <c r="J13" i="29"/>
  <c r="AM12" i="29"/>
  <c r="AM197" i="29" s="1"/>
  <c r="AL12" i="29"/>
  <c r="AV12" i="29" s="1"/>
  <c r="AE12" i="29"/>
  <c r="AE197" i="29" s="1"/>
  <c r="Y12" i="29"/>
  <c r="Y197" i="29" s="1"/>
  <c r="Q12" i="29"/>
  <c r="Q197" i="29" s="1"/>
  <c r="N12" i="29"/>
  <c r="N197" i="29" s="1"/>
  <c r="L12" i="29"/>
  <c r="K12" i="29"/>
  <c r="K197" i="29" s="1"/>
  <c r="Q31" i="29" l="1"/>
  <c r="U31" i="29"/>
  <c r="AS56" i="29"/>
  <c r="I81" i="29"/>
  <c r="K53" i="29"/>
  <c r="AS84" i="29"/>
  <c r="I89" i="29"/>
  <c r="AU120" i="29"/>
  <c r="I144" i="29"/>
  <c r="AN145" i="29"/>
  <c r="AN168" i="29"/>
  <c r="N16" i="29"/>
  <c r="AN14" i="29"/>
  <c r="I18" i="29"/>
  <c r="AV25" i="29"/>
  <c r="N42" i="29"/>
  <c r="I43" i="29"/>
  <c r="I44" i="29"/>
  <c r="I83" i="29"/>
  <c r="I84" i="29"/>
  <c r="AS86" i="29"/>
  <c r="AA120" i="29"/>
  <c r="AR120" i="29" s="1"/>
  <c r="AS128" i="29"/>
  <c r="AN155" i="29"/>
  <c r="AU155" i="29" s="1"/>
  <c r="AB119" i="42"/>
  <c r="AS119" i="42" s="1"/>
  <c r="Z119" i="42"/>
  <c r="AN40" i="42"/>
  <c r="I70" i="42"/>
  <c r="AB101" i="42"/>
  <c r="AS101" i="42" s="1"/>
  <c r="AN119" i="42"/>
  <c r="I143" i="42"/>
  <c r="I13" i="42"/>
  <c r="AM115" i="42"/>
  <c r="I119" i="42"/>
  <c r="I160" i="42"/>
  <c r="Z160" i="42"/>
  <c r="AP160" i="42"/>
  <c r="I176" i="42"/>
  <c r="I178" i="42"/>
  <c r="AM52" i="42"/>
  <c r="N89" i="42"/>
  <c r="AR98" i="42"/>
  <c r="AN118" i="42"/>
  <c r="AN126" i="42"/>
  <c r="AU126" i="42" s="1"/>
  <c r="AW151" i="42"/>
  <c r="I180" i="42"/>
  <c r="I182" i="42"/>
  <c r="Z187" i="42"/>
  <c r="I193" i="42"/>
  <c r="AB13" i="42"/>
  <c r="I40" i="42"/>
  <c r="AV79" i="42"/>
  <c r="I103" i="42"/>
  <c r="AA109" i="42"/>
  <c r="AP109" i="42"/>
  <c r="AT134" i="42"/>
  <c r="AW177" i="42"/>
  <c r="Y30" i="42"/>
  <c r="Y38" i="42"/>
  <c r="I37" i="42"/>
  <c r="I61" i="42"/>
  <c r="I72" i="42"/>
  <c r="N76" i="42"/>
  <c r="I111" i="42"/>
  <c r="I148" i="42"/>
  <c r="I158" i="42"/>
  <c r="I168" i="42"/>
  <c r="I171" i="42"/>
  <c r="AN194" i="42"/>
  <c r="X248" i="41"/>
  <c r="I43" i="41"/>
  <c r="I44" i="41"/>
  <c r="AN47" i="41"/>
  <c r="AU47" i="41" s="1"/>
  <c r="AE63" i="41"/>
  <c r="I108" i="41"/>
  <c r="I109" i="41"/>
  <c r="AB129" i="41"/>
  <c r="AS129" i="41" s="1"/>
  <c r="AP129" i="41"/>
  <c r="T248" i="41"/>
  <c r="AS72" i="41"/>
  <c r="AS73" i="41"/>
  <c r="Z140" i="41"/>
  <c r="AJ248" i="41"/>
  <c r="I53" i="41"/>
  <c r="K104" i="41"/>
  <c r="AR103" i="41"/>
  <c r="I120" i="41"/>
  <c r="I133" i="41"/>
  <c r="L85" i="41"/>
  <c r="X146" i="41"/>
  <c r="I24" i="41"/>
  <c r="I25" i="41"/>
  <c r="AN58" i="41"/>
  <c r="AU58" i="41" s="1"/>
  <c r="N81" i="41"/>
  <c r="AV80" i="41"/>
  <c r="AN90" i="41"/>
  <c r="AU90" i="41" s="1"/>
  <c r="AN91" i="41"/>
  <c r="AU91" i="41" s="1"/>
  <c r="AS94" i="41"/>
  <c r="Z100" i="41"/>
  <c r="L104" i="41"/>
  <c r="AB112" i="41"/>
  <c r="AS112" i="41" s="1"/>
  <c r="I113" i="41"/>
  <c r="I116" i="41"/>
  <c r="I117" i="41"/>
  <c r="K130" i="41"/>
  <c r="Z12" i="41"/>
  <c r="I14" i="41"/>
  <c r="I20" i="41"/>
  <c r="Z43" i="41"/>
  <c r="AN46" i="41"/>
  <c r="AE67" i="41"/>
  <c r="AN68" i="41"/>
  <c r="AS84" i="41"/>
  <c r="Q101" i="41"/>
  <c r="AB100" i="41"/>
  <c r="AS100" i="41" s="1"/>
  <c r="AN114" i="41"/>
  <c r="AU114" i="41" s="1"/>
  <c r="AN137" i="41"/>
  <c r="AN138" i="41"/>
  <c r="AN139" i="41"/>
  <c r="AU139" i="41" s="1"/>
  <c r="I67" i="40"/>
  <c r="N126" i="40"/>
  <c r="K176" i="40"/>
  <c r="I57" i="40"/>
  <c r="AW96" i="40"/>
  <c r="Q23" i="40"/>
  <c r="I39" i="40"/>
  <c r="AA61" i="40"/>
  <c r="I76" i="40"/>
  <c r="I78" i="40"/>
  <c r="Y100" i="40"/>
  <c r="I137" i="40"/>
  <c r="I138" i="40"/>
  <c r="U20" i="40"/>
  <c r="Z20" i="40" s="1"/>
  <c r="I50" i="40"/>
  <c r="L59" i="40"/>
  <c r="AE59" i="40"/>
  <c r="I60" i="40"/>
  <c r="AA75" i="40"/>
  <c r="I79" i="40"/>
  <c r="I80" i="40" s="1"/>
  <c r="Y90" i="40"/>
  <c r="I89" i="40"/>
  <c r="I105" i="40"/>
  <c r="I120" i="40"/>
  <c r="Z121" i="40"/>
  <c r="K126" i="40"/>
  <c r="Z128" i="40"/>
  <c r="I135" i="40"/>
  <c r="AA145" i="40"/>
  <c r="AR145" i="40" s="1"/>
  <c r="AP145" i="40"/>
  <c r="K117" i="40"/>
  <c r="AU18" i="40"/>
  <c r="Q170" i="40"/>
  <c r="Q73" i="40"/>
  <c r="AA74" i="40"/>
  <c r="AA88" i="40"/>
  <c r="AR88" i="40" s="1"/>
  <c r="I107" i="40"/>
  <c r="I108" i="40" s="1"/>
  <c r="L123" i="40"/>
  <c r="AM163" i="40"/>
  <c r="AS13" i="40"/>
  <c r="I22" i="40"/>
  <c r="AT24" i="40"/>
  <c r="N175" i="40"/>
  <c r="AL175" i="40"/>
  <c r="I56" i="40"/>
  <c r="I68" i="40"/>
  <c r="AE80" i="40"/>
  <c r="N90" i="40"/>
  <c r="AQ88" i="40"/>
  <c r="AQ90" i="40" s="1"/>
  <c r="AN91" i="40"/>
  <c r="I94" i="40"/>
  <c r="I95" i="40"/>
  <c r="AU102" i="40"/>
  <c r="AN102" i="40"/>
  <c r="AT107" i="40"/>
  <c r="AT108" i="40" s="1"/>
  <c r="AE123" i="40"/>
  <c r="I140" i="40"/>
  <c r="Z141" i="40"/>
  <c r="AA148" i="40"/>
  <c r="AP148" i="40"/>
  <c r="I154" i="40"/>
  <c r="K163" i="40"/>
  <c r="Q36" i="39"/>
  <c r="U107" i="39"/>
  <c r="AN113" i="39"/>
  <c r="AL136" i="39"/>
  <c r="N134" i="39"/>
  <c r="AV45" i="39"/>
  <c r="AV46" i="39" s="1"/>
  <c r="I83" i="39"/>
  <c r="AN28" i="39"/>
  <c r="AU28" i="39" s="1"/>
  <c r="I41" i="39"/>
  <c r="U43" i="39"/>
  <c r="Z43" i="39" s="1"/>
  <c r="AB22" i="39"/>
  <c r="Z22" i="39"/>
  <c r="AF22" i="39" s="1"/>
  <c r="I17" i="39"/>
  <c r="AV28" i="39"/>
  <c r="I39" i="39"/>
  <c r="I40" i="39"/>
  <c r="I76" i="39"/>
  <c r="Z83" i="39"/>
  <c r="Z98" i="39"/>
  <c r="I108" i="39"/>
  <c r="Z113" i="39"/>
  <c r="I120" i="39"/>
  <c r="Z121" i="39"/>
  <c r="Z20" i="39"/>
  <c r="Z48" i="39"/>
  <c r="K65" i="39"/>
  <c r="AW63" i="39"/>
  <c r="I91" i="39"/>
  <c r="Z91" i="39"/>
  <c r="I98" i="39"/>
  <c r="I104" i="39"/>
  <c r="AB106" i="39"/>
  <c r="AS106" i="39" s="1"/>
  <c r="AM30" i="39"/>
  <c r="K30" i="39"/>
  <c r="AN27" i="39"/>
  <c r="AM50" i="39"/>
  <c r="AN55" i="39"/>
  <c r="AU55" i="39" s="1"/>
  <c r="U57" i="39"/>
  <c r="AN62" i="39"/>
  <c r="AS90" i="39"/>
  <c r="AA90" i="39"/>
  <c r="AR90" i="39" s="1"/>
  <c r="AN90" i="39"/>
  <c r="I102" i="39"/>
  <c r="I116" i="39"/>
  <c r="I57" i="32"/>
  <c r="I189" i="32"/>
  <c r="AN251" i="32"/>
  <c r="Z71" i="32"/>
  <c r="AU249" i="32"/>
  <c r="I103" i="32"/>
  <c r="I143" i="32"/>
  <c r="I144" i="32" s="1"/>
  <c r="K15" i="31"/>
  <c r="I71" i="31"/>
  <c r="AN30" i="31"/>
  <c r="AR71" i="31"/>
  <c r="AW23" i="31"/>
  <c r="AW86" i="31" s="1"/>
  <c r="AE42" i="31"/>
  <c r="AS58" i="31"/>
  <c r="N72" i="31"/>
  <c r="AE72" i="31"/>
  <c r="N56" i="31"/>
  <c r="AN16" i="31"/>
  <c r="AW18" i="31"/>
  <c r="AS28" i="31"/>
  <c r="N42" i="31"/>
  <c r="I59" i="31"/>
  <c r="I62" i="31"/>
  <c r="AN62" i="31"/>
  <c r="AN64" i="31"/>
  <c r="I56" i="30"/>
  <c r="AN59" i="30"/>
  <c r="I46" i="30"/>
  <c r="AA47" i="30"/>
  <c r="AR47" i="30" s="1"/>
  <c r="AP47" i="30"/>
  <c r="Y74" i="30"/>
  <c r="I22" i="30"/>
  <c r="AS41" i="30"/>
  <c r="AA45" i="30"/>
  <c r="AP45" i="30"/>
  <c r="Y84" i="30"/>
  <c r="I87" i="30"/>
  <c r="AT16" i="30"/>
  <c r="I20" i="30"/>
  <c r="I27" i="30"/>
  <c r="AA31" i="30"/>
  <c r="AR31" i="30" s="1"/>
  <c r="AP31" i="30"/>
  <c r="I47" i="30"/>
  <c r="AN58" i="30"/>
  <c r="AN72" i="30"/>
  <c r="AN74" i="30" s="1"/>
  <c r="I21" i="30"/>
  <c r="AT29" i="30"/>
  <c r="AT30" i="30" s="1"/>
  <c r="I38" i="30"/>
  <c r="I57" i="30"/>
  <c r="AN64" i="30"/>
  <c r="AU64" i="30" s="1"/>
  <c r="AN70" i="30"/>
  <c r="AU70" i="30" s="1"/>
  <c r="AN73" i="30"/>
  <c r="AU73" i="30" s="1"/>
  <c r="L80" i="30"/>
  <c r="N88" i="29"/>
  <c r="I15" i="29"/>
  <c r="N19" i="29"/>
  <c r="I27" i="29"/>
  <c r="AR44" i="29"/>
  <c r="I60" i="29"/>
  <c r="Y68" i="29"/>
  <c r="AN80" i="29"/>
  <c r="AU80" i="29" s="1"/>
  <c r="Q88" i="29"/>
  <c r="AS91" i="29"/>
  <c r="AA91" i="29"/>
  <c r="AP91" i="29"/>
  <c r="AN103" i="29"/>
  <c r="Z105" i="29"/>
  <c r="L118" i="29"/>
  <c r="Z116" i="29"/>
  <c r="I127" i="29"/>
  <c r="L140" i="29"/>
  <c r="AN137" i="29"/>
  <c r="AU137" i="29" s="1"/>
  <c r="AA142" i="29"/>
  <c r="AR142" i="29" s="1"/>
  <c r="AN142" i="29"/>
  <c r="AU142" i="29" s="1"/>
  <c r="AA155" i="29"/>
  <c r="AE160" i="29"/>
  <c r="I163" i="29"/>
  <c r="Y167" i="29"/>
  <c r="AL160" i="29"/>
  <c r="AN72" i="29"/>
  <c r="AA110" i="29"/>
  <c r="AR110" i="29" s="1"/>
  <c r="K124" i="29"/>
  <c r="AL147" i="29"/>
  <c r="AU145" i="29"/>
  <c r="AA165" i="29"/>
  <c r="AR165" i="29" s="1"/>
  <c r="AP165" i="29"/>
  <c r="AN172" i="29"/>
  <c r="AU172" i="29" s="1"/>
  <c r="I17" i="29"/>
  <c r="I30" i="29"/>
  <c r="Z33" i="29"/>
  <c r="AT38" i="29"/>
  <c r="I37" i="29"/>
  <c r="I67" i="29"/>
  <c r="Y71" i="29"/>
  <c r="I74" i="29"/>
  <c r="AT88" i="29"/>
  <c r="I86" i="29"/>
  <c r="AN86" i="29"/>
  <c r="AA92" i="29"/>
  <c r="AR92" i="29" s="1"/>
  <c r="Z93" i="29"/>
  <c r="I99" i="29"/>
  <c r="AB105" i="29"/>
  <c r="AS105" i="29" s="1"/>
  <c r="AA108" i="29"/>
  <c r="AR108" i="29" s="1"/>
  <c r="K132" i="29"/>
  <c r="Z139" i="29"/>
  <c r="L156" i="29"/>
  <c r="AN157" i="29"/>
  <c r="AU157" i="29" s="1"/>
  <c r="I166" i="29"/>
  <c r="AN171" i="29"/>
  <c r="I175" i="29"/>
  <c r="AV197" i="29"/>
  <c r="AV13" i="29"/>
  <c r="AQ62" i="29"/>
  <c r="AN70" i="29"/>
  <c r="AU70" i="29" s="1"/>
  <c r="AW70" i="29"/>
  <c r="AB99" i="29"/>
  <c r="AS99" i="29" s="1"/>
  <c r="Z99" i="29"/>
  <c r="AE132" i="29"/>
  <c r="Z48" i="29"/>
  <c r="AS55" i="29"/>
  <c r="U83" i="29"/>
  <c r="AB83" i="29" s="1"/>
  <c r="AS83" i="29" s="1"/>
  <c r="AP108" i="29"/>
  <c r="AN109" i="29"/>
  <c r="AV109" i="29"/>
  <c r="AN110" i="29"/>
  <c r="AQ139" i="29"/>
  <c r="AQ140" i="29" s="1"/>
  <c r="AN154" i="29"/>
  <c r="AU154" i="29" s="1"/>
  <c r="AT22" i="29"/>
  <c r="AV133" i="29"/>
  <c r="AV140" i="29" s="1"/>
  <c r="AL140" i="29"/>
  <c r="L188" i="29"/>
  <c r="N57" i="29"/>
  <c r="AN96" i="29"/>
  <c r="AU96" i="29" s="1"/>
  <c r="AL170" i="29"/>
  <c r="AN60" i="29"/>
  <c r="AL64" i="29"/>
  <c r="AE68" i="29"/>
  <c r="AS97" i="29"/>
  <c r="AN119" i="29"/>
  <c r="AU119" i="29" s="1"/>
  <c r="Y176" i="29"/>
  <c r="AN177" i="29"/>
  <c r="U19" i="29"/>
  <c r="AP143" i="29"/>
  <c r="AA143" i="29"/>
  <c r="AR143" i="29" s="1"/>
  <c r="U12" i="29"/>
  <c r="AE188" i="29"/>
  <c r="AE42" i="29"/>
  <c r="AN48" i="29"/>
  <c r="AU48" i="29" s="1"/>
  <c r="L100" i="29"/>
  <c r="AG187" i="29"/>
  <c r="Q38" i="29"/>
  <c r="U35" i="29"/>
  <c r="AB35" i="29" s="1"/>
  <c r="AB38" i="29" s="1"/>
  <c r="N68" i="29"/>
  <c r="AN84" i="29"/>
  <c r="AA111" i="29"/>
  <c r="AR111" i="29" s="1"/>
  <c r="AP111" i="29"/>
  <c r="AW145" i="29"/>
  <c r="AN146" i="29"/>
  <c r="AQ176" i="29"/>
  <c r="AV171" i="29"/>
  <c r="Z173" i="29"/>
  <c r="AN173" i="29"/>
  <c r="AU173" i="29" s="1"/>
  <c r="I21" i="29"/>
  <c r="AE25" i="29"/>
  <c r="AL28" i="29"/>
  <c r="AN26" i="29"/>
  <c r="I29" i="29"/>
  <c r="I36" i="29"/>
  <c r="Y46" i="29"/>
  <c r="AQ50" i="29"/>
  <c r="AS48" i="29"/>
  <c r="AS52" i="29"/>
  <c r="Y57" i="29"/>
  <c r="AL61" i="29"/>
  <c r="AN58" i="29"/>
  <c r="AU58" i="29" s="1"/>
  <c r="I59" i="29"/>
  <c r="Q64" i="29"/>
  <c r="U62" i="29"/>
  <c r="AQ76" i="29"/>
  <c r="I85" i="29"/>
  <c r="AS85" i="29"/>
  <c r="U89" i="29"/>
  <c r="Z89" i="29" s="1"/>
  <c r="Q94" i="29"/>
  <c r="AA90" i="29"/>
  <c r="AR90" i="29" s="1"/>
  <c r="AB92" i="29"/>
  <c r="AS92" i="29" s="1"/>
  <c r="Z92" i="29"/>
  <c r="I98" i="29"/>
  <c r="AS98" i="29"/>
  <c r="N112" i="29"/>
  <c r="AN108" i="29"/>
  <c r="AP109" i="29"/>
  <c r="AE112" i="29"/>
  <c r="AN116" i="29"/>
  <c r="AS138" i="29"/>
  <c r="AV143" i="29"/>
  <c r="AN143" i="29"/>
  <c r="AU143" i="29" s="1"/>
  <c r="Q156" i="29"/>
  <c r="AW155" i="29"/>
  <c r="AW156" i="29" s="1"/>
  <c r="AU158" i="29"/>
  <c r="L167" i="29"/>
  <c r="AE167" i="29"/>
  <c r="Y191" i="29"/>
  <c r="AV168" i="29"/>
  <c r="AV170" i="29" s="1"/>
  <c r="AS179" i="29"/>
  <c r="AS180" i="29"/>
  <c r="AA180" i="29"/>
  <c r="AP180" i="29"/>
  <c r="AN182" i="29"/>
  <c r="X184" i="29"/>
  <c r="Q15" i="45" s="1"/>
  <c r="AN15" i="29"/>
  <c r="AN16" i="29" s="1"/>
  <c r="K22" i="29"/>
  <c r="AQ22" i="29"/>
  <c r="AQ25" i="29"/>
  <c r="Y28" i="29"/>
  <c r="AW31" i="29"/>
  <c r="Z32" i="29"/>
  <c r="I35" i="29"/>
  <c r="AM46" i="29"/>
  <c r="L50" i="29"/>
  <c r="AE50" i="29"/>
  <c r="I48" i="29"/>
  <c r="N53" i="29"/>
  <c r="AT53" i="29"/>
  <c r="L88" i="29"/>
  <c r="I87" i="29"/>
  <c r="AN87" i="29"/>
  <c r="AU87" i="29" s="1"/>
  <c r="AN91" i="29"/>
  <c r="I97" i="29"/>
  <c r="AU116" i="29"/>
  <c r="Z137" i="29"/>
  <c r="AS139" i="29"/>
  <c r="I143" i="29"/>
  <c r="AN149" i="29"/>
  <c r="AU149" i="29" s="1"/>
  <c r="N160" i="29"/>
  <c r="AN158" i="29"/>
  <c r="K170" i="29"/>
  <c r="K176" i="29"/>
  <c r="AM176" i="29"/>
  <c r="I180" i="29"/>
  <c r="AT28" i="30"/>
  <c r="L44" i="30"/>
  <c r="AM17" i="30"/>
  <c r="AQ72" i="30"/>
  <c r="AQ74" i="30" s="1"/>
  <c r="AL80" i="30"/>
  <c r="L103" i="30"/>
  <c r="AS13" i="30"/>
  <c r="AW44" i="30"/>
  <c r="AN53" i="30"/>
  <c r="L84" i="30"/>
  <c r="AW16" i="30"/>
  <c r="AW17" i="30" s="1"/>
  <c r="AM28" i="30"/>
  <c r="Z41" i="30"/>
  <c r="AP41" i="30"/>
  <c r="AE48" i="30"/>
  <c r="AN49" i="30"/>
  <c r="AU49" i="30" s="1"/>
  <c r="AS53" i="30"/>
  <c r="AV58" i="30"/>
  <c r="Y65" i="30"/>
  <c r="AS83" i="30"/>
  <c r="Y30" i="30"/>
  <c r="K48" i="30"/>
  <c r="AW49" i="30"/>
  <c r="AS59" i="30"/>
  <c r="N65" i="30"/>
  <c r="AW74" i="30"/>
  <c r="AV73" i="30"/>
  <c r="Y80" i="30"/>
  <c r="AQ76" i="30"/>
  <c r="AQ80" i="30" s="1"/>
  <c r="AS87" i="30"/>
  <c r="N98" i="30"/>
  <c r="AA95" i="30"/>
  <c r="AR95" i="30" s="1"/>
  <c r="AJ102" i="30"/>
  <c r="AE15" i="31"/>
  <c r="AN13" i="31"/>
  <c r="AU13" i="31" s="1"/>
  <c r="I32" i="31"/>
  <c r="AE37" i="31"/>
  <c r="AW40" i="31"/>
  <c r="AW42" i="31" s="1"/>
  <c r="AL47" i="31"/>
  <c r="AQ51" i="31"/>
  <c r="AW62" i="31"/>
  <c r="N18" i="31"/>
  <c r="I19" i="31"/>
  <c r="AE22" i="31"/>
  <c r="I20" i="31"/>
  <c r="AS21" i="31"/>
  <c r="K24" i="31"/>
  <c r="AS26" i="31"/>
  <c r="AN26" i="31"/>
  <c r="I33" i="31"/>
  <c r="Z33" i="31"/>
  <c r="AP41" i="31"/>
  <c r="K47" i="31"/>
  <c r="L51" i="31"/>
  <c r="I49" i="31"/>
  <c r="AS50" i="31"/>
  <c r="Y51" i="31"/>
  <c r="AP53" i="31"/>
  <c r="L63" i="31"/>
  <c r="AQ72" i="31"/>
  <c r="N39" i="31"/>
  <c r="AN17" i="31"/>
  <c r="AU17" i="31" s="1"/>
  <c r="AM18" i="31"/>
  <c r="Y22" i="31"/>
  <c r="AU26" i="31"/>
  <c r="AA30" i="31"/>
  <c r="AR30" i="31" s="1"/>
  <c r="AS34" i="31"/>
  <c r="AR36" i="31"/>
  <c r="AL42" i="31"/>
  <c r="AE80" i="31"/>
  <c r="AN46" i="31"/>
  <c r="AU46" i="31" s="1"/>
  <c r="N51" i="31"/>
  <c r="I60" i="31"/>
  <c r="AN61" i="31"/>
  <c r="AT72" i="31"/>
  <c r="AN70" i="31"/>
  <c r="I285" i="32"/>
  <c r="N313" i="32"/>
  <c r="AV309" i="32"/>
  <c r="AL313" i="32"/>
  <c r="AS104" i="32"/>
  <c r="AA146" i="32"/>
  <c r="AP146" i="32"/>
  <c r="Q313" i="32"/>
  <c r="AM313" i="32"/>
  <c r="I52" i="32"/>
  <c r="I54" i="32"/>
  <c r="Z60" i="32"/>
  <c r="Z62" i="32"/>
  <c r="I75" i="32"/>
  <c r="I134" i="32"/>
  <c r="I141" i="32"/>
  <c r="I154" i="32"/>
  <c r="AN160" i="32"/>
  <c r="AN161" i="32"/>
  <c r="AU161" i="32" s="1"/>
  <c r="AA214" i="32"/>
  <c r="AR214" i="32" s="1"/>
  <c r="AP214" i="32"/>
  <c r="Z215" i="32"/>
  <c r="I248" i="32"/>
  <c r="I249" i="32"/>
  <c r="AB19" i="39"/>
  <c r="AS19" i="39" s="1"/>
  <c r="Z19" i="39"/>
  <c r="N136" i="39"/>
  <c r="AE133" i="39"/>
  <c r="AL24" i="39"/>
  <c r="AN21" i="39"/>
  <c r="AU21" i="39" s="1"/>
  <c r="K42" i="39"/>
  <c r="AM135" i="39"/>
  <c r="AN45" i="39"/>
  <c r="AN46" i="39" s="1"/>
  <c r="L50" i="39"/>
  <c r="Y50" i="39"/>
  <c r="AA55" i="39"/>
  <c r="AR55" i="39" s="1"/>
  <c r="N72" i="39"/>
  <c r="I85" i="39"/>
  <c r="AA91" i="39"/>
  <c r="AR91" i="39" s="1"/>
  <c r="AN91" i="39"/>
  <c r="AU91" i="39" s="1"/>
  <c r="I97" i="39"/>
  <c r="AS109" i="39"/>
  <c r="AU113" i="39"/>
  <c r="Q136" i="39"/>
  <c r="AN16" i="39"/>
  <c r="AU16" i="39" s="1"/>
  <c r="AE30" i="39"/>
  <c r="AT36" i="39"/>
  <c r="AS35" i="39"/>
  <c r="AW56" i="39"/>
  <c r="AN101" i="39"/>
  <c r="AU101" i="39" s="1"/>
  <c r="AN110" i="39"/>
  <c r="AW100" i="39"/>
  <c r="AS119" i="39"/>
  <c r="U12" i="39"/>
  <c r="AB12" i="39" s="1"/>
  <c r="AM136" i="39"/>
  <c r="I14" i="39"/>
  <c r="I18" i="39" s="1"/>
  <c r="AN20" i="39"/>
  <c r="AU20" i="39" s="1"/>
  <c r="N36" i="39"/>
  <c r="L36" i="39"/>
  <c r="N129" i="39"/>
  <c r="AE135" i="39"/>
  <c r="K56" i="39"/>
  <c r="AP51" i="39"/>
  <c r="I53" i="39"/>
  <c r="AP54" i="39"/>
  <c r="AN61" i="39"/>
  <c r="I84" i="39"/>
  <c r="Z84" i="39"/>
  <c r="I87" i="39"/>
  <c r="K93" i="39"/>
  <c r="I105" i="39"/>
  <c r="N117" i="39"/>
  <c r="I118" i="39"/>
  <c r="AN121" i="39"/>
  <c r="K15" i="40"/>
  <c r="AL19" i="40"/>
  <c r="AN28" i="40"/>
  <c r="AN172" i="40" s="1"/>
  <c r="K44" i="40"/>
  <c r="L176" i="40"/>
  <c r="AE176" i="40"/>
  <c r="L87" i="40"/>
  <c r="Z81" i="40"/>
  <c r="AN81" i="40"/>
  <c r="AU81" i="40" s="1"/>
  <c r="I82" i="40"/>
  <c r="Z82" i="40"/>
  <c r="AN82" i="40"/>
  <c r="AU82" i="40" s="1"/>
  <c r="Z105" i="40"/>
  <c r="Y108" i="40"/>
  <c r="N113" i="40"/>
  <c r="N129" i="40"/>
  <c r="AE150" i="40"/>
  <c r="AQ163" i="40"/>
  <c r="V167" i="40"/>
  <c r="AK167" i="40"/>
  <c r="N19" i="40"/>
  <c r="AQ19" i="40"/>
  <c r="L23" i="40"/>
  <c r="N169" i="40"/>
  <c r="AL15" i="40"/>
  <c r="AN14" i="40"/>
  <c r="Q19" i="40"/>
  <c r="I18" i="40"/>
  <c r="I19" i="40" s="1"/>
  <c r="AV18" i="40"/>
  <c r="AE23" i="40"/>
  <c r="N23" i="40"/>
  <c r="L25" i="40"/>
  <c r="AM32" i="40"/>
  <c r="AV28" i="40"/>
  <c r="AV172" i="40" s="1"/>
  <c r="AN29" i="40"/>
  <c r="L170" i="40"/>
  <c r="AT44" i="40"/>
  <c r="AN40" i="40"/>
  <c r="AU40" i="40" s="1"/>
  <c r="I42" i="40"/>
  <c r="AN43" i="40"/>
  <c r="AU43" i="40" s="1"/>
  <c r="I45" i="40"/>
  <c r="AA79" i="40"/>
  <c r="Q96" i="40"/>
  <c r="N100" i="40"/>
  <c r="AQ105" i="40"/>
  <c r="AQ106" i="40" s="1"/>
  <c r="Y113" i="40"/>
  <c r="AT117" i="40"/>
  <c r="AQ117" i="40"/>
  <c r="AN115" i="40"/>
  <c r="L143" i="40"/>
  <c r="AA162" i="40"/>
  <c r="AR162" i="40" s="1"/>
  <c r="AN162" i="40"/>
  <c r="AU162" i="40" s="1"/>
  <c r="K150" i="40"/>
  <c r="I13" i="40"/>
  <c r="I16" i="40"/>
  <c r="AN16" i="40"/>
  <c r="AU16" i="40" s="1"/>
  <c r="I24" i="40"/>
  <c r="AM177" i="40"/>
  <c r="AW28" i="40"/>
  <c r="AW172" i="40" s="1"/>
  <c r="I31" i="40"/>
  <c r="N170" i="40"/>
  <c r="I34" i="40"/>
  <c r="I35" i="40"/>
  <c r="N44" i="40"/>
  <c r="AL44" i="40"/>
  <c r="I47" i="40"/>
  <c r="Q176" i="40"/>
  <c r="AM176" i="40"/>
  <c r="K59" i="40"/>
  <c r="AT54" i="40"/>
  <c r="AT59" i="40" s="1"/>
  <c r="N171" i="40"/>
  <c r="I61" i="40"/>
  <c r="Z61" i="40"/>
  <c r="I63" i="40"/>
  <c r="N73" i="40"/>
  <c r="I70" i="40"/>
  <c r="I71" i="40"/>
  <c r="I75" i="40"/>
  <c r="Z75" i="40"/>
  <c r="AF75" i="40" s="1"/>
  <c r="Q100" i="40"/>
  <c r="I104" i="40"/>
  <c r="L113" i="40"/>
  <c r="AE113" i="40"/>
  <c r="I110" i="40"/>
  <c r="Z120" i="40"/>
  <c r="I122" i="40"/>
  <c r="Y129" i="40"/>
  <c r="I132" i="40"/>
  <c r="I141" i="40"/>
  <c r="U150" i="40"/>
  <c r="AA149" i="40"/>
  <c r="AP149" i="40"/>
  <c r="AW160" i="40"/>
  <c r="AW163" i="40" s="1"/>
  <c r="AR161" i="40"/>
  <c r="Y163" i="40"/>
  <c r="AS120" i="41"/>
  <c r="AB119" i="41"/>
  <c r="AS119" i="41" s="1"/>
  <c r="Z119" i="41"/>
  <c r="Z136" i="41"/>
  <c r="I19" i="41"/>
  <c r="I21" i="41" s="1"/>
  <c r="K27" i="41"/>
  <c r="L150" i="41"/>
  <c r="AT61" i="41"/>
  <c r="AT63" i="41" s="1"/>
  <c r="AP65" i="41"/>
  <c r="AN69" i="41"/>
  <c r="I73" i="41"/>
  <c r="I75" i="41"/>
  <c r="AN75" i="41"/>
  <c r="AN79" i="41"/>
  <c r="AU79" i="41" s="1"/>
  <c r="I84" i="41"/>
  <c r="AS99" i="41"/>
  <c r="AA99" i="41"/>
  <c r="AR99" i="41" s="1"/>
  <c r="U101" i="41"/>
  <c r="Y101" i="41"/>
  <c r="I102" i="41"/>
  <c r="I106" i="41"/>
  <c r="Z107" i="41"/>
  <c r="I110" i="41"/>
  <c r="AL111" i="41"/>
  <c r="AR112" i="41"/>
  <c r="Z129" i="41"/>
  <c r="AA131" i="41"/>
  <c r="AF131" i="41" s="1"/>
  <c r="AP131" i="41"/>
  <c r="I134" i="41"/>
  <c r="N154" i="41"/>
  <c r="AQ38" i="41"/>
  <c r="Y148" i="41"/>
  <c r="AN17" i="41"/>
  <c r="AE154" i="41"/>
  <c r="AN37" i="41"/>
  <c r="N89" i="41"/>
  <c r="AN133" i="41"/>
  <c r="AN136" i="41"/>
  <c r="L148" i="41"/>
  <c r="Y32" i="41"/>
  <c r="K38" i="41"/>
  <c r="AN35" i="41"/>
  <c r="I54" i="41"/>
  <c r="I61" i="41"/>
  <c r="I63" i="41" s="1"/>
  <c r="AW63" i="41"/>
  <c r="AW67" i="41"/>
  <c r="N74" i="41"/>
  <c r="I78" i="41"/>
  <c r="AA78" i="41"/>
  <c r="AR78" i="41" s="1"/>
  <c r="AA115" i="41"/>
  <c r="AR115" i="41" s="1"/>
  <c r="Z131" i="41"/>
  <c r="AV138" i="41"/>
  <c r="AV142" i="41" s="1"/>
  <c r="AD146" i="41"/>
  <c r="AL41" i="42"/>
  <c r="AN39" i="42"/>
  <c r="AW120" i="42"/>
  <c r="AN120" i="42"/>
  <c r="AU120" i="42" s="1"/>
  <c r="AW139" i="42"/>
  <c r="AN139" i="42"/>
  <c r="I12" i="42"/>
  <c r="AW30" i="42"/>
  <c r="AB195" i="42"/>
  <c r="AA195" i="42"/>
  <c r="I25" i="42"/>
  <c r="I29" i="42"/>
  <c r="K34" i="42"/>
  <c r="AN31" i="42"/>
  <c r="AM34" i="42"/>
  <c r="AB38" i="42"/>
  <c r="AN35" i="42"/>
  <c r="AW39" i="42"/>
  <c r="Q52" i="42"/>
  <c r="Z49" i="42"/>
  <c r="L76" i="42"/>
  <c r="AB82" i="42"/>
  <c r="AS82" i="42" s="1"/>
  <c r="Z82" i="42"/>
  <c r="AW82" i="42"/>
  <c r="AN82" i="42"/>
  <c r="AU82" i="42" s="1"/>
  <c r="AV86" i="42"/>
  <c r="AV89" i="42" s="1"/>
  <c r="AL89" i="42"/>
  <c r="AS139" i="42"/>
  <c r="Y155" i="42"/>
  <c r="AV192" i="42"/>
  <c r="AN192" i="42"/>
  <c r="AU192" i="42" s="1"/>
  <c r="AW185" i="42"/>
  <c r="AN185" i="42"/>
  <c r="AU185" i="42" s="1"/>
  <c r="N38" i="42"/>
  <c r="AL44" i="42"/>
  <c r="AQ132" i="42"/>
  <c r="AQ134" i="42" s="1"/>
  <c r="Y134" i="42"/>
  <c r="L161" i="42"/>
  <c r="AQ160" i="42"/>
  <c r="AW162" i="42"/>
  <c r="AW164" i="42" s="1"/>
  <c r="AB175" i="42"/>
  <c r="AS175" i="42" s="1"/>
  <c r="AP175" i="42"/>
  <c r="L203" i="42"/>
  <c r="I19" i="42"/>
  <c r="AW22" i="42"/>
  <c r="Z37" i="42"/>
  <c r="L41" i="42"/>
  <c r="AB62" i="42"/>
  <c r="AS62" i="42" s="1"/>
  <c r="Z62" i="42"/>
  <c r="Y76" i="42"/>
  <c r="K209" i="42"/>
  <c r="K78" i="42"/>
  <c r="I77" i="42"/>
  <c r="I209" i="42" s="1"/>
  <c r="Y209" i="42"/>
  <c r="Y78" i="42"/>
  <c r="Q85" i="42"/>
  <c r="U79" i="42"/>
  <c r="AA79" i="42" s="1"/>
  <c r="AA97" i="42"/>
  <c r="AR97" i="42" s="1"/>
  <c r="AS109" i="42"/>
  <c r="AW116" i="42"/>
  <c r="AN116" i="42"/>
  <c r="AU116" i="42" s="1"/>
  <c r="AN162" i="42"/>
  <c r="AU162" i="42" s="1"/>
  <c r="N170" i="42"/>
  <c r="AN51" i="42"/>
  <c r="I53" i="42"/>
  <c r="AN61" i="42"/>
  <c r="AU61" i="42" s="1"/>
  <c r="AN62" i="42"/>
  <c r="AU62" i="42" s="1"/>
  <c r="AN63" i="42"/>
  <c r="I66" i="42"/>
  <c r="AL69" i="42"/>
  <c r="I75" i="42"/>
  <c r="AM85" i="42"/>
  <c r="I81" i="42"/>
  <c r="AN81" i="42"/>
  <c r="AN83" i="42"/>
  <c r="AU83" i="42" s="1"/>
  <c r="I87" i="42"/>
  <c r="AM95" i="42"/>
  <c r="AN113" i="42"/>
  <c r="L121" i="42"/>
  <c r="Q131" i="42"/>
  <c r="N134" i="42"/>
  <c r="L152" i="42"/>
  <c r="I156" i="42"/>
  <c r="I159" i="42"/>
  <c r="I161" i="42" s="1"/>
  <c r="U164" i="42"/>
  <c r="L177" i="42"/>
  <c r="K183" i="42"/>
  <c r="N18" i="42"/>
  <c r="I15" i="42"/>
  <c r="I17" i="42"/>
  <c r="AN20" i="42"/>
  <c r="AU20" i="42" s="1"/>
  <c r="I24" i="42"/>
  <c r="K41" i="42"/>
  <c r="K52" i="42"/>
  <c r="N58" i="42"/>
  <c r="AN56" i="42"/>
  <c r="AU56" i="42" s="1"/>
  <c r="AN59" i="42"/>
  <c r="AU59" i="42" s="1"/>
  <c r="AV69" i="42"/>
  <c r="N69" i="42"/>
  <c r="Z75" i="42"/>
  <c r="AN80" i="42"/>
  <c r="AU80" i="42" s="1"/>
  <c r="I82" i="42"/>
  <c r="AN84" i="42"/>
  <c r="AU84" i="42" s="1"/>
  <c r="AN87" i="42"/>
  <c r="AN94" i="42"/>
  <c r="AU94" i="42" s="1"/>
  <c r="I98" i="42"/>
  <c r="I100" i="42"/>
  <c r="I102" i="42"/>
  <c r="AN104" i="42"/>
  <c r="AU104" i="42" s="1"/>
  <c r="I107" i="42"/>
  <c r="I109" i="42"/>
  <c r="Z110" i="42"/>
  <c r="AP110" i="42"/>
  <c r="K115" i="42"/>
  <c r="AV113" i="42"/>
  <c r="AN114" i="42"/>
  <c r="AU114" i="42" s="1"/>
  <c r="AN122" i="42"/>
  <c r="AU122" i="42" s="1"/>
  <c r="AN127" i="42"/>
  <c r="AU127" i="42" s="1"/>
  <c r="AE134" i="42"/>
  <c r="AS136" i="42"/>
  <c r="I141" i="42"/>
  <c r="AA154" i="42"/>
  <c r="AR154" i="42" s="1"/>
  <c r="Q155" i="42"/>
  <c r="AS158" i="42"/>
  <c r="AS160" i="42"/>
  <c r="L164" i="42"/>
  <c r="AA162" i="42"/>
  <c r="AR162" i="42" s="1"/>
  <c r="AA169" i="42"/>
  <c r="AR169" i="42" s="1"/>
  <c r="AN187" i="42"/>
  <c r="AU187" i="42" s="1"/>
  <c r="AA194" i="42"/>
  <c r="AR194" i="42" s="1"/>
  <c r="P187" i="29"/>
  <c r="AM13" i="29"/>
  <c r="AW25" i="29"/>
  <c r="AL42" i="29"/>
  <c r="AW63" i="29"/>
  <c r="AN63" i="29"/>
  <c r="AB171" i="29"/>
  <c r="AS171" i="29" s="1"/>
  <c r="Z171" i="29"/>
  <c r="U176" i="29"/>
  <c r="AT17" i="29"/>
  <c r="AT19" i="29" s="1"/>
  <c r="L25" i="29"/>
  <c r="AN23" i="29"/>
  <c r="Z24" i="29"/>
  <c r="AN24" i="29"/>
  <c r="AU24" i="29" s="1"/>
  <c r="AM25" i="29"/>
  <c r="AE28" i="29"/>
  <c r="AV26" i="29"/>
  <c r="AN27" i="29"/>
  <c r="AU27" i="29" s="1"/>
  <c r="AL34" i="29"/>
  <c r="AN32" i="29"/>
  <c r="AU32" i="29" s="1"/>
  <c r="AL38" i="29"/>
  <c r="AN35" i="29"/>
  <c r="AN36" i="29"/>
  <c r="AU36" i="29" s="1"/>
  <c r="AB49" i="29"/>
  <c r="AS49" i="29" s="1"/>
  <c r="Z49" i="29"/>
  <c r="AN49" i="29"/>
  <c r="AW49" i="29"/>
  <c r="AW51" i="29"/>
  <c r="AW53" i="29" s="1"/>
  <c r="AN51" i="29"/>
  <c r="AU51" i="29" s="1"/>
  <c r="AL53" i="29"/>
  <c r="AV52" i="29"/>
  <c r="AV53" i="29" s="1"/>
  <c r="AM53" i="29"/>
  <c r="Q57" i="29"/>
  <c r="U54" i="29"/>
  <c r="L61" i="29"/>
  <c r="L76" i="29"/>
  <c r="AW75" i="29"/>
  <c r="AN75" i="29"/>
  <c r="AU75" i="29" s="1"/>
  <c r="AB81" i="29"/>
  <c r="AS81" i="29" s="1"/>
  <c r="AA81" i="29"/>
  <c r="AR81" i="29" s="1"/>
  <c r="AS88" i="29"/>
  <c r="AM88" i="29"/>
  <c r="AQ91" i="29"/>
  <c r="AQ94" i="29" s="1"/>
  <c r="Z91" i="29"/>
  <c r="AF91" i="29" s="1"/>
  <c r="AB114" i="29"/>
  <c r="AS114" i="29" s="1"/>
  <c r="Z114" i="29"/>
  <c r="N196" i="29"/>
  <c r="N132" i="29"/>
  <c r="AB135" i="29"/>
  <c r="AS135" i="29" s="1"/>
  <c r="Z135" i="29"/>
  <c r="AT161" i="29"/>
  <c r="Q191" i="29"/>
  <c r="U162" i="29"/>
  <c r="AA162" i="29" s="1"/>
  <c r="AR162" i="29" s="1"/>
  <c r="AB169" i="29"/>
  <c r="AS169" i="29" s="1"/>
  <c r="Z169" i="29"/>
  <c r="AN169" i="29"/>
  <c r="AN170" i="29" s="1"/>
  <c r="AW169" i="29"/>
  <c r="AW170" i="29" s="1"/>
  <c r="AQ180" i="29"/>
  <c r="Z180" i="29"/>
  <c r="U197" i="29"/>
  <c r="Z12" i="29"/>
  <c r="Z197" i="29" s="1"/>
  <c r="Q50" i="29"/>
  <c r="U47" i="29"/>
  <c r="U50" i="29" s="1"/>
  <c r="K61" i="29"/>
  <c r="I58" i="29"/>
  <c r="Y100" i="29"/>
  <c r="AQ95" i="29"/>
  <c r="AL112" i="29"/>
  <c r="AN107" i="29"/>
  <c r="Q118" i="29"/>
  <c r="U113" i="29"/>
  <c r="U118" i="29" s="1"/>
  <c r="AW12" i="29"/>
  <c r="AW197" i="29" s="1"/>
  <c r="P184" i="29"/>
  <c r="I15" i="45" s="1"/>
  <c r="U16" i="29"/>
  <c r="AV15" i="29"/>
  <c r="AV16" i="29" s="1"/>
  <c r="AL16" i="29"/>
  <c r="N28" i="29"/>
  <c r="Y31" i="29"/>
  <c r="Z34" i="29"/>
  <c r="AM34" i="29"/>
  <c r="AW38" i="29"/>
  <c r="K38" i="29"/>
  <c r="AW43" i="29"/>
  <c r="AW46" i="29" s="1"/>
  <c r="AQ54" i="29"/>
  <c r="AW62" i="29"/>
  <c r="AN62" i="29"/>
  <c r="AN64" i="29" s="1"/>
  <c r="AQ69" i="29"/>
  <c r="AQ71" i="29" s="1"/>
  <c r="AB73" i="29"/>
  <c r="AS73" i="29" s="1"/>
  <c r="Z73" i="29"/>
  <c r="K189" i="29"/>
  <c r="AM82" i="29"/>
  <c r="AB78" i="29"/>
  <c r="Z78" i="29"/>
  <c r="AW78" i="29"/>
  <c r="AN78" i="29"/>
  <c r="AU78" i="29" s="1"/>
  <c r="AR91" i="29"/>
  <c r="AB93" i="29"/>
  <c r="AS93" i="29" s="1"/>
  <c r="AP93" i="29"/>
  <c r="AA93" i="29"/>
  <c r="AR93" i="29" s="1"/>
  <c r="AL100" i="29"/>
  <c r="Z98" i="29"/>
  <c r="Z104" i="29"/>
  <c r="K112" i="29"/>
  <c r="AQ107" i="29"/>
  <c r="AQ112" i="29" s="1"/>
  <c r="Y112" i="29"/>
  <c r="K130" i="29"/>
  <c r="I125" i="29"/>
  <c r="AT130" i="29"/>
  <c r="Z146" i="29"/>
  <c r="AB146" i="29"/>
  <c r="AS146" i="29" s="1"/>
  <c r="AV149" i="29"/>
  <c r="AP150" i="29"/>
  <c r="AA150" i="29"/>
  <c r="AR150" i="29" s="1"/>
  <c r="N167" i="29"/>
  <c r="AW164" i="29"/>
  <c r="AN164" i="29"/>
  <c r="AU164" i="29" s="1"/>
  <c r="AA181" i="29"/>
  <c r="AR181" i="29" s="1"/>
  <c r="AT29" i="29"/>
  <c r="AT31" i="29" s="1"/>
  <c r="AM50" i="29"/>
  <c r="AW47" i="29"/>
  <c r="AV54" i="29"/>
  <c r="AV57" i="29" s="1"/>
  <c r="AL57" i="29"/>
  <c r="AQ58" i="29"/>
  <c r="AQ61" i="29" s="1"/>
  <c r="Y61" i="29"/>
  <c r="L197" i="29"/>
  <c r="L13" i="29"/>
  <c r="AL197" i="29"/>
  <c r="AN12" i="29"/>
  <c r="Y188" i="29"/>
  <c r="AE194" i="29"/>
  <c r="AM16" i="29"/>
  <c r="Q19" i="29"/>
  <c r="AV17" i="29"/>
  <c r="AV19" i="29" s="1"/>
  <c r="AL19" i="29"/>
  <c r="I20" i="29"/>
  <c r="AM22" i="29"/>
  <c r="AW20" i="29"/>
  <c r="AW22" i="29" s="1"/>
  <c r="Y22" i="29"/>
  <c r="Q25" i="29"/>
  <c r="U23" i="29"/>
  <c r="I24" i="29"/>
  <c r="AS24" i="29"/>
  <c r="Q28" i="29"/>
  <c r="U26" i="29"/>
  <c r="U28" i="29" s="1"/>
  <c r="AV27" i="29"/>
  <c r="AA29" i="29"/>
  <c r="K34" i="29"/>
  <c r="AQ34" i="29"/>
  <c r="AV32" i="29"/>
  <c r="AV34" i="29" s="1"/>
  <c r="AN33" i="29"/>
  <c r="AU33" i="29" s="1"/>
  <c r="AV35" i="29"/>
  <c r="AV38" i="29" s="1"/>
  <c r="AN37" i="29"/>
  <c r="AU37" i="29" s="1"/>
  <c r="AM38" i="29"/>
  <c r="Q42" i="29"/>
  <c r="AE46" i="29"/>
  <c r="AT43" i="29"/>
  <c r="AA45" i="29"/>
  <c r="AR45" i="29" s="1"/>
  <c r="AN47" i="29"/>
  <c r="AN52" i="29"/>
  <c r="AU52" i="29" s="1"/>
  <c r="AM61" i="29"/>
  <c r="AQ64" i="29"/>
  <c r="AA66" i="29"/>
  <c r="AR66" i="29" s="1"/>
  <c r="AW67" i="29"/>
  <c r="AW68" i="29" s="1"/>
  <c r="AN67" i="29"/>
  <c r="AU67" i="29" s="1"/>
  <c r="Q71" i="29"/>
  <c r="U71" i="29"/>
  <c r="Z72" i="29"/>
  <c r="AT76" i="29"/>
  <c r="AB79" i="29"/>
  <c r="AS79" i="29" s="1"/>
  <c r="Z79" i="29"/>
  <c r="AW79" i="29"/>
  <c r="AN79" i="29"/>
  <c r="AU79" i="29" s="1"/>
  <c r="Y94" i="29"/>
  <c r="AM94" i="29"/>
  <c r="Q100" i="29"/>
  <c r="U95" i="29"/>
  <c r="K106" i="29"/>
  <c r="AT112" i="29"/>
  <c r="AV107" i="29"/>
  <c r="AN111" i="29"/>
  <c r="AV111" i="29"/>
  <c r="AV113" i="29"/>
  <c r="AV118" i="29" s="1"/>
  <c r="AL118" i="29"/>
  <c r="AP129" i="29"/>
  <c r="Z129" i="29"/>
  <c r="AQ164" i="29"/>
  <c r="Z164" i="29"/>
  <c r="I14" i="29"/>
  <c r="L194" i="29"/>
  <c r="Y194" i="29"/>
  <c r="L19" i="29"/>
  <c r="AQ17" i="29"/>
  <c r="AQ19" i="29" s="1"/>
  <c r="AE22" i="29"/>
  <c r="I23" i="29"/>
  <c r="AL25" i="29"/>
  <c r="K28" i="29"/>
  <c r="AM28" i="29"/>
  <c r="K31" i="29"/>
  <c r="AM31" i="29"/>
  <c r="I32" i="29"/>
  <c r="I33" i="29"/>
  <c r="L34" i="29"/>
  <c r="L42" i="29"/>
  <c r="Y42" i="29"/>
  <c r="AQ39" i="29"/>
  <c r="AQ42" i="29" s="1"/>
  <c r="N46" i="29"/>
  <c r="I49" i="29"/>
  <c r="Q53" i="29"/>
  <c r="AN59" i="29"/>
  <c r="AV62" i="29"/>
  <c r="AV64" i="29" s="1"/>
  <c r="N71" i="29"/>
  <c r="I72" i="29"/>
  <c r="Q76" i="29"/>
  <c r="AE195" i="29"/>
  <c r="AV81" i="29"/>
  <c r="AN81" i="29"/>
  <c r="AU81" i="29" s="1"/>
  <c r="Y88" i="29"/>
  <c r="AQ83" i="29"/>
  <c r="AQ88" i="29" s="1"/>
  <c r="AV83" i="29"/>
  <c r="AV88" i="29" s="1"/>
  <c r="AT94" i="29"/>
  <c r="AN90" i="29"/>
  <c r="AU90" i="29" s="1"/>
  <c r="AW100" i="29"/>
  <c r="AN97" i="29"/>
  <c r="AN102" i="29"/>
  <c r="AU102" i="29" s="1"/>
  <c r="U107" i="29"/>
  <c r="Q112" i="29"/>
  <c r="AM112" i="29"/>
  <c r="AW107" i="29"/>
  <c r="AW112" i="29" s="1"/>
  <c r="AR109" i="29"/>
  <c r="AW116" i="29"/>
  <c r="AT124" i="29"/>
  <c r="AB123" i="29"/>
  <c r="AS123" i="29" s="1"/>
  <c r="Z123" i="29"/>
  <c r="AE130" i="29"/>
  <c r="AM156" i="29"/>
  <c r="L160" i="29"/>
  <c r="AQ160" i="29"/>
  <c r="AB159" i="29"/>
  <c r="AS159" i="29" s="1"/>
  <c r="Z159" i="29"/>
  <c r="AS164" i="29"/>
  <c r="Q176" i="29"/>
  <c r="K183" i="29"/>
  <c r="AN178" i="29"/>
  <c r="AU178" i="29" s="1"/>
  <c r="AV178" i="29"/>
  <c r="K46" i="29"/>
  <c r="K50" i="29"/>
  <c r="AL50" i="29"/>
  <c r="AU49" i="29"/>
  <c r="AT54" i="29"/>
  <c r="AT57" i="29" s="1"/>
  <c r="AT61" i="29"/>
  <c r="AW61" i="29"/>
  <c r="AV68" i="29"/>
  <c r="I69" i="29"/>
  <c r="AM71" i="29"/>
  <c r="I73" i="29"/>
  <c r="AW94" i="29"/>
  <c r="AN92" i="29"/>
  <c r="AU92" i="29" s="1"/>
  <c r="I96" i="29"/>
  <c r="AE106" i="29"/>
  <c r="AT101" i="29"/>
  <c r="AT106" i="29"/>
  <c r="AS116" i="29"/>
  <c r="N140" i="29"/>
  <c r="AE140" i="29"/>
  <c r="AT133" i="29"/>
  <c r="AT140" i="29" s="1"/>
  <c r="AE151" i="29"/>
  <c r="AT148" i="29"/>
  <c r="I155" i="29"/>
  <c r="AR155" i="29"/>
  <c r="AB175" i="29"/>
  <c r="AS175" i="29" s="1"/>
  <c r="Z175" i="29"/>
  <c r="AP175" i="29"/>
  <c r="AA175" i="29"/>
  <c r="AR175" i="29" s="1"/>
  <c r="AU182" i="29"/>
  <c r="X187" i="29"/>
  <c r="I90" i="29"/>
  <c r="AT100" i="29"/>
  <c r="AL106" i="29"/>
  <c r="AV101" i="29"/>
  <c r="AN117" i="29"/>
  <c r="AU117" i="29" s="1"/>
  <c r="L124" i="29"/>
  <c r="I121" i="29"/>
  <c r="AS122" i="29"/>
  <c r="AN122" i="29"/>
  <c r="AU122" i="29" s="1"/>
  <c r="AW122" i="29"/>
  <c r="Q140" i="29"/>
  <c r="U133" i="29"/>
  <c r="I141" i="29"/>
  <c r="I148" i="29"/>
  <c r="K151" i="29"/>
  <c r="AQ151" i="29"/>
  <c r="AP149" i="29"/>
  <c r="AA149" i="29"/>
  <c r="AR149" i="29" s="1"/>
  <c r="AN150" i="29"/>
  <c r="AU150" i="29" s="1"/>
  <c r="AB152" i="29"/>
  <c r="Z152" i="29"/>
  <c r="Q160" i="29"/>
  <c r="U157" i="29"/>
  <c r="Q167" i="29"/>
  <c r="U161" i="29"/>
  <c r="AA161" i="29" s="1"/>
  <c r="Y118" i="29"/>
  <c r="AQ113" i="29"/>
  <c r="AN114" i="29"/>
  <c r="AU114" i="29" s="1"/>
  <c r="AW114" i="29"/>
  <c r="AL124" i="29"/>
  <c r="AV120" i="29"/>
  <c r="N124" i="29"/>
  <c r="AL130" i="29"/>
  <c r="AN138" i="29"/>
  <c r="AU138" i="29" s="1"/>
  <c r="AM147" i="29"/>
  <c r="N151" i="29"/>
  <c r="AL151" i="29"/>
  <c r="I150" i="29"/>
  <c r="N156" i="29"/>
  <c r="Y156" i="29"/>
  <c r="AQ153" i="29"/>
  <c r="AQ156" i="29" s="1"/>
  <c r="AW157" i="29"/>
  <c r="AS165" i="29"/>
  <c r="AW171" i="29"/>
  <c r="AW176" i="29" s="1"/>
  <c r="AU177" i="29"/>
  <c r="N183" i="29"/>
  <c r="AE118" i="29"/>
  <c r="AN115" i="29"/>
  <c r="AU115" i="29" s="1"/>
  <c r="AM130" i="29"/>
  <c r="Y140" i="29"/>
  <c r="K147" i="29"/>
  <c r="N147" i="29"/>
  <c r="AU146" i="29"/>
  <c r="U151" i="29"/>
  <c r="AW151" i="29"/>
  <c r="AM151" i="29"/>
  <c r="Y160" i="29"/>
  <c r="AQ162" i="29"/>
  <c r="AQ191" i="29" s="1"/>
  <c r="I164" i="29"/>
  <c r="U168" i="29"/>
  <c r="AB168" i="29" s="1"/>
  <c r="AM170" i="29"/>
  <c r="I169" i="29"/>
  <c r="I178" i="29"/>
  <c r="I179" i="29"/>
  <c r="P102" i="30"/>
  <c r="AE103" i="30"/>
  <c r="AT12" i="30"/>
  <c r="AE110" i="30"/>
  <c r="Y23" i="30"/>
  <c r="N54" i="30"/>
  <c r="AB60" i="30"/>
  <c r="AS60" i="30" s="1"/>
  <c r="Z60" i="30"/>
  <c r="K112" i="30"/>
  <c r="K17" i="30"/>
  <c r="I16" i="30"/>
  <c r="I112" i="30" s="1"/>
  <c r="AT111" i="30"/>
  <c r="N103" i="30"/>
  <c r="N15" i="30"/>
  <c r="AD99" i="30"/>
  <c r="W16" i="45" s="1"/>
  <c r="I25" i="30"/>
  <c r="AW106" i="30"/>
  <c r="AB33" i="30"/>
  <c r="AS33" i="30" s="1"/>
  <c r="AP33" i="30"/>
  <c r="AA33" i="30"/>
  <c r="AR33" i="30" s="1"/>
  <c r="Q109" i="30"/>
  <c r="U14" i="30"/>
  <c r="AB14" i="30" s="1"/>
  <c r="AS14" i="30" s="1"/>
  <c r="Y112" i="30"/>
  <c r="Y17" i="30"/>
  <c r="AP18" i="30"/>
  <c r="Z18" i="30"/>
  <c r="AN89" i="30"/>
  <c r="AU89" i="30" s="1"/>
  <c r="AW89" i="30"/>
  <c r="AE109" i="30"/>
  <c r="Q54" i="30"/>
  <c r="U51" i="30"/>
  <c r="Z51" i="30" s="1"/>
  <c r="AN69" i="30"/>
  <c r="AU69" i="30" s="1"/>
  <c r="AV69" i="30"/>
  <c r="AE106" i="30"/>
  <c r="AT32" i="30"/>
  <c r="AV36" i="30"/>
  <c r="AN36" i="30"/>
  <c r="AU36" i="30" s="1"/>
  <c r="AT44" i="30"/>
  <c r="AE84" i="30"/>
  <c r="AT81" i="30"/>
  <c r="N17" i="30"/>
  <c r="N112" i="30"/>
  <c r="Z35" i="30"/>
  <c r="AA35" i="30"/>
  <c r="AR35" i="30" s="1"/>
  <c r="AN52" i="30"/>
  <c r="AU52" i="30" s="1"/>
  <c r="AL65" i="30"/>
  <c r="AV62" i="30"/>
  <c r="AN62" i="30"/>
  <c r="AV74" i="30"/>
  <c r="N80" i="30"/>
  <c r="L106" i="30"/>
  <c r="AB34" i="30"/>
  <c r="AP34" i="30"/>
  <c r="AA34" i="30"/>
  <c r="AR34" i="30" s="1"/>
  <c r="AB69" i="30"/>
  <c r="AS69" i="30" s="1"/>
  <c r="Z69" i="30"/>
  <c r="AB82" i="30"/>
  <c r="AS82" i="30" s="1"/>
  <c r="AP82" i="30"/>
  <c r="Z82" i="30"/>
  <c r="AL109" i="30"/>
  <c r="N110" i="30"/>
  <c r="AR27" i="30"/>
  <c r="AE28" i="30"/>
  <c r="L37" i="30"/>
  <c r="AE44" i="30"/>
  <c r="AW45" i="30"/>
  <c r="AW48" i="30" s="1"/>
  <c r="AM48" i="30"/>
  <c r="AN60" i="30"/>
  <c r="AB90" i="30"/>
  <c r="AS90" i="30" s="1"/>
  <c r="Z90" i="30"/>
  <c r="AV92" i="30"/>
  <c r="AN92" i="30"/>
  <c r="W102" i="30"/>
  <c r="AH99" i="30"/>
  <c r="AA16" i="45" s="1"/>
  <c r="Q23" i="30"/>
  <c r="Q28" i="30"/>
  <c r="U24" i="30"/>
  <c r="U28" i="30" s="1"/>
  <c r="AN26" i="30"/>
  <c r="AU26" i="30" s="1"/>
  <c r="Q111" i="30"/>
  <c r="U29" i="30"/>
  <c r="N30" i="30"/>
  <c r="AE37" i="30"/>
  <c r="AT31" i="30"/>
  <c r="AN33" i="30"/>
  <c r="I36" i="30"/>
  <c r="N44" i="30"/>
  <c r="I42" i="30"/>
  <c r="AS43" i="30"/>
  <c r="I45" i="30"/>
  <c r="I48" i="30" s="1"/>
  <c r="AS49" i="30"/>
  <c r="Z49" i="30"/>
  <c r="AU53" i="30"/>
  <c r="Z59" i="30"/>
  <c r="AW65" i="30"/>
  <c r="AN63" i="30"/>
  <c r="AU63" i="30" s="1"/>
  <c r="AV64" i="30"/>
  <c r="AE71" i="30"/>
  <c r="AM71" i="30"/>
  <c r="Q74" i="30"/>
  <c r="AL74" i="30"/>
  <c r="Q80" i="30"/>
  <c r="L91" i="30"/>
  <c r="I85" i="30"/>
  <c r="AE91" i="30"/>
  <c r="AT85" i="30"/>
  <c r="AT91" i="30" s="1"/>
  <c r="AB88" i="30"/>
  <c r="AS88" i="30" s="1"/>
  <c r="Z88" i="30"/>
  <c r="AM98" i="30"/>
  <c r="AN95" i="30"/>
  <c r="AU95" i="30" s="1"/>
  <c r="I24" i="30"/>
  <c r="Y28" i="30"/>
  <c r="L30" i="30"/>
  <c r="AN31" i="30"/>
  <c r="AU31" i="30" s="1"/>
  <c r="AS34" i="30"/>
  <c r="Q44" i="30"/>
  <c r="I41" i="30"/>
  <c r="AT45" i="30"/>
  <c r="AT48" i="30" s="1"/>
  <c r="AT54" i="30"/>
  <c r="AT66" i="30"/>
  <c r="AM91" i="30"/>
  <c r="X102" i="30"/>
  <c r="AQ29" i="30"/>
  <c r="AQ30" i="30" s="1"/>
  <c r="AQ38" i="30"/>
  <c r="AQ44" i="30" s="1"/>
  <c r="AS47" i="30"/>
  <c r="AE54" i="30"/>
  <c r="AR57" i="30"/>
  <c r="Q65" i="30"/>
  <c r="Q71" i="30"/>
  <c r="AE80" i="30"/>
  <c r="AT75" i="30"/>
  <c r="AT80" i="30" s="1"/>
  <c r="K91" i="30"/>
  <c r="T102" i="30"/>
  <c r="AB49" i="31"/>
  <c r="AS49" i="31" s="1"/>
  <c r="AP49" i="31"/>
  <c r="Z49" i="31"/>
  <c r="Q31" i="31"/>
  <c r="Z69" i="31"/>
  <c r="AA69" i="31"/>
  <c r="Z12" i="31"/>
  <c r="AM77" i="31"/>
  <c r="AM15" i="31"/>
  <c r="AS13" i="31"/>
  <c r="Z13" i="31"/>
  <c r="AB14" i="31"/>
  <c r="AS14" i="31" s="1"/>
  <c r="Z14" i="31"/>
  <c r="I16" i="31"/>
  <c r="N22" i="31"/>
  <c r="AQ21" i="31"/>
  <c r="AQ22" i="31" s="1"/>
  <c r="AE24" i="31"/>
  <c r="AT23" i="31"/>
  <c r="AU25" i="31"/>
  <c r="Z34" i="31"/>
  <c r="AP34" i="31"/>
  <c r="Y37" i="31"/>
  <c r="U38" i="31"/>
  <c r="AB38" i="31" s="1"/>
  <c r="AB85" i="31" s="1"/>
  <c r="AP52" i="31"/>
  <c r="AA70" i="31"/>
  <c r="AR70" i="31" s="1"/>
  <c r="AL15" i="31"/>
  <c r="Z68" i="31"/>
  <c r="AA68" i="31"/>
  <c r="Z20" i="31"/>
  <c r="AP20" i="31"/>
  <c r="AT32" i="31"/>
  <c r="AT37" i="31" s="1"/>
  <c r="N37" i="31"/>
  <c r="AA35" i="31"/>
  <c r="AR35" i="31" s="1"/>
  <c r="AT38" i="31"/>
  <c r="AB40" i="31"/>
  <c r="AB42" i="31" s="1"/>
  <c r="AP40" i="31"/>
  <c r="AP42" i="31" s="1"/>
  <c r="Q42" i="31"/>
  <c r="U42" i="31"/>
  <c r="Q80" i="31"/>
  <c r="AM80" i="31"/>
  <c r="AA57" i="31"/>
  <c r="AR57" i="31" s="1"/>
  <c r="Z57" i="31"/>
  <c r="AP57" i="31"/>
  <c r="AT19" i="31"/>
  <c r="AT22" i="31" s="1"/>
  <c r="L22" i="31"/>
  <c r="I44" i="31"/>
  <c r="AB44" i="31"/>
  <c r="AS44" i="31" s="1"/>
  <c r="AP44" i="31"/>
  <c r="Z44" i="31"/>
  <c r="Y47" i="31"/>
  <c r="AV55" i="31"/>
  <c r="AN55" i="31"/>
  <c r="AU55" i="31" s="1"/>
  <c r="Y63" i="31"/>
  <c r="AQ57" i="31"/>
  <c r="AQ63" i="31" s="1"/>
  <c r="N66" i="31"/>
  <c r="AW71" i="31"/>
  <c r="AN71" i="31"/>
  <c r="AU71" i="31" s="1"/>
  <c r="AU61" i="31"/>
  <c r="P73" i="31"/>
  <c r="I17" i="45" s="1"/>
  <c r="AI73" i="31"/>
  <c r="AB17" i="45" s="1"/>
  <c r="Q22" i="31"/>
  <c r="AU30" i="31"/>
  <c r="L39" i="31"/>
  <c r="K42" i="31"/>
  <c r="AQ42" i="31"/>
  <c r="AS41" i="31"/>
  <c r="AT41" i="31"/>
  <c r="AT42" i="31" s="1"/>
  <c r="Y80" i="31"/>
  <c r="AQ43" i="31"/>
  <c r="AE56" i="31"/>
  <c r="AT52" i="31"/>
  <c r="AT56" i="31" s="1"/>
  <c r="AU62" i="31"/>
  <c r="Q66" i="31"/>
  <c r="Q72" i="31"/>
  <c r="AU70" i="31"/>
  <c r="AS12" i="31"/>
  <c r="L15" i="31"/>
  <c r="Y18" i="31"/>
  <c r="AL18" i="31"/>
  <c r="J73" i="31"/>
  <c r="C17" i="45" s="1"/>
  <c r="AM24" i="31"/>
  <c r="AE31" i="31"/>
  <c r="I34" i="31"/>
  <c r="AN35" i="31"/>
  <c r="AU35" i="31" s="1"/>
  <c r="AQ38" i="31"/>
  <c r="AQ85" i="31" s="1"/>
  <c r="L42" i="31"/>
  <c r="AN41" i="31"/>
  <c r="AU41" i="31" s="1"/>
  <c r="L80" i="31"/>
  <c r="AT43" i="31"/>
  <c r="AT80" i="31" s="1"/>
  <c r="I46" i="31"/>
  <c r="AE51" i="31"/>
  <c r="AT48" i="31"/>
  <c r="AT51" i="31" s="1"/>
  <c r="AN52" i="31"/>
  <c r="AN54" i="31"/>
  <c r="AU54" i="31" s="1"/>
  <c r="AS60" i="31"/>
  <c r="U64" i="31"/>
  <c r="AP64" i="31" s="1"/>
  <c r="AS65" i="31"/>
  <c r="I67" i="31"/>
  <c r="U67" i="31"/>
  <c r="AB67" i="31" s="1"/>
  <c r="I68" i="31"/>
  <c r="I69" i="31"/>
  <c r="Y72" i="31"/>
  <c r="L77" i="31"/>
  <c r="R76" i="31"/>
  <c r="W76" i="31"/>
  <c r="AG76" i="31"/>
  <c r="AL65" i="32"/>
  <c r="AL70" i="32" s="1"/>
  <c r="I69" i="32"/>
  <c r="AC95" i="32"/>
  <c r="AL189" i="32"/>
  <c r="AV189" i="32" s="1"/>
  <c r="AC305" i="32"/>
  <c r="AC63" i="32"/>
  <c r="I153" i="32"/>
  <c r="AS161" i="32"/>
  <c r="I208" i="32"/>
  <c r="AL215" i="32"/>
  <c r="AV215" i="32" s="1"/>
  <c r="Z237" i="32"/>
  <c r="AP237" i="32"/>
  <c r="AU251" i="32"/>
  <c r="N31" i="32"/>
  <c r="U58" i="32"/>
  <c r="Z58" i="32" s="1"/>
  <c r="AE58" i="32"/>
  <c r="I66" i="32"/>
  <c r="Z69" i="32"/>
  <c r="I90" i="32"/>
  <c r="I91" i="32"/>
  <c r="I117" i="32"/>
  <c r="I224" i="32"/>
  <c r="AS231" i="32"/>
  <c r="I264" i="32"/>
  <c r="I274" i="32"/>
  <c r="L225" i="32"/>
  <c r="Z74" i="32"/>
  <c r="Q312" i="32"/>
  <c r="Z127" i="32"/>
  <c r="I133" i="32"/>
  <c r="AW143" i="32"/>
  <c r="AW144" i="32" s="1"/>
  <c r="AL162" i="32"/>
  <c r="I184" i="32"/>
  <c r="K203" i="32"/>
  <c r="U256" i="32"/>
  <c r="AP256" i="32" s="1"/>
  <c r="AE269" i="32"/>
  <c r="AN273" i="32"/>
  <c r="AU273" i="32" s="1"/>
  <c r="AN289" i="32"/>
  <c r="AU289" i="32" s="1"/>
  <c r="W303" i="32"/>
  <c r="AG303" i="32"/>
  <c r="Z38" i="32"/>
  <c r="I51" i="32"/>
  <c r="AT56" i="32"/>
  <c r="I115" i="32"/>
  <c r="I124" i="32"/>
  <c r="AN20" i="32"/>
  <c r="AU20" i="32" s="1"/>
  <c r="AE27" i="32"/>
  <c r="L31" i="32"/>
  <c r="AT31" i="32"/>
  <c r="AS30" i="32"/>
  <c r="AL56" i="32"/>
  <c r="I59" i="32"/>
  <c r="I61" i="32"/>
  <c r="I62" i="32"/>
  <c r="I68" i="32"/>
  <c r="AA74" i="32"/>
  <c r="I81" i="32"/>
  <c r="N306" i="32"/>
  <c r="N111" i="32"/>
  <c r="I129" i="32"/>
  <c r="AR140" i="32"/>
  <c r="I161" i="32"/>
  <c r="I166" i="32"/>
  <c r="L182" i="32"/>
  <c r="I179" i="32"/>
  <c r="I210" i="32"/>
  <c r="I211" i="32"/>
  <c r="AM225" i="32"/>
  <c r="I227" i="32"/>
  <c r="AV249" i="32"/>
  <c r="AQ253" i="32"/>
  <c r="I257" i="32"/>
  <c r="Z262" i="32"/>
  <c r="N34" i="32"/>
  <c r="AE34" i="32"/>
  <c r="I58" i="32"/>
  <c r="I85" i="32"/>
  <c r="I113" i="32"/>
  <c r="N122" i="32"/>
  <c r="K128" i="32"/>
  <c r="Z124" i="32"/>
  <c r="AR133" i="32"/>
  <c r="AB148" i="32"/>
  <c r="AM148" i="32"/>
  <c r="AS147" i="32"/>
  <c r="AA147" i="32"/>
  <c r="AR147" i="32" s="1"/>
  <c r="AS151" i="32"/>
  <c r="AS153" i="32"/>
  <c r="AV156" i="32"/>
  <c r="AN158" i="32"/>
  <c r="AU158" i="32" s="1"/>
  <c r="AN159" i="32"/>
  <c r="AU159" i="32" s="1"/>
  <c r="AV161" i="32"/>
  <c r="I168" i="32"/>
  <c r="I181" i="32"/>
  <c r="I192" i="32"/>
  <c r="K197" i="32"/>
  <c r="I204" i="32"/>
  <c r="K225" i="32"/>
  <c r="Z224" i="32"/>
  <c r="AN245" i="32"/>
  <c r="AU245" i="32" s="1"/>
  <c r="N253" i="32"/>
  <c r="I261" i="32"/>
  <c r="AN278" i="32"/>
  <c r="AU278" i="32" s="1"/>
  <c r="AN279" i="32"/>
  <c r="AU279" i="32" s="1"/>
  <c r="Z296" i="32"/>
  <c r="AB157" i="32"/>
  <c r="AB162" i="32" s="1"/>
  <c r="Z157" i="32"/>
  <c r="W300" i="32"/>
  <c r="P18" i="45" s="1"/>
  <c r="AW22" i="32"/>
  <c r="AN30" i="32"/>
  <c r="AU30" i="32" s="1"/>
  <c r="I38" i="32"/>
  <c r="AN38" i="32"/>
  <c r="I40" i="32"/>
  <c r="AN54" i="32"/>
  <c r="AU54" i="32" s="1"/>
  <c r="Z61" i="32"/>
  <c r="AN61" i="32"/>
  <c r="Z67" i="32"/>
  <c r="AM83" i="32"/>
  <c r="AV83" i="32"/>
  <c r="I79" i="32"/>
  <c r="AN94" i="32"/>
  <c r="N118" i="32"/>
  <c r="L118" i="32"/>
  <c r="AE118" i="32"/>
  <c r="I114" i="32"/>
  <c r="I116" i="32"/>
  <c r="AE122" i="32"/>
  <c r="AN127" i="32"/>
  <c r="I130" i="32"/>
  <c r="AN130" i="32"/>
  <c r="AU130" i="32" s="1"/>
  <c r="I138" i="32"/>
  <c r="AE148" i="32"/>
  <c r="AW145" i="32"/>
  <c r="AS157" i="32"/>
  <c r="AV158" i="32"/>
  <c r="AV160" i="32"/>
  <c r="AN175" i="32"/>
  <c r="AU175" i="32" s="1"/>
  <c r="AN199" i="32"/>
  <c r="AU199" i="32" s="1"/>
  <c r="AS201" i="32"/>
  <c r="AS208" i="32"/>
  <c r="AS214" i="32"/>
  <c r="AS218" i="32"/>
  <c r="I223" i="32"/>
  <c r="AS223" i="32"/>
  <c r="Z228" i="32"/>
  <c r="AN228" i="32"/>
  <c r="AU228" i="32" s="1"/>
  <c r="AS230" i="32"/>
  <c r="AN244" i="32"/>
  <c r="AN248" i="32"/>
  <c r="AU248" i="32" s="1"/>
  <c r="Q253" i="32"/>
  <c r="AL253" i="32"/>
  <c r="AA266" i="32"/>
  <c r="AP266" i="32"/>
  <c r="L269" i="32"/>
  <c r="AW289" i="32"/>
  <c r="AN16" i="32"/>
  <c r="I19" i="32"/>
  <c r="AN39" i="32"/>
  <c r="U42" i="32"/>
  <c r="Z42" i="32" s="1"/>
  <c r="AL43" i="32"/>
  <c r="N50" i="32"/>
  <c r="Y63" i="32"/>
  <c r="AN60" i="32"/>
  <c r="AU60" i="32" s="1"/>
  <c r="AS67" i="32"/>
  <c r="AA67" i="32"/>
  <c r="AR67" i="32" s="1"/>
  <c r="AQ67" i="32"/>
  <c r="AQ70" i="32" s="1"/>
  <c r="I71" i="32"/>
  <c r="AQ74" i="32"/>
  <c r="AL89" i="32"/>
  <c r="Z91" i="32"/>
  <c r="AN96" i="32"/>
  <c r="AU96" i="32" s="1"/>
  <c r="AM122" i="32"/>
  <c r="Y144" i="32"/>
  <c r="AN157" i="32"/>
  <c r="AU157" i="32" s="1"/>
  <c r="I159" i="32"/>
  <c r="I163" i="32"/>
  <c r="AL169" i="32"/>
  <c r="I178" i="32"/>
  <c r="I205" i="32"/>
  <c r="I213" i="32"/>
  <c r="I214" i="32"/>
  <c r="I215" i="32"/>
  <c r="I236" i="32"/>
  <c r="I242" i="32"/>
  <c r="Z255" i="32"/>
  <c r="AE263" i="32"/>
  <c r="K276" i="32"/>
  <c r="AW276" i="32"/>
  <c r="Z271" i="32"/>
  <c r="AV278" i="32"/>
  <c r="I284" i="32"/>
  <c r="AN284" i="32"/>
  <c r="I288" i="32"/>
  <c r="AW297" i="32"/>
  <c r="AT22" i="32"/>
  <c r="I20" i="32"/>
  <c r="I21" i="32"/>
  <c r="AE22" i="32"/>
  <c r="N27" i="32"/>
  <c r="I28" i="32"/>
  <c r="Y31" i="32"/>
  <c r="I29" i="32"/>
  <c r="K34" i="32"/>
  <c r="U32" i="32"/>
  <c r="U34" i="32" s="1"/>
  <c r="AS36" i="32"/>
  <c r="AV41" i="32"/>
  <c r="I39" i="32"/>
  <c r="AM43" i="32"/>
  <c r="AN49" i="32"/>
  <c r="AU49" i="32" s="1"/>
  <c r="AN64" i="32"/>
  <c r="AU64" i="32" s="1"/>
  <c r="AN71" i="32"/>
  <c r="AU71" i="32" s="1"/>
  <c r="I72" i="32"/>
  <c r="I77" i="32"/>
  <c r="K83" i="32"/>
  <c r="AN82" i="32"/>
  <c r="AU82" i="32" s="1"/>
  <c r="Z102" i="32"/>
  <c r="AP102" i="32"/>
  <c r="I112" i="32"/>
  <c r="AW122" i="32"/>
  <c r="I123" i="32"/>
  <c r="AS125" i="32"/>
  <c r="I136" i="32"/>
  <c r="I139" i="32"/>
  <c r="K148" i="32"/>
  <c r="AN150" i="32"/>
  <c r="AU150" i="32" s="1"/>
  <c r="N176" i="32"/>
  <c r="Q27" i="32"/>
  <c r="AA145" i="32"/>
  <c r="AP145" i="32"/>
  <c r="Z154" i="32"/>
  <c r="I157" i="32"/>
  <c r="I160" i="32"/>
  <c r="N169" i="32"/>
  <c r="AV164" i="32"/>
  <c r="AV169" i="32" s="1"/>
  <c r="Y182" i="32"/>
  <c r="N182" i="32"/>
  <c r="AL182" i="32"/>
  <c r="I180" i="32"/>
  <c r="I183" i="32"/>
  <c r="Z183" i="32"/>
  <c r="I187" i="32"/>
  <c r="AE197" i="32"/>
  <c r="AP195" i="32"/>
  <c r="AV203" i="32"/>
  <c r="Z201" i="32"/>
  <c r="AN201" i="32"/>
  <c r="AU201" i="32" s="1"/>
  <c r="I206" i="32"/>
  <c r="I222" i="32"/>
  <c r="AA231" i="32"/>
  <c r="AR231" i="32" s="1"/>
  <c r="AP231" i="32"/>
  <c r="AW240" i="32"/>
  <c r="AW243" i="32" s="1"/>
  <c r="AN247" i="32"/>
  <c r="AU247" i="32" s="1"/>
  <c r="Y269" i="32"/>
  <c r="I266" i="32"/>
  <c r="Z266" i="32"/>
  <c r="I272" i="32"/>
  <c r="AN275" i="32"/>
  <c r="Z282" i="32"/>
  <c r="AR285" i="32"/>
  <c r="I293" i="32"/>
  <c r="AQ89" i="32"/>
  <c r="AQ28" i="32"/>
  <c r="AQ31" i="32" s="1"/>
  <c r="AT128" i="32"/>
  <c r="AE142" i="32"/>
  <c r="AT140" i="32"/>
  <c r="AT142" i="32" s="1"/>
  <c r="AE203" i="32"/>
  <c r="Q221" i="32"/>
  <c r="U220" i="32"/>
  <c r="AV12" i="32"/>
  <c r="AV13" i="32" s="1"/>
  <c r="N13" i="32"/>
  <c r="AL13" i="32"/>
  <c r="AE304" i="32"/>
  <c r="I15" i="32"/>
  <c r="I16" i="32"/>
  <c r="AR21" i="32"/>
  <c r="U24" i="32"/>
  <c r="AM27" i="32"/>
  <c r="I30" i="32"/>
  <c r="Y34" i="32"/>
  <c r="AQ32" i="32"/>
  <c r="AQ34" i="32" s="1"/>
  <c r="AE37" i="32"/>
  <c r="AT35" i="32"/>
  <c r="AT37" i="32" s="1"/>
  <c r="Z36" i="32"/>
  <c r="Z40" i="32"/>
  <c r="K50" i="32"/>
  <c r="AN48" i="32"/>
  <c r="AU48" i="32" s="1"/>
  <c r="Y70" i="32"/>
  <c r="AN80" i="32"/>
  <c r="AU80" i="32" s="1"/>
  <c r="AQ95" i="32"/>
  <c r="AN93" i="32"/>
  <c r="AW93" i="32"/>
  <c r="AS103" i="32"/>
  <c r="AA103" i="32"/>
  <c r="AR103" i="32" s="1"/>
  <c r="Z104" i="32"/>
  <c r="AP104" i="32"/>
  <c r="AN110" i="32"/>
  <c r="AU110" i="32" s="1"/>
  <c r="AM111" i="32"/>
  <c r="AB120" i="32"/>
  <c r="AS120" i="32" s="1"/>
  <c r="AN120" i="32"/>
  <c r="AU120" i="32" s="1"/>
  <c r="AL122" i="32"/>
  <c r="AE128" i="32"/>
  <c r="AS127" i="32"/>
  <c r="N142" i="32"/>
  <c r="AN141" i="32"/>
  <c r="AU141" i="32" s="1"/>
  <c r="AQ148" i="32"/>
  <c r="AR146" i="32"/>
  <c r="Y148" i="32"/>
  <c r="Z161" i="32"/>
  <c r="AS165" i="32"/>
  <c r="Q176" i="32"/>
  <c r="U170" i="32"/>
  <c r="AP170" i="32" s="1"/>
  <c r="AQ182" i="32"/>
  <c r="AB183" i="32"/>
  <c r="AA183" i="32"/>
  <c r="AR183" i="32" s="1"/>
  <c r="I185" i="32"/>
  <c r="K186" i="32"/>
  <c r="AN187" i="32"/>
  <c r="AU187" i="32" s="1"/>
  <c r="Z196" i="32"/>
  <c r="AP196" i="32"/>
  <c r="AA208" i="32"/>
  <c r="AR208" i="32" s="1"/>
  <c r="AN216" i="32"/>
  <c r="AU216" i="32" s="1"/>
  <c r="AB234" i="32"/>
  <c r="AS234" i="32" s="1"/>
  <c r="Z234" i="32"/>
  <c r="AN234" i="32"/>
  <c r="AU234" i="32" s="1"/>
  <c r="AW234" i="32"/>
  <c r="AW239" i="32" s="1"/>
  <c r="Q297" i="32"/>
  <c r="U291" i="32"/>
  <c r="AB291" i="32" s="1"/>
  <c r="AS291" i="32" s="1"/>
  <c r="AV294" i="32"/>
  <c r="AN294" i="32"/>
  <c r="AU294" i="32" s="1"/>
  <c r="AB295" i="32"/>
  <c r="AS295" i="32" s="1"/>
  <c r="Z295" i="32"/>
  <c r="AQ35" i="32"/>
  <c r="AQ37" i="32" s="1"/>
  <c r="AM312" i="32"/>
  <c r="AN106" i="32"/>
  <c r="AN107" i="32" s="1"/>
  <c r="AW106" i="32"/>
  <c r="N22" i="32"/>
  <c r="Y22" i="32"/>
  <c r="AQ21" i="32"/>
  <c r="AQ22" i="32" s="1"/>
  <c r="AW27" i="32"/>
  <c r="AQ24" i="32"/>
  <c r="AQ27" i="32" s="1"/>
  <c r="AS26" i="32"/>
  <c r="AA26" i="32"/>
  <c r="AR26" i="32" s="1"/>
  <c r="AT32" i="32"/>
  <c r="AT34" i="32" s="1"/>
  <c r="AN33" i="32"/>
  <c r="AU33" i="32" s="1"/>
  <c r="AW35" i="32"/>
  <c r="AA36" i="32"/>
  <c r="AR36" i="32" s="1"/>
  <c r="AL41" i="32"/>
  <c r="AW38" i="32"/>
  <c r="AW41" i="32" s="1"/>
  <c r="AN40" i="32"/>
  <c r="AU40" i="32" s="1"/>
  <c r="Y311" i="32"/>
  <c r="N56" i="32"/>
  <c r="AN62" i="32"/>
  <c r="AN72" i="32"/>
  <c r="AU72" i="32" s="1"/>
  <c r="AW72" i="32"/>
  <c r="AT83" i="32"/>
  <c r="AN78" i="32"/>
  <c r="AU78" i="32" s="1"/>
  <c r="AN79" i="32"/>
  <c r="AU79" i="32" s="1"/>
  <c r="AN81" i="32"/>
  <c r="AU81" i="32" s="1"/>
  <c r="AW81" i="32"/>
  <c r="Q89" i="32"/>
  <c r="U84" i="32"/>
  <c r="AB84" i="32" s="1"/>
  <c r="AW84" i="32"/>
  <c r="AM89" i="32"/>
  <c r="AV86" i="32"/>
  <c r="AV89" i="32" s="1"/>
  <c r="AW87" i="32"/>
  <c r="AN87" i="32"/>
  <c r="AU87" i="32" s="1"/>
  <c r="AN101" i="32"/>
  <c r="AU101" i="32" s="1"/>
  <c r="AT111" i="32"/>
  <c r="Y118" i="32"/>
  <c r="AQ112" i="32"/>
  <c r="AQ118" i="32" s="1"/>
  <c r="AQ122" i="32"/>
  <c r="AN119" i="32"/>
  <c r="Y122" i="32"/>
  <c r="AT135" i="32"/>
  <c r="AN149" i="32"/>
  <c r="AN151" i="32"/>
  <c r="AU151" i="32" s="1"/>
  <c r="AA153" i="32"/>
  <c r="AR153" i="32" s="1"/>
  <c r="AN166" i="32"/>
  <c r="AU166" i="32" s="1"/>
  <c r="U190" i="32"/>
  <c r="U193" i="32" s="1"/>
  <c r="Q193" i="32"/>
  <c r="AS199" i="32"/>
  <c r="AL203" i="32"/>
  <c r="AE221" i="32"/>
  <c r="AT220" i="32"/>
  <c r="AT221" i="32" s="1"/>
  <c r="AA223" i="32"/>
  <c r="AR223" i="32" s="1"/>
  <c r="AB229" i="32"/>
  <c r="AS229" i="32" s="1"/>
  <c r="Z229" i="32"/>
  <c r="AW281" i="32"/>
  <c r="AN281" i="32"/>
  <c r="AU281" i="32" s="1"/>
  <c r="AT23" i="32"/>
  <c r="AT27" i="32" s="1"/>
  <c r="AE56" i="32"/>
  <c r="AQ73" i="32"/>
  <c r="AQ76" i="32" s="1"/>
  <c r="Z73" i="32"/>
  <c r="AN77" i="32"/>
  <c r="AW77" i="32"/>
  <c r="AN100" i="32"/>
  <c r="AU100" i="32" s="1"/>
  <c r="AW100" i="32"/>
  <c r="AW134" i="32"/>
  <c r="AN134" i="32"/>
  <c r="AU134" i="32" s="1"/>
  <c r="AW246" i="32"/>
  <c r="AW250" i="32" s="1"/>
  <c r="AM250" i="32"/>
  <c r="AV280" i="32"/>
  <c r="AN280" i="32"/>
  <c r="AU280" i="32" s="1"/>
  <c r="U12" i="32"/>
  <c r="AA12" i="32" s="1"/>
  <c r="AJ300" i="32"/>
  <c r="AC18" i="45" s="1"/>
  <c r="K304" i="32"/>
  <c r="Q22" i="32"/>
  <c r="L27" i="32"/>
  <c r="AN25" i="32"/>
  <c r="AU25" i="32" s="1"/>
  <c r="Q31" i="32"/>
  <c r="AW31" i="32"/>
  <c r="I33" i="32"/>
  <c r="AW34" i="32"/>
  <c r="I36" i="32"/>
  <c r="AP36" i="32"/>
  <c r="AW37" i="32"/>
  <c r="I42" i="32"/>
  <c r="K43" i="32"/>
  <c r="Q56" i="32"/>
  <c r="AB69" i="32"/>
  <c r="AS69" i="32" s="1"/>
  <c r="AA69" i="32"/>
  <c r="AR69" i="32" s="1"/>
  <c r="AL76" i="32"/>
  <c r="AV71" i="32"/>
  <c r="AN73" i="32"/>
  <c r="AU73" i="32" s="1"/>
  <c r="AW73" i="32"/>
  <c r="AE83" i="32"/>
  <c r="AW88" i="32"/>
  <c r="AN88" i="32"/>
  <c r="AU88" i="32" s="1"/>
  <c r="AQ306" i="32"/>
  <c r="AM107" i="32"/>
  <c r="AL111" i="32"/>
  <c r="AT118" i="32"/>
  <c r="Q307" i="32"/>
  <c r="AM118" i="32"/>
  <c r="AW155" i="32"/>
  <c r="AB154" i="32"/>
  <c r="AS154" i="32" s="1"/>
  <c r="AA154" i="32"/>
  <c r="AR154" i="32" s="1"/>
  <c r="I156" i="32"/>
  <c r="K162" i="32"/>
  <c r="AN156" i="32"/>
  <c r="AU156" i="32" s="1"/>
  <c r="AM162" i="32"/>
  <c r="AW156" i="32"/>
  <c r="AW162" i="32" s="1"/>
  <c r="L176" i="32"/>
  <c r="AT176" i="32"/>
  <c r="AM176" i="32"/>
  <c r="L186" i="32"/>
  <c r="AB187" i="32"/>
  <c r="AS187" i="32" s="1"/>
  <c r="Y193" i="32"/>
  <c r="AN196" i="32"/>
  <c r="AV196" i="32"/>
  <c r="Y212" i="32"/>
  <c r="L239" i="32"/>
  <c r="AM276" i="32"/>
  <c r="Q283" i="32"/>
  <c r="U277" i="32"/>
  <c r="U283" i="32" s="1"/>
  <c r="AE297" i="32"/>
  <c r="AT291" i="32"/>
  <c r="AA295" i="32"/>
  <c r="AR295" i="32" s="1"/>
  <c r="AM299" i="32"/>
  <c r="AN298" i="32"/>
  <c r="AW298" i="32"/>
  <c r="AW299" i="32" s="1"/>
  <c r="Q50" i="32"/>
  <c r="AS55" i="32"/>
  <c r="AQ57" i="32"/>
  <c r="AQ63" i="32" s="1"/>
  <c r="AP74" i="32"/>
  <c r="AL83" i="32"/>
  <c r="I80" i="32"/>
  <c r="AN84" i="32"/>
  <c r="AU84" i="32" s="1"/>
  <c r="I88" i="32"/>
  <c r="AU93" i="32"/>
  <c r="Q306" i="32"/>
  <c r="AL306" i="32"/>
  <c r="I98" i="32"/>
  <c r="AN99" i="32"/>
  <c r="AL105" i="32"/>
  <c r="Q111" i="32"/>
  <c r="AT119" i="32"/>
  <c r="AT122" i="32" s="1"/>
  <c r="N128" i="32"/>
  <c r="AL128" i="32"/>
  <c r="AE135" i="32"/>
  <c r="L142" i="32"/>
  <c r="Z139" i="32"/>
  <c r="AT143" i="32"/>
  <c r="AT144" i="32" s="1"/>
  <c r="Z145" i="32"/>
  <c r="AF145" i="32" s="1"/>
  <c r="Z146" i="32"/>
  <c r="I147" i="32"/>
  <c r="Z147" i="32"/>
  <c r="K155" i="32"/>
  <c r="AM155" i="32"/>
  <c r="I150" i="32"/>
  <c r="I151" i="32"/>
  <c r="Q162" i="32"/>
  <c r="AS160" i="32"/>
  <c r="Q169" i="32"/>
  <c r="I164" i="32"/>
  <c r="I175" i="32"/>
  <c r="AE182" i="32"/>
  <c r="AT177" i="32"/>
  <c r="AT182" i="32" s="1"/>
  <c r="AM186" i="32"/>
  <c r="AN188" i="32"/>
  <c r="AU188" i="32" s="1"/>
  <c r="AB194" i="32"/>
  <c r="AP194" i="32"/>
  <c r="AM197" i="32"/>
  <c r="AW194" i="32"/>
  <c r="AW197" i="32" s="1"/>
  <c r="AB203" i="32"/>
  <c r="AW198" i="32"/>
  <c r="AM203" i="32"/>
  <c r="AN198" i="32"/>
  <c r="AU198" i="32" s="1"/>
  <c r="K232" i="32"/>
  <c r="AB232" i="32"/>
  <c r="AM232" i="32"/>
  <c r="AN226" i="32"/>
  <c r="AU226" i="32" s="1"/>
  <c r="AW226" i="32"/>
  <c r="Z233" i="32"/>
  <c r="AN233" i="32"/>
  <c r="AL243" i="32"/>
  <c r="AV240" i="32"/>
  <c r="AN240" i="32"/>
  <c r="AU240" i="32" s="1"/>
  <c r="AT244" i="32"/>
  <c r="AT250" i="32" s="1"/>
  <c r="AE250" i="32"/>
  <c r="AT254" i="32"/>
  <c r="AE260" i="32"/>
  <c r="AS255" i="32"/>
  <c r="AB259" i="32"/>
  <c r="AS259" i="32" s="1"/>
  <c r="AA259" i="32"/>
  <c r="AR259" i="32" s="1"/>
  <c r="AL283" i="32"/>
  <c r="AN277" i="32"/>
  <c r="AV279" i="32"/>
  <c r="AB285" i="32"/>
  <c r="Y299" i="32"/>
  <c r="AQ298" i="32"/>
  <c r="AQ299" i="32" s="1"/>
  <c r="N70" i="32"/>
  <c r="K76" i="32"/>
  <c r="AM76" i="32"/>
  <c r="I73" i="32"/>
  <c r="AR74" i="32"/>
  <c r="I78" i="32"/>
  <c r="I82" i="32"/>
  <c r="I84" i="32"/>
  <c r="I86" i="32"/>
  <c r="L95" i="32"/>
  <c r="I94" i="32"/>
  <c r="N105" i="32"/>
  <c r="I101" i="32"/>
  <c r="K312" i="32"/>
  <c r="K107" i="32"/>
  <c r="Q118" i="32"/>
  <c r="U122" i="32"/>
  <c r="Z126" i="32"/>
  <c r="AN126" i="32"/>
  <c r="AU126" i="32" s="1"/>
  <c r="AU127" i="32"/>
  <c r="AN131" i="32"/>
  <c r="AU131" i="32" s="1"/>
  <c r="AN132" i="32"/>
  <c r="AU132" i="32" s="1"/>
  <c r="Y142" i="32"/>
  <c r="AW148" i="32"/>
  <c r="AS156" i="32"/>
  <c r="I167" i="32"/>
  <c r="I177" i="32"/>
  <c r="AE186" i="32"/>
  <c r="AT183" i="32"/>
  <c r="AT186" i="32" s="1"/>
  <c r="AQ190" i="32"/>
  <c r="N203" i="32"/>
  <c r="AT203" i="32"/>
  <c r="Z199" i="32"/>
  <c r="AN200" i="32"/>
  <c r="AU200" i="32" s="1"/>
  <c r="AW202" i="32"/>
  <c r="AN202" i="32"/>
  <c r="AU202" i="32" s="1"/>
  <c r="AW205" i="32"/>
  <c r="AN205" i="32"/>
  <c r="AU205" i="32" s="1"/>
  <c r="AN215" i="32"/>
  <c r="AU215" i="32" s="1"/>
  <c r="Y221" i="32"/>
  <c r="AQ220" i="32"/>
  <c r="AQ221" i="32" s="1"/>
  <c r="AQ222" i="32"/>
  <c r="AQ225" i="32" s="1"/>
  <c r="Y225" i="32"/>
  <c r="AB224" i="32"/>
  <c r="AS224" i="32" s="1"/>
  <c r="AP224" i="32"/>
  <c r="AA224" i="32"/>
  <c r="AN227" i="32"/>
  <c r="AW227" i="32"/>
  <c r="K239" i="32"/>
  <c r="AB241" i="32"/>
  <c r="AS241" i="32" s="1"/>
  <c r="AA241" i="32"/>
  <c r="AR241" i="32" s="1"/>
  <c r="Z241" i="32"/>
  <c r="Q260" i="32"/>
  <c r="U254" i="32"/>
  <c r="AQ261" i="32"/>
  <c r="AQ263" i="32" s="1"/>
  <c r="AQ186" i="32"/>
  <c r="AR185" i="32"/>
  <c r="AS202" i="32"/>
  <c r="Z202" i="32"/>
  <c r="Z214" i="32"/>
  <c r="I220" i="32"/>
  <c r="I221" i="32" s="1"/>
  <c r="AE225" i="32"/>
  <c r="AW222" i="32"/>
  <c r="AW225" i="32" s="1"/>
  <c r="AN229" i="32"/>
  <c r="AU229" i="32" s="1"/>
  <c r="AA230" i="32"/>
  <c r="AR230" i="32" s="1"/>
  <c r="Z231" i="32"/>
  <c r="AM239" i="32"/>
  <c r="AV235" i="32"/>
  <c r="AN235" i="32"/>
  <c r="AU235" i="32" s="1"/>
  <c r="AV245" i="32"/>
  <c r="AV246" i="32"/>
  <c r="AN246" i="32"/>
  <c r="I252" i="32"/>
  <c r="AW253" i="32"/>
  <c r="AN255" i="32"/>
  <c r="AU255" i="32" s="1"/>
  <c r="AP258" i="32"/>
  <c r="AA258" i="32"/>
  <c r="AR258" i="32" s="1"/>
  <c r="AM263" i="32"/>
  <c r="AE283" i="32"/>
  <c r="U182" i="32"/>
  <c r="Q182" i="32"/>
  <c r="AW183" i="32"/>
  <c r="AW186" i="32" s="1"/>
  <c r="AS185" i="32"/>
  <c r="Y186" i="32"/>
  <c r="AS188" i="32"/>
  <c r="I190" i="32"/>
  <c r="Q203" i="32"/>
  <c r="AS200" i="32"/>
  <c r="Z200" i="32"/>
  <c r="I216" i="32"/>
  <c r="I217" i="32"/>
  <c r="AS235" i="32"/>
  <c r="AV236" i="32"/>
  <c r="AN236" i="32"/>
  <c r="K243" i="32"/>
  <c r="K250" i="32"/>
  <c r="I251" i="32"/>
  <c r="Y260" i="32"/>
  <c r="AQ256" i="32"/>
  <c r="AQ260" i="32" s="1"/>
  <c r="I262" i="32"/>
  <c r="AN271" i="32"/>
  <c r="I275" i="32"/>
  <c r="AW277" i="32"/>
  <c r="AM283" i="32"/>
  <c r="AV282" i="32"/>
  <c r="AN282" i="32"/>
  <c r="AU282" i="32" s="1"/>
  <c r="J303" i="32"/>
  <c r="AH303" i="32"/>
  <c r="AS236" i="32"/>
  <c r="Q250" i="32"/>
  <c r="AL250" i="32"/>
  <c r="I247" i="32"/>
  <c r="L263" i="32"/>
  <c r="AM269" i="32"/>
  <c r="AS266" i="32"/>
  <c r="I271" i="32"/>
  <c r="L283" i="32"/>
  <c r="Z279" i="32"/>
  <c r="AN295" i="32"/>
  <c r="M303" i="32"/>
  <c r="U244" i="32"/>
  <c r="AB244" i="32" s="1"/>
  <c r="AS244" i="32" s="1"/>
  <c r="I245" i="32"/>
  <c r="I246" i="32"/>
  <c r="AV251" i="32"/>
  <c r="AV253" i="32" s="1"/>
  <c r="I255" i="32"/>
  <c r="Z257" i="32"/>
  <c r="AQ264" i="32"/>
  <c r="AQ269" i="32" s="1"/>
  <c r="N269" i="32"/>
  <c r="AQ279" i="32"/>
  <c r="N290" i="32"/>
  <c r="Z289" i="32"/>
  <c r="U298" i="32"/>
  <c r="AB298" i="32" s="1"/>
  <c r="AB299" i="32" s="1"/>
  <c r="AV298" i="32"/>
  <c r="AV299" i="32" s="1"/>
  <c r="AE299" i="32"/>
  <c r="O303" i="32"/>
  <c r="V303" i="32"/>
  <c r="AD303" i="32"/>
  <c r="AK303" i="32"/>
  <c r="T126" i="39"/>
  <c r="AC126" i="39"/>
  <c r="AJ126" i="39"/>
  <c r="M126" i="39"/>
  <c r="AB49" i="39"/>
  <c r="AS49" i="39" s="1"/>
  <c r="Z49" i="39"/>
  <c r="AK123" i="39"/>
  <c r="AD19" i="45" s="1"/>
  <c r="Y86" i="39"/>
  <c r="AQ82" i="39"/>
  <c r="AQ86" i="39" s="1"/>
  <c r="L136" i="39"/>
  <c r="AL13" i="39"/>
  <c r="AE18" i="39"/>
  <c r="AL133" i="39"/>
  <c r="Q128" i="39"/>
  <c r="AT25" i="39"/>
  <c r="AT30" i="39" s="1"/>
  <c r="AN26" i="39"/>
  <c r="U31" i="39"/>
  <c r="U128" i="39" s="1"/>
  <c r="K129" i="39"/>
  <c r="Y129" i="39"/>
  <c r="Y42" i="39"/>
  <c r="AM42" i="39"/>
  <c r="AT43" i="39"/>
  <c r="AL44" i="39"/>
  <c r="AW45" i="39"/>
  <c r="AW46" i="39" s="1"/>
  <c r="N50" i="39"/>
  <c r="Z47" i="39"/>
  <c r="I49" i="39"/>
  <c r="AN51" i="39"/>
  <c r="AU51" i="39" s="1"/>
  <c r="AV51" i="39"/>
  <c r="AN54" i="39"/>
  <c r="AU54" i="39" s="1"/>
  <c r="AV54" i="39"/>
  <c r="AT57" i="39"/>
  <c r="AT58" i="39" s="1"/>
  <c r="AT65" i="39"/>
  <c r="AV65" i="39"/>
  <c r="AN64" i="39"/>
  <c r="Q72" i="39"/>
  <c r="I73" i="39"/>
  <c r="Y79" i="39"/>
  <c r="AV75" i="39"/>
  <c r="AN75" i="39"/>
  <c r="AU75" i="39" s="1"/>
  <c r="N86" i="39"/>
  <c r="AE86" i="39"/>
  <c r="Z85" i="39"/>
  <c r="AV87" i="39"/>
  <c r="AN87" i="39"/>
  <c r="AU87" i="39" s="1"/>
  <c r="Z95" i="39"/>
  <c r="AB95" i="39"/>
  <c r="AS95" i="39" s="1"/>
  <c r="Y107" i="39"/>
  <c r="AB113" i="39"/>
  <c r="AS113" i="39" s="1"/>
  <c r="Y122" i="39"/>
  <c r="AQ118" i="39"/>
  <c r="AQ122" i="39" s="1"/>
  <c r="AV12" i="39"/>
  <c r="AV136" i="39" s="1"/>
  <c r="K18" i="39"/>
  <c r="AE117" i="39"/>
  <c r="AT115" i="39"/>
  <c r="AT117" i="39" s="1"/>
  <c r="Z12" i="39"/>
  <c r="Z13" i="39" s="1"/>
  <c r="AN12" i="39"/>
  <c r="AN13" i="39" s="1"/>
  <c r="K13" i="39"/>
  <c r="AM13" i="39"/>
  <c r="N18" i="39"/>
  <c r="AW20" i="39"/>
  <c r="AS23" i="39"/>
  <c r="L30" i="39"/>
  <c r="AU27" i="39"/>
  <c r="AN29" i="39"/>
  <c r="AU29" i="39" s="1"/>
  <c r="Y36" i="39"/>
  <c r="AQ31" i="39"/>
  <c r="L129" i="39"/>
  <c r="AE129" i="39"/>
  <c r="I38" i="39"/>
  <c r="K135" i="39"/>
  <c r="U135" i="39"/>
  <c r="AW43" i="39"/>
  <c r="AW44" i="39" s="1"/>
  <c r="Q50" i="39"/>
  <c r="AQ47" i="39"/>
  <c r="AQ50" i="39" s="1"/>
  <c r="AA48" i="39"/>
  <c r="AR48" i="39" s="1"/>
  <c r="AR54" i="39"/>
  <c r="AM56" i="39"/>
  <c r="AW57" i="39"/>
  <c r="AW58" i="39" s="1"/>
  <c r="Y58" i="39"/>
  <c r="AL58" i="39"/>
  <c r="AN60" i="39"/>
  <c r="AT72" i="39"/>
  <c r="Q86" i="39"/>
  <c r="U80" i="39"/>
  <c r="Z80" i="39" s="1"/>
  <c r="AM93" i="39"/>
  <c r="I99" i="39"/>
  <c r="AV102" i="39"/>
  <c r="AN102" i="39"/>
  <c r="AU102" i="39" s="1"/>
  <c r="AB112" i="39"/>
  <c r="AS112" i="39" s="1"/>
  <c r="Z112" i="39"/>
  <c r="AV116" i="39"/>
  <c r="AV117" i="39" s="1"/>
  <c r="AN116" i="39"/>
  <c r="AU116" i="39" s="1"/>
  <c r="L122" i="39"/>
  <c r="Q18" i="39"/>
  <c r="AM127" i="39"/>
  <c r="L128" i="39"/>
  <c r="Z21" i="39"/>
  <c r="AU26" i="39"/>
  <c r="L135" i="39"/>
  <c r="Y135" i="39"/>
  <c r="AE46" i="39"/>
  <c r="I47" i="39"/>
  <c r="I50" i="39" s="1"/>
  <c r="U50" i="39"/>
  <c r="AT50" i="39"/>
  <c r="AB57" i="39"/>
  <c r="AB58" i="39" s="1"/>
  <c r="Z57" i="39"/>
  <c r="Z58" i="39" s="1"/>
  <c r="AM65" i="39"/>
  <c r="AW59" i="39"/>
  <c r="AW65" i="39" s="1"/>
  <c r="L72" i="39"/>
  <c r="Z82" i="39"/>
  <c r="AW93" i="39"/>
  <c r="I106" i="39"/>
  <c r="I109" i="39"/>
  <c r="I115" i="39"/>
  <c r="N79" i="39"/>
  <c r="AB89" i="39"/>
  <c r="AS89" i="39" s="1"/>
  <c r="I90" i="39"/>
  <c r="AS91" i="39"/>
  <c r="I92" i="39"/>
  <c r="Z92" i="39"/>
  <c r="AB103" i="39"/>
  <c r="AS103" i="39" s="1"/>
  <c r="AA109" i="39"/>
  <c r="AR109" i="39" s="1"/>
  <c r="AP109" i="39"/>
  <c r="Y117" i="39"/>
  <c r="AT118" i="39"/>
  <c r="AT122" i="39" s="1"/>
  <c r="V126" i="39"/>
  <c r="N65" i="39"/>
  <c r="AL65" i="39"/>
  <c r="I75" i="39"/>
  <c r="AE79" i="39"/>
  <c r="AN76" i="39"/>
  <c r="AU76" i="39" s="1"/>
  <c r="L86" i="39"/>
  <c r="AS81" i="39"/>
  <c r="I88" i="39"/>
  <c r="AA92" i="39"/>
  <c r="AR92" i="39" s="1"/>
  <c r="AN95" i="39"/>
  <c r="AU95" i="39" s="1"/>
  <c r="AL114" i="39"/>
  <c r="AN112" i="39"/>
  <c r="AU112" i="39" s="1"/>
  <c r="Q117" i="39"/>
  <c r="AL117" i="39"/>
  <c r="AG126" i="39"/>
  <c r="AE93" i="39"/>
  <c r="AF91" i="39"/>
  <c r="L100" i="39"/>
  <c r="AQ100" i="39"/>
  <c r="Q107" i="39"/>
  <c r="AU110" i="39"/>
  <c r="AQ114" i="39"/>
  <c r="AU121" i="39"/>
  <c r="X126" i="39"/>
  <c r="O167" i="40"/>
  <c r="AB21" i="40"/>
  <c r="AS21" i="40" s="1"/>
  <c r="AP21" i="40"/>
  <c r="AV13" i="40"/>
  <c r="AV161" i="40"/>
  <c r="AN161" i="40"/>
  <c r="AN163" i="40" s="1"/>
  <c r="L168" i="40"/>
  <c r="AN12" i="40"/>
  <c r="Q175" i="40"/>
  <c r="K32" i="40"/>
  <c r="AE170" i="40"/>
  <c r="AV116" i="40"/>
  <c r="AN116" i="40"/>
  <c r="AM15" i="40"/>
  <c r="AL38" i="40"/>
  <c r="AN41" i="40"/>
  <c r="L100" i="40"/>
  <c r="I97" i="40"/>
  <c r="AW150" i="40"/>
  <c r="AB146" i="40"/>
  <c r="AP146" i="40"/>
  <c r="AA146" i="40"/>
  <c r="AR146" i="40" s="1"/>
  <c r="AM150" i="40"/>
  <c r="P167" i="40"/>
  <c r="AG167" i="40"/>
  <c r="Z13" i="40"/>
  <c r="AN13" i="40"/>
  <c r="AU13" i="40" s="1"/>
  <c r="U16" i="40"/>
  <c r="AB16" i="40" s="1"/>
  <c r="AV16" i="40"/>
  <c r="AV19" i="40" s="1"/>
  <c r="AT20" i="40"/>
  <c r="AT23" i="40" s="1"/>
  <c r="AW24" i="40"/>
  <c r="Y25" i="40"/>
  <c r="AN26" i="40"/>
  <c r="Z27" i="40"/>
  <c r="AN30" i="40"/>
  <c r="AN31" i="40"/>
  <c r="U33" i="40"/>
  <c r="AB33" i="40" s="1"/>
  <c r="AS33" i="40" s="1"/>
  <c r="AL170" i="40"/>
  <c r="Q44" i="40"/>
  <c r="AW44" i="40"/>
  <c r="I43" i="40"/>
  <c r="AM44" i="40"/>
  <c r="Q51" i="40"/>
  <c r="N51" i="40"/>
  <c r="N176" i="40"/>
  <c r="N53" i="40"/>
  <c r="AL176" i="40"/>
  <c r="K171" i="40"/>
  <c r="I55" i="40"/>
  <c r="Y171" i="40"/>
  <c r="AT66" i="40"/>
  <c r="AS61" i="40"/>
  <c r="AW80" i="40"/>
  <c r="AP76" i="40"/>
  <c r="AA76" i="40"/>
  <c r="AE87" i="40"/>
  <c r="Q87" i="40"/>
  <c r="U83" i="40"/>
  <c r="AL87" i="40"/>
  <c r="N117" i="40"/>
  <c r="AN125" i="40"/>
  <c r="AU125" i="40" s="1"/>
  <c r="AM126" i="40"/>
  <c r="AN131" i="40"/>
  <c r="AU131" i="40" s="1"/>
  <c r="AB147" i="40"/>
  <c r="Z147" i="40"/>
  <c r="AP147" i="40"/>
  <c r="AA147" i="40"/>
  <c r="U151" i="40"/>
  <c r="AB157" i="40"/>
  <c r="AS157" i="40" s="1"/>
  <c r="Z157" i="40"/>
  <c r="AL159" i="40"/>
  <c r="AP160" i="40"/>
  <c r="AA160" i="40"/>
  <c r="AR160" i="40" s="1"/>
  <c r="AR163" i="40" s="1"/>
  <c r="AP161" i="40"/>
  <c r="U15" i="40"/>
  <c r="AT73" i="40"/>
  <c r="AV137" i="40"/>
  <c r="AN137" i="40"/>
  <c r="AN146" i="40"/>
  <c r="AV146" i="40"/>
  <c r="AT19" i="40"/>
  <c r="N38" i="40"/>
  <c r="AW59" i="40"/>
  <c r="Y73" i="40"/>
  <c r="AQ69" i="40"/>
  <c r="AQ73" i="40" s="1"/>
  <c r="AT80" i="40"/>
  <c r="AS75" i="40"/>
  <c r="AE90" i="40"/>
  <c r="AT88" i="40"/>
  <c r="L90" i="40"/>
  <c r="AE100" i="40"/>
  <c r="AT97" i="40"/>
  <c r="AT100" i="40" s="1"/>
  <c r="I101" i="40"/>
  <c r="K106" i="40"/>
  <c r="U107" i="40"/>
  <c r="U108" i="40" s="1"/>
  <c r="Q108" i="40"/>
  <c r="AV112" i="40"/>
  <c r="AV113" i="40" s="1"/>
  <c r="AL113" i="40"/>
  <c r="AV123" i="40"/>
  <c r="AQ119" i="40"/>
  <c r="Z119" i="40"/>
  <c r="AM143" i="40"/>
  <c r="AW137" i="40"/>
  <c r="AB144" i="40"/>
  <c r="AP144" i="40"/>
  <c r="AA144" i="40"/>
  <c r="AR144" i="40" s="1"/>
  <c r="Q150" i="40"/>
  <c r="AL153" i="40"/>
  <c r="AV151" i="40"/>
  <c r="AV153" i="40" s="1"/>
  <c r="AL163" i="40"/>
  <c r="AN160" i="40"/>
  <c r="Q163" i="40"/>
  <c r="U163" i="40"/>
  <c r="W167" i="40"/>
  <c r="L174" i="40"/>
  <c r="AV30" i="40"/>
  <c r="Y44" i="40"/>
  <c r="AQ39" i="40"/>
  <c r="AQ44" i="40" s="1"/>
  <c r="AV40" i="40"/>
  <c r="AU41" i="40"/>
  <c r="AN42" i="40"/>
  <c r="U45" i="40"/>
  <c r="I48" i="40"/>
  <c r="I51" i="40" s="1"/>
  <c r="I52" i="40"/>
  <c r="I54" i="40"/>
  <c r="AM59" i="40"/>
  <c r="L171" i="40"/>
  <c r="AW171" i="40"/>
  <c r="AN62" i="40"/>
  <c r="AU62" i="40" s="1"/>
  <c r="AR76" i="40"/>
  <c r="L80" i="40"/>
  <c r="L96" i="40"/>
  <c r="AE96" i="40"/>
  <c r="AV98" i="40"/>
  <c r="AL100" i="40"/>
  <c r="I109" i="40"/>
  <c r="AT109" i="40"/>
  <c r="AL126" i="40"/>
  <c r="AV124" i="40"/>
  <c r="AV126" i="40" s="1"/>
  <c r="AN124" i="40"/>
  <c r="AV130" i="40"/>
  <c r="AN130" i="40"/>
  <c r="AU130" i="40" s="1"/>
  <c r="Z135" i="40"/>
  <c r="AR147" i="40"/>
  <c r="AR149" i="40"/>
  <c r="AB152" i="40"/>
  <c r="AS152" i="40" s="1"/>
  <c r="Z152" i="40"/>
  <c r="AS65" i="40"/>
  <c r="AS85" i="40"/>
  <c r="N106" i="40"/>
  <c r="AQ127" i="40"/>
  <c r="AQ129" i="40" s="1"/>
  <c r="AW136" i="40"/>
  <c r="AV138" i="40"/>
  <c r="AN138" i="40"/>
  <c r="AU138" i="40" s="1"/>
  <c r="AB141" i="40"/>
  <c r="AS141" i="40" s="1"/>
  <c r="AA141" i="40"/>
  <c r="AT144" i="40"/>
  <c r="AT150" i="40" s="1"/>
  <c r="AR148" i="40"/>
  <c r="L159" i="40"/>
  <c r="AT159" i="40"/>
  <c r="J167" i="40"/>
  <c r="S167" i="40"/>
  <c r="X167" i="40"/>
  <c r="AH167" i="40"/>
  <c r="Y170" i="40"/>
  <c r="AM170" i="40"/>
  <c r="I37" i="40"/>
  <c r="I41" i="40"/>
  <c r="AU42" i="40"/>
  <c r="L51" i="40"/>
  <c r="Y51" i="40"/>
  <c r="AQ45" i="40"/>
  <c r="AQ51" i="40" s="1"/>
  <c r="I49" i="40"/>
  <c r="Y176" i="40"/>
  <c r="AQ52" i="40"/>
  <c r="N59" i="40"/>
  <c r="Q171" i="40"/>
  <c r="AM171" i="40"/>
  <c r="I64" i="40"/>
  <c r="L73" i="40"/>
  <c r="K80" i="40"/>
  <c r="AM80" i="40"/>
  <c r="Y80" i="40"/>
  <c r="K87" i="40"/>
  <c r="AQ87" i="40"/>
  <c r="K90" i="40"/>
  <c r="AM90" i="40"/>
  <c r="AW88" i="40"/>
  <c r="AW90" i="40" s="1"/>
  <c r="K96" i="40"/>
  <c r="AM106" i="40"/>
  <c r="Z110" i="40"/>
  <c r="I114" i="40"/>
  <c r="AM117" i="40"/>
  <c r="AE129" i="40"/>
  <c r="AE143" i="40"/>
  <c r="AB138" i="40"/>
  <c r="AS138" i="40" s="1"/>
  <c r="AA138" i="40"/>
  <c r="AR138" i="40" s="1"/>
  <c r="AN145" i="40"/>
  <c r="AV145" i="40"/>
  <c r="N153" i="40"/>
  <c r="AE153" i="40"/>
  <c r="AE163" i="40"/>
  <c r="AT163" i="40"/>
  <c r="AV100" i="40"/>
  <c r="L106" i="40"/>
  <c r="AE106" i="40"/>
  <c r="AT101" i="40"/>
  <c r="AT106" i="40" s="1"/>
  <c r="AN105" i="40"/>
  <c r="AU105" i="40" s="1"/>
  <c r="AW117" i="40"/>
  <c r="Y123" i="40"/>
  <c r="AQ118" i="40"/>
  <c r="AT126" i="40"/>
  <c r="AV129" i="40"/>
  <c r="L136" i="40"/>
  <c r="AU146" i="40"/>
  <c r="AN148" i="40"/>
  <c r="AN149" i="40"/>
  <c r="AQ151" i="40"/>
  <c r="AQ153" i="40" s="1"/>
  <c r="AM159" i="40"/>
  <c r="N163" i="40"/>
  <c r="M167" i="40"/>
  <c r="T167" i="40"/>
  <c r="AM150" i="41"/>
  <c r="AM38" i="41"/>
  <c r="AQ53" i="41"/>
  <c r="Y60" i="41"/>
  <c r="AW57" i="41"/>
  <c r="AN57" i="41"/>
  <c r="AU57" i="41" s="1"/>
  <c r="AB64" i="41"/>
  <c r="AP64" i="41"/>
  <c r="Q95" i="41"/>
  <c r="U90" i="41"/>
  <c r="AA90" i="41" s="1"/>
  <c r="AR90" i="41" s="1"/>
  <c r="Q142" i="41"/>
  <c r="Y147" i="41"/>
  <c r="AQ12" i="41"/>
  <c r="N27" i="41"/>
  <c r="Q27" i="41"/>
  <c r="AN36" i="41"/>
  <c r="Y45" i="41"/>
  <c r="AQ39" i="41"/>
  <c r="AV45" i="41"/>
  <c r="AL52" i="41"/>
  <c r="N63" i="41"/>
  <c r="AL63" i="41"/>
  <c r="AN61" i="41"/>
  <c r="AT64" i="41"/>
  <c r="AT67" i="41" s="1"/>
  <c r="AM67" i="41"/>
  <c r="AB68" i="41"/>
  <c r="AS68" i="41" s="1"/>
  <c r="Z68" i="41"/>
  <c r="AW93" i="41"/>
  <c r="AN93" i="41"/>
  <c r="N156" i="41"/>
  <c r="N97" i="41"/>
  <c r="AL156" i="41"/>
  <c r="AL97" i="41"/>
  <c r="AN96" i="41"/>
  <c r="AN97" i="41" s="1"/>
  <c r="AM104" i="41"/>
  <c r="AB123" i="41"/>
  <c r="AS123" i="41" s="1"/>
  <c r="AA123" i="41"/>
  <c r="AR123" i="41" s="1"/>
  <c r="Z123" i="41"/>
  <c r="AQ132" i="41"/>
  <c r="Z132" i="41"/>
  <c r="AN20" i="41"/>
  <c r="AU20" i="41" s="1"/>
  <c r="AW20" i="41"/>
  <c r="AM155" i="41"/>
  <c r="AM29" i="41"/>
  <c r="AW28" i="41"/>
  <c r="AW29" i="41" s="1"/>
  <c r="AQ30" i="41"/>
  <c r="AQ32" i="41" s="1"/>
  <c r="AW134" i="41"/>
  <c r="AN134" i="41"/>
  <c r="AQ141" i="41"/>
  <c r="Z141" i="41"/>
  <c r="L147" i="41"/>
  <c r="AN19" i="41"/>
  <c r="AW19" i="41"/>
  <c r="AW21" i="41" s="1"/>
  <c r="AM27" i="41"/>
  <c r="AV30" i="41"/>
  <c r="AV32" i="41" s="1"/>
  <c r="AL32" i="41"/>
  <c r="AU37" i="41"/>
  <c r="AE45" i="41"/>
  <c r="AQ41" i="41"/>
  <c r="Z41" i="41"/>
  <c r="AV47" i="41"/>
  <c r="AV52" i="41" s="1"/>
  <c r="AB69" i="41"/>
  <c r="AS69" i="41" s="1"/>
  <c r="Z69" i="41"/>
  <c r="AA73" i="41"/>
  <c r="L95" i="41"/>
  <c r="U102" i="41"/>
  <c r="AB102" i="41" s="1"/>
  <c r="Q104" i="41"/>
  <c r="AB114" i="41"/>
  <c r="AS114" i="41" s="1"/>
  <c r="Z114" i="41"/>
  <c r="AA114" i="41"/>
  <c r="AR114" i="41" s="1"/>
  <c r="AW140" i="41"/>
  <c r="AN140" i="41"/>
  <c r="AM142" i="41"/>
  <c r="AJ146" i="41"/>
  <c r="AL16" i="41"/>
  <c r="AV12" i="41"/>
  <c r="L16" i="41"/>
  <c r="AM21" i="41"/>
  <c r="AN28" i="41"/>
  <c r="AN29" i="41" s="1"/>
  <c r="Q32" i="41"/>
  <c r="U30" i="41"/>
  <c r="Z30" i="41" s="1"/>
  <c r="AN34" i="41"/>
  <c r="AU34" i="41" s="1"/>
  <c r="AW34" i="41"/>
  <c r="AU35" i="41"/>
  <c r="AS40" i="41"/>
  <c r="Z44" i="41"/>
  <c r="AQ70" i="41"/>
  <c r="Z70" i="41"/>
  <c r="AB71" i="41"/>
  <c r="AS71" i="41" s="1"/>
  <c r="AP71" i="41"/>
  <c r="Z71" i="41"/>
  <c r="AB79" i="41"/>
  <c r="AE89" i="41"/>
  <c r="AT87" i="41"/>
  <c r="AT89" i="41" s="1"/>
  <c r="AN92" i="41"/>
  <c r="AU92" i="41" s="1"/>
  <c r="AV92" i="41"/>
  <c r="AV95" i="41" s="1"/>
  <c r="AU93" i="41"/>
  <c r="I104" i="41"/>
  <c r="AW104" i="41"/>
  <c r="AQ109" i="41"/>
  <c r="Z109" i="41"/>
  <c r="Z120" i="41"/>
  <c r="K135" i="41"/>
  <c r="AM135" i="41"/>
  <c r="Y142" i="41"/>
  <c r="AQ138" i="41"/>
  <c r="AW141" i="41"/>
  <c r="AN141" i="41"/>
  <c r="K147" i="41"/>
  <c r="AM147" i="41"/>
  <c r="I17" i="41"/>
  <c r="L27" i="41"/>
  <c r="K155" i="41"/>
  <c r="K29" i="41"/>
  <c r="N45" i="41"/>
  <c r="AQ81" i="41"/>
  <c r="AU80" i="41"/>
  <c r="AV87" i="41"/>
  <c r="AN87" i="41"/>
  <c r="AL95" i="41"/>
  <c r="I99" i="41"/>
  <c r="AV103" i="41"/>
  <c r="AN103" i="41"/>
  <c r="AU103" i="41" s="1"/>
  <c r="AA117" i="41"/>
  <c r="AR117" i="41" s="1"/>
  <c r="AN117" i="41"/>
  <c r="AU117" i="41" s="1"/>
  <c r="AS124" i="41"/>
  <c r="AW130" i="41"/>
  <c r="AU137" i="41"/>
  <c r="AU140" i="41"/>
  <c r="AE147" i="41"/>
  <c r="N153" i="41"/>
  <c r="L154" i="41"/>
  <c r="Y154" i="41"/>
  <c r="K21" i="41"/>
  <c r="AL27" i="41"/>
  <c r="Y27" i="41"/>
  <c r="AT32" i="41"/>
  <c r="K150" i="41"/>
  <c r="AU36" i="41"/>
  <c r="N52" i="41"/>
  <c r="K67" i="41"/>
  <c r="AB66" i="41"/>
  <c r="AP66" i="41"/>
  <c r="AU68" i="41"/>
  <c r="AU69" i="41"/>
  <c r="I71" i="41"/>
  <c r="AV76" i="41"/>
  <c r="AV81" i="41" s="1"/>
  <c r="AN76" i="41"/>
  <c r="AU76" i="41" s="1"/>
  <c r="AW78" i="41"/>
  <c r="AW81" i="41" s="1"/>
  <c r="AN78" i="41"/>
  <c r="AU78" i="41" s="1"/>
  <c r="AV88" i="41"/>
  <c r="AN88" i="41"/>
  <c r="AU88" i="41" s="1"/>
  <c r="Z94" i="41"/>
  <c r="AQ94" i="41"/>
  <c r="AL104" i="41"/>
  <c r="AN102" i="41"/>
  <c r="AU102" i="41" s="1"/>
  <c r="AQ115" i="41"/>
  <c r="Z115" i="41"/>
  <c r="AF115" i="41" s="1"/>
  <c r="N130" i="41"/>
  <c r="AL130" i="41"/>
  <c r="AW131" i="41"/>
  <c r="AW135" i="41" s="1"/>
  <c r="AE135" i="41"/>
  <c r="O146" i="41"/>
  <c r="T146" i="41"/>
  <c r="Q52" i="41"/>
  <c r="AM60" i="41"/>
  <c r="AN59" i="41"/>
  <c r="AU59" i="41" s="1"/>
  <c r="Y74" i="41"/>
  <c r="I82" i="41"/>
  <c r="I85" i="41" s="1"/>
  <c r="AN84" i="41"/>
  <c r="AU84" i="41" s="1"/>
  <c r="Q89" i="41"/>
  <c r="U86" i="41"/>
  <c r="AB86" i="41" s="1"/>
  <c r="AS86" i="41" s="1"/>
  <c r="N95" i="41"/>
  <c r="AN94" i="41"/>
  <c r="L111" i="41"/>
  <c r="AN106" i="41"/>
  <c r="AU106" i="41" s="1"/>
  <c r="K118" i="41"/>
  <c r="I115" i="41"/>
  <c r="AO115" i="41" s="1"/>
  <c r="AS115" i="41"/>
  <c r="L126" i="41"/>
  <c r="Y126" i="41"/>
  <c r="AN128" i="41"/>
  <c r="AU128" i="41" s="1"/>
  <c r="AR134" i="41"/>
  <c r="AL142" i="41"/>
  <c r="AU141" i="41"/>
  <c r="I79" i="41"/>
  <c r="AW89" i="41"/>
  <c r="AM95" i="41"/>
  <c r="AE101" i="41"/>
  <c r="AT98" i="41"/>
  <c r="AT101" i="41" s="1"/>
  <c r="AE104" i="41"/>
  <c r="AT102" i="41"/>
  <c r="AT104" i="41" s="1"/>
  <c r="AR129" i="41"/>
  <c r="AW142" i="41"/>
  <c r="W146" i="41"/>
  <c r="AG146" i="41"/>
  <c r="O200" i="42"/>
  <c r="V200" i="42"/>
  <c r="AD200" i="42"/>
  <c r="AK200" i="42"/>
  <c r="P200" i="42"/>
  <c r="AG200" i="42"/>
  <c r="AV20" i="42"/>
  <c r="AT23" i="42"/>
  <c r="AT26" i="42" s="1"/>
  <c r="AS27" i="42"/>
  <c r="I27" i="42"/>
  <c r="I30" i="42" s="1"/>
  <c r="I32" i="42"/>
  <c r="L34" i="42"/>
  <c r="AN41" i="42"/>
  <c r="AT45" i="42"/>
  <c r="AB71" i="42"/>
  <c r="AS71" i="42" s="1"/>
  <c r="Z74" i="42"/>
  <c r="AP74" i="42"/>
  <c r="AB74" i="42"/>
  <c r="AS74" i="42" s="1"/>
  <c r="AA74" i="42"/>
  <c r="AM209" i="42"/>
  <c r="AM78" i="42"/>
  <c r="AW77" i="42"/>
  <c r="AW209" i="42" s="1"/>
  <c r="K85" i="42"/>
  <c r="AU87" i="42"/>
  <c r="Q95" i="42"/>
  <c r="U90" i="42"/>
  <c r="AP90" i="42" s="1"/>
  <c r="AV93" i="42"/>
  <c r="AN93" i="42"/>
  <c r="AU93" i="42" s="1"/>
  <c r="AB104" i="42"/>
  <c r="AS104" i="42" s="1"/>
  <c r="Z104" i="42"/>
  <c r="Q115" i="42"/>
  <c r="U113" i="42"/>
  <c r="AB113" i="42" s="1"/>
  <c r="AS113" i="42" s="1"/>
  <c r="I137" i="42"/>
  <c r="AW188" i="42"/>
  <c r="AN188" i="42"/>
  <c r="AU188" i="42" s="1"/>
  <c r="Q196" i="42"/>
  <c r="U191" i="42"/>
  <c r="Y26" i="42"/>
  <c r="AQ24" i="42"/>
  <c r="AQ26" i="42" s="1"/>
  <c r="AV53" i="42"/>
  <c r="AN53" i="42"/>
  <c r="AV57" i="42"/>
  <c r="AN57" i="42"/>
  <c r="AU57" i="42" s="1"/>
  <c r="AB61" i="42"/>
  <c r="AS61" i="42" s="1"/>
  <c r="Z61" i="42"/>
  <c r="AB83" i="42"/>
  <c r="AS83" i="42" s="1"/>
  <c r="Z83" i="42"/>
  <c r="I110" i="42"/>
  <c r="AS110" i="42"/>
  <c r="AA123" i="42"/>
  <c r="AR123" i="42" s="1"/>
  <c r="Z123" i="42"/>
  <c r="AQ136" i="42"/>
  <c r="Y137" i="42"/>
  <c r="Z136" i="42"/>
  <c r="Z141" i="42"/>
  <c r="AA141" i="42"/>
  <c r="AR141" i="42" s="1"/>
  <c r="K147" i="42"/>
  <c r="I145" i="42"/>
  <c r="AQ145" i="42"/>
  <c r="AQ147" i="42" s="1"/>
  <c r="Y147" i="42"/>
  <c r="N26" i="42"/>
  <c r="L30" i="42"/>
  <c r="AV33" i="42"/>
  <c r="AV34" i="42" s="1"/>
  <c r="AN33" i="42"/>
  <c r="AN34" i="42" s="1"/>
  <c r="AV56" i="42"/>
  <c r="AL58" i="42"/>
  <c r="AN60" i="42"/>
  <c r="AU60" i="42" s="1"/>
  <c r="AV61" i="42"/>
  <c r="AV64" i="42" s="1"/>
  <c r="AQ70" i="42"/>
  <c r="Z73" i="42"/>
  <c r="AA73" i="42"/>
  <c r="AV83" i="42"/>
  <c r="AV85" i="42" s="1"/>
  <c r="AL85" i="42"/>
  <c r="AB94" i="42"/>
  <c r="AS94" i="42" s="1"/>
  <c r="Z94" i="42"/>
  <c r="AN100" i="42"/>
  <c r="AU100" i="42" s="1"/>
  <c r="AN106" i="42"/>
  <c r="AU106" i="42" s="1"/>
  <c r="Z117" i="42"/>
  <c r="L134" i="42"/>
  <c r="I132" i="42"/>
  <c r="I134" i="42" s="1"/>
  <c r="AN165" i="42"/>
  <c r="AU165" i="42" s="1"/>
  <c r="AV165" i="42"/>
  <c r="I14" i="42"/>
  <c r="Y22" i="42"/>
  <c r="AQ19" i="42"/>
  <c r="I23" i="42"/>
  <c r="Q210" i="42"/>
  <c r="Q46" i="42"/>
  <c r="U45" i="42"/>
  <c r="U210" i="42" s="1"/>
  <c r="L202" i="42"/>
  <c r="L52" i="42"/>
  <c r="I47" i="42"/>
  <c r="K64" i="42"/>
  <c r="AB91" i="42"/>
  <c r="AS91" i="42" s="1"/>
  <c r="Z91" i="42"/>
  <c r="AV92" i="42"/>
  <c r="AN92" i="42"/>
  <c r="AM105" i="42"/>
  <c r="AW100" i="42"/>
  <c r="AW117" i="42"/>
  <c r="AW121" i="42" s="1"/>
  <c r="AN117" i="42"/>
  <c r="AU117" i="42" s="1"/>
  <c r="AW138" i="42"/>
  <c r="AN138" i="42"/>
  <c r="AB149" i="42"/>
  <c r="AS149" i="42" s="1"/>
  <c r="Z149" i="42"/>
  <c r="AM152" i="42"/>
  <c r="AN149" i="42"/>
  <c r="AU149" i="42" s="1"/>
  <c r="AW149" i="42"/>
  <c r="AW152" i="42" s="1"/>
  <c r="AV195" i="42"/>
  <c r="AN195" i="42"/>
  <c r="N203" i="42"/>
  <c r="Y18" i="42"/>
  <c r="AE30" i="42"/>
  <c r="AQ27" i="42"/>
  <c r="I31" i="42"/>
  <c r="AT34" i="42"/>
  <c r="AU32" i="42"/>
  <c r="AW32" i="42"/>
  <c r="I39" i="42"/>
  <c r="I41" i="42" s="1"/>
  <c r="AV39" i="42"/>
  <c r="AV41" i="42" s="1"/>
  <c r="AU40" i="42"/>
  <c r="AW40" i="42"/>
  <c r="AW41" i="42" s="1"/>
  <c r="Q44" i="42"/>
  <c r="AT44" i="42"/>
  <c r="I43" i="42"/>
  <c r="I45" i="42"/>
  <c r="Y46" i="42"/>
  <c r="AW47" i="42"/>
  <c r="AV48" i="42"/>
  <c r="AA49" i="42"/>
  <c r="AR49" i="42" s="1"/>
  <c r="AP49" i="42"/>
  <c r="Z51" i="42"/>
  <c r="AF51" i="42" s="1"/>
  <c r="AM58" i="42"/>
  <c r="AN54" i="42"/>
  <c r="AU54" i="42" s="1"/>
  <c r="AS63" i="42"/>
  <c r="AN65" i="42"/>
  <c r="AU65" i="42" s="1"/>
  <c r="AT76" i="42"/>
  <c r="AB72" i="42"/>
  <c r="AS72" i="42" s="1"/>
  <c r="AT77" i="42"/>
  <c r="AT78" i="42" s="1"/>
  <c r="L78" i="42"/>
  <c r="AW79" i="42"/>
  <c r="AW80" i="42"/>
  <c r="AW81" i="42"/>
  <c r="AW84" i="42"/>
  <c r="Q89" i="42"/>
  <c r="AN91" i="42"/>
  <c r="AU91" i="42" s="1"/>
  <c r="I93" i="42"/>
  <c r="I94" i="42"/>
  <c r="L105" i="42"/>
  <c r="AN103" i="42"/>
  <c r="Z109" i="42"/>
  <c r="AF109" i="42" s="1"/>
  <c r="AO109" i="42" s="1"/>
  <c r="AW114" i="42"/>
  <c r="AW115" i="42" s="1"/>
  <c r="AM121" i="42"/>
  <c r="N125" i="42"/>
  <c r="AT125" i="42"/>
  <c r="N131" i="42"/>
  <c r="AS129" i="42"/>
  <c r="I133" i="42"/>
  <c r="AA135" i="42"/>
  <c r="AR135" i="42" s="1"/>
  <c r="L137" i="42"/>
  <c r="Z140" i="42"/>
  <c r="AA140" i="42"/>
  <c r="AR140" i="42" s="1"/>
  <c r="AE147" i="42"/>
  <c r="AT145" i="42"/>
  <c r="AT147" i="42" s="1"/>
  <c r="AN150" i="42"/>
  <c r="AU150" i="42" s="1"/>
  <c r="AV150" i="42"/>
  <c r="AM170" i="42"/>
  <c r="AE177" i="42"/>
  <c r="AT171" i="42"/>
  <c r="AT177" i="42" s="1"/>
  <c r="AB176" i="42"/>
  <c r="AS176" i="42" s="1"/>
  <c r="AP176" i="42"/>
  <c r="AA176" i="42"/>
  <c r="AR176" i="42" s="1"/>
  <c r="Z176" i="42"/>
  <c r="AV178" i="42"/>
  <c r="AN178" i="42"/>
  <c r="AU178" i="42" s="1"/>
  <c r="N189" i="42"/>
  <c r="AQ195" i="42"/>
  <c r="Z195" i="42"/>
  <c r="AL34" i="42"/>
  <c r="AW34" i="42"/>
  <c r="AS35" i="42"/>
  <c r="AS37" i="42"/>
  <c r="AW52" i="42"/>
  <c r="AR51" i="42"/>
  <c r="AU63" i="42"/>
  <c r="AM64" i="42"/>
  <c r="Q69" i="42"/>
  <c r="AS68" i="42"/>
  <c r="AS92" i="42"/>
  <c r="AW94" i="42"/>
  <c r="AW95" i="42" s="1"/>
  <c r="AW104" i="42"/>
  <c r="AT113" i="42"/>
  <c r="AT115" i="42" s="1"/>
  <c r="AE115" i="42"/>
  <c r="AV115" i="42"/>
  <c r="Q125" i="42"/>
  <c r="U122" i="42"/>
  <c r="AB122" i="42" s="1"/>
  <c r="AS122" i="42" s="1"/>
  <c r="AM125" i="42"/>
  <c r="AL144" i="42"/>
  <c r="AV139" i="42"/>
  <c r="Z143" i="42"/>
  <c r="AA143" i="42"/>
  <c r="AR143" i="42" s="1"/>
  <c r="AV148" i="42"/>
  <c r="AL152" i="42"/>
  <c r="AN148" i="42"/>
  <c r="AB150" i="42"/>
  <c r="AS150" i="42" s="1"/>
  <c r="Z150" i="42"/>
  <c r="AA173" i="42"/>
  <c r="AR173" i="42" s="1"/>
  <c r="AP173" i="42"/>
  <c r="Z173" i="42"/>
  <c r="Y177" i="42"/>
  <c r="AV179" i="42"/>
  <c r="AN179" i="42"/>
  <c r="AU179" i="42" s="1"/>
  <c r="AN186" i="42"/>
  <c r="AU186" i="42" s="1"/>
  <c r="AL189" i="42"/>
  <c r="Y203" i="42"/>
  <c r="AQ14" i="42"/>
  <c r="AQ203" i="42" s="1"/>
  <c r="AT22" i="42"/>
  <c r="K30" i="42"/>
  <c r="AM30" i="42"/>
  <c r="I33" i="42"/>
  <c r="Y44" i="42"/>
  <c r="AW44" i="42"/>
  <c r="AN43" i="42"/>
  <c r="AU43" i="42" s="1"/>
  <c r="AQ45" i="42"/>
  <c r="AQ210" i="42" s="1"/>
  <c r="N46" i="42"/>
  <c r="AN47" i="42"/>
  <c r="AU48" i="42"/>
  <c r="AN49" i="42"/>
  <c r="AU49" i="42" s="1"/>
  <c r="Q58" i="42"/>
  <c r="AN55" i="42"/>
  <c r="AU55" i="42" s="1"/>
  <c r="N204" i="42"/>
  <c r="I65" i="42"/>
  <c r="U65" i="42"/>
  <c r="AB65" i="42" s="1"/>
  <c r="AS65" i="42" s="1"/>
  <c r="U76" i="42"/>
  <c r="Z72" i="42"/>
  <c r="AS80" i="42"/>
  <c r="AS84" i="42"/>
  <c r="I88" i="42"/>
  <c r="AU92" i="42"/>
  <c r="Z98" i="42"/>
  <c r="AF98" i="42" s="1"/>
  <c r="AO98" i="42" s="1"/>
  <c r="AL112" i="42"/>
  <c r="AV106" i="42"/>
  <c r="AL115" i="42"/>
  <c r="I118" i="42"/>
  <c r="I124" i="42"/>
  <c r="AN124" i="42"/>
  <c r="U126" i="42"/>
  <c r="AB126" i="42" s="1"/>
  <c r="AS126" i="42" s="1"/>
  <c r="AL131" i="42"/>
  <c r="AV126" i="42"/>
  <c r="AN130" i="42"/>
  <c r="AU130" i="42" s="1"/>
  <c r="AB135" i="42"/>
  <c r="AS135" i="42" s="1"/>
  <c r="Z135" i="42"/>
  <c r="Z137" i="42" s="1"/>
  <c r="AT135" i="42"/>
  <c r="AT137" i="42" s="1"/>
  <c r="U138" i="42"/>
  <c r="Q144" i="42"/>
  <c r="AB148" i="42"/>
  <c r="AS148" i="42" s="1"/>
  <c r="Z148" i="42"/>
  <c r="K152" i="42"/>
  <c r="AV163" i="42"/>
  <c r="AN163" i="42"/>
  <c r="AU163" i="42" s="1"/>
  <c r="AW167" i="42"/>
  <c r="AW170" i="42" s="1"/>
  <c r="AN167" i="42"/>
  <c r="AU167" i="42" s="1"/>
  <c r="Z171" i="42"/>
  <c r="AA171" i="42"/>
  <c r="Z175" i="42"/>
  <c r="AW183" i="42"/>
  <c r="AB179" i="42"/>
  <c r="AS179" i="42" s="1"/>
  <c r="AA179" i="42"/>
  <c r="AR179" i="42" s="1"/>
  <c r="Z179" i="42"/>
  <c r="AW184" i="42"/>
  <c r="AM189" i="42"/>
  <c r="AN184" i="42"/>
  <c r="AU184" i="42" s="1"/>
  <c r="AV191" i="42"/>
  <c r="AN191" i="42"/>
  <c r="AU191" i="42" s="1"/>
  <c r="I114" i="42"/>
  <c r="Q121" i="42"/>
  <c r="AL121" i="42"/>
  <c r="AV116" i="42"/>
  <c r="AV121" i="42" s="1"/>
  <c r="AU124" i="42"/>
  <c r="I127" i="42"/>
  <c r="AL134" i="42"/>
  <c r="K137" i="42"/>
  <c r="AU138" i="42"/>
  <c r="AW145" i="42"/>
  <c r="AW147" i="42" s="1"/>
  <c r="N155" i="42"/>
  <c r="Y161" i="42"/>
  <c r="I163" i="42"/>
  <c r="AN168" i="42"/>
  <c r="AU168" i="42" s="1"/>
  <c r="I172" i="42"/>
  <c r="AM183" i="42"/>
  <c r="AP181" i="42"/>
  <c r="Z181" i="42"/>
  <c r="AB192" i="42"/>
  <c r="AS192" i="42" s="1"/>
  <c r="Z192" i="42"/>
  <c r="AF192" i="42" s="1"/>
  <c r="AO192" i="42" s="1"/>
  <c r="I194" i="42"/>
  <c r="J200" i="42"/>
  <c r="S200" i="42"/>
  <c r="X200" i="42"/>
  <c r="I142" i="42"/>
  <c r="Z142" i="42"/>
  <c r="AA142" i="42"/>
  <c r="AB145" i="42"/>
  <c r="AS145" i="42" s="1"/>
  <c r="AP145" i="42"/>
  <c r="Z145" i="42"/>
  <c r="I146" i="42"/>
  <c r="Q152" i="42"/>
  <c r="AM161" i="42"/>
  <c r="AW156" i="42"/>
  <c r="AW161" i="42" s="1"/>
  <c r="K164" i="42"/>
  <c r="I162" i="42"/>
  <c r="Y164" i="42"/>
  <c r="AL170" i="42"/>
  <c r="AN166" i="42"/>
  <c r="AU166" i="42" s="1"/>
  <c r="I175" i="42"/>
  <c r="AN180" i="42"/>
  <c r="AU195" i="42"/>
  <c r="AR195" i="42"/>
  <c r="AM137" i="42"/>
  <c r="AW135" i="42"/>
  <c r="AW137" i="42" s="1"/>
  <c r="AU139" i="42"/>
  <c r="I151" i="42"/>
  <c r="AW155" i="42"/>
  <c r="N161" i="42"/>
  <c r="AL161" i="42"/>
  <c r="AL164" i="42"/>
  <c r="I181" i="42"/>
  <c r="Q189" i="42"/>
  <c r="M200" i="42"/>
  <c r="T200" i="42"/>
  <c r="W200" i="42"/>
  <c r="AK146" i="41"/>
  <c r="AH200" i="42"/>
  <c r="Z24" i="42"/>
  <c r="AA24" i="42"/>
  <c r="Q201" i="42"/>
  <c r="Q18" i="42"/>
  <c r="U12" i="42"/>
  <c r="Z16" i="42"/>
  <c r="AA16" i="42"/>
  <c r="AR16" i="42" s="1"/>
  <c r="AQ22" i="42"/>
  <c r="Z25" i="42"/>
  <c r="AA25" i="42"/>
  <c r="AI201" i="42"/>
  <c r="AI30" i="42"/>
  <c r="AL28" i="42"/>
  <c r="AL201" i="42" s="1"/>
  <c r="I210" i="42"/>
  <c r="I46" i="42"/>
  <c r="Z13" i="42"/>
  <c r="AA13" i="42"/>
  <c r="AR13" i="42" s="1"/>
  <c r="AB15" i="42"/>
  <c r="Q207" i="42"/>
  <c r="U17" i="42"/>
  <c r="AB24" i="42"/>
  <c r="AS24" i="42" s="1"/>
  <c r="AP24" i="42"/>
  <c r="U29" i="42"/>
  <c r="Q30" i="42"/>
  <c r="AU35" i="42"/>
  <c r="AW210" i="42"/>
  <c r="AW46" i="42"/>
  <c r="Z15" i="42"/>
  <c r="AA15" i="42"/>
  <c r="N22" i="42"/>
  <c r="Q203" i="42"/>
  <c r="U14" i="42"/>
  <c r="AB16" i="42"/>
  <c r="AS16" i="42" s="1"/>
  <c r="AP16" i="42"/>
  <c r="AE22" i="42"/>
  <c r="Q26" i="42"/>
  <c r="U23" i="42"/>
  <c r="AB25" i="42"/>
  <c r="AS25" i="42" s="1"/>
  <c r="AP25" i="42"/>
  <c r="N30" i="42"/>
  <c r="N41" i="42"/>
  <c r="AU39" i="42"/>
  <c r="L44" i="42"/>
  <c r="AS42" i="42"/>
  <c r="AV70" i="42"/>
  <c r="AN70" i="42"/>
  <c r="AV98" i="42"/>
  <c r="AN98" i="42"/>
  <c r="Z133" i="42"/>
  <c r="AP133" i="42"/>
  <c r="AB133" i="42"/>
  <c r="AS133" i="42" s="1"/>
  <c r="AA133" i="42"/>
  <c r="AV136" i="42"/>
  <c r="AN136" i="42"/>
  <c r="AT165" i="42"/>
  <c r="AT170" i="42" s="1"/>
  <c r="AE170" i="42"/>
  <c r="N183" i="42"/>
  <c r="K201" i="42"/>
  <c r="K18" i="42"/>
  <c r="K203" i="42"/>
  <c r="AR15" i="42"/>
  <c r="K207" i="42"/>
  <c r="Q22" i="42"/>
  <c r="U19" i="42"/>
  <c r="I21" i="42"/>
  <c r="AP21" i="42"/>
  <c r="AA21" i="42"/>
  <c r="AR21" i="42" s="1"/>
  <c r="Z21" i="42"/>
  <c r="K22" i="42"/>
  <c r="K26" i="42"/>
  <c r="AR24" i="42"/>
  <c r="AR25" i="42"/>
  <c r="AT30" i="42"/>
  <c r="AB31" i="42"/>
  <c r="AS31" i="42" s="1"/>
  <c r="U34" i="42"/>
  <c r="AP31" i="42"/>
  <c r="AA31" i="42"/>
  <c r="AB32" i="42"/>
  <c r="AS32" i="42" s="1"/>
  <c r="AP32" i="42"/>
  <c r="AA32" i="42"/>
  <c r="AR32" i="42" s="1"/>
  <c r="AB33" i="42"/>
  <c r="AS33" i="42" s="1"/>
  <c r="AP33" i="42"/>
  <c r="AA33" i="42"/>
  <c r="AR33" i="42" s="1"/>
  <c r="AP36" i="42"/>
  <c r="AA37" i="42"/>
  <c r="AR37" i="42" s="1"/>
  <c r="AB39" i="42"/>
  <c r="AS39" i="42" s="1"/>
  <c r="U41" i="42"/>
  <c r="AP39" i="42"/>
  <c r="AA39" i="42"/>
  <c r="AB40" i="42"/>
  <c r="AS40" i="42" s="1"/>
  <c r="AP40" i="42"/>
  <c r="AA40" i="42"/>
  <c r="AR40" i="42" s="1"/>
  <c r="AB44" i="42"/>
  <c r="AN42" i="42"/>
  <c r="AV44" i="42"/>
  <c r="AE44" i="42"/>
  <c r="Q202" i="42"/>
  <c r="U47" i="42"/>
  <c r="AS49" i="42"/>
  <c r="I49" i="42"/>
  <c r="AS51" i="42"/>
  <c r="I51" i="42"/>
  <c r="AT53" i="42"/>
  <c r="AT58" i="42" s="1"/>
  <c r="AE58" i="42"/>
  <c r="I56" i="42"/>
  <c r="AP56" i="42"/>
  <c r="AA56" i="42"/>
  <c r="AR56" i="42" s="1"/>
  <c r="AB56" i="42"/>
  <c r="AS56" i="42" s="1"/>
  <c r="Z56" i="42"/>
  <c r="AB60" i="42"/>
  <c r="AS60" i="42" s="1"/>
  <c r="AP60" i="42"/>
  <c r="AA60" i="42"/>
  <c r="AR60" i="42" s="1"/>
  <c r="Z60" i="42"/>
  <c r="I63" i="42"/>
  <c r="AN64" i="42"/>
  <c r="AP66" i="42"/>
  <c r="AA66" i="42"/>
  <c r="AR66" i="42" s="1"/>
  <c r="Z66" i="42"/>
  <c r="AB66" i="42"/>
  <c r="AB69" i="42" s="1"/>
  <c r="I67" i="42"/>
  <c r="AP67" i="42"/>
  <c r="AA67" i="42"/>
  <c r="AR67" i="42" s="1"/>
  <c r="Z67" i="42"/>
  <c r="AB67" i="42"/>
  <c r="AS67" i="42" s="1"/>
  <c r="AW67" i="42"/>
  <c r="AW69" i="42" s="1"/>
  <c r="AN67" i="42"/>
  <c r="AU67" i="42" s="1"/>
  <c r="AM69" i="42"/>
  <c r="AW70" i="42"/>
  <c r="AW76" i="42" s="1"/>
  <c r="AM76" i="42"/>
  <c r="AA72" i="42"/>
  <c r="AB73" i="42"/>
  <c r="AS73" i="42" s="1"/>
  <c r="AP73" i="42"/>
  <c r="N209" i="42"/>
  <c r="N78" i="42"/>
  <c r="L85" i="42"/>
  <c r="AQ79" i="42"/>
  <c r="Y85" i="42"/>
  <c r="I84" i="42"/>
  <c r="L89" i="42"/>
  <c r="AS86" i="42"/>
  <c r="Y89" i="42"/>
  <c r="AQ86" i="42"/>
  <c r="AQ89" i="42" s="1"/>
  <c r="AW86" i="42"/>
  <c r="AW89" i="42" s="1"/>
  <c r="AM89" i="42"/>
  <c r="AL99" i="42"/>
  <c r="AB102" i="42"/>
  <c r="AS102" i="42" s="1"/>
  <c r="U108" i="42"/>
  <c r="Q112" i="42"/>
  <c r="AT126" i="42"/>
  <c r="AT131" i="42" s="1"/>
  <c r="AE131" i="42"/>
  <c r="AQ131" i="42"/>
  <c r="O197" i="42"/>
  <c r="H22" i="45" s="1"/>
  <c r="N144" i="42"/>
  <c r="AV145" i="42"/>
  <c r="AN145" i="42"/>
  <c r="AL147" i="42"/>
  <c r="AQ167" i="42"/>
  <c r="AQ170" i="42" s="1"/>
  <c r="Y170" i="42"/>
  <c r="AM38" i="42"/>
  <c r="AW35" i="42"/>
  <c r="AW38" i="42" s="1"/>
  <c r="AV37" i="42"/>
  <c r="AN37" i="42"/>
  <c r="AU37" i="42" s="1"/>
  <c r="AT41" i="42"/>
  <c r="AM44" i="42"/>
  <c r="AM210" i="42"/>
  <c r="AM46" i="42"/>
  <c r="AA48" i="42"/>
  <c r="AR48" i="42" s="1"/>
  <c r="Z48" i="42"/>
  <c r="AV49" i="42"/>
  <c r="N208" i="42"/>
  <c r="AV51" i="42"/>
  <c r="AU53" i="42"/>
  <c r="I57" i="42"/>
  <c r="AP57" i="42"/>
  <c r="AA57" i="42"/>
  <c r="AR57" i="42" s="1"/>
  <c r="AB57" i="42"/>
  <c r="AS57" i="42" s="1"/>
  <c r="Z57" i="42"/>
  <c r="K58" i="42"/>
  <c r="AT116" i="42"/>
  <c r="AT121" i="42" s="1"/>
  <c r="AE121" i="42"/>
  <c r="AV12" i="42"/>
  <c r="AN12" i="42"/>
  <c r="AS13" i="42"/>
  <c r="AV13" i="42"/>
  <c r="AN13" i="42"/>
  <c r="AU13" i="42" s="1"/>
  <c r="AL203" i="42"/>
  <c r="AV14" i="42"/>
  <c r="AN14" i="42"/>
  <c r="AS15" i="42"/>
  <c r="AV15" i="42"/>
  <c r="AN15" i="42"/>
  <c r="AU15" i="42" s="1"/>
  <c r="AV16" i="42"/>
  <c r="AN16" i="42"/>
  <c r="AU16" i="42" s="1"/>
  <c r="AL207" i="42"/>
  <c r="AV17" i="42"/>
  <c r="AN17" i="42"/>
  <c r="AT207" i="42"/>
  <c r="AP20" i="42"/>
  <c r="AA20" i="42"/>
  <c r="AR20" i="42" s="1"/>
  <c r="Z20" i="42"/>
  <c r="L22" i="42"/>
  <c r="AV23" i="42"/>
  <c r="AN23" i="42"/>
  <c r="AV24" i="42"/>
  <c r="AN24" i="42"/>
  <c r="AU24" i="42" s="1"/>
  <c r="AV25" i="42"/>
  <c r="AN25" i="42"/>
  <c r="AU25" i="42" s="1"/>
  <c r="R201" i="42"/>
  <c r="R30" i="42"/>
  <c r="AV29" i="42"/>
  <c r="AN29" i="42"/>
  <c r="AQ31" i="42"/>
  <c r="AQ34" i="42" s="1"/>
  <c r="Y34" i="42"/>
  <c r="AE34" i="42"/>
  <c r="AE38" i="42"/>
  <c r="AT35" i="42"/>
  <c r="AT38" i="42" s="1"/>
  <c r="AQ35" i="42"/>
  <c r="AQ38" i="42" s="1"/>
  <c r="Z36" i="42"/>
  <c r="AV36" i="42"/>
  <c r="AN36" i="42"/>
  <c r="AL38" i="42"/>
  <c r="L38" i="42"/>
  <c r="Q38" i="42"/>
  <c r="U38" i="42"/>
  <c r="AQ39" i="42"/>
  <c r="AQ41" i="42" s="1"/>
  <c r="Y41" i="42"/>
  <c r="AE41" i="42"/>
  <c r="AQ42" i="42"/>
  <c r="AQ44" i="42" s="1"/>
  <c r="AP43" i="42"/>
  <c r="AA43" i="42"/>
  <c r="AR43" i="42" s="1"/>
  <c r="Z43" i="42"/>
  <c r="K44" i="42"/>
  <c r="K210" i="42"/>
  <c r="K46" i="42"/>
  <c r="Y202" i="42"/>
  <c r="AQ47" i="42"/>
  <c r="AB48" i="42"/>
  <c r="AS48" i="42" s="1"/>
  <c r="AL208" i="42"/>
  <c r="AN50" i="42"/>
  <c r="AU50" i="42" s="1"/>
  <c r="AV50" i="42"/>
  <c r="AU51" i="42"/>
  <c r="AP53" i="42"/>
  <c r="AA53" i="42"/>
  <c r="AR53" i="42" s="1"/>
  <c r="Z53" i="42"/>
  <c r="AS53" i="42"/>
  <c r="I55" i="42"/>
  <c r="AP55" i="42"/>
  <c r="AA55" i="42"/>
  <c r="AR55" i="42" s="1"/>
  <c r="AB55" i="42"/>
  <c r="AS55" i="42" s="1"/>
  <c r="Z55" i="42"/>
  <c r="AQ63" i="42"/>
  <c r="Z63" i="42"/>
  <c r="AE64" i="42"/>
  <c r="AA70" i="42"/>
  <c r="AR70" i="42" s="1"/>
  <c r="AA75" i="42"/>
  <c r="AR75" i="42" s="1"/>
  <c r="Q76" i="42"/>
  <c r="AL76" i="42"/>
  <c r="AT209" i="42"/>
  <c r="N85" i="42"/>
  <c r="AU79" i="42"/>
  <c r="AQ84" i="42"/>
  <c r="Z84" i="42"/>
  <c r="AE85" i="42"/>
  <c r="AP88" i="42"/>
  <c r="AA88" i="42"/>
  <c r="AR88" i="42" s="1"/>
  <c r="Z88" i="42"/>
  <c r="AB88" i="42"/>
  <c r="AB89" i="42" s="1"/>
  <c r="AE89" i="42"/>
  <c r="AB90" i="42"/>
  <c r="K99" i="42"/>
  <c r="I96" i="42"/>
  <c r="AP96" i="42"/>
  <c r="AA96" i="42"/>
  <c r="Z96" i="42"/>
  <c r="AB96" i="42"/>
  <c r="AB99" i="42" s="1"/>
  <c r="U99" i="42"/>
  <c r="AT100" i="42"/>
  <c r="AT105" i="42" s="1"/>
  <c r="AE105" i="42"/>
  <c r="Z101" i="42"/>
  <c r="AA101" i="42"/>
  <c r="AR101" i="42" s="1"/>
  <c r="L115" i="42"/>
  <c r="AQ113" i="42"/>
  <c r="AQ115" i="42" s="1"/>
  <c r="Y115" i="42"/>
  <c r="AV142" i="42"/>
  <c r="AN142" i="42"/>
  <c r="AU142" i="42" s="1"/>
  <c r="AN154" i="42"/>
  <c r="AU154" i="42" s="1"/>
  <c r="AV154" i="42"/>
  <c r="K196" i="42"/>
  <c r="I191" i="42"/>
  <c r="Z191" i="42"/>
  <c r="AA191" i="42"/>
  <c r="AR191" i="42" s="1"/>
  <c r="AB191" i="42"/>
  <c r="AS191" i="42" s="1"/>
  <c r="AP191" i="42"/>
  <c r="U196" i="42"/>
  <c r="N34" i="42"/>
  <c r="AU31" i="42"/>
  <c r="Z70" i="42"/>
  <c r="AP70" i="42"/>
  <c r="AB70" i="42"/>
  <c r="AQ80" i="42"/>
  <c r="Z80" i="42"/>
  <c r="Z90" i="42"/>
  <c r="U95" i="42"/>
  <c r="AA90" i="42"/>
  <c r="AR90" i="42" s="1"/>
  <c r="AQ92" i="42"/>
  <c r="AQ95" i="42" s="1"/>
  <c r="Z92" i="42"/>
  <c r="L95" i="42"/>
  <c r="AP103" i="42"/>
  <c r="Z103" i="42"/>
  <c r="AA103" i="42"/>
  <c r="AR103" i="42" s="1"/>
  <c r="R161" i="42"/>
  <c r="R204" i="42"/>
  <c r="U157" i="42"/>
  <c r="N177" i="42"/>
  <c r="AM201" i="42"/>
  <c r="AW12" i="42"/>
  <c r="AM18" i="42"/>
  <c r="AM203" i="42"/>
  <c r="AW14" i="42"/>
  <c r="AW203" i="42" s="1"/>
  <c r="AM207" i="42"/>
  <c r="AW17" i="42"/>
  <c r="AL18" i="42"/>
  <c r="AT18" i="42"/>
  <c r="AV19" i="42"/>
  <c r="AV22" i="42" s="1"/>
  <c r="AN19" i="42"/>
  <c r="AU19" i="42" s="1"/>
  <c r="AB21" i="42"/>
  <c r="AS21" i="42" s="1"/>
  <c r="AN21" i="42"/>
  <c r="AU21" i="42" s="1"/>
  <c r="AM22" i="42"/>
  <c r="AW23" i="42"/>
  <c r="AW26" i="42" s="1"/>
  <c r="AM26" i="42"/>
  <c r="AL26" i="42"/>
  <c r="Z27" i="42"/>
  <c r="AV27" i="42"/>
  <c r="AN27" i="42"/>
  <c r="AU27" i="42" s="1"/>
  <c r="AQ30" i="42"/>
  <c r="U28" i="42"/>
  <c r="AU29" i="42"/>
  <c r="Z31" i="42"/>
  <c r="Z32" i="42"/>
  <c r="Z33" i="42"/>
  <c r="K38" i="42"/>
  <c r="I35" i="42"/>
  <c r="AP35" i="42"/>
  <c r="AA35" i="42"/>
  <c r="Z35" i="42"/>
  <c r="AA36" i="42"/>
  <c r="AR36" i="42" s="1"/>
  <c r="AP37" i="42"/>
  <c r="Z39" i="42"/>
  <c r="Z40" i="42"/>
  <c r="I42" i="42"/>
  <c r="U44" i="42"/>
  <c r="AP42" i="42"/>
  <c r="AA42" i="42"/>
  <c r="AR42" i="42" s="1"/>
  <c r="Z42" i="42"/>
  <c r="AS43" i="42"/>
  <c r="AL210" i="42"/>
  <c r="AV45" i="42"/>
  <c r="AN45" i="42"/>
  <c r="AU45" i="42" s="1"/>
  <c r="AL46" i="42"/>
  <c r="U46" i="42"/>
  <c r="AE202" i="42"/>
  <c r="AP48" i="42"/>
  <c r="L208" i="42"/>
  <c r="I50" i="42"/>
  <c r="Y52" i="42"/>
  <c r="AE52" i="42"/>
  <c r="L58" i="42"/>
  <c r="L204" i="42"/>
  <c r="AS59" i="42"/>
  <c r="L64" i="42"/>
  <c r="I59" i="42"/>
  <c r="Y204" i="42"/>
  <c r="Y64" i="42"/>
  <c r="AQ59" i="42"/>
  <c r="AM204" i="42"/>
  <c r="AW59" i="42"/>
  <c r="AT65" i="42"/>
  <c r="AT69" i="42" s="1"/>
  <c r="AE69" i="42"/>
  <c r="AQ69" i="42"/>
  <c r="AN68" i="42"/>
  <c r="AU68" i="42" s="1"/>
  <c r="AB75" i="42"/>
  <c r="AS75" i="42" s="1"/>
  <c r="AP75" i="42"/>
  <c r="AL209" i="42"/>
  <c r="AV77" i="42"/>
  <c r="AN77" i="42"/>
  <c r="AL78" i="42"/>
  <c r="I80" i="42"/>
  <c r="AS81" i="42"/>
  <c r="AT89" i="42"/>
  <c r="AU86" i="42"/>
  <c r="K89" i="42"/>
  <c r="I90" i="42"/>
  <c r="I92" i="42"/>
  <c r="AS93" i="42"/>
  <c r="K95" i="42"/>
  <c r="Z102" i="42"/>
  <c r="AA102" i="42"/>
  <c r="AR102" i="42" s="1"/>
  <c r="AW129" i="42"/>
  <c r="AM131" i="42"/>
  <c r="AN129" i="42"/>
  <c r="AU129" i="42" s="1"/>
  <c r="AT148" i="42"/>
  <c r="AT152" i="42" s="1"/>
  <c r="AE152" i="42"/>
  <c r="AP158" i="42"/>
  <c r="Z158" i="42"/>
  <c r="AA158" i="42"/>
  <c r="AR158" i="42" s="1"/>
  <c r="AE183" i="42"/>
  <c r="AT178" i="42"/>
  <c r="AT183" i="42" s="1"/>
  <c r="I179" i="42"/>
  <c r="AM99" i="42"/>
  <c r="AW96" i="42"/>
  <c r="AW99" i="42" s="1"/>
  <c r="AU98" i="42"/>
  <c r="L99" i="42"/>
  <c r="Q99" i="42"/>
  <c r="Y99" i="42"/>
  <c r="AW105" i="42"/>
  <c r="K105" i="42"/>
  <c r="K112" i="42"/>
  <c r="I106" i="42"/>
  <c r="AP106" i="42"/>
  <c r="AA106" i="42"/>
  <c r="Z106" i="42"/>
  <c r="AB106" i="42"/>
  <c r="AS106" i="42" s="1"/>
  <c r="AV110" i="42"/>
  <c r="AN110" i="42"/>
  <c r="AU110" i="42" s="1"/>
  <c r="N115" i="42"/>
  <c r="AV131" i="42"/>
  <c r="Q134" i="42"/>
  <c r="U132" i="42"/>
  <c r="AV135" i="42"/>
  <c r="AN135" i="42"/>
  <c r="AN137" i="42" s="1"/>
  <c r="AL137" i="42"/>
  <c r="AE144" i="42"/>
  <c r="AT138" i="42"/>
  <c r="AT144" i="42" s="1"/>
  <c r="AV143" i="42"/>
  <c r="AN143" i="42"/>
  <c r="AU143" i="42" s="1"/>
  <c r="L155" i="42"/>
  <c r="AS154" i="42"/>
  <c r="AM155" i="42"/>
  <c r="Z168" i="42"/>
  <c r="AA168" i="42"/>
  <c r="AR168" i="42" s="1"/>
  <c r="AP168" i="42"/>
  <c r="AB168" i="42"/>
  <c r="I184" i="42"/>
  <c r="K189" i="42"/>
  <c r="U189" i="42"/>
  <c r="AP184" i="42"/>
  <c r="AA184" i="42"/>
  <c r="AB184" i="42"/>
  <c r="AS184" i="42" s="1"/>
  <c r="Z184" i="42"/>
  <c r="Y196" i="42"/>
  <c r="AQ190" i="42"/>
  <c r="AQ196" i="42" s="1"/>
  <c r="AW190" i="42"/>
  <c r="AW196" i="42" s="1"/>
  <c r="AM196" i="42"/>
  <c r="L201" i="42"/>
  <c r="Y201" i="42"/>
  <c r="AE201" i="42"/>
  <c r="AE203" i="42"/>
  <c r="L207" i="42"/>
  <c r="Y207" i="42"/>
  <c r="AE207" i="42"/>
  <c r="AE18" i="42"/>
  <c r="Q34" i="42"/>
  <c r="Q41" i="42"/>
  <c r="AL202" i="42"/>
  <c r="AL52" i="42"/>
  <c r="AV47" i="42"/>
  <c r="Q208" i="42"/>
  <c r="U50" i="42"/>
  <c r="AE208" i="42"/>
  <c r="S223" i="42"/>
  <c r="W223" i="42"/>
  <c r="AJ223" i="42"/>
  <c r="Y58" i="42"/>
  <c r="AI58" i="42"/>
  <c r="AI223" i="42" s="1"/>
  <c r="Q64" i="42"/>
  <c r="AE204" i="42"/>
  <c r="AT59" i="42"/>
  <c r="AA65" i="42"/>
  <c r="AR65" i="42" s="1"/>
  <c r="AA71" i="42"/>
  <c r="AR71" i="42" s="1"/>
  <c r="Z71" i="42"/>
  <c r="AR74" i="42"/>
  <c r="Q209" i="42"/>
  <c r="U77" i="42"/>
  <c r="Q78" i="42"/>
  <c r="AT85" i="42"/>
  <c r="AP87" i="42"/>
  <c r="AA87" i="42"/>
  <c r="AR87" i="42" s="1"/>
  <c r="Z87" i="42"/>
  <c r="AS88" i="42"/>
  <c r="Y95" i="42"/>
  <c r="AL95" i="42"/>
  <c r="AV90" i="42"/>
  <c r="AN90" i="42"/>
  <c r="AT95" i="42"/>
  <c r="N99" i="42"/>
  <c r="AN96" i="42"/>
  <c r="AP97" i="42"/>
  <c r="Y105" i="42"/>
  <c r="AQ100" i="42"/>
  <c r="AQ105" i="42" s="1"/>
  <c r="AV101" i="42"/>
  <c r="AN101" i="42"/>
  <c r="AU101" i="42" s="1"/>
  <c r="AV102" i="42"/>
  <c r="AN102" i="42"/>
  <c r="AU102" i="42" s="1"/>
  <c r="AS103" i="42"/>
  <c r="AV103" i="42"/>
  <c r="AP107" i="42"/>
  <c r="AA107" i="42"/>
  <c r="AR107" i="42" s="1"/>
  <c r="Z107" i="42"/>
  <c r="AB107" i="42"/>
  <c r="AW107" i="42"/>
  <c r="AN107" i="42"/>
  <c r="AV109" i="42"/>
  <c r="AN109" i="42"/>
  <c r="AU109" i="42" s="1"/>
  <c r="I116" i="42"/>
  <c r="K121" i="42"/>
  <c r="AP116" i="42"/>
  <c r="AA116" i="42"/>
  <c r="U121" i="42"/>
  <c r="Z116" i="42"/>
  <c r="AB116" i="42"/>
  <c r="AS116" i="42" s="1"/>
  <c r="AS118" i="42"/>
  <c r="AQ118" i="42"/>
  <c r="AQ121" i="42" s="1"/>
  <c r="Z118" i="42"/>
  <c r="AB120" i="42"/>
  <c r="AS120" i="42" s="1"/>
  <c r="AP120" i="42"/>
  <c r="AA120" i="42"/>
  <c r="AR120" i="42" s="1"/>
  <c r="Z120" i="42"/>
  <c r="AQ125" i="42"/>
  <c r="AP127" i="42"/>
  <c r="AA127" i="42"/>
  <c r="AR127" i="42" s="1"/>
  <c r="Z127" i="42"/>
  <c r="AB127" i="42"/>
  <c r="AS127" i="42" s="1"/>
  <c r="Z139" i="42"/>
  <c r="AV140" i="42"/>
  <c r="AN140" i="42"/>
  <c r="AU140" i="42" s="1"/>
  <c r="AP147" i="42"/>
  <c r="AB146" i="42"/>
  <c r="AA146" i="42"/>
  <c r="AR146" i="42" s="1"/>
  <c r="Z146" i="42"/>
  <c r="AV152" i="42"/>
  <c r="AS151" i="42"/>
  <c r="AQ151" i="42"/>
  <c r="Z151" i="42"/>
  <c r="AT153" i="42"/>
  <c r="AT155" i="42" s="1"/>
  <c r="AE155" i="42"/>
  <c r="AQ153" i="42"/>
  <c r="AQ155" i="42" s="1"/>
  <c r="AQ161" i="42"/>
  <c r="AV171" i="42"/>
  <c r="AN171" i="42"/>
  <c r="AU171" i="42" s="1"/>
  <c r="AL177" i="42"/>
  <c r="AV176" i="42"/>
  <c r="AN176" i="42"/>
  <c r="P197" i="42"/>
  <c r="I22" i="45" s="1"/>
  <c r="AH197" i="42"/>
  <c r="AA22" i="45" s="1"/>
  <c r="N201" i="42"/>
  <c r="N207" i="42"/>
  <c r="L18" i="42"/>
  <c r="AR27" i="42"/>
  <c r="L46" i="42"/>
  <c r="N202" i="42"/>
  <c r="N52" i="42"/>
  <c r="AU47" i="42"/>
  <c r="R202" i="42"/>
  <c r="R52" i="42"/>
  <c r="AI202" i="42"/>
  <c r="Y208" i="42"/>
  <c r="AQ50" i="42"/>
  <c r="AT50" i="42"/>
  <c r="AT52" i="42" s="1"/>
  <c r="T223" i="42"/>
  <c r="X223" i="42"/>
  <c r="AC223" i="42"/>
  <c r="AG223" i="42"/>
  <c r="AK223" i="42"/>
  <c r="AQ53" i="42"/>
  <c r="AQ58" i="42" s="1"/>
  <c r="U54" i="42"/>
  <c r="K204" i="42"/>
  <c r="AP59" i="42"/>
  <c r="AA59" i="42"/>
  <c r="AR59" i="42" s="1"/>
  <c r="U64" i="42"/>
  <c r="Z59" i="42"/>
  <c r="N64" i="42"/>
  <c r="I62" i="42"/>
  <c r="L69" i="42"/>
  <c r="Y69" i="42"/>
  <c r="AN66" i="42"/>
  <c r="AU66" i="42" s="1"/>
  <c r="I68" i="42"/>
  <c r="AP68" i="42"/>
  <c r="AA68" i="42"/>
  <c r="AR68" i="42" s="1"/>
  <c r="Z68" i="42"/>
  <c r="K69" i="42"/>
  <c r="K76" i="42"/>
  <c r="AE76" i="42"/>
  <c r="AQ76" i="42"/>
  <c r="AV71" i="42"/>
  <c r="AN71" i="42"/>
  <c r="AU71" i="42" s="1"/>
  <c r="AV72" i="42"/>
  <c r="AN72" i="42"/>
  <c r="AU72" i="42" s="1"/>
  <c r="AV73" i="42"/>
  <c r="AN73" i="42"/>
  <c r="AU73" i="42" s="1"/>
  <c r="AV74" i="42"/>
  <c r="AN74" i="42"/>
  <c r="AU74" i="42" s="1"/>
  <c r="AV75" i="42"/>
  <c r="AN75" i="42"/>
  <c r="AU75" i="42" s="1"/>
  <c r="I79" i="42"/>
  <c r="AU81" i="42"/>
  <c r="Z81" i="42"/>
  <c r="I83" i="42"/>
  <c r="I86" i="42"/>
  <c r="U89" i="42"/>
  <c r="AP86" i="42"/>
  <c r="AA86" i="42"/>
  <c r="Z86" i="42"/>
  <c r="AS87" i="42"/>
  <c r="AN88" i="42"/>
  <c r="AU88" i="42" s="1"/>
  <c r="N95" i="42"/>
  <c r="Z93" i="42"/>
  <c r="AE95" i="42"/>
  <c r="AE99" i="42"/>
  <c r="AT96" i="42"/>
  <c r="AT99" i="42" s="1"/>
  <c r="Z97" i="42"/>
  <c r="AV97" i="42"/>
  <c r="AN97" i="42"/>
  <c r="AU97" i="42" s="1"/>
  <c r="AP98" i="42"/>
  <c r="N105" i="42"/>
  <c r="Z100" i="42"/>
  <c r="AU103" i="42"/>
  <c r="AE112" i="42"/>
  <c r="AT106" i="42"/>
  <c r="AT112" i="42" s="1"/>
  <c r="AS107" i="42"/>
  <c r="L112" i="42"/>
  <c r="Y112" i="42"/>
  <c r="AQ107" i="42"/>
  <c r="AQ112" i="42" s="1"/>
  <c r="AB111" i="42"/>
  <c r="AS111" i="42" s="1"/>
  <c r="AA111" i="42"/>
  <c r="AR111" i="42" s="1"/>
  <c r="Z111" i="42"/>
  <c r="Z114" i="42"/>
  <c r="AV123" i="42"/>
  <c r="AV125" i="42" s="1"/>
  <c r="AN123" i="42"/>
  <c r="AN125" i="42" s="1"/>
  <c r="AB124" i="42"/>
  <c r="AS124" i="42" s="1"/>
  <c r="AP124" i="42"/>
  <c r="AA124" i="42"/>
  <c r="AR124" i="42" s="1"/>
  <c r="Z124" i="42"/>
  <c r="AE125" i="42"/>
  <c r="I128" i="42"/>
  <c r="AP128" i="42"/>
  <c r="AA128" i="42"/>
  <c r="AR128" i="42" s="1"/>
  <c r="Z128" i="42"/>
  <c r="AB128" i="42"/>
  <c r="AW128" i="42"/>
  <c r="AW131" i="42" s="1"/>
  <c r="AN128" i="42"/>
  <c r="AU128" i="42" s="1"/>
  <c r="AW132" i="42"/>
  <c r="AW134" i="42" s="1"/>
  <c r="AM134" i="42"/>
  <c r="N137" i="42"/>
  <c r="AM144" i="42"/>
  <c r="AW144" i="42"/>
  <c r="AV141" i="42"/>
  <c r="AN141" i="42"/>
  <c r="AU141" i="42" s="1"/>
  <c r="Y144" i="42"/>
  <c r="Q147" i="42"/>
  <c r="U147" i="42"/>
  <c r="Q161" i="42"/>
  <c r="U156" i="42"/>
  <c r="AB159" i="42"/>
  <c r="AS159" i="42" s="1"/>
  <c r="AA159" i="42"/>
  <c r="Z159" i="42"/>
  <c r="AB163" i="42"/>
  <c r="AS163" i="42" s="1"/>
  <c r="AP163" i="42"/>
  <c r="Z163" i="42"/>
  <c r="AA163" i="42"/>
  <c r="AR163" i="42" s="1"/>
  <c r="AS165" i="42"/>
  <c r="Q170" i="42"/>
  <c r="U174" i="42"/>
  <c r="Q177" i="42"/>
  <c r="W197" i="42"/>
  <c r="P22" i="45" s="1"/>
  <c r="L189" i="42"/>
  <c r="AQ186" i="42"/>
  <c r="AQ189" i="42" s="1"/>
  <c r="Z186" i="42"/>
  <c r="AS195" i="42"/>
  <c r="I195" i="42"/>
  <c r="AE46" i="42"/>
  <c r="K202" i="42"/>
  <c r="AM202" i="42"/>
  <c r="K208" i="42"/>
  <c r="AM208" i="42"/>
  <c r="V223" i="42"/>
  <c r="AD223" i="42"/>
  <c r="AH223" i="42"/>
  <c r="AA61" i="42"/>
  <c r="AR61" i="42" s="1"/>
  <c r="AP61" i="42"/>
  <c r="AA62" i="42"/>
  <c r="AR62" i="42" s="1"/>
  <c r="AP62" i="42"/>
  <c r="AA63" i="42"/>
  <c r="AR63" i="42" s="1"/>
  <c r="AP63" i="42"/>
  <c r="AQ77" i="42"/>
  <c r="AA80" i="42"/>
  <c r="AR80" i="42" s="1"/>
  <c r="AP80" i="42"/>
  <c r="AA81" i="42"/>
  <c r="AR81" i="42" s="1"/>
  <c r="AP81" i="42"/>
  <c r="AA82" i="42"/>
  <c r="AR82" i="42" s="1"/>
  <c r="AP82" i="42"/>
  <c r="AA83" i="42"/>
  <c r="AR83" i="42" s="1"/>
  <c r="AP83" i="42"/>
  <c r="AA84" i="42"/>
  <c r="AR84" i="42" s="1"/>
  <c r="AP84" i="42"/>
  <c r="AA91" i="42"/>
  <c r="AR91" i="42" s="1"/>
  <c r="AP91" i="42"/>
  <c r="AA92" i="42"/>
  <c r="AR92" i="42" s="1"/>
  <c r="AP92" i="42"/>
  <c r="AA93" i="42"/>
  <c r="AR93" i="42" s="1"/>
  <c r="AP93" i="42"/>
  <c r="AA94" i="42"/>
  <c r="AR94" i="42" s="1"/>
  <c r="AP94" i="42"/>
  <c r="Q105" i="42"/>
  <c r="AA100" i="42"/>
  <c r="AL105" i="42"/>
  <c r="I104" i="42"/>
  <c r="AP104" i="42"/>
  <c r="AA104" i="42"/>
  <c r="AR104" i="42" s="1"/>
  <c r="AM112" i="42"/>
  <c r="AW106" i="42"/>
  <c r="AA110" i="42"/>
  <c r="AV111" i="42"/>
  <c r="AN111" i="42"/>
  <c r="AU111" i="42" s="1"/>
  <c r="Y121" i="42"/>
  <c r="AB117" i="42"/>
  <c r="AS117" i="42" s="1"/>
  <c r="AP117" i="42"/>
  <c r="AA117" i="42"/>
  <c r="AR117" i="42" s="1"/>
  <c r="AU118" i="42"/>
  <c r="I120" i="42"/>
  <c r="I122" i="42"/>
  <c r="AA122" i="42"/>
  <c r="AR122" i="42" s="1"/>
  <c r="AR125" i="42" s="1"/>
  <c r="AL125" i="42"/>
  <c r="K125" i="42"/>
  <c r="I126" i="42"/>
  <c r="AA126" i="42"/>
  <c r="I130" i="42"/>
  <c r="AP130" i="42"/>
  <c r="AA130" i="42"/>
  <c r="AR130" i="42" s="1"/>
  <c r="Z130" i="42"/>
  <c r="K131" i="42"/>
  <c r="K134" i="42"/>
  <c r="AR133" i="42"/>
  <c r="AU136" i="42"/>
  <c r="AA136" i="42"/>
  <c r="AR136" i="42" s="1"/>
  <c r="Q137" i="42"/>
  <c r="U137" i="42"/>
  <c r="K144" i="42"/>
  <c r="AB140" i="42"/>
  <c r="AS140" i="42" s="1"/>
  <c r="AP140" i="42"/>
  <c r="AB141" i="42"/>
  <c r="AS141" i="42" s="1"/>
  <c r="AP141" i="42"/>
  <c r="AB142" i="42"/>
  <c r="AS142" i="42" s="1"/>
  <c r="AP142" i="42"/>
  <c r="AB143" i="42"/>
  <c r="AS143" i="42" s="1"/>
  <c r="AP143" i="42"/>
  <c r="N147" i="42"/>
  <c r="AU145" i="42"/>
  <c r="AA145" i="42"/>
  <c r="AV146" i="42"/>
  <c r="AN146" i="42"/>
  <c r="AU146" i="42" s="1"/>
  <c r="AQ148" i="42"/>
  <c r="Y152" i="42"/>
  <c r="I149" i="42"/>
  <c r="AU151" i="42"/>
  <c r="AL155" i="42"/>
  <c r="AN153" i="42"/>
  <c r="K161" i="42"/>
  <c r="AV158" i="42"/>
  <c r="AN158" i="42"/>
  <c r="AU158" i="42" s="1"/>
  <c r="AV159" i="42"/>
  <c r="AN159" i="42"/>
  <c r="AU159" i="42" s="1"/>
  <c r="N164" i="42"/>
  <c r="AT164" i="42"/>
  <c r="Q164" i="42"/>
  <c r="AE164" i="42"/>
  <c r="I165" i="42"/>
  <c r="K170" i="42"/>
  <c r="AP165" i="42"/>
  <c r="AA165" i="42"/>
  <c r="AR165" i="42" s="1"/>
  <c r="Z165" i="42"/>
  <c r="AP171" i="42"/>
  <c r="AB171" i="42"/>
  <c r="AQ177" i="42"/>
  <c r="AB172" i="42"/>
  <c r="AS172" i="42" s="1"/>
  <c r="Z172" i="42"/>
  <c r="AP172" i="42"/>
  <c r="AU176" i="42"/>
  <c r="U178" i="42"/>
  <c r="Q183" i="42"/>
  <c r="AV181" i="42"/>
  <c r="AN181" i="42"/>
  <c r="AV182" i="42"/>
  <c r="AN182" i="42"/>
  <c r="I185" i="42"/>
  <c r="AP185" i="42"/>
  <c r="AA185" i="42"/>
  <c r="AR185" i="42" s="1"/>
  <c r="AB185" i="42"/>
  <c r="AS185" i="42" s="1"/>
  <c r="Z185" i="42"/>
  <c r="I190" i="42"/>
  <c r="AR190" i="42"/>
  <c r="AV193" i="42"/>
  <c r="AN193" i="42"/>
  <c r="L196" i="42"/>
  <c r="Q204" i="42"/>
  <c r="AL204" i="42"/>
  <c r="AL64" i="42"/>
  <c r="AE78" i="42"/>
  <c r="U105" i="42"/>
  <c r="AB100" i="42"/>
  <c r="N112" i="42"/>
  <c r="AV108" i="42"/>
  <c r="AN108" i="42"/>
  <c r="AU108" i="42" s="1"/>
  <c r="AR109" i="42"/>
  <c r="I113" i="42"/>
  <c r="AB114" i="42"/>
  <c r="AP114" i="42"/>
  <c r="AA114" i="42"/>
  <c r="AR114" i="42" s="1"/>
  <c r="N121" i="42"/>
  <c r="AU119" i="42"/>
  <c r="Y125" i="42"/>
  <c r="AW125" i="42"/>
  <c r="AP123" i="42"/>
  <c r="AB123" i="42"/>
  <c r="AS123" i="42" s="1"/>
  <c r="L125" i="42"/>
  <c r="L131" i="42"/>
  <c r="Y131" i="42"/>
  <c r="I129" i="42"/>
  <c r="AP129" i="42"/>
  <c r="AA129" i="42"/>
  <c r="AR129" i="42" s="1"/>
  <c r="Z129" i="42"/>
  <c r="AS130" i="42"/>
  <c r="AV132" i="42"/>
  <c r="AN132" i="42"/>
  <c r="AV133" i="42"/>
  <c r="AN133" i="42"/>
  <c r="AU133" i="42" s="1"/>
  <c r="AQ137" i="42"/>
  <c r="AP137" i="42"/>
  <c r="L144" i="42"/>
  <c r="AQ144" i="42"/>
  <c r="I139" i="42"/>
  <c r="AR142" i="42"/>
  <c r="N152" i="42"/>
  <c r="AU148" i="42"/>
  <c r="I150" i="42"/>
  <c r="K155" i="42"/>
  <c r="I153" i="42"/>
  <c r="Z153" i="42"/>
  <c r="AB153" i="42"/>
  <c r="AB155" i="42" s="1"/>
  <c r="AA153" i="42"/>
  <c r="AA155" i="42" s="1"/>
  <c r="AV155" i="42"/>
  <c r="U155" i="42"/>
  <c r="AV156" i="42"/>
  <c r="AN156" i="42"/>
  <c r="AT161" i="42"/>
  <c r="AB162" i="42"/>
  <c r="AP162" i="42"/>
  <c r="Z162" i="42"/>
  <c r="I167" i="42"/>
  <c r="AA167" i="42"/>
  <c r="AR167" i="42" s="1"/>
  <c r="AB167" i="42"/>
  <c r="AS167" i="42" s="1"/>
  <c r="Z167" i="42"/>
  <c r="AB182" i="42"/>
  <c r="AS182" i="42" s="1"/>
  <c r="AA182" i="42"/>
  <c r="AR182" i="42" s="1"/>
  <c r="Z182" i="42"/>
  <c r="AJ197" i="42"/>
  <c r="AC22" i="45" s="1"/>
  <c r="V197" i="42"/>
  <c r="O22" i="45" s="1"/>
  <c r="AT191" i="42"/>
  <c r="AT196" i="42" s="1"/>
  <c r="AE196" i="42"/>
  <c r="AB193" i="42"/>
  <c r="AS193" i="42" s="1"/>
  <c r="AA193" i="42"/>
  <c r="AR193" i="42" s="1"/>
  <c r="AP193" i="42"/>
  <c r="Z193" i="42"/>
  <c r="AC197" i="42"/>
  <c r="V22" i="45" s="1"/>
  <c r="AA118" i="42"/>
  <c r="AR118" i="42" s="1"/>
  <c r="AP118" i="42"/>
  <c r="AA119" i="42"/>
  <c r="AP119" i="42"/>
  <c r="I138" i="42"/>
  <c r="AA138" i="42"/>
  <c r="AP138" i="42"/>
  <c r="AA139" i="42"/>
  <c r="AR139" i="42" s="1"/>
  <c r="AP139" i="42"/>
  <c r="AA148" i="42"/>
  <c r="AP148" i="42"/>
  <c r="AA149" i="42"/>
  <c r="AR149" i="42" s="1"/>
  <c r="AP149" i="42"/>
  <c r="AA150" i="42"/>
  <c r="AR150" i="42" s="1"/>
  <c r="AP150" i="42"/>
  <c r="AA151" i="42"/>
  <c r="AR151" i="42" s="1"/>
  <c r="AP151" i="42"/>
  <c r="U152" i="42"/>
  <c r="AE161" i="42"/>
  <c r="AI204" i="42"/>
  <c r="AI161" i="42"/>
  <c r="AI197" i="42" s="1"/>
  <c r="AB22" i="45" s="1"/>
  <c r="AR159" i="42"/>
  <c r="AA160" i="42"/>
  <c r="AV160" i="42"/>
  <c r="AN160" i="42"/>
  <c r="AU160" i="42" s="1"/>
  <c r="L170" i="42"/>
  <c r="AV166" i="42"/>
  <c r="AV170" i="42" s="1"/>
  <c r="I169" i="42"/>
  <c r="Z169" i="42"/>
  <c r="AB169" i="42"/>
  <c r="AS169" i="42" s="1"/>
  <c r="AN169" i="42"/>
  <c r="AU169" i="42" s="1"/>
  <c r="K177" i="42"/>
  <c r="AR171" i="42"/>
  <c r="AM177" i="42"/>
  <c r="AB173" i="42"/>
  <c r="AA175" i="42"/>
  <c r="AV175" i="42"/>
  <c r="AN175" i="42"/>
  <c r="AU175" i="42" s="1"/>
  <c r="AL183" i="42"/>
  <c r="AP179" i="42"/>
  <c r="AB180" i="42"/>
  <c r="AS180" i="42" s="1"/>
  <c r="AA180" i="42"/>
  <c r="AR180" i="42" s="1"/>
  <c r="Z180" i="42"/>
  <c r="AP180" i="42"/>
  <c r="Y189" i="42"/>
  <c r="J197" i="42"/>
  <c r="C22" i="45" s="1"/>
  <c r="AU194" i="42"/>
  <c r="AP195" i="42"/>
  <c r="AD197" i="42"/>
  <c r="W22" i="45" s="1"/>
  <c r="Z154" i="42"/>
  <c r="AF154" i="42" s="1"/>
  <c r="AO154" i="42" s="1"/>
  <c r="AP154" i="42"/>
  <c r="AP155" i="42" s="1"/>
  <c r="AV157" i="42"/>
  <c r="AN157" i="42"/>
  <c r="AU157" i="42" s="1"/>
  <c r="AV162" i="42"/>
  <c r="U166" i="42"/>
  <c r="AS168" i="42"/>
  <c r="AV172" i="42"/>
  <c r="AN172" i="42"/>
  <c r="AU172" i="42" s="1"/>
  <c r="I173" i="42"/>
  <c r="AV174" i="42"/>
  <c r="AN174" i="42"/>
  <c r="AU174" i="42" s="1"/>
  <c r="L183" i="42"/>
  <c r="AT184" i="42"/>
  <c r="AT189" i="42" s="1"/>
  <c r="AE189" i="42"/>
  <c r="AV189" i="42"/>
  <c r="I187" i="42"/>
  <c r="AP187" i="42"/>
  <c r="AA187" i="42"/>
  <c r="AB187" i="42"/>
  <c r="AS187" i="42" s="1"/>
  <c r="I188" i="42"/>
  <c r="AP188" i="42"/>
  <c r="AA188" i="42"/>
  <c r="AR188" i="42" s="1"/>
  <c r="AB188" i="42"/>
  <c r="AS188" i="42" s="1"/>
  <c r="Z188" i="42"/>
  <c r="Z190" i="42"/>
  <c r="AP190" i="42"/>
  <c r="AB190" i="42"/>
  <c r="AL196" i="42"/>
  <c r="AV190" i="42"/>
  <c r="AN190" i="42"/>
  <c r="AB194" i="42"/>
  <c r="AS194" i="42" s="1"/>
  <c r="Z194" i="42"/>
  <c r="T197" i="42"/>
  <c r="M22" i="45" s="1"/>
  <c r="X197" i="42"/>
  <c r="Q22" i="45" s="1"/>
  <c r="AR172" i="42"/>
  <c r="AV173" i="42"/>
  <c r="AN173" i="42"/>
  <c r="AU173" i="42" s="1"/>
  <c r="AQ178" i="42"/>
  <c r="AQ183" i="42" s="1"/>
  <c r="Y183" i="42"/>
  <c r="AB181" i="42"/>
  <c r="AS181" i="42" s="1"/>
  <c r="AA181" i="42"/>
  <c r="AR181" i="42" s="1"/>
  <c r="I186" i="42"/>
  <c r="AP186" i="42"/>
  <c r="AA186" i="42"/>
  <c r="AR186" i="42" s="1"/>
  <c r="AB186" i="42"/>
  <c r="AS186" i="42" s="1"/>
  <c r="N196" i="42"/>
  <c r="AP192" i="42"/>
  <c r="AU193" i="42"/>
  <c r="M197" i="42"/>
  <c r="F22" i="45" s="1"/>
  <c r="AG197" i="42"/>
  <c r="Z22" i="45" s="1"/>
  <c r="AK197" i="42"/>
  <c r="AD22" i="45" s="1"/>
  <c r="AC200" i="42"/>
  <c r="AJ200" i="42"/>
  <c r="AU180" i="42"/>
  <c r="AU181" i="42"/>
  <c r="AU182" i="42"/>
  <c r="S197" i="42"/>
  <c r="L22" i="45" s="1"/>
  <c r="M146" i="41"/>
  <c r="S146" i="41"/>
  <c r="AC146" i="41"/>
  <c r="AB13" i="41"/>
  <c r="AS13" i="41" s="1"/>
  <c r="AP13" i="41"/>
  <c r="AA13" i="41"/>
  <c r="AR13" i="41" s="1"/>
  <c r="Z13" i="41"/>
  <c r="AP26" i="41"/>
  <c r="Z26" i="41"/>
  <c r="AA26" i="41"/>
  <c r="AR26" i="41" s="1"/>
  <c r="AB26" i="41"/>
  <c r="AS26" i="41" s="1"/>
  <c r="Z18" i="41"/>
  <c r="AP18" i="41"/>
  <c r="AB18" i="41"/>
  <c r="AS18" i="41" s="1"/>
  <c r="AA18" i="41"/>
  <c r="AR18" i="41" s="1"/>
  <c r="AS20" i="41"/>
  <c r="Z25" i="41"/>
  <c r="AP25" i="41"/>
  <c r="AB25" i="41"/>
  <c r="AS25" i="41" s="1"/>
  <c r="AA25" i="41"/>
  <c r="AR25" i="41" s="1"/>
  <c r="AB14" i="41"/>
  <c r="AS14" i="41" s="1"/>
  <c r="AP14" i="41"/>
  <c r="AA14" i="41"/>
  <c r="AR14" i="41" s="1"/>
  <c r="Z14" i="41"/>
  <c r="U21" i="41"/>
  <c r="AB23" i="41"/>
  <c r="AS23" i="41" s="1"/>
  <c r="AA23" i="41"/>
  <c r="AR23" i="41" s="1"/>
  <c r="Z23" i="41"/>
  <c r="AP23" i="41"/>
  <c r="AV26" i="41"/>
  <c r="AV27" i="41" s="1"/>
  <c r="AN26" i="41"/>
  <c r="AU26" i="41" s="1"/>
  <c r="AA30" i="41"/>
  <c r="Q150" i="41"/>
  <c r="Q38" i="41"/>
  <c r="U33" i="41"/>
  <c r="I35" i="41"/>
  <c r="I36" i="41"/>
  <c r="AW40" i="41"/>
  <c r="AN40" i="41"/>
  <c r="AU40" i="41" s="1"/>
  <c r="AB47" i="41"/>
  <c r="AP47" i="41"/>
  <c r="AA47" i="41"/>
  <c r="AR47" i="41" s="1"/>
  <c r="Z47" i="41"/>
  <c r="I49" i="41"/>
  <c r="K52" i="41"/>
  <c r="Z53" i="41"/>
  <c r="AB53" i="41"/>
  <c r="AS53" i="41" s="1"/>
  <c r="AV54" i="41"/>
  <c r="AN54" i="41"/>
  <c r="AU54" i="41" s="1"/>
  <c r="AA55" i="41"/>
  <c r="AR55" i="41" s="1"/>
  <c r="Z55" i="41"/>
  <c r="AP55" i="41"/>
  <c r="AI60" i="41"/>
  <c r="AL55" i="41"/>
  <c r="AL60" i="41" s="1"/>
  <c r="Z57" i="41"/>
  <c r="AA57" i="41"/>
  <c r="AR57" i="41" s="1"/>
  <c r="AP57" i="41"/>
  <c r="I58" i="41"/>
  <c r="Z58" i="41"/>
  <c r="AB58" i="41"/>
  <c r="AA58" i="41"/>
  <c r="AR58" i="41" s="1"/>
  <c r="AQ66" i="41"/>
  <c r="Z66" i="41"/>
  <c r="AW83" i="41"/>
  <c r="AW85" i="41" s="1"/>
  <c r="AN83" i="41"/>
  <c r="AU83" i="41" s="1"/>
  <c r="AN12" i="41"/>
  <c r="Q153" i="41"/>
  <c r="AL153" i="41"/>
  <c r="AT153" i="41"/>
  <c r="Q16" i="41"/>
  <c r="Y16" i="41"/>
  <c r="N148" i="41"/>
  <c r="Z17" i="41"/>
  <c r="AI148" i="41"/>
  <c r="Z19" i="41"/>
  <c r="Z20" i="41"/>
  <c r="L21" i="41"/>
  <c r="AN22" i="41"/>
  <c r="AE23" i="41"/>
  <c r="AT23" i="41" s="1"/>
  <c r="AQ23" i="41"/>
  <c r="U24" i="41"/>
  <c r="L155" i="41"/>
  <c r="AW30" i="41"/>
  <c r="AM32" i="41"/>
  <c r="AN30" i="41"/>
  <c r="I31" i="41"/>
  <c r="AP31" i="41"/>
  <c r="AA31" i="41"/>
  <c r="AR31" i="41" s="1"/>
  <c r="Z31" i="41"/>
  <c r="AE38" i="41"/>
  <c r="Y52" i="41"/>
  <c r="AQ46" i="41"/>
  <c r="AQ52" i="41" s="1"/>
  <c r="AS49" i="41"/>
  <c r="AW49" i="41"/>
  <c r="AN49" i="41"/>
  <c r="AU49" i="41" s="1"/>
  <c r="I50" i="41"/>
  <c r="AP50" i="41"/>
  <c r="AA50" i="41"/>
  <c r="AR50" i="41" s="1"/>
  <c r="Z50" i="41"/>
  <c r="K60" i="41"/>
  <c r="AQ60" i="41"/>
  <c r="AB56" i="41"/>
  <c r="AS56" i="41" s="1"/>
  <c r="AP56" i="41"/>
  <c r="AA56" i="41"/>
  <c r="AR56" i="41" s="1"/>
  <c r="AP58" i="41"/>
  <c r="AV59" i="41"/>
  <c r="AV155" i="41" s="1"/>
  <c r="AQ85" i="41"/>
  <c r="AL89" i="41"/>
  <c r="AN86" i="41"/>
  <c r="AV86" i="41"/>
  <c r="I90" i="41"/>
  <c r="K95" i="41"/>
  <c r="AP90" i="41"/>
  <c r="AV121" i="41"/>
  <c r="AN121" i="41"/>
  <c r="AU121" i="41" s="1"/>
  <c r="AL126" i="41"/>
  <c r="I122" i="41"/>
  <c r="AA122" i="41"/>
  <c r="AR122" i="41" s="1"/>
  <c r="Z122" i="41"/>
  <c r="AP122" i="41"/>
  <c r="AB122" i="41"/>
  <c r="AS122" i="41" s="1"/>
  <c r="N142" i="41"/>
  <c r="AU136" i="41"/>
  <c r="N147" i="41"/>
  <c r="AW12" i="41"/>
  <c r="K153" i="41"/>
  <c r="U15" i="41"/>
  <c r="AM153" i="41"/>
  <c r="N16" i="41"/>
  <c r="V248" i="41"/>
  <c r="AD248" i="41"/>
  <c r="AH248" i="41"/>
  <c r="Q148" i="41"/>
  <c r="AA17" i="41"/>
  <c r="AP17" i="41"/>
  <c r="AL18" i="41"/>
  <c r="Q154" i="41"/>
  <c r="AA19" i="41"/>
  <c r="AL154" i="41"/>
  <c r="AT19" i="41"/>
  <c r="AA20" i="41"/>
  <c r="AR20" i="41" s="1"/>
  <c r="AP20" i="41"/>
  <c r="Q21" i="41"/>
  <c r="Y21" i="41"/>
  <c r="Z22" i="41"/>
  <c r="AW22" i="41"/>
  <c r="AW27" i="41" s="1"/>
  <c r="AN23" i="41"/>
  <c r="AU23" i="41" s="1"/>
  <c r="AN24" i="41"/>
  <c r="AU24" i="41" s="1"/>
  <c r="AN25" i="41"/>
  <c r="AU25" i="41" s="1"/>
  <c r="N155" i="41"/>
  <c r="N29" i="41"/>
  <c r="AU28" i="41"/>
  <c r="AW31" i="41"/>
  <c r="AN31" i="41"/>
  <c r="AU31" i="41" s="1"/>
  <c r="AB34" i="41"/>
  <c r="AS34" i="41" s="1"/>
  <c r="AP34" i="41"/>
  <c r="AA34" i="41"/>
  <c r="AR34" i="41" s="1"/>
  <c r="Z34" i="41"/>
  <c r="AB35" i="41"/>
  <c r="AS35" i="41" s="1"/>
  <c r="AP35" i="41"/>
  <c r="AA35" i="41"/>
  <c r="AR35" i="41" s="1"/>
  <c r="Z35" i="41"/>
  <c r="AB36" i="41"/>
  <c r="AS36" i="41" s="1"/>
  <c r="AP36" i="41"/>
  <c r="AA36" i="41"/>
  <c r="AR36" i="41" s="1"/>
  <c r="Z36" i="41"/>
  <c r="AB37" i="41"/>
  <c r="AS37" i="41" s="1"/>
  <c r="AP37" i="41"/>
  <c r="AA37" i="41"/>
  <c r="AR37" i="41" s="1"/>
  <c r="Z37" i="41"/>
  <c r="K45" i="41"/>
  <c r="I39" i="41"/>
  <c r="AP39" i="41"/>
  <c r="AA39" i="41"/>
  <c r="AR39" i="41" s="1"/>
  <c r="Z39" i="41"/>
  <c r="U45" i="41"/>
  <c r="AB41" i="41"/>
  <c r="AS41" i="41" s="1"/>
  <c r="AP41" i="41"/>
  <c r="AA41" i="41"/>
  <c r="AR41" i="41" s="1"/>
  <c r="AB42" i="41"/>
  <c r="AS42" i="41" s="1"/>
  <c r="AP42" i="41"/>
  <c r="AA42" i="41"/>
  <c r="AB43" i="41"/>
  <c r="AS43" i="41" s="1"/>
  <c r="AP43" i="41"/>
  <c r="AA43" i="41"/>
  <c r="AB44" i="41"/>
  <c r="AS44" i="41" s="1"/>
  <c r="AP44" i="41"/>
  <c r="AA44" i="41"/>
  <c r="L52" i="41"/>
  <c r="I46" i="41"/>
  <c r="AT46" i="41"/>
  <c r="I47" i="41"/>
  <c r="AS47" i="41"/>
  <c r="I48" i="41"/>
  <c r="AC52" i="41"/>
  <c r="AE48" i="41"/>
  <c r="AT48" i="41" s="1"/>
  <c r="AW50" i="41"/>
  <c r="AN50" i="41"/>
  <c r="AU50" i="41" s="1"/>
  <c r="I51" i="41"/>
  <c r="AP51" i="41"/>
  <c r="AA51" i="41"/>
  <c r="AR51" i="41" s="1"/>
  <c r="Z51" i="41"/>
  <c r="AA53" i="41"/>
  <c r="AP53" i="41"/>
  <c r="AA54" i="41"/>
  <c r="AR54" i="41" s="1"/>
  <c r="AB55" i="41"/>
  <c r="AS55" i="41" s="1"/>
  <c r="AB57" i="41"/>
  <c r="AS57" i="41" s="1"/>
  <c r="Z59" i="41"/>
  <c r="AP59" i="41"/>
  <c r="AB59" i="41"/>
  <c r="AS59" i="41" s="1"/>
  <c r="AA59" i="41"/>
  <c r="AR59" i="41" s="1"/>
  <c r="Q60" i="41"/>
  <c r="U60" i="41"/>
  <c r="AQ61" i="41"/>
  <c r="AQ63" i="41" s="1"/>
  <c r="Y63" i="41"/>
  <c r="AN66" i="41"/>
  <c r="AU66" i="41" s="1"/>
  <c r="AV66" i="41"/>
  <c r="AV70" i="41"/>
  <c r="AN70" i="41"/>
  <c r="AL74" i="41"/>
  <c r="I80" i="41"/>
  <c r="Z80" i="41"/>
  <c r="AB80" i="41"/>
  <c r="AA80" i="41"/>
  <c r="AR80" i="41" s="1"/>
  <c r="AP80" i="41"/>
  <c r="AB87" i="41"/>
  <c r="AS87" i="41" s="1"/>
  <c r="AA87" i="41"/>
  <c r="AR87" i="41" s="1"/>
  <c r="AP87" i="41"/>
  <c r="Z87" i="41"/>
  <c r="N101" i="41"/>
  <c r="N135" i="41"/>
  <c r="AR131" i="41"/>
  <c r="AB12" i="41"/>
  <c r="AS12" i="41" s="1"/>
  <c r="AE21" i="41"/>
  <c r="AB22" i="41"/>
  <c r="AS22" i="41" s="1"/>
  <c r="AQ27" i="41"/>
  <c r="Y155" i="41"/>
  <c r="AQ28" i="41"/>
  <c r="Y29" i="41"/>
  <c r="I30" i="41"/>
  <c r="K32" i="41"/>
  <c r="AL38" i="41"/>
  <c r="AV33" i="41"/>
  <c r="AN33" i="41"/>
  <c r="I37" i="41"/>
  <c r="I38" i="41" s="1"/>
  <c r="AP48" i="41"/>
  <c r="AB48" i="41"/>
  <c r="AS48" i="41" s="1"/>
  <c r="AA48" i="41"/>
  <c r="AR48" i="41" s="1"/>
  <c r="Z48" i="41"/>
  <c r="AW48" i="41"/>
  <c r="AM52" i="41"/>
  <c r="AN48" i="41"/>
  <c r="AU48" i="41" s="1"/>
  <c r="AP49" i="41"/>
  <c r="AA49" i="41"/>
  <c r="AR49" i="41" s="1"/>
  <c r="Z49" i="41"/>
  <c r="I60" i="41"/>
  <c r="AV53" i="41"/>
  <c r="AN53" i="41"/>
  <c r="Z54" i="41"/>
  <c r="AB54" i="41"/>
  <c r="AS54" i="41" s="1"/>
  <c r="I59" i="41"/>
  <c r="AD167" i="40"/>
  <c r="I12" i="41"/>
  <c r="Q147" i="41"/>
  <c r="AA12" i="41"/>
  <c r="AR12" i="41" s="1"/>
  <c r="AL147" i="41"/>
  <c r="AP12" i="41"/>
  <c r="AT12" i="41"/>
  <c r="AN13" i="41"/>
  <c r="AU13" i="41" s="1"/>
  <c r="AN14" i="41"/>
  <c r="AU14" i="41" s="1"/>
  <c r="L153" i="41"/>
  <c r="Y153" i="41"/>
  <c r="AE153" i="41"/>
  <c r="AN15" i="41"/>
  <c r="AU15" i="41" s="1"/>
  <c r="AV15" i="41"/>
  <c r="K16" i="41"/>
  <c r="S248" i="41"/>
  <c r="W248" i="41"/>
  <c r="AE16" i="41"/>
  <c r="AI248" i="41"/>
  <c r="AM16" i="41"/>
  <c r="AQ16" i="41"/>
  <c r="K148" i="41"/>
  <c r="U148" i="41"/>
  <c r="AB17" i="41"/>
  <c r="AM148" i="41"/>
  <c r="AQ17" i="41"/>
  <c r="AU17" i="41"/>
  <c r="K154" i="41"/>
  <c r="AB19" i="41"/>
  <c r="AM154" i="41"/>
  <c r="AQ19" i="41"/>
  <c r="AU19" i="41"/>
  <c r="N21" i="41"/>
  <c r="R21" i="41"/>
  <c r="AL21" i="41"/>
  <c r="I22" i="41"/>
  <c r="AA22" i="41"/>
  <c r="AR22" i="41" s="1"/>
  <c r="AT22" i="41"/>
  <c r="AC27" i="41"/>
  <c r="AC248" i="41" s="1"/>
  <c r="I28" i="41"/>
  <c r="Q155" i="41"/>
  <c r="U28" i="41"/>
  <c r="Q29" i="41"/>
  <c r="AE155" i="41"/>
  <c r="AT28" i="41"/>
  <c r="AV29" i="41"/>
  <c r="L29" i="41"/>
  <c r="AB31" i="41"/>
  <c r="AS31" i="41" s="1"/>
  <c r="AT150" i="41"/>
  <c r="AT38" i="41"/>
  <c r="AS39" i="41"/>
  <c r="AM45" i="41"/>
  <c r="AW39" i="41"/>
  <c r="AN39" i="41"/>
  <c r="I40" i="41"/>
  <c r="AP40" i="41"/>
  <c r="AA40" i="41"/>
  <c r="AR40" i="41" s="1"/>
  <c r="Z40" i="41"/>
  <c r="AU46" i="41"/>
  <c r="AB50" i="41"/>
  <c r="AS50" i="41" s="1"/>
  <c r="AS51" i="41"/>
  <c r="AW51" i="41"/>
  <c r="AN51" i="41"/>
  <c r="AU51" i="41" s="1"/>
  <c r="Z56" i="41"/>
  <c r="AB76" i="41"/>
  <c r="AS76" i="41" s="1"/>
  <c r="AA76" i="41"/>
  <c r="AR76" i="41" s="1"/>
  <c r="AP76" i="41"/>
  <c r="Z76" i="41"/>
  <c r="S143" i="41"/>
  <c r="L21" i="45" s="1"/>
  <c r="AP108" i="41"/>
  <c r="Z108" i="41"/>
  <c r="AA108" i="41"/>
  <c r="AR108" i="41" s="1"/>
  <c r="AB108" i="41"/>
  <c r="AS108" i="41" s="1"/>
  <c r="AB110" i="41"/>
  <c r="AS110" i="41" s="1"/>
  <c r="Z110" i="41"/>
  <c r="AA110" i="41"/>
  <c r="AR110" i="41" s="1"/>
  <c r="AP110" i="41"/>
  <c r="AE32" i="41"/>
  <c r="L38" i="41"/>
  <c r="Q45" i="41"/>
  <c r="AS58" i="41"/>
  <c r="AV58" i="41"/>
  <c r="N60" i="41"/>
  <c r="AS66" i="41"/>
  <c r="I66" i="41"/>
  <c r="L74" i="41"/>
  <c r="AQ68" i="41"/>
  <c r="AQ74" i="41" s="1"/>
  <c r="AA70" i="41"/>
  <c r="AR70" i="41" s="1"/>
  <c r="AB75" i="41"/>
  <c r="AA75" i="41"/>
  <c r="AP75" i="41"/>
  <c r="Z75" i="41"/>
  <c r="Z77" i="41"/>
  <c r="AP77" i="41"/>
  <c r="AB77" i="41"/>
  <c r="AS77" i="41" s="1"/>
  <c r="AN77" i="41"/>
  <c r="AU77" i="41" s="1"/>
  <c r="AS80" i="41"/>
  <c r="AV82" i="41"/>
  <c r="AV85" i="41" s="1"/>
  <c r="AN82" i="41"/>
  <c r="AL85" i="41"/>
  <c r="I86" i="41"/>
  <c r="K89" i="41"/>
  <c r="U89" i="41"/>
  <c r="Y95" i="41"/>
  <c r="AQ90" i="41"/>
  <c r="I93" i="41"/>
  <c r="AP93" i="41"/>
  <c r="AA93" i="41"/>
  <c r="AR93" i="41" s="1"/>
  <c r="AB93" i="41"/>
  <c r="AS93" i="41" s="1"/>
  <c r="Z93" i="41"/>
  <c r="AM156" i="41"/>
  <c r="AW96" i="41"/>
  <c r="AM97" i="41"/>
  <c r="Y111" i="41"/>
  <c r="AQ105" i="41"/>
  <c r="AM111" i="41"/>
  <c r="AW105" i="41"/>
  <c r="AW111" i="41" s="1"/>
  <c r="AN105" i="41"/>
  <c r="AP106" i="41"/>
  <c r="AA106" i="41"/>
  <c r="AR106" i="41" s="1"/>
  <c r="Z106" i="41"/>
  <c r="AB106" i="41"/>
  <c r="AS106" i="41" s="1"/>
  <c r="N126" i="41"/>
  <c r="AM126" i="41"/>
  <c r="AW119" i="41"/>
  <c r="AN119" i="41"/>
  <c r="AP121" i="41"/>
  <c r="Z121" i="41"/>
  <c r="AB121" i="41"/>
  <c r="AA121" i="41"/>
  <c r="AR121" i="41" s="1"/>
  <c r="AQ127" i="41"/>
  <c r="AQ130" i="41" s="1"/>
  <c r="Y130" i="41"/>
  <c r="AL155" i="41"/>
  <c r="Y150" i="41"/>
  <c r="AE150" i="41"/>
  <c r="Y38" i="41"/>
  <c r="AL45" i="41"/>
  <c r="L60" i="41"/>
  <c r="AR53" i="41"/>
  <c r="AE55" i="41"/>
  <c r="AT55" i="41" s="1"/>
  <c r="AT60" i="41" s="1"/>
  <c r="AA62" i="41"/>
  <c r="AR62" i="41" s="1"/>
  <c r="AP62" i="41"/>
  <c r="Z62" i="41"/>
  <c r="AQ64" i="41"/>
  <c r="Y67" i="41"/>
  <c r="AL67" i="41"/>
  <c r="AN64" i="41"/>
  <c r="AS65" i="41"/>
  <c r="I65" i="41"/>
  <c r="Z65" i="41"/>
  <c r="AV65" i="41"/>
  <c r="AP70" i="41"/>
  <c r="AR73" i="41"/>
  <c r="AP73" i="41"/>
  <c r="Z73" i="41"/>
  <c r="AT81" i="41"/>
  <c r="Z79" i="41"/>
  <c r="AA79" i="41"/>
  <c r="AR79" i="41" s="1"/>
  <c r="K81" i="41"/>
  <c r="Q81" i="41"/>
  <c r="U81" i="41"/>
  <c r="Y81" i="41"/>
  <c r="AL81" i="41"/>
  <c r="AM85" i="41"/>
  <c r="AT83" i="41"/>
  <c r="AT85" i="41" s="1"/>
  <c r="AE85" i="41"/>
  <c r="AP84" i="41"/>
  <c r="AA84" i="41"/>
  <c r="AR84" i="41" s="1"/>
  <c r="Z84" i="41"/>
  <c r="L89" i="41"/>
  <c r="Y89" i="41"/>
  <c r="AT90" i="41"/>
  <c r="AT95" i="41" s="1"/>
  <c r="AE95" i="41"/>
  <c r="I92" i="41"/>
  <c r="AP92" i="41"/>
  <c r="AA92" i="41"/>
  <c r="AR92" i="41" s="1"/>
  <c r="AB92" i="41"/>
  <c r="AS92" i="41" s="1"/>
  <c r="Z92" i="41"/>
  <c r="AN156" i="41"/>
  <c r="AS105" i="41"/>
  <c r="AP109" i="41"/>
  <c r="AB109" i="41"/>
  <c r="AS109" i="41" s="1"/>
  <c r="AA109" i="41"/>
  <c r="AR109" i="41" s="1"/>
  <c r="AL29" i="41"/>
  <c r="N150" i="41"/>
  <c r="AW33" i="41"/>
  <c r="N38" i="41"/>
  <c r="AT39" i="41"/>
  <c r="AT45" i="41" s="1"/>
  <c r="AN41" i="41"/>
  <c r="AU41" i="41" s="1"/>
  <c r="AN42" i="41"/>
  <c r="AU42" i="41" s="1"/>
  <c r="AN43" i="41"/>
  <c r="AU43" i="41" s="1"/>
  <c r="AN44" i="41"/>
  <c r="AU44" i="41" s="1"/>
  <c r="U46" i="41"/>
  <c r="AW53" i="41"/>
  <c r="AN56" i="41"/>
  <c r="AU56" i="41" s="1"/>
  <c r="U61" i="41"/>
  <c r="Q63" i="41"/>
  <c r="AS64" i="41"/>
  <c r="I64" i="41"/>
  <c r="L67" i="41"/>
  <c r="Z64" i="41"/>
  <c r="AV64" i="41"/>
  <c r="I72" i="41"/>
  <c r="AA72" i="41"/>
  <c r="AR72" i="41" s="1"/>
  <c r="AP72" i="41"/>
  <c r="Z72" i="41"/>
  <c r="AV73" i="41"/>
  <c r="AN73" i="41"/>
  <c r="AU73" i="41" s="1"/>
  <c r="Q74" i="41"/>
  <c r="U74" i="41"/>
  <c r="AE81" i="41"/>
  <c r="AA77" i="41"/>
  <c r="AR77" i="41" s="1"/>
  <c r="Z78" i="41"/>
  <c r="AP78" i="41"/>
  <c r="AM81" i="41"/>
  <c r="Q85" i="41"/>
  <c r="U82" i="41"/>
  <c r="AP83" i="41"/>
  <c r="AA83" i="41"/>
  <c r="AR83" i="41" s="1"/>
  <c r="Z83" i="41"/>
  <c r="AQ86" i="41"/>
  <c r="AQ89" i="41" s="1"/>
  <c r="AB88" i="41"/>
  <c r="AS88" i="41" s="1"/>
  <c r="AA88" i="41"/>
  <c r="AR88" i="41" s="1"/>
  <c r="AP88" i="41"/>
  <c r="Z88" i="41"/>
  <c r="I91" i="41"/>
  <c r="AP91" i="41"/>
  <c r="AA91" i="41"/>
  <c r="AR91" i="41" s="1"/>
  <c r="AB91" i="41"/>
  <c r="AS91" i="41" s="1"/>
  <c r="Z91" i="41"/>
  <c r="I156" i="41"/>
  <c r="Q156" i="41"/>
  <c r="Q97" i="41"/>
  <c r="U96" i="41"/>
  <c r="AU96" i="41"/>
  <c r="AV99" i="41"/>
  <c r="AN99" i="41"/>
  <c r="AL101" i="41"/>
  <c r="AQ102" i="41"/>
  <c r="AQ104" i="41" s="1"/>
  <c r="Y104" i="41"/>
  <c r="AT113" i="41"/>
  <c r="AT118" i="41" s="1"/>
  <c r="AE118" i="41"/>
  <c r="AV125" i="41"/>
  <c r="AN125" i="41"/>
  <c r="AU125" i="41" s="1"/>
  <c r="AB133" i="41"/>
  <c r="AS133" i="41" s="1"/>
  <c r="AP133" i="41"/>
  <c r="Z133" i="41"/>
  <c r="AA133" i="41"/>
  <c r="AR133" i="41" s="1"/>
  <c r="P143" i="41"/>
  <c r="I21" i="45" s="1"/>
  <c r="AE142" i="41"/>
  <c r="AJ143" i="41"/>
  <c r="AC21" i="45" s="1"/>
  <c r="AV61" i="41"/>
  <c r="N67" i="41"/>
  <c r="AA64" i="41"/>
  <c r="AU65" i="41"/>
  <c r="AA65" i="41"/>
  <c r="AR65" i="41" s="1"/>
  <c r="AA66" i="41"/>
  <c r="AR66" i="41" s="1"/>
  <c r="Q67" i="41"/>
  <c r="U67" i="41"/>
  <c r="AM74" i="41"/>
  <c r="AW68" i="41"/>
  <c r="AW74" i="41" s="1"/>
  <c r="AA71" i="41"/>
  <c r="AV71" i="41"/>
  <c r="AN71" i="41"/>
  <c r="AU71" i="41" s="1"/>
  <c r="L81" i="41"/>
  <c r="AS79" i="41"/>
  <c r="K85" i="41"/>
  <c r="K156" i="41"/>
  <c r="AE156" i="41"/>
  <c r="AE97" i="41"/>
  <c r="AU99" i="41"/>
  <c r="N111" i="41"/>
  <c r="AV109" i="41"/>
  <c r="AN109" i="41"/>
  <c r="AU109" i="41" s="1"/>
  <c r="Q111" i="41"/>
  <c r="AV115" i="41"/>
  <c r="AN115" i="41"/>
  <c r="AV116" i="41"/>
  <c r="AN116" i="41"/>
  <c r="AU116" i="41" s="1"/>
  <c r="AB128" i="41"/>
  <c r="AS128" i="41" s="1"/>
  <c r="AA128" i="41"/>
  <c r="AR128" i="41" s="1"/>
  <c r="Z128" i="41"/>
  <c r="AP128" i="41"/>
  <c r="AT133" i="41"/>
  <c r="AT135" i="41" s="1"/>
  <c r="I138" i="41"/>
  <c r="AP138" i="41"/>
  <c r="AA138" i="41"/>
  <c r="AR138" i="41" s="1"/>
  <c r="AB138" i="41"/>
  <c r="Z138" i="41"/>
  <c r="U142" i="41"/>
  <c r="I139" i="41"/>
  <c r="AP139" i="41"/>
  <c r="AA139" i="41"/>
  <c r="AR139" i="41" s="1"/>
  <c r="AB139" i="41"/>
  <c r="AS139" i="41" s="1"/>
  <c r="Z139" i="41"/>
  <c r="AU61" i="41"/>
  <c r="AM63" i="41"/>
  <c r="AV62" i="41"/>
  <c r="AN62" i="41"/>
  <c r="AU62" i="41" s="1"/>
  <c r="K74" i="41"/>
  <c r="I68" i="41"/>
  <c r="AP68" i="41"/>
  <c r="AA68" i="41"/>
  <c r="AE74" i="41"/>
  <c r="AT68" i="41"/>
  <c r="AT74" i="41" s="1"/>
  <c r="I69" i="41"/>
  <c r="AP69" i="41"/>
  <c r="AA69" i="41"/>
  <c r="AV72" i="41"/>
  <c r="AN72" i="41"/>
  <c r="AU72" i="41" s="1"/>
  <c r="AU75" i="41"/>
  <c r="AS78" i="41"/>
  <c r="Y85" i="41"/>
  <c r="AU87" i="41"/>
  <c r="AM89" i="41"/>
  <c r="AW90" i="41"/>
  <c r="AT96" i="41"/>
  <c r="K97" i="41"/>
  <c r="K101" i="41"/>
  <c r="I98" i="41"/>
  <c r="AA98" i="41"/>
  <c r="AA101" i="41" s="1"/>
  <c r="AB98" i="41"/>
  <c r="AP98" i="41"/>
  <c r="AP99" i="41"/>
  <c r="Z99" i="41"/>
  <c r="AF99" i="41" s="1"/>
  <c r="AO99" i="41" s="1"/>
  <c r="AR100" i="41"/>
  <c r="I100" i="41"/>
  <c r="AP100" i="41"/>
  <c r="N104" i="41"/>
  <c r="AB103" i="41"/>
  <c r="AS103" i="41" s="1"/>
  <c r="AP103" i="41"/>
  <c r="Z103" i="41"/>
  <c r="AT105" i="41"/>
  <c r="AT111" i="41" s="1"/>
  <c r="AE111" i="41"/>
  <c r="AA107" i="41"/>
  <c r="AR107" i="41" s="1"/>
  <c r="AP107" i="41"/>
  <c r="AV108" i="41"/>
  <c r="AN108" i="41"/>
  <c r="AU108" i="41" s="1"/>
  <c r="AQ112" i="41"/>
  <c r="Y118" i="41"/>
  <c r="AL118" i="41"/>
  <c r="AV112" i="41"/>
  <c r="AN112" i="41"/>
  <c r="Z113" i="41"/>
  <c r="AB113" i="41"/>
  <c r="AA113" i="41"/>
  <c r="AR113" i="41" s="1"/>
  <c r="U118" i="41"/>
  <c r="AP113" i="41"/>
  <c r="AW120" i="41"/>
  <c r="AN120" i="41"/>
  <c r="AU120" i="41" s="1"/>
  <c r="AV123" i="41"/>
  <c r="AN123" i="41"/>
  <c r="AU123" i="41" s="1"/>
  <c r="AN131" i="41"/>
  <c r="AV131" i="41"/>
  <c r="AL132" i="41"/>
  <c r="AL135" i="41" s="1"/>
  <c r="AI150" i="41"/>
  <c r="T143" i="41"/>
  <c r="M21" i="45" s="1"/>
  <c r="I94" i="41"/>
  <c r="AP94" i="41"/>
  <c r="AA94" i="41"/>
  <c r="L156" i="41"/>
  <c r="L97" i="41"/>
  <c r="Y156" i="41"/>
  <c r="Y97" i="41"/>
  <c r="AQ96" i="41"/>
  <c r="AM101" i="41"/>
  <c r="AW98" i="41"/>
  <c r="AW101" i="41" s="1"/>
  <c r="AV100" i="41"/>
  <c r="AN100" i="41"/>
  <c r="AU100" i="41" s="1"/>
  <c r="Z102" i="41"/>
  <c r="K111" i="41"/>
  <c r="I105" i="41"/>
  <c r="AP105" i="41"/>
  <c r="AA105" i="41"/>
  <c r="Z105" i="41"/>
  <c r="U111" i="41"/>
  <c r="AV110" i="41"/>
  <c r="AN110" i="41"/>
  <c r="AU110" i="41" s="1"/>
  <c r="I112" i="41"/>
  <c r="AW112" i="41"/>
  <c r="AW118" i="41" s="1"/>
  <c r="AM118" i="41"/>
  <c r="AB116" i="41"/>
  <c r="AS116" i="41" s="1"/>
  <c r="AA116" i="41"/>
  <c r="AR116" i="41" s="1"/>
  <c r="Z116" i="41"/>
  <c r="AB117" i="41"/>
  <c r="AS117" i="41" s="1"/>
  <c r="Z117" i="41"/>
  <c r="L118" i="41"/>
  <c r="Q118" i="41"/>
  <c r="I124" i="41"/>
  <c r="AA124" i="41"/>
  <c r="AR124" i="41" s="1"/>
  <c r="Z124" i="41"/>
  <c r="AP124" i="41"/>
  <c r="AV127" i="41"/>
  <c r="AN127" i="41"/>
  <c r="AS131" i="41"/>
  <c r="I131" i="41"/>
  <c r="L135" i="41"/>
  <c r="AU134" i="41"/>
  <c r="AT142" i="41"/>
  <c r="AI143" i="41"/>
  <c r="AB21" i="45" s="1"/>
  <c r="I125" i="41"/>
  <c r="AP125" i="41"/>
  <c r="Z125" i="41"/>
  <c r="AB125" i="41"/>
  <c r="AS125" i="41" s="1"/>
  <c r="AA125" i="41"/>
  <c r="AR125" i="41" s="1"/>
  <c r="L130" i="41"/>
  <c r="I127" i="41"/>
  <c r="AU133" i="41"/>
  <c r="AS138" i="41"/>
  <c r="L142" i="41"/>
  <c r="N118" i="41"/>
  <c r="AP114" i="41"/>
  <c r="AU115" i="41"/>
  <c r="K126" i="41"/>
  <c r="I119" i="41"/>
  <c r="AP119" i="41"/>
  <c r="AA119" i="41"/>
  <c r="AE126" i="41"/>
  <c r="AT119" i="41"/>
  <c r="AT126" i="41" s="1"/>
  <c r="AQ126" i="41"/>
  <c r="Q126" i="41"/>
  <c r="U126" i="41"/>
  <c r="AD143" i="41"/>
  <c r="W21" i="45" s="1"/>
  <c r="AE130" i="41"/>
  <c r="AT127" i="41"/>
  <c r="AT130" i="41" s="1"/>
  <c r="J143" i="41"/>
  <c r="C21" i="45" s="1"/>
  <c r="AP132" i="41"/>
  <c r="AB132" i="41"/>
  <c r="AA132" i="41"/>
  <c r="AR132" i="41" s="1"/>
  <c r="AB134" i="41"/>
  <c r="AS134" i="41" s="1"/>
  <c r="AP134" i="41"/>
  <c r="Z134" i="41"/>
  <c r="Q135" i="41"/>
  <c r="K142" i="41"/>
  <c r="I136" i="41"/>
  <c r="AP136" i="41"/>
  <c r="AA136" i="41"/>
  <c r="AB136" i="41"/>
  <c r="I140" i="41"/>
  <c r="AP140" i="41"/>
  <c r="AA140" i="41"/>
  <c r="AR140" i="41" s="1"/>
  <c r="AB140" i="41"/>
  <c r="AS140" i="41" s="1"/>
  <c r="M143" i="41"/>
  <c r="F21" i="45" s="1"/>
  <c r="R146" i="41"/>
  <c r="AV96" i="41"/>
  <c r="AV98" i="41"/>
  <c r="AN98" i="41"/>
  <c r="AQ101" i="41"/>
  <c r="AV102" i="41"/>
  <c r="AV107" i="41"/>
  <c r="AN107" i="41"/>
  <c r="AU107" i="41" s="1"/>
  <c r="Z112" i="41"/>
  <c r="AP112" i="41"/>
  <c r="AN113" i="41"/>
  <c r="AU113" i="41" s="1"/>
  <c r="AP115" i="41"/>
  <c r="AP120" i="41"/>
  <c r="AA120" i="41"/>
  <c r="AR120" i="41" s="1"/>
  <c r="AV122" i="41"/>
  <c r="AN122" i="41"/>
  <c r="AU122" i="41" s="1"/>
  <c r="U127" i="41"/>
  <c r="Q130" i="41"/>
  <c r="V143" i="41"/>
  <c r="AQ131" i="41"/>
  <c r="AQ135" i="41" s="1"/>
  <c r="Y135" i="41"/>
  <c r="R150" i="41"/>
  <c r="R135" i="41"/>
  <c r="R143" i="41" s="1"/>
  <c r="K21" i="45" s="1"/>
  <c r="X143" i="41"/>
  <c r="Q21" i="45" s="1"/>
  <c r="I137" i="41"/>
  <c r="AP137" i="41"/>
  <c r="AA137" i="41"/>
  <c r="AB137" i="41"/>
  <c r="AS137" i="41" s="1"/>
  <c r="I141" i="41"/>
  <c r="AP141" i="41"/>
  <c r="AA141" i="41"/>
  <c r="AR141" i="41" s="1"/>
  <c r="AB141" i="41"/>
  <c r="AS141" i="41" s="1"/>
  <c r="O143" i="41"/>
  <c r="W143" i="41"/>
  <c r="P21" i="45" s="1"/>
  <c r="AS113" i="41"/>
  <c r="AV124" i="41"/>
  <c r="AN124" i="41"/>
  <c r="AU124" i="41" s="1"/>
  <c r="AU127" i="41"/>
  <c r="AM130" i="41"/>
  <c r="AV129" i="41"/>
  <c r="AN129" i="41"/>
  <c r="AU129" i="41" s="1"/>
  <c r="U135" i="41"/>
  <c r="AH143" i="41"/>
  <c r="J146" i="41"/>
  <c r="AH146" i="41"/>
  <c r="AG143" i="41"/>
  <c r="AK143" i="41"/>
  <c r="AD21" i="45" s="1"/>
  <c r="P146" i="41"/>
  <c r="V146" i="41"/>
  <c r="AJ167" i="40"/>
  <c r="Z22" i="40"/>
  <c r="AP22" i="40"/>
  <c r="AB22" i="40"/>
  <c r="AS22" i="40" s="1"/>
  <c r="AA22" i="40"/>
  <c r="AE168" i="40"/>
  <c r="AT12" i="40"/>
  <c r="Y174" i="40"/>
  <c r="AQ14" i="40"/>
  <c r="AQ174" i="40" s="1"/>
  <c r="AE15" i="40"/>
  <c r="AP18" i="40"/>
  <c r="AA18" i="40"/>
  <c r="AR18" i="40" s="1"/>
  <c r="Z18" i="40"/>
  <c r="K19" i="40"/>
  <c r="K23" i="40"/>
  <c r="AQ23" i="40"/>
  <c r="AV21" i="40"/>
  <c r="AN21" i="40"/>
  <c r="AU21" i="40" s="1"/>
  <c r="AV22" i="40"/>
  <c r="AN22" i="40"/>
  <c r="AU22" i="40" s="1"/>
  <c r="U23" i="40"/>
  <c r="Y23" i="40"/>
  <c r="AL23" i="40"/>
  <c r="AL177" i="40"/>
  <c r="AV24" i="40"/>
  <c r="AN24" i="40"/>
  <c r="AL25" i="40"/>
  <c r="Y172" i="40"/>
  <c r="AQ28" i="40"/>
  <c r="AQ172" i="40" s="1"/>
  <c r="Y175" i="40"/>
  <c r="AQ30" i="40"/>
  <c r="AB43" i="40"/>
  <c r="AS43" i="40" s="1"/>
  <c r="AP43" i="40"/>
  <c r="AA43" i="40"/>
  <c r="AR43" i="40" s="1"/>
  <c r="Z43" i="40"/>
  <c r="AP46" i="40"/>
  <c r="AB46" i="40"/>
  <c r="AS46" i="40" s="1"/>
  <c r="AA46" i="40"/>
  <c r="AR46" i="40" s="1"/>
  <c r="Z46" i="40"/>
  <c r="AV46" i="40"/>
  <c r="AV51" i="40" s="1"/>
  <c r="AN46" i="40"/>
  <c r="AL51" i="40"/>
  <c r="Z71" i="40"/>
  <c r="AP71" i="40"/>
  <c r="AB71" i="40"/>
  <c r="AA71" i="40"/>
  <c r="I12" i="40"/>
  <c r="AW15" i="40"/>
  <c r="N174" i="40"/>
  <c r="AU14" i="40"/>
  <c r="Z14" i="40"/>
  <c r="AN15" i="40"/>
  <c r="AV15" i="40"/>
  <c r="I17" i="40"/>
  <c r="AP17" i="40"/>
  <c r="AA17" i="40"/>
  <c r="AR17" i="40" s="1"/>
  <c r="Z17" i="40"/>
  <c r="AV20" i="40"/>
  <c r="AN20" i="40"/>
  <c r="N177" i="40"/>
  <c r="N25" i="40"/>
  <c r="AU24" i="40"/>
  <c r="AT177" i="40"/>
  <c r="AT25" i="40"/>
  <c r="Y169" i="40"/>
  <c r="AQ26" i="40"/>
  <c r="Y32" i="40"/>
  <c r="L172" i="40"/>
  <c r="I28" i="40"/>
  <c r="AE172" i="40"/>
  <c r="AT28" i="40"/>
  <c r="AT172" i="40" s="1"/>
  <c r="I29" i="40"/>
  <c r="L175" i="40"/>
  <c r="I30" i="40"/>
  <c r="AE175" i="40"/>
  <c r="AT30" i="40"/>
  <c r="AT175" i="40" s="1"/>
  <c r="AS31" i="40"/>
  <c r="AQ31" i="40"/>
  <c r="Z31" i="40"/>
  <c r="AB42" i="40"/>
  <c r="AS42" i="40" s="1"/>
  <c r="AP42" i="40"/>
  <c r="AA42" i="40"/>
  <c r="AR42" i="40" s="1"/>
  <c r="Z42" i="40"/>
  <c r="AT51" i="40"/>
  <c r="AB54" i="40"/>
  <c r="AP54" i="40"/>
  <c r="AA54" i="40"/>
  <c r="Z54" i="40"/>
  <c r="Z68" i="40"/>
  <c r="AP68" i="40"/>
  <c r="AB68" i="40"/>
  <c r="AA68" i="40"/>
  <c r="Z70" i="40"/>
  <c r="AP70" i="40"/>
  <c r="AB70" i="40"/>
  <c r="AS70" i="40" s="1"/>
  <c r="AA70" i="40"/>
  <c r="AR70" i="40" s="1"/>
  <c r="Y168" i="40"/>
  <c r="AQ12" i="40"/>
  <c r="Y15" i="40"/>
  <c r="AE174" i="40"/>
  <c r="AT14" i="40"/>
  <c r="AT174" i="40" s="1"/>
  <c r="L15" i="40"/>
  <c r="U19" i="40"/>
  <c r="AP16" i="40"/>
  <c r="AA16" i="40"/>
  <c r="Z16" i="40"/>
  <c r="AB18" i="40"/>
  <c r="AS18" i="40" s="1"/>
  <c r="AM19" i="40"/>
  <c r="AA20" i="40"/>
  <c r="AR20" i="40" s="1"/>
  <c r="AW20" i="40"/>
  <c r="AW23" i="40" s="1"/>
  <c r="AM23" i="40"/>
  <c r="Q177" i="40"/>
  <c r="U24" i="40"/>
  <c r="AW25" i="40"/>
  <c r="L169" i="40"/>
  <c r="I26" i="40"/>
  <c r="L32" i="40"/>
  <c r="AE169" i="40"/>
  <c r="AT26" i="40"/>
  <c r="AU29" i="40"/>
  <c r="AU31" i="40"/>
  <c r="AE32" i="40"/>
  <c r="AB41" i="40"/>
  <c r="AS41" i="40" s="1"/>
  <c r="AP41" i="40"/>
  <c r="AA41" i="40"/>
  <c r="AR41" i="40" s="1"/>
  <c r="Z41" i="40"/>
  <c r="AB57" i="40"/>
  <c r="AS57" i="40" s="1"/>
  <c r="AP57" i="40"/>
  <c r="AA57" i="40"/>
  <c r="AR57" i="40" s="1"/>
  <c r="Z57" i="40"/>
  <c r="AB58" i="40"/>
  <c r="AS58" i="40" s="1"/>
  <c r="AP58" i="40"/>
  <c r="AA58" i="40"/>
  <c r="AR58" i="40" s="1"/>
  <c r="Z58" i="40"/>
  <c r="N168" i="40"/>
  <c r="N15" i="40"/>
  <c r="AU12" i="40"/>
  <c r="Z12" i="40"/>
  <c r="I14" i="40"/>
  <c r="L19" i="40"/>
  <c r="AS16" i="40"/>
  <c r="Y19" i="40"/>
  <c r="AW19" i="40"/>
  <c r="AB17" i="40"/>
  <c r="AN17" i="40"/>
  <c r="AU17" i="40" s="1"/>
  <c r="AE19" i="40"/>
  <c r="I20" i="40"/>
  <c r="AB20" i="40"/>
  <c r="AF20" i="40" s="1"/>
  <c r="AP20" i="40"/>
  <c r="AA21" i="40"/>
  <c r="AR21" i="40" s="1"/>
  <c r="Z21" i="40"/>
  <c r="AR22" i="40"/>
  <c r="I25" i="40"/>
  <c r="AP27" i="40"/>
  <c r="AB27" i="40"/>
  <c r="AS27" i="40" s="1"/>
  <c r="AA27" i="40"/>
  <c r="AB29" i="40"/>
  <c r="AS29" i="40" s="1"/>
  <c r="AP29" i="40"/>
  <c r="AA29" i="40"/>
  <c r="AR29" i="40" s="1"/>
  <c r="Z29" i="40"/>
  <c r="K170" i="40"/>
  <c r="I33" i="40"/>
  <c r="K38" i="40"/>
  <c r="U38" i="40"/>
  <c r="AB40" i="40"/>
  <c r="AS40" i="40" s="1"/>
  <c r="AP40" i="40"/>
  <c r="AA40" i="40"/>
  <c r="AR40" i="40" s="1"/>
  <c r="Z40" i="40"/>
  <c r="U51" i="40"/>
  <c r="AW51" i="40"/>
  <c r="AB56" i="40"/>
  <c r="AS56" i="40" s="1"/>
  <c r="AP56" i="40"/>
  <c r="AA56" i="40"/>
  <c r="AR56" i="40" s="1"/>
  <c r="Z56" i="40"/>
  <c r="Z72" i="40"/>
  <c r="AP72" i="40"/>
  <c r="AB72" i="40"/>
  <c r="AS72" i="40" s="1"/>
  <c r="AA72" i="40"/>
  <c r="AR72" i="40" s="1"/>
  <c r="AO75" i="40"/>
  <c r="AB34" i="40"/>
  <c r="AB35" i="40"/>
  <c r="AS35" i="40" s="1"/>
  <c r="AB36" i="40"/>
  <c r="AS36" i="40" s="1"/>
  <c r="AB37" i="40"/>
  <c r="AS37" i="40" s="1"/>
  <c r="AE44" i="40"/>
  <c r="AB45" i="40"/>
  <c r="AS45" i="40" s="1"/>
  <c r="AU46" i="40"/>
  <c r="AB47" i="40"/>
  <c r="AS47" i="40" s="1"/>
  <c r="AB48" i="40"/>
  <c r="AS48" i="40" s="1"/>
  <c r="AB49" i="40"/>
  <c r="AS49" i="40" s="1"/>
  <c r="AB50" i="40"/>
  <c r="AS50" i="40" s="1"/>
  <c r="I53" i="40"/>
  <c r="Q53" i="40"/>
  <c r="AV61" i="40"/>
  <c r="AN61" i="40"/>
  <c r="AU61" i="40" s="1"/>
  <c r="AP64" i="40"/>
  <c r="AA64" i="40"/>
  <c r="Z64" i="40"/>
  <c r="AR64" i="40"/>
  <c r="AL66" i="40"/>
  <c r="AV67" i="40"/>
  <c r="AN67" i="40"/>
  <c r="AS68" i="40"/>
  <c r="AV68" i="40"/>
  <c r="AN68" i="40"/>
  <c r="AU68" i="40" s="1"/>
  <c r="N80" i="40"/>
  <c r="AV75" i="40"/>
  <c r="AN75" i="40"/>
  <c r="AB77" i="40"/>
  <c r="AS77" i="40" s="1"/>
  <c r="Z77" i="40"/>
  <c r="AV77" i="40"/>
  <c r="AN77" i="40"/>
  <c r="I86" i="40"/>
  <c r="Z86" i="40"/>
  <c r="AP86" i="40"/>
  <c r="AA86" i="40"/>
  <c r="AR86" i="40" s="1"/>
  <c r="Z92" i="40"/>
  <c r="AP92" i="40"/>
  <c r="AB92" i="40"/>
  <c r="AS92" i="40" s="1"/>
  <c r="AA92" i="40"/>
  <c r="AR92" i="40" s="1"/>
  <c r="Z95" i="40"/>
  <c r="AB95" i="40"/>
  <c r="AS95" i="40" s="1"/>
  <c r="AP95" i="40"/>
  <c r="AA95" i="40"/>
  <c r="AR95" i="40" s="1"/>
  <c r="AW175" i="40"/>
  <c r="AN33" i="40"/>
  <c r="AN34" i="40"/>
  <c r="AU34" i="40" s="1"/>
  <c r="AN35" i="40"/>
  <c r="AU35" i="40" s="1"/>
  <c r="AN36" i="40"/>
  <c r="AU36" i="40" s="1"/>
  <c r="AN37" i="40"/>
  <c r="AU37" i="40" s="1"/>
  <c r="AE38" i="40"/>
  <c r="AM38" i="40"/>
  <c r="AQ38" i="40"/>
  <c r="U39" i="40"/>
  <c r="L44" i="40"/>
  <c r="AN45" i="40"/>
  <c r="AN47" i="40"/>
  <c r="AU47" i="40" s="1"/>
  <c r="AN48" i="40"/>
  <c r="AU48" i="40" s="1"/>
  <c r="AN49" i="40"/>
  <c r="AU49" i="40" s="1"/>
  <c r="AN50" i="40"/>
  <c r="AU50" i="40" s="1"/>
  <c r="K51" i="40"/>
  <c r="AE51" i="40"/>
  <c r="AM51" i="40"/>
  <c r="U52" i="40"/>
  <c r="AL53" i="40"/>
  <c r="AT53" i="40"/>
  <c r="AL171" i="40"/>
  <c r="Q59" i="40"/>
  <c r="Y59" i="40"/>
  <c r="Q66" i="40"/>
  <c r="U60" i="40"/>
  <c r="AW66" i="40"/>
  <c r="AP63" i="40"/>
  <c r="AA63" i="40"/>
  <c r="AR63" i="40" s="1"/>
  <c r="Z63" i="40"/>
  <c r="AN65" i="40"/>
  <c r="AU65" i="40" s="1"/>
  <c r="N66" i="40"/>
  <c r="AM66" i="40"/>
  <c r="AW67" i="40"/>
  <c r="AW73" i="40" s="1"/>
  <c r="AM73" i="40"/>
  <c r="I73" i="40"/>
  <c r="AU75" i="40"/>
  <c r="AB78" i="40"/>
  <c r="AS78" i="40" s="1"/>
  <c r="Z78" i="40"/>
  <c r="AV78" i="40"/>
  <c r="AN78" i="40"/>
  <c r="AU78" i="40" s="1"/>
  <c r="Q80" i="40"/>
  <c r="U80" i="40"/>
  <c r="AM87" i="40"/>
  <c r="AV87" i="40"/>
  <c r="Z83" i="40"/>
  <c r="AP83" i="40"/>
  <c r="AA83" i="40"/>
  <c r="AR83" i="40" s="1"/>
  <c r="AB89" i="40"/>
  <c r="AS89" i="40" s="1"/>
  <c r="Z89" i="40"/>
  <c r="AV89" i="40"/>
  <c r="AN89" i="40"/>
  <c r="AU89" i="40" s="1"/>
  <c r="Q90" i="40"/>
  <c r="Z94" i="40"/>
  <c r="AP94" i="40"/>
  <c r="AB94" i="40"/>
  <c r="AS94" i="40" s="1"/>
  <c r="AA94" i="40"/>
  <c r="AD126" i="39"/>
  <c r="Q168" i="40"/>
  <c r="AA12" i="40"/>
  <c r="AL168" i="40"/>
  <c r="AP12" i="40"/>
  <c r="AA13" i="40"/>
  <c r="AR13" i="40" s="1"/>
  <c r="AP13" i="40"/>
  <c r="Q174" i="40"/>
  <c r="AA14" i="40"/>
  <c r="AL174" i="40"/>
  <c r="Q15" i="40"/>
  <c r="AI23" i="40"/>
  <c r="AI164" i="40" s="1"/>
  <c r="AB20" i="45" s="1"/>
  <c r="AQ24" i="40"/>
  <c r="Q169" i="40"/>
  <c r="AL27" i="40"/>
  <c r="AA31" i="40"/>
  <c r="AR31" i="40" s="1"/>
  <c r="AP31" i="40"/>
  <c r="Q32" i="40"/>
  <c r="AW32" i="40"/>
  <c r="AW33" i="40"/>
  <c r="Z34" i="40"/>
  <c r="Z35" i="40"/>
  <c r="Z36" i="40"/>
  <c r="Z37" i="40"/>
  <c r="L38" i="40"/>
  <c r="AV38" i="40"/>
  <c r="AN39" i="40"/>
  <c r="AV39" i="40"/>
  <c r="AV44" i="40" s="1"/>
  <c r="Z45" i="40"/>
  <c r="Z47" i="40"/>
  <c r="Z48" i="40"/>
  <c r="Z49" i="40"/>
  <c r="Z50" i="40"/>
  <c r="AN52" i="40"/>
  <c r="AV52" i="40"/>
  <c r="K53" i="40"/>
  <c r="AE53" i="40"/>
  <c r="AM53" i="40"/>
  <c r="AQ53" i="40"/>
  <c r="U55" i="40"/>
  <c r="AQ55" i="40"/>
  <c r="AQ171" i="40" s="1"/>
  <c r="AL59" i="40"/>
  <c r="Y66" i="40"/>
  <c r="AP62" i="40"/>
  <c r="AA62" i="40"/>
  <c r="AR62" i="40" s="1"/>
  <c r="Z62" i="40"/>
  <c r="AB64" i="40"/>
  <c r="AS64" i="40" s="1"/>
  <c r="AN64" i="40"/>
  <c r="AU64" i="40" s="1"/>
  <c r="AE66" i="40"/>
  <c r="AA69" i="40"/>
  <c r="AR69" i="40" s="1"/>
  <c r="Z69" i="40"/>
  <c r="AR71" i="40"/>
  <c r="AQ80" i="40"/>
  <c r="AP74" i="40"/>
  <c r="AA77" i="40"/>
  <c r="AP77" i="40"/>
  <c r="AB79" i="40"/>
  <c r="AS79" i="40" s="1"/>
  <c r="Z79" i="40"/>
  <c r="AV79" i="40"/>
  <c r="AN79" i="40"/>
  <c r="AU79" i="40" s="1"/>
  <c r="AW87" i="40"/>
  <c r="AB82" i="40"/>
  <c r="AS82" i="40" s="1"/>
  <c r="AP82" i="40"/>
  <c r="AA82" i="40"/>
  <c r="AR82" i="40" s="1"/>
  <c r="I84" i="40"/>
  <c r="Z84" i="40"/>
  <c r="AP84" i="40"/>
  <c r="AA84" i="40"/>
  <c r="AR84" i="40" s="1"/>
  <c r="AB86" i="40"/>
  <c r="AS86" i="40" s="1"/>
  <c r="Z93" i="40"/>
  <c r="AP93" i="40"/>
  <c r="AB93" i="40"/>
  <c r="AS93" i="40" s="1"/>
  <c r="AA93" i="40"/>
  <c r="AR93" i="40" s="1"/>
  <c r="K168" i="40"/>
  <c r="AB12" i="40"/>
  <c r="AM168" i="40"/>
  <c r="K174" i="40"/>
  <c r="U174" i="40"/>
  <c r="AB14" i="40"/>
  <c r="AM174" i="40"/>
  <c r="AI167" i="40"/>
  <c r="K25" i="40"/>
  <c r="AE25" i="40"/>
  <c r="AM25" i="40"/>
  <c r="K169" i="40"/>
  <c r="U26" i="40"/>
  <c r="AM169" i="40"/>
  <c r="AU26" i="40"/>
  <c r="U28" i="40"/>
  <c r="AU28" i="40"/>
  <c r="AU172" i="40" s="1"/>
  <c r="K175" i="40"/>
  <c r="U30" i="40"/>
  <c r="AM175" i="40"/>
  <c r="AU30" i="40"/>
  <c r="N32" i="40"/>
  <c r="R32" i="40"/>
  <c r="AT33" i="40"/>
  <c r="AA34" i="40"/>
  <c r="AR34" i="40" s="1"/>
  <c r="AA35" i="40"/>
  <c r="AR35" i="40" s="1"/>
  <c r="AA36" i="40"/>
  <c r="AR36" i="40" s="1"/>
  <c r="AA37" i="40"/>
  <c r="AR37" i="40" s="1"/>
  <c r="Q38" i="40"/>
  <c r="Y38" i="40"/>
  <c r="AA45" i="40"/>
  <c r="AP45" i="40"/>
  <c r="AA47" i="40"/>
  <c r="AR47" i="40" s="1"/>
  <c r="AA48" i="40"/>
  <c r="AR48" i="40" s="1"/>
  <c r="AA49" i="40"/>
  <c r="AR49" i="40" s="1"/>
  <c r="AA50" i="40"/>
  <c r="AR50" i="40" s="1"/>
  <c r="AW52" i="40"/>
  <c r="L53" i="40"/>
  <c r="AN54" i="40"/>
  <c r="AE171" i="40"/>
  <c r="AN55" i="40"/>
  <c r="AU55" i="40" s="1"/>
  <c r="AV55" i="40"/>
  <c r="AN56" i="40"/>
  <c r="AU56" i="40" s="1"/>
  <c r="AN57" i="40"/>
  <c r="AU57" i="40" s="1"/>
  <c r="AN58" i="40"/>
  <c r="AU58" i="40" s="1"/>
  <c r="L66" i="40"/>
  <c r="AV60" i="40"/>
  <c r="AN60" i="40"/>
  <c r="AR61" i="40"/>
  <c r="AP61" i="40"/>
  <c r="AB63" i="40"/>
  <c r="AS63" i="40" s="1"/>
  <c r="AN63" i="40"/>
  <c r="AU63" i="40" s="1"/>
  <c r="I65" i="40"/>
  <c r="AP65" i="40"/>
  <c r="AA65" i="40"/>
  <c r="AR65" i="40" s="1"/>
  <c r="Z65" i="40"/>
  <c r="K66" i="40"/>
  <c r="K73" i="40"/>
  <c r="U67" i="40"/>
  <c r="AE73" i="40"/>
  <c r="AR68" i="40"/>
  <c r="AV69" i="40"/>
  <c r="AN69" i="40"/>
  <c r="AU69" i="40" s="1"/>
  <c r="AV70" i="40"/>
  <c r="AN70" i="40"/>
  <c r="AU70" i="40" s="1"/>
  <c r="AS71" i="40"/>
  <c r="AV71" i="40"/>
  <c r="AN71" i="40"/>
  <c r="AU71" i="40" s="1"/>
  <c r="AV72" i="40"/>
  <c r="AN72" i="40"/>
  <c r="AU72" i="40" s="1"/>
  <c r="AL73" i="40"/>
  <c r="Z74" i="40"/>
  <c r="AV74" i="40"/>
  <c r="AN74" i="40"/>
  <c r="AU74" i="40" s="1"/>
  <c r="AL80" i="40"/>
  <c r="AS74" i="40"/>
  <c r="AR75" i="40"/>
  <c r="AP75" i="40"/>
  <c r="AB76" i="40"/>
  <c r="AS76" i="40" s="1"/>
  <c r="Z76" i="40"/>
  <c r="AV76" i="40"/>
  <c r="AN76" i="40"/>
  <c r="AU76" i="40" s="1"/>
  <c r="AU77" i="40"/>
  <c r="AA78" i="40"/>
  <c r="AR78" i="40" s="1"/>
  <c r="AP78" i="40"/>
  <c r="AR79" i="40"/>
  <c r="AB81" i="40"/>
  <c r="AP81" i="40"/>
  <c r="AA81" i="40"/>
  <c r="U87" i="40"/>
  <c r="AB83" i="40"/>
  <c r="AS83" i="40" s="1"/>
  <c r="AS84" i="40"/>
  <c r="I85" i="40"/>
  <c r="Z85" i="40"/>
  <c r="AP85" i="40"/>
  <c r="AA85" i="40"/>
  <c r="AR85" i="40" s="1"/>
  <c r="N87" i="40"/>
  <c r="AB88" i="40"/>
  <c r="U90" i="40"/>
  <c r="Z88" i="40"/>
  <c r="AV88" i="40"/>
  <c r="AN88" i="40"/>
  <c r="AL90" i="40"/>
  <c r="AT90" i="40"/>
  <c r="AA89" i="40"/>
  <c r="AR89" i="40" s="1"/>
  <c r="AP89" i="40"/>
  <c r="AP90" i="40" s="1"/>
  <c r="I90" i="40"/>
  <c r="AB91" i="40"/>
  <c r="AS91" i="40" s="1"/>
  <c r="AP91" i="40"/>
  <c r="AA91" i="40"/>
  <c r="U96" i="40"/>
  <c r="Z91" i="40"/>
  <c r="Y87" i="40"/>
  <c r="AQ96" i="40"/>
  <c r="AV92" i="40"/>
  <c r="AN92" i="40"/>
  <c r="AU92" i="40" s="1"/>
  <c r="AV93" i="40"/>
  <c r="AN93" i="40"/>
  <c r="AU93" i="40" s="1"/>
  <c r="AV94" i="40"/>
  <c r="AN94" i="40"/>
  <c r="AU94" i="40" s="1"/>
  <c r="AS99" i="40"/>
  <c r="AW99" i="40"/>
  <c r="AN99" i="40"/>
  <c r="AU99" i="40" s="1"/>
  <c r="AB104" i="40"/>
  <c r="AS104" i="40" s="1"/>
  <c r="AP104" i="40"/>
  <c r="AA104" i="40"/>
  <c r="AR104" i="40" s="1"/>
  <c r="O164" i="40"/>
  <c r="H20" i="45" s="1"/>
  <c r="AU91" i="40"/>
  <c r="N96" i="40"/>
  <c r="AT91" i="40"/>
  <c r="AT96" i="40" s="1"/>
  <c r="Y96" i="40"/>
  <c r="AB102" i="40"/>
  <c r="AS102" i="40" s="1"/>
  <c r="AP102" i="40"/>
  <c r="AA102" i="40"/>
  <c r="AR102" i="40" s="1"/>
  <c r="Z102" i="40"/>
  <c r="AB103" i="40"/>
  <c r="AS103" i="40" s="1"/>
  <c r="AP103" i="40"/>
  <c r="AA103" i="40"/>
  <c r="AR103" i="40" s="1"/>
  <c r="Z107" i="40"/>
  <c r="AP107" i="40"/>
  <c r="AP108" i="40" s="1"/>
  <c r="AB107" i="40"/>
  <c r="AP111" i="40"/>
  <c r="AA111" i="40"/>
  <c r="AR111" i="40" s="1"/>
  <c r="Z111" i="40"/>
  <c r="AB111" i="40"/>
  <c r="AS111" i="40" s="1"/>
  <c r="AB125" i="40"/>
  <c r="AS125" i="40" s="1"/>
  <c r="AP125" i="40"/>
  <c r="AA125" i="40"/>
  <c r="AR125" i="40" s="1"/>
  <c r="Z125" i="40"/>
  <c r="K129" i="40"/>
  <c r="I127" i="40"/>
  <c r="AP127" i="40"/>
  <c r="AA127" i="40"/>
  <c r="Z127" i="40"/>
  <c r="U129" i="40"/>
  <c r="AB127" i="40"/>
  <c r="AS127" i="40" s="1"/>
  <c r="AQ60" i="40"/>
  <c r="AQ66" i="40" s="1"/>
  <c r="I81" i="40"/>
  <c r="AT81" i="40"/>
  <c r="AT87" i="40" s="1"/>
  <c r="AN83" i="40"/>
  <c r="AU83" i="40" s="1"/>
  <c r="AN84" i="40"/>
  <c r="AU84" i="40" s="1"/>
  <c r="AN85" i="40"/>
  <c r="AU85" i="40" s="1"/>
  <c r="AN86" i="40"/>
  <c r="AU86" i="40" s="1"/>
  <c r="AU88" i="40"/>
  <c r="I91" i="40"/>
  <c r="AL96" i="40"/>
  <c r="AV91" i="40"/>
  <c r="AM100" i="40"/>
  <c r="AP98" i="40"/>
  <c r="AA98" i="40"/>
  <c r="AR98" i="40" s="1"/>
  <c r="Z98" i="40"/>
  <c r="I106" i="40"/>
  <c r="Q106" i="40"/>
  <c r="U101" i="40"/>
  <c r="AL106" i="40"/>
  <c r="AV101" i="40"/>
  <c r="AN101" i="40"/>
  <c r="Z104" i="40"/>
  <c r="AW107" i="40"/>
  <c r="AW108" i="40" s="1"/>
  <c r="AM108" i="40"/>
  <c r="AL117" i="40"/>
  <c r="AV114" i="40"/>
  <c r="AV117" i="40" s="1"/>
  <c r="AN114" i="40"/>
  <c r="AM123" i="40"/>
  <c r="AW118" i="40"/>
  <c r="AW123" i="40" s="1"/>
  <c r="AN118" i="40"/>
  <c r="AB124" i="40"/>
  <c r="AS124" i="40" s="1"/>
  <c r="U126" i="40"/>
  <c r="AP124" i="40"/>
  <c r="AA124" i="40"/>
  <c r="Z124" i="40"/>
  <c r="AV134" i="40"/>
  <c r="AN134" i="40"/>
  <c r="AU134" i="40" s="1"/>
  <c r="AL136" i="40"/>
  <c r="AB140" i="40"/>
  <c r="AS140" i="40" s="1"/>
  <c r="AA140" i="40"/>
  <c r="AR140" i="40" s="1"/>
  <c r="AP140" i="40"/>
  <c r="Z140" i="40"/>
  <c r="AS147" i="40"/>
  <c r="I147" i="40"/>
  <c r="AR74" i="40"/>
  <c r="AM96" i="40"/>
  <c r="AR91" i="40"/>
  <c r="AR94" i="40"/>
  <c r="AV95" i="40"/>
  <c r="AN95" i="40"/>
  <c r="AU95" i="40" s="1"/>
  <c r="AW98" i="40"/>
  <c r="AW100" i="40" s="1"/>
  <c r="AN98" i="40"/>
  <c r="AU98" i="40" s="1"/>
  <c r="I99" i="40"/>
  <c r="AP99" i="40"/>
  <c r="AA99" i="40"/>
  <c r="AR99" i="40" s="1"/>
  <c r="Z99" i="40"/>
  <c r="AW106" i="40"/>
  <c r="Z103" i="40"/>
  <c r="AB105" i="40"/>
  <c r="AS105" i="40" s="1"/>
  <c r="AA105" i="40"/>
  <c r="AR105" i="40" s="1"/>
  <c r="AA107" i="40"/>
  <c r="AA108" i="40" s="1"/>
  <c r="AT113" i="40"/>
  <c r="Q117" i="40"/>
  <c r="U114" i="40"/>
  <c r="AS118" i="40"/>
  <c r="AP134" i="40"/>
  <c r="Z134" i="40"/>
  <c r="AB134" i="40"/>
  <c r="AS134" i="40" s="1"/>
  <c r="AA134" i="40"/>
  <c r="AR134" i="40" s="1"/>
  <c r="K100" i="40"/>
  <c r="AV105" i="40"/>
  <c r="AW111" i="40"/>
  <c r="AM113" i="40"/>
  <c r="AN111" i="40"/>
  <c r="AU111" i="40" s="1"/>
  <c r="I112" i="40"/>
  <c r="K113" i="40"/>
  <c r="AP112" i="40"/>
  <c r="AA112" i="40"/>
  <c r="AR112" i="40" s="1"/>
  <c r="Z112" i="40"/>
  <c r="Y117" i="40"/>
  <c r="I116" i="40"/>
  <c r="L117" i="40"/>
  <c r="AQ124" i="40"/>
  <c r="AQ126" i="40" s="1"/>
  <c r="Y126" i="40"/>
  <c r="AM129" i="40"/>
  <c r="AW127" i="40"/>
  <c r="AW129" i="40" s="1"/>
  <c r="AN127" i="40"/>
  <c r="AB130" i="40"/>
  <c r="AS130" i="40" s="1"/>
  <c r="AP130" i="40"/>
  <c r="AA130" i="40"/>
  <c r="U136" i="40"/>
  <c r="Z130" i="40"/>
  <c r="AB131" i="40"/>
  <c r="AS131" i="40" s="1"/>
  <c r="AP131" i="40"/>
  <c r="AA131" i="40"/>
  <c r="AR131" i="40" s="1"/>
  <c r="Z131" i="40"/>
  <c r="AB135" i="40"/>
  <c r="AS135" i="40" s="1"/>
  <c r="AA135" i="40"/>
  <c r="AR135" i="40" s="1"/>
  <c r="AU137" i="40"/>
  <c r="N143" i="40"/>
  <c r="AV141" i="40"/>
  <c r="AN141" i="40"/>
  <c r="AU141" i="40" s="1"/>
  <c r="AQ144" i="40"/>
  <c r="Y150" i="40"/>
  <c r="Z144" i="40"/>
  <c r="AQ148" i="40"/>
  <c r="Z148" i="40"/>
  <c r="AF148" i="40" s="1"/>
  <c r="N159" i="40"/>
  <c r="U97" i="40"/>
  <c r="AQ97" i="40"/>
  <c r="AQ100" i="40" s="1"/>
  <c r="Y106" i="40"/>
  <c r="K108" i="40"/>
  <c r="AB110" i="40"/>
  <c r="AS110" i="40" s="1"/>
  <c r="AP110" i="40"/>
  <c r="AA110" i="40"/>
  <c r="AR110" i="40" s="1"/>
  <c r="AW112" i="40"/>
  <c r="AW113" i="40" s="1"/>
  <c r="AN112" i="40"/>
  <c r="AU112" i="40" s="1"/>
  <c r="AU115" i="40"/>
  <c r="AU116" i="40"/>
  <c r="AE117" i="40"/>
  <c r="AB119" i="40"/>
  <c r="AS119" i="40" s="1"/>
  <c r="AP119" i="40"/>
  <c r="AA119" i="40"/>
  <c r="AR119" i="40" s="1"/>
  <c r="AB120" i="40"/>
  <c r="AS120" i="40" s="1"/>
  <c r="AP120" i="40"/>
  <c r="AA120" i="40"/>
  <c r="AR120" i="40" s="1"/>
  <c r="AB121" i="40"/>
  <c r="AS121" i="40" s="1"/>
  <c r="AP121" i="40"/>
  <c r="AA121" i="40"/>
  <c r="AR121" i="40" s="1"/>
  <c r="AB122" i="40"/>
  <c r="AS122" i="40" s="1"/>
  <c r="AP122" i="40"/>
  <c r="AA122" i="40"/>
  <c r="AR122" i="40" s="1"/>
  <c r="I124" i="40"/>
  <c r="L126" i="40"/>
  <c r="I125" i="40"/>
  <c r="AQ130" i="40"/>
  <c r="AQ136" i="40" s="1"/>
  <c r="Y136" i="40"/>
  <c r="AB132" i="40"/>
  <c r="AS132" i="40" s="1"/>
  <c r="AA132" i="40"/>
  <c r="AR132" i="40" s="1"/>
  <c r="AP132" i="40"/>
  <c r="Z132" i="40"/>
  <c r="AW143" i="40"/>
  <c r="I142" i="40"/>
  <c r="AA142" i="40"/>
  <c r="AR142" i="40" s="1"/>
  <c r="AB142" i="40"/>
  <c r="AS142" i="40" s="1"/>
  <c r="Z142" i="40"/>
  <c r="AP142" i="40"/>
  <c r="AQ149" i="40"/>
  <c r="Z149" i="40"/>
  <c r="AF149" i="40" s="1"/>
  <c r="AN152" i="40"/>
  <c r="AU152" i="40" s="1"/>
  <c r="AW152" i="40"/>
  <c r="AW153" i="40" s="1"/>
  <c r="AN97" i="40"/>
  <c r="AU97" i="40" s="1"/>
  <c r="AN103" i="40"/>
  <c r="AU103" i="40" s="1"/>
  <c r="AN104" i="40"/>
  <c r="AU104" i="40" s="1"/>
  <c r="AV107" i="40"/>
  <c r="AV108" i="40" s="1"/>
  <c r="AN107" i="40"/>
  <c r="Q113" i="40"/>
  <c r="U109" i="40"/>
  <c r="AB112" i="40"/>
  <c r="AS112" i="40" s="1"/>
  <c r="AB115" i="40"/>
  <c r="AS115" i="40" s="1"/>
  <c r="AP115" i="40"/>
  <c r="AA115" i="40"/>
  <c r="AR115" i="40" s="1"/>
  <c r="Z115" i="40"/>
  <c r="AB116" i="40"/>
  <c r="AS116" i="40" s="1"/>
  <c r="AP116" i="40"/>
  <c r="AA116" i="40"/>
  <c r="AR116" i="40" s="1"/>
  <c r="Z116" i="40"/>
  <c r="K123" i="40"/>
  <c r="I118" i="40"/>
  <c r="AP118" i="40"/>
  <c r="AA118" i="40"/>
  <c r="Z118" i="40"/>
  <c r="U123" i="40"/>
  <c r="AE126" i="40"/>
  <c r="AB128" i="40"/>
  <c r="AS128" i="40" s="1"/>
  <c r="AP128" i="40"/>
  <c r="AA128" i="40"/>
  <c r="AR128" i="40" s="1"/>
  <c r="I130" i="40"/>
  <c r="AE136" i="40"/>
  <c r="AT130" i="40"/>
  <c r="AT136" i="40" s="1"/>
  <c r="I131" i="40"/>
  <c r="AR133" i="40"/>
  <c r="I133" i="40"/>
  <c r="AA133" i="40"/>
  <c r="AP133" i="40"/>
  <c r="Z133" i="40"/>
  <c r="AF133" i="40" s="1"/>
  <c r="R171" i="40"/>
  <c r="R167" i="40" s="1"/>
  <c r="R143" i="40"/>
  <c r="U139" i="40"/>
  <c r="AV139" i="40"/>
  <c r="AN139" i="40"/>
  <c r="AU139" i="40" s="1"/>
  <c r="AL143" i="40"/>
  <c r="AN147" i="40"/>
  <c r="AU147" i="40" s="1"/>
  <c r="AV147" i="40"/>
  <c r="AJ164" i="40"/>
  <c r="AC20" i="45" s="1"/>
  <c r="Q123" i="40"/>
  <c r="Q129" i="40"/>
  <c r="AV135" i="40"/>
  <c r="AN135" i="40"/>
  <c r="AU135" i="40" s="1"/>
  <c r="Q136" i="40"/>
  <c r="U137" i="40"/>
  <c r="Q143" i="40"/>
  <c r="AV140" i="40"/>
  <c r="AN140" i="40"/>
  <c r="AU140" i="40" s="1"/>
  <c r="AS144" i="40"/>
  <c r="I144" i="40"/>
  <c r="L150" i="40"/>
  <c r="AL150" i="40"/>
  <c r="AN144" i="40"/>
  <c r="AU144" i="40" s="1"/>
  <c r="AS148" i="40"/>
  <c r="I148" i="40"/>
  <c r="AS149" i="40"/>
  <c r="I149" i="40"/>
  <c r="AG164" i="40"/>
  <c r="Z20" i="45" s="1"/>
  <c r="K153" i="40"/>
  <c r="I151" i="40"/>
  <c r="U153" i="40"/>
  <c r="AP151" i="40"/>
  <c r="AA151" i="40"/>
  <c r="AB151" i="40"/>
  <c r="Z151" i="40"/>
  <c r="AV155" i="40"/>
  <c r="AV159" i="40" s="1"/>
  <c r="AN155" i="40"/>
  <c r="AP156" i="40"/>
  <c r="AA156" i="40"/>
  <c r="AR156" i="40" s="1"/>
  <c r="AB156" i="40"/>
  <c r="AS156" i="40" s="1"/>
  <c r="Z156" i="40"/>
  <c r="I158" i="40"/>
  <c r="AP158" i="40"/>
  <c r="AA158" i="40"/>
  <c r="AR158" i="40" s="1"/>
  <c r="AB158" i="40"/>
  <c r="AS158" i="40" s="1"/>
  <c r="Z158" i="40"/>
  <c r="T164" i="40"/>
  <c r="M20" i="45" s="1"/>
  <c r="I161" i="40"/>
  <c r="AQ109" i="40"/>
  <c r="AQ113" i="40" s="1"/>
  <c r="AL123" i="40"/>
  <c r="Q126" i="40"/>
  <c r="AL129" i="40"/>
  <c r="AV132" i="40"/>
  <c r="AN132" i="40"/>
  <c r="N136" i="40"/>
  <c r="K143" i="40"/>
  <c r="AQ137" i="40"/>
  <c r="AQ143" i="40" s="1"/>
  <c r="Y143" i="40"/>
  <c r="AT137" i="40"/>
  <c r="AT143" i="40" s="1"/>
  <c r="N150" i="40"/>
  <c r="AS145" i="40"/>
  <c r="I145" i="40"/>
  <c r="Z145" i="40"/>
  <c r="AU148" i="40"/>
  <c r="AV148" i="40"/>
  <c r="AV149" i="40"/>
  <c r="Z155" i="40"/>
  <c r="AB155" i="40"/>
  <c r="AS155" i="40" s="1"/>
  <c r="AP155" i="40"/>
  <c r="AA155" i="40"/>
  <c r="AR155" i="40" s="1"/>
  <c r="AV163" i="40"/>
  <c r="AN109" i="40"/>
  <c r="AU109" i="40" s="1"/>
  <c r="AN110" i="40"/>
  <c r="AU110" i="40" s="1"/>
  <c r="AT118" i="40"/>
  <c r="AT123" i="40" s="1"/>
  <c r="AN119" i="40"/>
  <c r="AU119" i="40" s="1"/>
  <c r="AN120" i="40"/>
  <c r="AU120" i="40" s="1"/>
  <c r="AN121" i="40"/>
  <c r="AU121" i="40" s="1"/>
  <c r="AN122" i="40"/>
  <c r="AU122" i="40" s="1"/>
  <c r="AT127" i="40"/>
  <c r="AT129" i="40" s="1"/>
  <c r="AN128" i="40"/>
  <c r="AU128" i="40" s="1"/>
  <c r="K136" i="40"/>
  <c r="AM136" i="40"/>
  <c r="AV133" i="40"/>
  <c r="AN133" i="40"/>
  <c r="AU133" i="40" s="1"/>
  <c r="Z138" i="40"/>
  <c r="AP138" i="40"/>
  <c r="AP141" i="40"/>
  <c r="AV144" i="40"/>
  <c r="AU145" i="40"/>
  <c r="AS146" i="40"/>
  <c r="I146" i="40"/>
  <c r="Z146" i="40"/>
  <c r="W164" i="40"/>
  <c r="P20" i="45" s="1"/>
  <c r="K159" i="40"/>
  <c r="Y159" i="40"/>
  <c r="AQ154" i="40"/>
  <c r="AQ159" i="40" s="1"/>
  <c r="L163" i="40"/>
  <c r="I160" i="40"/>
  <c r="I162" i="40"/>
  <c r="AU149" i="40"/>
  <c r="I152" i="40"/>
  <c r="AP152" i="40"/>
  <c r="AA152" i="40"/>
  <c r="AN154" i="40"/>
  <c r="M164" i="40"/>
  <c r="F20" i="45" s="1"/>
  <c r="AK164" i="40"/>
  <c r="AD20" i="45" s="1"/>
  <c r="AR141" i="40"/>
  <c r="AV142" i="40"/>
  <c r="AN142" i="40"/>
  <c r="AU142" i="40" s="1"/>
  <c r="AM153" i="40"/>
  <c r="AN151" i="40"/>
  <c r="AN153" i="40" s="1"/>
  <c r="AU151" i="40"/>
  <c r="AU153" i="40" s="1"/>
  <c r="AE159" i="40"/>
  <c r="I157" i="40"/>
  <c r="AP157" i="40"/>
  <c r="AA157" i="40"/>
  <c r="AR157" i="40" s="1"/>
  <c r="Z160" i="40"/>
  <c r="AB160" i="40"/>
  <c r="Z161" i="40"/>
  <c r="AB161" i="40"/>
  <c r="AS161" i="40" s="1"/>
  <c r="Z162" i="40"/>
  <c r="AB162" i="40"/>
  <c r="AS162" i="40" s="1"/>
  <c r="S164" i="40"/>
  <c r="L20" i="45" s="1"/>
  <c r="AC164" i="40"/>
  <c r="Q159" i="40"/>
  <c r="U154" i="40"/>
  <c r="AU155" i="40"/>
  <c r="P164" i="40"/>
  <c r="I20" i="45" s="1"/>
  <c r="X164" i="40"/>
  <c r="Q20" i="45" s="1"/>
  <c r="AT151" i="40"/>
  <c r="AT153" i="40" s="1"/>
  <c r="AW154" i="40"/>
  <c r="AW159" i="40" s="1"/>
  <c r="AN156" i="40"/>
  <c r="AU156" i="40" s="1"/>
  <c r="AN157" i="40"/>
  <c r="AU157" i="40" s="1"/>
  <c r="AN158" i="40"/>
  <c r="AU158" i="40" s="1"/>
  <c r="AU160" i="40"/>
  <c r="J164" i="40"/>
  <c r="C20" i="45" s="1"/>
  <c r="V164" i="40"/>
  <c r="AD164" i="40"/>
  <c r="W20" i="45" s="1"/>
  <c r="AH164" i="40"/>
  <c r="AC167" i="40"/>
  <c r="P126" i="39"/>
  <c r="AK126" i="39"/>
  <c r="AB13" i="39"/>
  <c r="AA16" i="39"/>
  <c r="AR16" i="39" s="1"/>
  <c r="AP16" i="39"/>
  <c r="Z16" i="39"/>
  <c r="AB16" i="39"/>
  <c r="AS16" i="39" s="1"/>
  <c r="AS22" i="39"/>
  <c r="AP32" i="39"/>
  <c r="AB32" i="39"/>
  <c r="AS32" i="39" s="1"/>
  <c r="AA32" i="39"/>
  <c r="AR32" i="39" s="1"/>
  <c r="Z32" i="39"/>
  <c r="AP33" i="39"/>
  <c r="AA33" i="39"/>
  <c r="AR33" i="39" s="1"/>
  <c r="Z33" i="39"/>
  <c r="AB63" i="39"/>
  <c r="AS63" i="39" s="1"/>
  <c r="AP63" i="39"/>
  <c r="AA63" i="39"/>
  <c r="AR63" i="39" s="1"/>
  <c r="Z63" i="39"/>
  <c r="I74" i="39"/>
  <c r="AE100" i="39"/>
  <c r="AT94" i="39"/>
  <c r="AT100" i="39" s="1"/>
  <c r="I12" i="39"/>
  <c r="AW12" i="39"/>
  <c r="Y127" i="39"/>
  <c r="AQ14" i="39"/>
  <c r="AT14" i="39"/>
  <c r="AA15" i="39"/>
  <c r="AR15" i="39" s="1"/>
  <c r="AN15" i="39"/>
  <c r="AU15" i="39" s="1"/>
  <c r="Y133" i="39"/>
  <c r="AQ17" i="39"/>
  <c r="AT17" i="39"/>
  <c r="AT133" i="39" s="1"/>
  <c r="Y18" i="39"/>
  <c r="K128" i="39"/>
  <c r="K24" i="39"/>
  <c r="I19" i="39"/>
  <c r="U24" i="39"/>
  <c r="AP19" i="39"/>
  <c r="AA19" i="39"/>
  <c r="AR19" i="39" s="1"/>
  <c r="AW21" i="39"/>
  <c r="AM134" i="39"/>
  <c r="AW22" i="39"/>
  <c r="AN22" i="39"/>
  <c r="AB26" i="39"/>
  <c r="AS26" i="39" s="1"/>
  <c r="AP26" i="39"/>
  <c r="AA26" i="39"/>
  <c r="AR26" i="39" s="1"/>
  <c r="Z26" i="39"/>
  <c r="AB27" i="39"/>
  <c r="AS27" i="39" s="1"/>
  <c r="AP27" i="39"/>
  <c r="AA27" i="39"/>
  <c r="AR27" i="39" s="1"/>
  <c r="Z27" i="39"/>
  <c r="AB28" i="39"/>
  <c r="AS28" i="39" s="1"/>
  <c r="AP28" i="39"/>
  <c r="AA28" i="39"/>
  <c r="AR28" i="39" s="1"/>
  <c r="Z28" i="39"/>
  <c r="AB29" i="39"/>
  <c r="AS29" i="39" s="1"/>
  <c r="AP29" i="39"/>
  <c r="AA29" i="39"/>
  <c r="AR29" i="39" s="1"/>
  <c r="Z29" i="39"/>
  <c r="I31" i="39"/>
  <c r="K36" i="39"/>
  <c r="AW33" i="39"/>
  <c r="AN33" i="39"/>
  <c r="AU33" i="39" s="1"/>
  <c r="I34" i="39"/>
  <c r="AP34" i="39"/>
  <c r="AA34" i="39"/>
  <c r="AR34" i="39" s="1"/>
  <c r="Z34" i="39"/>
  <c r="Q129" i="39"/>
  <c r="U37" i="39"/>
  <c r="AL129" i="39"/>
  <c r="AV37" i="39"/>
  <c r="AN37" i="39"/>
  <c r="AL42" i="39"/>
  <c r="Z38" i="39"/>
  <c r="AB38" i="39"/>
  <c r="AV38" i="39"/>
  <c r="AN38" i="39"/>
  <c r="AU38" i="39" s="1"/>
  <c r="Z39" i="39"/>
  <c r="AB39" i="39"/>
  <c r="AV39" i="39"/>
  <c r="AN39" i="39"/>
  <c r="AU39" i="39" s="1"/>
  <c r="Z40" i="39"/>
  <c r="AB40" i="39"/>
  <c r="AS40" i="39" s="1"/>
  <c r="AV40" i="39"/>
  <c r="AN40" i="39"/>
  <c r="AU40" i="39" s="1"/>
  <c r="Z41" i="39"/>
  <c r="AB41" i="39"/>
  <c r="AV41" i="39"/>
  <c r="AN41" i="39"/>
  <c r="AU41" i="39" s="1"/>
  <c r="N135" i="39"/>
  <c r="N44" i="39"/>
  <c r="Z44" i="39"/>
  <c r="I45" i="39"/>
  <c r="L46" i="39"/>
  <c r="AV53" i="39"/>
  <c r="AN53" i="39"/>
  <c r="AU53" i="39" s="1"/>
  <c r="AB62" i="39"/>
  <c r="AS62" i="39" s="1"/>
  <c r="AP62" i="39"/>
  <c r="AA62" i="39"/>
  <c r="AR62" i="39" s="1"/>
  <c r="Z62" i="39"/>
  <c r="I69" i="39"/>
  <c r="AP69" i="39"/>
  <c r="AA69" i="39"/>
  <c r="AR69" i="39" s="1"/>
  <c r="Z69" i="39"/>
  <c r="AB69" i="39"/>
  <c r="AS69" i="39" s="1"/>
  <c r="AW81" i="39"/>
  <c r="AN81" i="39"/>
  <c r="AU81" i="39" s="1"/>
  <c r="AQ45" i="39"/>
  <c r="AQ46" i="39" s="1"/>
  <c r="Y46" i="39"/>
  <c r="AQ51" i="39"/>
  <c r="AQ56" i="39" s="1"/>
  <c r="Y56" i="39"/>
  <c r="U136" i="39"/>
  <c r="U13" i="39"/>
  <c r="AP12" i="39"/>
  <c r="AA12" i="39"/>
  <c r="AE136" i="39"/>
  <c r="AT12" i="39"/>
  <c r="AS12" i="39"/>
  <c r="N13" i="39"/>
  <c r="L127" i="39"/>
  <c r="L18" i="39"/>
  <c r="AN14" i="39"/>
  <c r="L133" i="39"/>
  <c r="AN17" i="39"/>
  <c r="AV17" i="39"/>
  <c r="AV18" i="39" s="1"/>
  <c r="AQ24" i="39"/>
  <c r="AP20" i="39"/>
  <c r="AA20" i="39"/>
  <c r="AR20" i="39" s="1"/>
  <c r="K134" i="39"/>
  <c r="I22" i="39"/>
  <c r="U134" i="39"/>
  <c r="AP22" i="39"/>
  <c r="AA22" i="39"/>
  <c r="AR22" i="39" s="1"/>
  <c r="AW31" i="39"/>
  <c r="AM36" i="39"/>
  <c r="AN31" i="39"/>
  <c r="AB33" i="39"/>
  <c r="AS33" i="39" s="1"/>
  <c r="AW34" i="39"/>
  <c r="AN34" i="39"/>
  <c r="AU34" i="39" s="1"/>
  <c r="I35" i="39"/>
  <c r="AP35" i="39"/>
  <c r="AA35" i="39"/>
  <c r="AR35" i="39" s="1"/>
  <c r="Z35" i="39"/>
  <c r="Z53" i="39"/>
  <c r="AB53" i="39"/>
  <c r="AP53" i="39"/>
  <c r="AA53" i="39"/>
  <c r="AR53" i="39" s="1"/>
  <c r="I66" i="39"/>
  <c r="K72" i="39"/>
  <c r="U72" i="39"/>
  <c r="AP66" i="39"/>
  <c r="AA66" i="39"/>
  <c r="AR66" i="39" s="1"/>
  <c r="Z66" i="39"/>
  <c r="AB66" i="39"/>
  <c r="K79" i="39"/>
  <c r="Q127" i="39"/>
  <c r="U14" i="39"/>
  <c r="AL127" i="39"/>
  <c r="AL18" i="39"/>
  <c r="Q133" i="39"/>
  <c r="U17" i="39"/>
  <c r="AM128" i="39"/>
  <c r="AM24" i="39"/>
  <c r="I21" i="39"/>
  <c r="AP21" i="39"/>
  <c r="AA21" i="39"/>
  <c r="AR21" i="39" s="1"/>
  <c r="AW23" i="39"/>
  <c r="AN23" i="39"/>
  <c r="AU23" i="39" s="1"/>
  <c r="I33" i="39"/>
  <c r="AT129" i="39"/>
  <c r="AT42" i="39"/>
  <c r="AB59" i="39"/>
  <c r="AS59" i="39" s="1"/>
  <c r="U65" i="39"/>
  <c r="AP59" i="39"/>
  <c r="AA59" i="39"/>
  <c r="Z59" i="39"/>
  <c r="AA74" i="39"/>
  <c r="AR74" i="39" s="1"/>
  <c r="Z74" i="39"/>
  <c r="AB74" i="39"/>
  <c r="AQ88" i="39"/>
  <c r="AQ130" i="39" s="1"/>
  <c r="Z88" i="39"/>
  <c r="AV104" i="39"/>
  <c r="AN104" i="39"/>
  <c r="AU104" i="39" s="1"/>
  <c r="Y136" i="39"/>
  <c r="Y13" i="39"/>
  <c r="AQ13" i="39"/>
  <c r="AE127" i="39"/>
  <c r="Z15" i="39"/>
  <c r="AB15" i="39"/>
  <c r="AS15" i="39" s="1"/>
  <c r="N128" i="39"/>
  <c r="AB21" i="39"/>
  <c r="AS21" i="39" s="1"/>
  <c r="AQ134" i="39"/>
  <c r="I23" i="39"/>
  <c r="AP23" i="39"/>
  <c r="AA23" i="39"/>
  <c r="AR23" i="39" s="1"/>
  <c r="Z23" i="39"/>
  <c r="N24" i="39"/>
  <c r="Q130" i="39"/>
  <c r="Q30" i="39"/>
  <c r="U25" i="39"/>
  <c r="AL30" i="39"/>
  <c r="AV25" i="39"/>
  <c r="AN25" i="39"/>
  <c r="I27" i="39"/>
  <c r="I28" i="39"/>
  <c r="I29" i="39"/>
  <c r="AQ30" i="39"/>
  <c r="AQ36" i="39"/>
  <c r="AB34" i="39"/>
  <c r="AS34" i="39" s="1"/>
  <c r="AW35" i="39"/>
  <c r="AN35" i="39"/>
  <c r="AU35" i="39" s="1"/>
  <c r="AS38" i="39"/>
  <c r="AA38" i="39"/>
  <c r="AR38" i="39" s="1"/>
  <c r="AP38" i="39"/>
  <c r="AS39" i="39"/>
  <c r="AA39" i="39"/>
  <c r="AR39" i="39" s="1"/>
  <c r="AP39" i="39"/>
  <c r="AA40" i="39"/>
  <c r="AR40" i="39" s="1"/>
  <c r="AP40" i="39"/>
  <c r="AS41" i="39"/>
  <c r="AA41" i="39"/>
  <c r="AR41" i="39" s="1"/>
  <c r="AP41" i="39"/>
  <c r="Q42" i="39"/>
  <c r="AB45" i="39"/>
  <c r="AB46" i="39" s="1"/>
  <c r="U46" i="39"/>
  <c r="AP45" i="39"/>
  <c r="AP46" i="39" s="1"/>
  <c r="AA45" i="39"/>
  <c r="Z45" i="39"/>
  <c r="AV48" i="39"/>
  <c r="AN48" i="39"/>
  <c r="AU48" i="39" s="1"/>
  <c r="AT56" i="39"/>
  <c r="I55" i="39"/>
  <c r="AB60" i="39"/>
  <c r="AS60" i="39" s="1"/>
  <c r="AP60" i="39"/>
  <c r="AA60" i="39"/>
  <c r="AR60" i="39" s="1"/>
  <c r="Z60" i="39"/>
  <c r="AB64" i="39"/>
  <c r="AS64" i="39" s="1"/>
  <c r="AP64" i="39"/>
  <c r="AA64" i="39"/>
  <c r="AR64" i="39" s="1"/>
  <c r="Z64" i="39"/>
  <c r="AP68" i="39"/>
  <c r="AB68" i="39"/>
  <c r="AS68" i="39" s="1"/>
  <c r="AA68" i="39"/>
  <c r="AR68" i="39" s="1"/>
  <c r="Z68" i="39"/>
  <c r="I78" i="39"/>
  <c r="AA78" i="39"/>
  <c r="AR78" i="39" s="1"/>
  <c r="Z78" i="39"/>
  <c r="AB78" i="39"/>
  <c r="W123" i="39"/>
  <c r="P19" i="45" s="1"/>
  <c r="K127" i="39"/>
  <c r="K133" i="39"/>
  <c r="AM133" i="39"/>
  <c r="AT128" i="39"/>
  <c r="L134" i="39"/>
  <c r="Y134" i="39"/>
  <c r="AE134" i="39"/>
  <c r="AE24" i="39"/>
  <c r="K130" i="39"/>
  <c r="AM130" i="39"/>
  <c r="AE36" i="39"/>
  <c r="AI36" i="39"/>
  <c r="AI123" i="39" s="1"/>
  <c r="AB19" i="45" s="1"/>
  <c r="AQ37" i="39"/>
  <c r="N42" i="39"/>
  <c r="I43" i="39"/>
  <c r="AA43" i="39"/>
  <c r="AR43" i="39" s="1"/>
  <c r="AP43" i="39"/>
  <c r="Q44" i="39"/>
  <c r="U44" i="39"/>
  <c r="Y44" i="39"/>
  <c r="AA47" i="39"/>
  <c r="AR47" i="39" s="1"/>
  <c r="AV47" i="39"/>
  <c r="AN47" i="39"/>
  <c r="AW47" i="39"/>
  <c r="AW50" i="39" s="1"/>
  <c r="AB48" i="39"/>
  <c r="AS48" i="39" s="1"/>
  <c r="AL50" i="39"/>
  <c r="L56" i="39"/>
  <c r="Z52" i="39"/>
  <c r="AB52" i="39"/>
  <c r="AS52" i="39" s="1"/>
  <c r="N58" i="39"/>
  <c r="AQ59" i="39"/>
  <c r="AQ65" i="39" s="1"/>
  <c r="Y65" i="39"/>
  <c r="Y72" i="39"/>
  <c r="AW66" i="39"/>
  <c r="AM72" i="39"/>
  <c r="AN66" i="39"/>
  <c r="I67" i="39"/>
  <c r="AP67" i="39"/>
  <c r="AA67" i="39"/>
  <c r="AR67" i="39" s="1"/>
  <c r="Z67" i="39"/>
  <c r="AW69" i="39"/>
  <c r="AN69" i="39"/>
  <c r="AU69" i="39" s="1"/>
  <c r="I70" i="39"/>
  <c r="AP70" i="39"/>
  <c r="AA70" i="39"/>
  <c r="AR70" i="39" s="1"/>
  <c r="Z70" i="39"/>
  <c r="Q79" i="39"/>
  <c r="U73" i="39"/>
  <c r="AL79" i="39"/>
  <c r="AN73" i="39"/>
  <c r="AV73" i="39"/>
  <c r="AW74" i="39"/>
  <c r="AW79" i="39" s="1"/>
  <c r="AN74" i="39"/>
  <c r="AU74" i="39" s="1"/>
  <c r="AB76" i="39"/>
  <c r="AA76" i="39"/>
  <c r="AR76" i="39" s="1"/>
  <c r="Z77" i="39"/>
  <c r="AB77" i="39"/>
  <c r="AN77" i="39"/>
  <c r="AU77" i="39" s="1"/>
  <c r="AV77" i="39"/>
  <c r="AW78" i="39"/>
  <c r="AN78" i="39"/>
  <c r="AU78" i="39" s="1"/>
  <c r="L93" i="39"/>
  <c r="AT87" i="39"/>
  <c r="AT93" i="39" s="1"/>
  <c r="Z104" i="39"/>
  <c r="AA104" i="39"/>
  <c r="AR104" i="39" s="1"/>
  <c r="AP104" i="39"/>
  <c r="AB104" i="39"/>
  <c r="AS104" i="39" s="1"/>
  <c r="AW111" i="39"/>
  <c r="AN111" i="39"/>
  <c r="AU111" i="39" s="1"/>
  <c r="L130" i="39"/>
  <c r="Y130" i="39"/>
  <c r="AE130" i="39"/>
  <c r="Y30" i="39"/>
  <c r="AE42" i="39"/>
  <c r="AB43" i="39"/>
  <c r="Q46" i="39"/>
  <c r="K50" i="39"/>
  <c r="AB47" i="39"/>
  <c r="AP49" i="39"/>
  <c r="AA49" i="39"/>
  <c r="AE56" i="39"/>
  <c r="AS53" i="39"/>
  <c r="Z55" i="39"/>
  <c r="AB55" i="39"/>
  <c r="AS55" i="39" s="1"/>
  <c r="I59" i="39"/>
  <c r="L65" i="39"/>
  <c r="I60" i="39"/>
  <c r="AU61" i="39"/>
  <c r="I62" i="39"/>
  <c r="I63" i="39"/>
  <c r="I64" i="39"/>
  <c r="AE65" i="39"/>
  <c r="AQ72" i="39"/>
  <c r="AW67" i="39"/>
  <c r="AN67" i="39"/>
  <c r="AU67" i="39" s="1"/>
  <c r="AW70" i="39"/>
  <c r="AN70" i="39"/>
  <c r="AU70" i="39" s="1"/>
  <c r="I71" i="39"/>
  <c r="AP71" i="39"/>
  <c r="AA71" i="39"/>
  <c r="AR71" i="39" s="1"/>
  <c r="Z71" i="39"/>
  <c r="AB75" i="39"/>
  <c r="AA75" i="39"/>
  <c r="AR75" i="39" s="1"/>
  <c r="Z75" i="39"/>
  <c r="K86" i="39"/>
  <c r="I80" i="39"/>
  <c r="AA80" i="39"/>
  <c r="AR80" i="39" s="1"/>
  <c r="AB82" i="39"/>
  <c r="AS82" i="39" s="1"/>
  <c r="AP82" i="39"/>
  <c r="AA82" i="39"/>
  <c r="AR82" i="39" s="1"/>
  <c r="AB83" i="39"/>
  <c r="AS83" i="39" s="1"/>
  <c r="AP83" i="39"/>
  <c r="AA83" i="39"/>
  <c r="AR83" i="39" s="1"/>
  <c r="AB84" i="39"/>
  <c r="AS84" i="39" s="1"/>
  <c r="AP84" i="39"/>
  <c r="AA84" i="39"/>
  <c r="AR84" i="39" s="1"/>
  <c r="AB85" i="39"/>
  <c r="AS85" i="39" s="1"/>
  <c r="AA85" i="39"/>
  <c r="AF85" i="39" s="1"/>
  <c r="AO85" i="39" s="1"/>
  <c r="AV88" i="39"/>
  <c r="AN88" i="39"/>
  <c r="AU88" i="39" s="1"/>
  <c r="Q13" i="39"/>
  <c r="N127" i="39"/>
  <c r="AW14" i="39"/>
  <c r="R126" i="39"/>
  <c r="AI126" i="39"/>
  <c r="N133" i="39"/>
  <c r="AW17" i="39"/>
  <c r="Y128" i="39"/>
  <c r="AE128" i="39"/>
  <c r="AN19" i="39"/>
  <c r="AU19" i="39" s="1"/>
  <c r="AV19" i="39"/>
  <c r="Q134" i="39"/>
  <c r="AL134" i="39"/>
  <c r="AT22" i="39"/>
  <c r="AT134" i="39" s="1"/>
  <c r="Q24" i="39"/>
  <c r="Y24" i="39"/>
  <c r="N130" i="39"/>
  <c r="AW25" i="39"/>
  <c r="N30" i="39"/>
  <c r="AL32" i="39"/>
  <c r="AL128" i="39" s="1"/>
  <c r="AW37" i="39"/>
  <c r="L42" i="39"/>
  <c r="AN43" i="39"/>
  <c r="AU43" i="39" s="1"/>
  <c r="AV43" i="39"/>
  <c r="K44" i="39"/>
  <c r="AE44" i="39"/>
  <c r="AM44" i="39"/>
  <c r="AQ44" i="39"/>
  <c r="AU45" i="39"/>
  <c r="AU46" i="39" s="1"/>
  <c r="AE50" i="39"/>
  <c r="AP48" i="39"/>
  <c r="I51" i="39"/>
  <c r="AB51" i="39"/>
  <c r="Z51" i="39"/>
  <c r="AL56" i="39"/>
  <c r="AR51" i="39"/>
  <c r="AA52" i="39"/>
  <c r="AR52" i="39" s="1"/>
  <c r="AN52" i="39"/>
  <c r="AU52" i="39" s="1"/>
  <c r="I54" i="39"/>
  <c r="Z54" i="39"/>
  <c r="AB54" i="39"/>
  <c r="AS54" i="39" s="1"/>
  <c r="Q56" i="39"/>
  <c r="U56" i="39"/>
  <c r="AU60" i="39"/>
  <c r="AP61" i="39"/>
  <c r="AB61" i="39"/>
  <c r="AS61" i="39" s="1"/>
  <c r="AA61" i="39"/>
  <c r="AU62" i="39"/>
  <c r="AU63" i="39"/>
  <c r="AB67" i="39"/>
  <c r="AS67" i="39" s="1"/>
  <c r="AB70" i="39"/>
  <c r="AS70" i="39" s="1"/>
  <c r="AS71" i="39"/>
  <c r="AW71" i="39"/>
  <c r="AN71" i="39"/>
  <c r="AU71" i="39" s="1"/>
  <c r="L79" i="39"/>
  <c r="Z76" i="39"/>
  <c r="AA77" i="39"/>
  <c r="AR77" i="39" s="1"/>
  <c r="AM79" i="39"/>
  <c r="AM86" i="39"/>
  <c r="AW80" i="39"/>
  <c r="AN80" i="39"/>
  <c r="I81" i="39"/>
  <c r="AP81" i="39"/>
  <c r="AA81" i="39"/>
  <c r="AR81" i="39" s="1"/>
  <c r="Z81" i="39"/>
  <c r="AV89" i="39"/>
  <c r="AN89" i="39"/>
  <c r="AU89" i="39" s="1"/>
  <c r="AU90" i="39"/>
  <c r="AV92" i="39"/>
  <c r="AN92" i="39"/>
  <c r="AU92" i="39" s="1"/>
  <c r="AA96" i="39"/>
  <c r="AR96" i="39" s="1"/>
  <c r="AB96" i="39"/>
  <c r="AS96" i="39" s="1"/>
  <c r="Z96" i="39"/>
  <c r="S123" i="39"/>
  <c r="L19" i="45" s="1"/>
  <c r="N56" i="39"/>
  <c r="I57" i="39"/>
  <c r="AA57" i="39"/>
  <c r="AA58" i="39" s="1"/>
  <c r="AP57" i="39"/>
  <c r="AP58" i="39" s="1"/>
  <c r="U58" i="39"/>
  <c r="AE72" i="39"/>
  <c r="AV85" i="39"/>
  <c r="AV86" i="39" s="1"/>
  <c r="AN85" i="39"/>
  <c r="AU85" i="39" s="1"/>
  <c r="AB87" i="39"/>
  <c r="AS87" i="39" s="1"/>
  <c r="AA87" i="39"/>
  <c r="AP90" i="39"/>
  <c r="AS92" i="39"/>
  <c r="K100" i="39"/>
  <c r="I94" i="39"/>
  <c r="AP94" i="39"/>
  <c r="AA94" i="39"/>
  <c r="Z94" i="39"/>
  <c r="AB97" i="39"/>
  <c r="AS97" i="39" s="1"/>
  <c r="AP97" i="39"/>
  <c r="AA97" i="39"/>
  <c r="AR97" i="39" s="1"/>
  <c r="AV97" i="39"/>
  <c r="AN97" i="39"/>
  <c r="AU97" i="39" s="1"/>
  <c r="AB99" i="39"/>
  <c r="AS99" i="39" s="1"/>
  <c r="AP99" i="39"/>
  <c r="AA99" i="39"/>
  <c r="AV99" i="39"/>
  <c r="AN99" i="39"/>
  <c r="AU99" i="39" s="1"/>
  <c r="Q100" i="39"/>
  <c r="U100" i="39"/>
  <c r="Y100" i="39"/>
  <c r="AQ101" i="39"/>
  <c r="Z101" i="39"/>
  <c r="AQ102" i="39"/>
  <c r="Z102" i="39"/>
  <c r="Z105" i="39"/>
  <c r="AA105" i="39"/>
  <c r="AR105" i="39" s="1"/>
  <c r="AV105" i="39"/>
  <c r="AN105" i="39"/>
  <c r="AU105" i="39" s="1"/>
  <c r="AS111" i="39"/>
  <c r="L114" i="39"/>
  <c r="O123" i="39"/>
  <c r="H19" i="45" s="1"/>
  <c r="AC123" i="39"/>
  <c r="V19" i="45" s="1"/>
  <c r="Q65" i="39"/>
  <c r="AV76" i="39"/>
  <c r="AL93" i="39"/>
  <c r="AP87" i="39"/>
  <c r="AP91" i="39"/>
  <c r="U93" i="39"/>
  <c r="Y93" i="39"/>
  <c r="AE107" i="39"/>
  <c r="AT101" i="39"/>
  <c r="AT107" i="39" s="1"/>
  <c r="Z106" i="39"/>
  <c r="AA106" i="39"/>
  <c r="AR106" i="39" s="1"/>
  <c r="AV106" i="39"/>
  <c r="AN106" i="39"/>
  <c r="AU106" i="39" s="1"/>
  <c r="N114" i="39"/>
  <c r="AP110" i="39"/>
  <c r="AA110" i="39"/>
  <c r="AR110" i="39" s="1"/>
  <c r="Z110" i="39"/>
  <c r="Z116" i="39"/>
  <c r="AA116" i="39"/>
  <c r="AR116" i="39" s="1"/>
  <c r="AP116" i="39"/>
  <c r="J123" i="39"/>
  <c r="C19" i="45" s="1"/>
  <c r="AW119" i="39"/>
  <c r="AW122" i="39" s="1"/>
  <c r="AM122" i="39"/>
  <c r="AP120" i="39"/>
  <c r="Z120" i="39"/>
  <c r="AB120" i="39"/>
  <c r="AS120" i="39" s="1"/>
  <c r="AV120" i="39"/>
  <c r="AN120" i="39"/>
  <c r="AU120" i="39" s="1"/>
  <c r="AL122" i="39"/>
  <c r="AN49" i="39"/>
  <c r="AU49" i="39" s="1"/>
  <c r="AN57" i="39"/>
  <c r="AN58" i="39" s="1"/>
  <c r="AR57" i="39"/>
  <c r="AR58" i="39" s="1"/>
  <c r="AU59" i="39"/>
  <c r="AL68" i="39"/>
  <c r="AL130" i="39" s="1"/>
  <c r="AL86" i="39"/>
  <c r="AT80" i="39"/>
  <c r="AT86" i="39" s="1"/>
  <c r="AN82" i="39"/>
  <c r="AU82" i="39" s="1"/>
  <c r="AN83" i="39"/>
  <c r="AU83" i="39" s="1"/>
  <c r="AN84" i="39"/>
  <c r="AU84" i="39" s="1"/>
  <c r="Z87" i="39"/>
  <c r="AB88" i="39"/>
  <c r="AS88" i="39" s="1"/>
  <c r="AA88" i="39"/>
  <c r="AR88" i="39" s="1"/>
  <c r="Z89" i="39"/>
  <c r="AP89" i="39"/>
  <c r="Z90" i="39"/>
  <c r="AP92" i="39"/>
  <c r="Q93" i="39"/>
  <c r="AB94" i="39"/>
  <c r="AM100" i="39"/>
  <c r="AN94" i="39"/>
  <c r="Z97" i="39"/>
  <c r="AB98" i="39"/>
  <c r="AS98" i="39" s="1"/>
  <c r="AA98" i="39"/>
  <c r="AR98" i="39" s="1"/>
  <c r="AP98" i="39"/>
  <c r="AV98" i="39"/>
  <c r="AN98" i="39"/>
  <c r="AU98" i="39" s="1"/>
  <c r="Z99" i="39"/>
  <c r="N107" i="39"/>
  <c r="Z103" i="39"/>
  <c r="AA103" i="39"/>
  <c r="AR103" i="39" s="1"/>
  <c r="AV103" i="39"/>
  <c r="AN103" i="39"/>
  <c r="AU103" i="39" s="1"/>
  <c r="AL107" i="39"/>
  <c r="AB105" i="39"/>
  <c r="AS105" i="39" s="1"/>
  <c r="AP105" i="39"/>
  <c r="AD123" i="39"/>
  <c r="W19" i="45" s="1"/>
  <c r="AG123" i="39"/>
  <c r="Z19" i="45" s="1"/>
  <c r="N93" i="39"/>
  <c r="N100" i="39"/>
  <c r="AV96" i="39"/>
  <c r="AN96" i="39"/>
  <c r="AU96" i="39" s="1"/>
  <c r="AL100" i="39"/>
  <c r="AB101" i="39"/>
  <c r="AP101" i="39"/>
  <c r="AA101" i="39"/>
  <c r="AB102" i="39"/>
  <c r="AP102" i="39"/>
  <c r="AA102" i="39"/>
  <c r="AR102" i="39" s="1"/>
  <c r="K107" i="39"/>
  <c r="Q114" i="39"/>
  <c r="U108" i="39"/>
  <c r="Z109" i="39"/>
  <c r="AF109" i="39" s="1"/>
  <c r="AO109" i="39" s="1"/>
  <c r="AV109" i="39"/>
  <c r="AN109" i="39"/>
  <c r="AU109" i="39" s="1"/>
  <c r="AW110" i="39"/>
  <c r="AM114" i="39"/>
  <c r="AW115" i="39"/>
  <c r="AW117" i="39" s="1"/>
  <c r="AM117" i="39"/>
  <c r="AN115" i="39"/>
  <c r="M123" i="39"/>
  <c r="F19" i="45" s="1"/>
  <c r="AP121" i="39"/>
  <c r="AB121" i="39"/>
  <c r="AS121" i="39" s="1"/>
  <c r="AA121" i="39"/>
  <c r="AR121" i="39" s="1"/>
  <c r="AH123" i="39"/>
  <c r="I95" i="39"/>
  <c r="AP95" i="39"/>
  <c r="AA95" i="39"/>
  <c r="AR95" i="39" s="1"/>
  <c r="AR99" i="39"/>
  <c r="L107" i="39"/>
  <c r="I101" i="39"/>
  <c r="AS102" i="39"/>
  <c r="AW103" i="39"/>
  <c r="AW107" i="39" s="1"/>
  <c r="AM107" i="39"/>
  <c r="R123" i="39"/>
  <c r="K19" i="45" s="1"/>
  <c r="AV108" i="39"/>
  <c r="AN108" i="39"/>
  <c r="AN114" i="39" s="1"/>
  <c r="AT110" i="39"/>
  <c r="AE114" i="39"/>
  <c r="I111" i="39"/>
  <c r="AP111" i="39"/>
  <c r="AA111" i="39"/>
  <c r="Z111" i="39"/>
  <c r="AR111" i="39"/>
  <c r="K114" i="39"/>
  <c r="I119" i="39"/>
  <c r="K122" i="39"/>
  <c r="AA119" i="39"/>
  <c r="AR119" i="39" s="1"/>
  <c r="AP119" i="39"/>
  <c r="Z119" i="39"/>
  <c r="AH126" i="39"/>
  <c r="K117" i="39"/>
  <c r="N122" i="39"/>
  <c r="AR120" i="39"/>
  <c r="T123" i="39"/>
  <c r="M19" i="45" s="1"/>
  <c r="O126" i="39"/>
  <c r="AW112" i="39"/>
  <c r="AW113" i="39"/>
  <c r="U115" i="39"/>
  <c r="AS116" i="39"/>
  <c r="AQ116" i="39"/>
  <c r="AQ117" i="39" s="1"/>
  <c r="Q122" i="39"/>
  <c r="AV118" i="39"/>
  <c r="AN118" i="39"/>
  <c r="P123" i="39"/>
  <c r="I19" i="45" s="1"/>
  <c r="V123" i="39"/>
  <c r="O19" i="45" s="1"/>
  <c r="J126" i="39"/>
  <c r="Y114" i="39"/>
  <c r="I112" i="39"/>
  <c r="AP112" i="39"/>
  <c r="AA112" i="39"/>
  <c r="AR112" i="39" s="1"/>
  <c r="I113" i="39"/>
  <c r="AP113" i="39"/>
  <c r="AA113" i="39"/>
  <c r="AR113" i="39" s="1"/>
  <c r="L117" i="39"/>
  <c r="U118" i="39"/>
  <c r="AV119" i="39"/>
  <c r="AN119" i="39"/>
  <c r="AU119" i="39" s="1"/>
  <c r="AV121" i="39"/>
  <c r="AJ123" i="39"/>
  <c r="AC19" i="45" s="1"/>
  <c r="X123" i="39"/>
  <c r="Q19" i="45" s="1"/>
  <c r="W126" i="39"/>
  <c r="S126" i="39"/>
  <c r="X303" i="32"/>
  <c r="AJ303" i="32"/>
  <c r="T303" i="32"/>
  <c r="S303" i="32"/>
  <c r="AU16" i="32"/>
  <c r="Z52" i="32"/>
  <c r="AA52" i="32"/>
  <c r="AR52" i="32" s="1"/>
  <c r="AP52" i="32"/>
  <c r="AB52" i="32"/>
  <c r="AS52" i="32" s="1"/>
  <c r="Z15" i="32"/>
  <c r="AP15" i="32"/>
  <c r="AB15" i="32"/>
  <c r="AS15" i="32" s="1"/>
  <c r="AA15" i="32"/>
  <c r="AR15" i="32" s="1"/>
  <c r="AP20" i="32"/>
  <c r="Z20" i="32"/>
  <c r="AB20" i="32"/>
  <c r="AS20" i="32" s="1"/>
  <c r="AA20" i="32"/>
  <c r="AR20" i="32" s="1"/>
  <c r="K313" i="32"/>
  <c r="I12" i="32"/>
  <c r="AE313" i="32"/>
  <c r="AT12" i="32"/>
  <c r="AN12" i="32"/>
  <c r="J300" i="32"/>
  <c r="C18" i="45" s="1"/>
  <c r="S300" i="32"/>
  <c r="L18" i="45" s="1"/>
  <c r="X300" i="32"/>
  <c r="Q18" i="45" s="1"/>
  <c r="L304" i="32"/>
  <c r="L17" i="32"/>
  <c r="Y304" i="32"/>
  <c r="AQ14" i="32"/>
  <c r="AV14" i="32"/>
  <c r="Q310" i="32"/>
  <c r="AT310" i="32"/>
  <c r="U19" i="32"/>
  <c r="U22" i="32" s="1"/>
  <c r="AM22" i="32"/>
  <c r="AV23" i="32"/>
  <c r="AN23" i="32"/>
  <c r="AU23" i="32" s="1"/>
  <c r="AL27" i="32"/>
  <c r="AI304" i="32"/>
  <c r="AL29" i="32"/>
  <c r="AL31" i="32" s="1"/>
  <c r="AP30" i="32"/>
  <c r="AA30" i="32"/>
  <c r="AR30" i="32" s="1"/>
  <c r="AM31" i="32"/>
  <c r="L34" i="32"/>
  <c r="AM34" i="32"/>
  <c r="N41" i="32"/>
  <c r="AU38" i="32"/>
  <c r="AT38" i="32"/>
  <c r="AT41" i="32" s="1"/>
  <c r="AE41" i="32"/>
  <c r="AB39" i="32"/>
  <c r="AS39" i="32" s="1"/>
  <c r="AP39" i="32"/>
  <c r="AA39" i="32"/>
  <c r="AR39" i="32" s="1"/>
  <c r="I43" i="32"/>
  <c r="AA42" i="32"/>
  <c r="Y50" i="32"/>
  <c r="K305" i="32"/>
  <c r="I45" i="32"/>
  <c r="Z45" i="32"/>
  <c r="AP45" i="32"/>
  <c r="AB45" i="32"/>
  <c r="AS45" i="32" s="1"/>
  <c r="AV45" i="32"/>
  <c r="AN45" i="32"/>
  <c r="K311" i="32"/>
  <c r="I49" i="32"/>
  <c r="AP49" i="32"/>
  <c r="AA49" i="32"/>
  <c r="AR49" i="32" s="1"/>
  <c r="Z49" i="32"/>
  <c r="AM50" i="32"/>
  <c r="AP53" i="32"/>
  <c r="AA53" i="32"/>
  <c r="AR53" i="32" s="1"/>
  <c r="Z53" i="32"/>
  <c r="AB53" i="32"/>
  <c r="AS53" i="32" s="1"/>
  <c r="AW53" i="32"/>
  <c r="AW56" i="32" s="1"/>
  <c r="AN53" i="32"/>
  <c r="AU53" i="32" s="1"/>
  <c r="I60" i="32"/>
  <c r="AU61" i="32"/>
  <c r="AB75" i="32"/>
  <c r="AS75" i="32" s="1"/>
  <c r="Z75" i="32"/>
  <c r="AP75" i="32"/>
  <c r="L76" i="32"/>
  <c r="Q76" i="32"/>
  <c r="U76" i="32"/>
  <c r="Y76" i="32"/>
  <c r="AQ77" i="32"/>
  <c r="AQ83" i="32" s="1"/>
  <c r="Y83" i="32"/>
  <c r="AB93" i="32"/>
  <c r="AP93" i="32"/>
  <c r="AA93" i="32"/>
  <c r="AR93" i="32" s="1"/>
  <c r="Z93" i="32"/>
  <c r="AU94" i="32"/>
  <c r="AE95" i="32"/>
  <c r="L309" i="32"/>
  <c r="AS99" i="32"/>
  <c r="Z115" i="32"/>
  <c r="AP115" i="32"/>
  <c r="AB115" i="32"/>
  <c r="AS115" i="32" s="1"/>
  <c r="Q122" i="32"/>
  <c r="U152" i="32"/>
  <c r="U311" i="32" s="1"/>
  <c r="Q155" i="32"/>
  <c r="AQ169" i="32"/>
  <c r="AM311" i="32"/>
  <c r="AW48" i="32"/>
  <c r="AT58" i="32"/>
  <c r="AT63" i="32" s="1"/>
  <c r="AE63" i="32"/>
  <c r="AP59" i="32"/>
  <c r="AA59" i="32"/>
  <c r="AR59" i="32" s="1"/>
  <c r="Z59" i="32"/>
  <c r="AB59" i="32"/>
  <c r="AS59" i="32" s="1"/>
  <c r="AN65" i="32"/>
  <c r="AU65" i="32" s="1"/>
  <c r="AT89" i="32"/>
  <c r="Q95" i="32"/>
  <c r="U90" i="32"/>
  <c r="K306" i="32"/>
  <c r="I97" i="32"/>
  <c r="U306" i="32"/>
  <c r="AP97" i="32"/>
  <c r="AA97" i="32"/>
  <c r="AR97" i="32" s="1"/>
  <c r="Z97" i="32"/>
  <c r="AB97" i="32"/>
  <c r="AP98" i="32"/>
  <c r="AA98" i="32"/>
  <c r="AR98" i="32" s="1"/>
  <c r="Z98" i="32"/>
  <c r="AB98" i="32"/>
  <c r="AS98" i="32" s="1"/>
  <c r="AW98" i="32"/>
  <c r="AN98" i="32"/>
  <c r="AU98" i="32" s="1"/>
  <c r="Y313" i="32"/>
  <c r="Y13" i="32"/>
  <c r="O300" i="32"/>
  <c r="T300" i="32"/>
  <c r="M18" i="45" s="1"/>
  <c r="AD300" i="32"/>
  <c r="W18" i="45" s="1"/>
  <c r="AH300" i="32"/>
  <c r="AA18" i="45" s="1"/>
  <c r="AM304" i="32"/>
  <c r="AW14" i="32"/>
  <c r="AR14" i="32"/>
  <c r="AN15" i="32"/>
  <c r="AU15" i="32" s="1"/>
  <c r="K310" i="32"/>
  <c r="U16" i="32"/>
  <c r="U17" i="32" s="1"/>
  <c r="AE310" i="32"/>
  <c r="K17" i="32"/>
  <c r="AL17" i="32"/>
  <c r="Z18" i="32"/>
  <c r="AP18" i="32"/>
  <c r="AN24" i="32"/>
  <c r="AU24" i="32" s="1"/>
  <c r="AA25" i="32"/>
  <c r="AR25" i="32" s="1"/>
  <c r="AV25" i="32"/>
  <c r="AN26" i="32"/>
  <c r="AU26" i="32" s="1"/>
  <c r="AE31" i="32"/>
  <c r="AI31" i="32"/>
  <c r="AB32" i="32"/>
  <c r="AS32" i="32" s="1"/>
  <c r="AN32" i="32"/>
  <c r="AA33" i="32"/>
  <c r="AR33" i="32" s="1"/>
  <c r="AV33" i="32"/>
  <c r="AV34" i="32" s="1"/>
  <c r="N37" i="32"/>
  <c r="AV36" i="32"/>
  <c r="AN36" i="32"/>
  <c r="AU36" i="32" s="1"/>
  <c r="AB38" i="32"/>
  <c r="AS38" i="32" s="1"/>
  <c r="U41" i="32"/>
  <c r="AP38" i="32"/>
  <c r="AA38" i="32"/>
  <c r="L41" i="32"/>
  <c r="L43" i="32"/>
  <c r="Y43" i="32"/>
  <c r="AQ42" i="32"/>
  <c r="AQ43" i="32" s="1"/>
  <c r="AM305" i="32"/>
  <c r="AW45" i="32"/>
  <c r="AR46" i="32"/>
  <c r="I46" i="32"/>
  <c r="Z46" i="32"/>
  <c r="AP46" i="32"/>
  <c r="AB46" i="32"/>
  <c r="AV46" i="32"/>
  <c r="AN46" i="32"/>
  <c r="AU46" i="32" s="1"/>
  <c r="AE311" i="32"/>
  <c r="AT48" i="32"/>
  <c r="AT50" i="32" s="1"/>
  <c r="AQ48" i="32"/>
  <c r="K56" i="32"/>
  <c r="U51" i="32"/>
  <c r="AQ56" i="32"/>
  <c r="AP54" i="32"/>
  <c r="AA54" i="32"/>
  <c r="AR54" i="32" s="1"/>
  <c r="Z54" i="32"/>
  <c r="AN55" i="32"/>
  <c r="AU55" i="32" s="1"/>
  <c r="N63" i="32"/>
  <c r="AB61" i="32"/>
  <c r="AS61" i="32" s="1"/>
  <c r="AP61" i="32"/>
  <c r="AA61" i="32"/>
  <c r="AR61" i="32" s="1"/>
  <c r="AU62" i="32"/>
  <c r="K63" i="32"/>
  <c r="U66" i="32"/>
  <c r="Q70" i="32"/>
  <c r="AV67" i="32"/>
  <c r="AN67" i="32"/>
  <c r="AU67" i="32" s="1"/>
  <c r="Z72" i="32"/>
  <c r="AV74" i="32"/>
  <c r="AN74" i="32"/>
  <c r="AU74" i="32" s="1"/>
  <c r="AB78" i="32"/>
  <c r="AS78" i="32" s="1"/>
  <c r="AP78" i="32"/>
  <c r="AA78" i="32"/>
  <c r="AR78" i="32" s="1"/>
  <c r="Z78" i="32"/>
  <c r="AB80" i="32"/>
  <c r="AS80" i="32" s="1"/>
  <c r="AP80" i="32"/>
  <c r="AA80" i="32"/>
  <c r="AR80" i="32" s="1"/>
  <c r="Z80" i="32"/>
  <c r="AB82" i="32"/>
  <c r="AS82" i="32" s="1"/>
  <c r="AP82" i="32"/>
  <c r="AA82" i="32"/>
  <c r="AR82" i="32" s="1"/>
  <c r="Z82" i="32"/>
  <c r="AP85" i="32"/>
  <c r="AA85" i="32"/>
  <c r="AR85" i="32" s="1"/>
  <c r="Z85" i="32"/>
  <c r="AB85" i="32"/>
  <c r="AP86" i="32"/>
  <c r="AA86" i="32"/>
  <c r="AR86" i="32" s="1"/>
  <c r="Z86" i="32"/>
  <c r="AB86" i="32"/>
  <c r="AS86" i="32" s="1"/>
  <c r="AW86" i="32"/>
  <c r="AN86" i="32"/>
  <c r="AU86" i="32" s="1"/>
  <c r="AE89" i="32"/>
  <c r="AB94" i="32"/>
  <c r="AS94" i="32" s="1"/>
  <c r="AP94" i="32"/>
  <c r="AA94" i="32"/>
  <c r="AR94" i="32" s="1"/>
  <c r="Z94" i="32"/>
  <c r="AE105" i="32"/>
  <c r="AT96" i="32"/>
  <c r="AE306" i="32"/>
  <c r="AT97" i="32"/>
  <c r="AT306" i="32" s="1"/>
  <c r="I108" i="32"/>
  <c r="K111" i="32"/>
  <c r="U111" i="32"/>
  <c r="AP108" i="32"/>
  <c r="AA108" i="32"/>
  <c r="Z108" i="32"/>
  <c r="AB108" i="32"/>
  <c r="AB111" i="32" s="1"/>
  <c r="AW109" i="32"/>
  <c r="AW111" i="32" s="1"/>
  <c r="AN109" i="32"/>
  <c r="AU109" i="32" s="1"/>
  <c r="Z116" i="32"/>
  <c r="AP116" i="32"/>
  <c r="AB116" i="32"/>
  <c r="AS116" i="32" s="1"/>
  <c r="AN146" i="32"/>
  <c r="AU146" i="32" s="1"/>
  <c r="AV146" i="32"/>
  <c r="Z178" i="32"/>
  <c r="AP178" i="32"/>
  <c r="AB178" i="32"/>
  <c r="AS178" i="32" s="1"/>
  <c r="AA178" i="32"/>
  <c r="AR178" i="32" s="1"/>
  <c r="AW12" i="32"/>
  <c r="Z14" i="32"/>
  <c r="AP14" i="32"/>
  <c r="AM310" i="32"/>
  <c r="AW16" i="32"/>
  <c r="AE17" i="32"/>
  <c r="K22" i="32"/>
  <c r="AR18" i="32"/>
  <c r="AB18" i="32"/>
  <c r="AV19" i="32"/>
  <c r="AN19" i="32"/>
  <c r="AU19" i="32" s="1"/>
  <c r="Z21" i="32"/>
  <c r="AP21" i="32"/>
  <c r="AR23" i="32"/>
  <c r="K27" i="32"/>
  <c r="AP23" i="32"/>
  <c r="Z23" i="32"/>
  <c r="Z25" i="32"/>
  <c r="AB25" i="32"/>
  <c r="AS25" i="32" s="1"/>
  <c r="AV28" i="32"/>
  <c r="AN28" i="32"/>
  <c r="AU28" i="32" s="1"/>
  <c r="R31" i="32"/>
  <c r="Z32" i="32"/>
  <c r="AA32" i="32"/>
  <c r="AR32" i="32" s="1"/>
  <c r="Z33" i="32"/>
  <c r="AB33" i="32"/>
  <c r="AS33" i="32" s="1"/>
  <c r="AL34" i="32"/>
  <c r="K37" i="32"/>
  <c r="AB40" i="32"/>
  <c r="AS40" i="32" s="1"/>
  <c r="AP40" i="32"/>
  <c r="AA40" i="32"/>
  <c r="AR40" i="32" s="1"/>
  <c r="AR44" i="32"/>
  <c r="I44" i="32"/>
  <c r="U50" i="32"/>
  <c r="Z44" i="32"/>
  <c r="AP44" i="32"/>
  <c r="AB44" i="32"/>
  <c r="AV44" i="32"/>
  <c r="AN44" i="32"/>
  <c r="AL50" i="32"/>
  <c r="L311" i="32"/>
  <c r="AS48" i="32"/>
  <c r="I48" i="32"/>
  <c r="AV57" i="32"/>
  <c r="AN57" i="32"/>
  <c r="AW59" i="32"/>
  <c r="AW63" i="32" s="1"/>
  <c r="AN59" i="32"/>
  <c r="AU59" i="32" s="1"/>
  <c r="AB68" i="32"/>
  <c r="AS68" i="32" s="1"/>
  <c r="AA68" i="32"/>
  <c r="AR68" i="32" s="1"/>
  <c r="Z68" i="32"/>
  <c r="AV69" i="32"/>
  <c r="AN69" i="32"/>
  <c r="AU69" i="32" s="1"/>
  <c r="AB77" i="32"/>
  <c r="U83" i="32"/>
  <c r="AP77" i="32"/>
  <c r="AA77" i="32"/>
  <c r="Z77" i="32"/>
  <c r="AB79" i="32"/>
  <c r="AS79" i="32" s="1"/>
  <c r="AP79" i="32"/>
  <c r="AA79" i="32"/>
  <c r="AR79" i="32" s="1"/>
  <c r="Z79" i="32"/>
  <c r="AB81" i="32"/>
  <c r="AS81" i="32" s="1"/>
  <c r="AP81" i="32"/>
  <c r="AA81" i="32"/>
  <c r="AR81" i="32" s="1"/>
  <c r="Z81" i="32"/>
  <c r="AQ100" i="32"/>
  <c r="AQ309" i="32" s="1"/>
  <c r="Z100" i="32"/>
  <c r="AQ101" i="32"/>
  <c r="Z101" i="32"/>
  <c r="AM307" i="32"/>
  <c r="AW113" i="32"/>
  <c r="AW118" i="32" s="1"/>
  <c r="Z114" i="32"/>
  <c r="AP114" i="32"/>
  <c r="AB114" i="32"/>
  <c r="AS114" i="32" s="1"/>
  <c r="Z119" i="32"/>
  <c r="AP119" i="32"/>
  <c r="AB119" i="32"/>
  <c r="AS119" i="32" s="1"/>
  <c r="AA119" i="32"/>
  <c r="AN121" i="32"/>
  <c r="AU121" i="32" s="1"/>
  <c r="AV121" i="32"/>
  <c r="AV122" i="32" s="1"/>
  <c r="AW125" i="32"/>
  <c r="AM128" i="32"/>
  <c r="AW133" i="32"/>
  <c r="AN133" i="32"/>
  <c r="AU133" i="32" s="1"/>
  <c r="AB136" i="32"/>
  <c r="U142" i="32"/>
  <c r="AA136" i="32"/>
  <c r="AP136" i="32"/>
  <c r="Z136" i="32"/>
  <c r="L155" i="32"/>
  <c r="AS149" i="32"/>
  <c r="AQ149" i="32"/>
  <c r="AQ155" i="32" s="1"/>
  <c r="Y155" i="32"/>
  <c r="Z149" i="32"/>
  <c r="I173" i="32"/>
  <c r="Z173" i="32"/>
  <c r="AP173" i="32"/>
  <c r="AB173" i="32"/>
  <c r="AS173" i="32" s="1"/>
  <c r="AA173" i="32"/>
  <c r="AR173" i="32" s="1"/>
  <c r="AV220" i="32"/>
  <c r="AV221" i="32" s="1"/>
  <c r="AN220" i="32"/>
  <c r="AL221" i="32"/>
  <c r="AQ12" i="32"/>
  <c r="L13" i="32"/>
  <c r="P300" i="32"/>
  <c r="I18" i="45" s="1"/>
  <c r="V300" i="32"/>
  <c r="AE13" i="32"/>
  <c r="AM13" i="32"/>
  <c r="I14" i="32"/>
  <c r="Q304" i="32"/>
  <c r="AB14" i="32"/>
  <c r="AN14" i="32"/>
  <c r="AT14" i="32"/>
  <c r="L310" i="32"/>
  <c r="Y310" i="32"/>
  <c r="AL310" i="32"/>
  <c r="AQ16" i="32"/>
  <c r="AV16" i="32"/>
  <c r="Q17" i="32"/>
  <c r="Y17" i="32"/>
  <c r="AM17" i="32"/>
  <c r="I18" i="32"/>
  <c r="AL22" i="32"/>
  <c r="AV18" i="32"/>
  <c r="AN18" i="32"/>
  <c r="AV20" i="32"/>
  <c r="AB21" i="32"/>
  <c r="AS21" i="32" s="1"/>
  <c r="AN21" i="32"/>
  <c r="AU21" i="32" s="1"/>
  <c r="I23" i="32"/>
  <c r="AB23" i="32"/>
  <c r="I26" i="32"/>
  <c r="Z26" i="32"/>
  <c r="AP26" i="32"/>
  <c r="K31" i="32"/>
  <c r="U28" i="32"/>
  <c r="U29" i="32"/>
  <c r="Z30" i="32"/>
  <c r="I32" i="32"/>
  <c r="AP32" i="32"/>
  <c r="AP34" i="32" s="1"/>
  <c r="I35" i="32"/>
  <c r="U35" i="32"/>
  <c r="Q37" i="32"/>
  <c r="Z39" i="32"/>
  <c r="AN42" i="32"/>
  <c r="AA45" i="32"/>
  <c r="AS46" i="32"/>
  <c r="AR47" i="32"/>
  <c r="I47" i="32"/>
  <c r="Z47" i="32"/>
  <c r="AP47" i="32"/>
  <c r="AB47" i="32"/>
  <c r="AS47" i="32" s="1"/>
  <c r="AV47" i="32"/>
  <c r="AN47" i="32"/>
  <c r="AU47" i="32" s="1"/>
  <c r="AB49" i="32"/>
  <c r="AS49" i="32" s="1"/>
  <c r="AE50" i="32"/>
  <c r="AS54" i="32"/>
  <c r="AM56" i="32"/>
  <c r="Q63" i="32"/>
  <c r="U57" i="32"/>
  <c r="AB60" i="32"/>
  <c r="AS60" i="32" s="1"/>
  <c r="AP60" i="32"/>
  <c r="AA60" i="32"/>
  <c r="AR60" i="32" s="1"/>
  <c r="L63" i="32"/>
  <c r="AM63" i="32"/>
  <c r="AS64" i="32"/>
  <c r="L70" i="32"/>
  <c r="AM70" i="32"/>
  <c r="AW64" i="32"/>
  <c r="AW70" i="32" s="1"/>
  <c r="AP68" i="32"/>
  <c r="AA75" i="32"/>
  <c r="AR75" i="32" s="1"/>
  <c r="AS87" i="32"/>
  <c r="N95" i="32"/>
  <c r="AP91" i="32"/>
  <c r="AB91" i="32"/>
  <c r="AS91" i="32" s="1"/>
  <c r="AA91" i="32"/>
  <c r="AR91" i="32" s="1"/>
  <c r="AV91" i="32"/>
  <c r="AN91" i="32"/>
  <c r="AU91" i="32" s="1"/>
  <c r="I92" i="32"/>
  <c r="AP92" i="32"/>
  <c r="AA92" i="32"/>
  <c r="AR92" i="32" s="1"/>
  <c r="Z92" i="32"/>
  <c r="AB92" i="32"/>
  <c r="AS92" i="32" s="1"/>
  <c r="AW92" i="32"/>
  <c r="AW95" i="32" s="1"/>
  <c r="AN92" i="32"/>
  <c r="AU92" i="32" s="1"/>
  <c r="AM95" i="32"/>
  <c r="L312" i="32"/>
  <c r="I106" i="32"/>
  <c r="L107" i="32"/>
  <c r="AQ111" i="32"/>
  <c r="AS109" i="32"/>
  <c r="AA115" i="32"/>
  <c r="AR115" i="32" s="1"/>
  <c r="Z117" i="32"/>
  <c r="AP117" i="32"/>
  <c r="AB117" i="32"/>
  <c r="AS117" i="32" s="1"/>
  <c r="L148" i="32"/>
  <c r="AS145" i="32"/>
  <c r="I145" i="32"/>
  <c r="L162" i="32"/>
  <c r="AS158" i="32"/>
  <c r="AQ158" i="32"/>
  <c r="Z158" i="32"/>
  <c r="AW177" i="32"/>
  <c r="AW182" i="32" s="1"/>
  <c r="AM182" i="32"/>
  <c r="AN195" i="32"/>
  <c r="AV195" i="32"/>
  <c r="Z211" i="32"/>
  <c r="AP211" i="32"/>
  <c r="AB211" i="32"/>
  <c r="AS211" i="32" s="1"/>
  <c r="AA211" i="32"/>
  <c r="AR211" i="32" s="1"/>
  <c r="AB62" i="32"/>
  <c r="AS62" i="32" s="1"/>
  <c r="AP62" i="32"/>
  <c r="AA62" i="32"/>
  <c r="AR62" i="32" s="1"/>
  <c r="AE70" i="32"/>
  <c r="AT64" i="32"/>
  <c r="AT70" i="32" s="1"/>
  <c r="I65" i="32"/>
  <c r="AV66" i="32"/>
  <c r="AN66" i="32"/>
  <c r="AV68" i="32"/>
  <c r="AN68" i="32"/>
  <c r="AU68" i="32" s="1"/>
  <c r="N76" i="32"/>
  <c r="AE76" i="32"/>
  <c r="AT71" i="32"/>
  <c r="AT76" i="32" s="1"/>
  <c r="U89" i="32"/>
  <c r="AP84" i="32"/>
  <c r="AA84" i="32"/>
  <c r="Z84" i="32"/>
  <c r="AP88" i="32"/>
  <c r="AA88" i="32"/>
  <c r="AR88" i="32" s="1"/>
  <c r="Z88" i="32"/>
  <c r="K89" i="32"/>
  <c r="K105" i="32"/>
  <c r="I96" i="32"/>
  <c r="AP96" i="32"/>
  <c r="AA96" i="32"/>
  <c r="AR96" i="32" s="1"/>
  <c r="Z96" i="32"/>
  <c r="L306" i="32"/>
  <c r="Y306" i="32"/>
  <c r="AM306" i="32"/>
  <c r="AW97" i="32"/>
  <c r="AE309" i="32"/>
  <c r="AT99" i="32"/>
  <c r="AT309" i="32" s="1"/>
  <c r="AV102" i="32"/>
  <c r="AN102" i="32"/>
  <c r="AV104" i="32"/>
  <c r="AN104" i="32"/>
  <c r="N312" i="32"/>
  <c r="N107" i="32"/>
  <c r="AE312" i="32"/>
  <c r="AT106" i="32"/>
  <c r="L111" i="32"/>
  <c r="Y111" i="32"/>
  <c r="AE111" i="32"/>
  <c r="I121" i="32"/>
  <c r="Z121" i="32"/>
  <c r="AB121" i="32"/>
  <c r="AS121" i="32" s="1"/>
  <c r="AA121" i="32"/>
  <c r="AR121" i="32" s="1"/>
  <c r="Q128" i="32"/>
  <c r="U123" i="32"/>
  <c r="AQ126" i="32"/>
  <c r="AQ127" i="32"/>
  <c r="AW129" i="32"/>
  <c r="AM135" i="32"/>
  <c r="Z130" i="32"/>
  <c r="AA130" i="32"/>
  <c r="AR130" i="32" s="1"/>
  <c r="AP130" i="32"/>
  <c r="I131" i="32"/>
  <c r="Z131" i="32"/>
  <c r="AB131" i="32"/>
  <c r="AS131" i="32" s="1"/>
  <c r="AA131" i="32"/>
  <c r="AR131" i="32" s="1"/>
  <c r="I132" i="32"/>
  <c r="I137" i="32"/>
  <c r="K142" i="32"/>
  <c r="AA137" i="32"/>
  <c r="AR137" i="32" s="1"/>
  <c r="AP137" i="32"/>
  <c r="Z137" i="32"/>
  <c r="AS146" i="32"/>
  <c r="I146" i="32"/>
  <c r="AV147" i="32"/>
  <c r="AN147" i="32"/>
  <c r="AU147" i="32" s="1"/>
  <c r="AS150" i="32"/>
  <c r="AV154" i="32"/>
  <c r="AN154" i="32"/>
  <c r="AU154" i="32" s="1"/>
  <c r="AS159" i="32"/>
  <c r="I172" i="32"/>
  <c r="Z172" i="32"/>
  <c r="AP172" i="32"/>
  <c r="AB172" i="32"/>
  <c r="AS172" i="32" s="1"/>
  <c r="AA172" i="32"/>
  <c r="AR172" i="32" s="1"/>
  <c r="Z179" i="32"/>
  <c r="AP179" i="32"/>
  <c r="AB179" i="32"/>
  <c r="AS179" i="32" s="1"/>
  <c r="U184" i="32"/>
  <c r="Q186" i="32"/>
  <c r="AV192" i="32"/>
  <c r="AN192" i="32"/>
  <c r="AU192" i="32" s="1"/>
  <c r="AS198" i="32"/>
  <c r="L203" i="32"/>
  <c r="Y203" i="32"/>
  <c r="Z198" i="32"/>
  <c r="AM212" i="32"/>
  <c r="AW204" i="32"/>
  <c r="AN204" i="32"/>
  <c r="N219" i="32"/>
  <c r="AW285" i="32"/>
  <c r="AN285" i="32"/>
  <c r="AU285" i="32" s="1"/>
  <c r="AK76" i="31"/>
  <c r="M300" i="32"/>
  <c r="F18" i="45" s="1"/>
  <c r="Q13" i="32"/>
  <c r="AG300" i="32"/>
  <c r="Z18" i="45" s="1"/>
  <c r="AK300" i="32"/>
  <c r="AD18" i="45" s="1"/>
  <c r="N304" i="32"/>
  <c r="N310" i="32"/>
  <c r="L22" i="32"/>
  <c r="AV35" i="32"/>
  <c r="AV37" i="32" s="1"/>
  <c r="AN35" i="32"/>
  <c r="AL37" i="32"/>
  <c r="AQ38" i="32"/>
  <c r="AQ41" i="32" s="1"/>
  <c r="Y41" i="32"/>
  <c r="AE43" i="32"/>
  <c r="Q305" i="32"/>
  <c r="AP48" i="32"/>
  <c r="AA48" i="32"/>
  <c r="Z48" i="32"/>
  <c r="Y56" i="32"/>
  <c r="AV51" i="32"/>
  <c r="AN51" i="32"/>
  <c r="AV52" i="32"/>
  <c r="AN52" i="32"/>
  <c r="AU52" i="32" s="1"/>
  <c r="I55" i="32"/>
  <c r="AP55" i="32"/>
  <c r="AA55" i="32"/>
  <c r="AR55" i="32" s="1"/>
  <c r="Z55" i="32"/>
  <c r="R305" i="32"/>
  <c r="R303" i="32" s="1"/>
  <c r="R63" i="32"/>
  <c r="K70" i="32"/>
  <c r="I64" i="32"/>
  <c r="AP64" i="32"/>
  <c r="AA64" i="32"/>
  <c r="AR64" i="32" s="1"/>
  <c r="Z64" i="32"/>
  <c r="U65" i="32"/>
  <c r="AP67" i="32"/>
  <c r="AP69" i="32"/>
  <c r="AB71" i="32"/>
  <c r="AP71" i="32"/>
  <c r="AA71" i="32"/>
  <c r="AB72" i="32"/>
  <c r="AS72" i="32" s="1"/>
  <c r="AP72" i="32"/>
  <c r="AA72" i="32"/>
  <c r="AR72" i="32" s="1"/>
  <c r="AB73" i="32"/>
  <c r="AS73" i="32" s="1"/>
  <c r="AP73" i="32"/>
  <c r="AA73" i="32"/>
  <c r="AR73" i="32" s="1"/>
  <c r="AV75" i="32"/>
  <c r="AN75" i="32"/>
  <c r="N83" i="32"/>
  <c r="AU77" i="32"/>
  <c r="L83" i="32"/>
  <c r="L89" i="32"/>
  <c r="AS84" i="32"/>
  <c r="Y89" i="32"/>
  <c r="AN85" i="32"/>
  <c r="AU85" i="32" s="1"/>
  <c r="I87" i="32"/>
  <c r="AP87" i="32"/>
  <c r="AA87" i="32"/>
  <c r="AR87" i="32" s="1"/>
  <c r="Z87" i="32"/>
  <c r="AS88" i="32"/>
  <c r="Y95" i="32"/>
  <c r="AL95" i="32"/>
  <c r="AV90" i="32"/>
  <c r="AN90" i="32"/>
  <c r="AT95" i="32"/>
  <c r="AS93" i="32"/>
  <c r="K95" i="32"/>
  <c r="AS96" i="32"/>
  <c r="AM105" i="32"/>
  <c r="AW96" i="32"/>
  <c r="AN97" i="32"/>
  <c r="AV306" i="32"/>
  <c r="K309" i="32"/>
  <c r="I99" i="32"/>
  <c r="U309" i="32"/>
  <c r="AP99" i="32"/>
  <c r="AA99" i="32"/>
  <c r="Z99" i="32"/>
  <c r="AA102" i="32"/>
  <c r="AF102" i="32" s="1"/>
  <c r="AO102" i="32" s="1"/>
  <c r="AP103" i="32"/>
  <c r="AU104" i="32"/>
  <c r="AA104" i="32"/>
  <c r="AW107" i="32"/>
  <c r="AN108" i="32"/>
  <c r="AV111" i="32"/>
  <c r="I110" i="32"/>
  <c r="AP110" i="32"/>
  <c r="AA110" i="32"/>
  <c r="AR110" i="32" s="1"/>
  <c r="Z110" i="32"/>
  <c r="U112" i="32"/>
  <c r="K307" i="32"/>
  <c r="U113" i="32"/>
  <c r="AR114" i="32"/>
  <c r="AR116" i="32"/>
  <c r="AR117" i="32"/>
  <c r="K118" i="32"/>
  <c r="AP121" i="32"/>
  <c r="AB124" i="32"/>
  <c r="AS124" i="32" s="1"/>
  <c r="AA124" i="32"/>
  <c r="AR124" i="32" s="1"/>
  <c r="AP124" i="32"/>
  <c r="L128" i="32"/>
  <c r="AN129" i="32"/>
  <c r="Y135" i="32"/>
  <c r="AP131" i="32"/>
  <c r="AV132" i="32"/>
  <c r="AW137" i="32"/>
  <c r="AM142" i="32"/>
  <c r="AP138" i="32"/>
  <c r="Z138" i="32"/>
  <c r="AB138" i="32"/>
  <c r="AS138" i="32" s="1"/>
  <c r="AV138" i="32"/>
  <c r="AN138" i="32"/>
  <c r="AU138" i="32" s="1"/>
  <c r="AL142" i="32"/>
  <c r="Z140" i="32"/>
  <c r="AP140" i="32"/>
  <c r="AB140" i="32"/>
  <c r="AS140" i="32" s="1"/>
  <c r="Z141" i="32"/>
  <c r="AA141" i="32"/>
  <c r="AR141" i="32" s="1"/>
  <c r="AP141" i="32"/>
  <c r="AB143" i="32"/>
  <c r="U144" i="32"/>
  <c r="AA143" i="32"/>
  <c r="AA144" i="32" s="1"/>
  <c r="AP143" i="32"/>
  <c r="AP144" i="32" s="1"/>
  <c r="Z143" i="32"/>
  <c r="AL155" i="32"/>
  <c r="AT163" i="32"/>
  <c r="AT169" i="32" s="1"/>
  <c r="AE169" i="32"/>
  <c r="AP168" i="32"/>
  <c r="AA168" i="32"/>
  <c r="AR168" i="32" s="1"/>
  <c r="Z168" i="32"/>
  <c r="AB168" i="32"/>
  <c r="AS168" i="32" s="1"/>
  <c r="K169" i="32"/>
  <c r="I171" i="32"/>
  <c r="Z171" i="32"/>
  <c r="AP171" i="32"/>
  <c r="AB171" i="32"/>
  <c r="AS171" i="32" s="1"/>
  <c r="AA171" i="32"/>
  <c r="AR171" i="32" s="1"/>
  <c r="Z180" i="32"/>
  <c r="AP180" i="32"/>
  <c r="AB180" i="32"/>
  <c r="AS180" i="32" s="1"/>
  <c r="N193" i="32"/>
  <c r="I191" i="32"/>
  <c r="AA191" i="32"/>
  <c r="AR191" i="32" s="1"/>
  <c r="AP191" i="32"/>
  <c r="Z191" i="32"/>
  <c r="AB191" i="32"/>
  <c r="AS191" i="32" s="1"/>
  <c r="AP192" i="32"/>
  <c r="Z192" i="32"/>
  <c r="AB192" i="32"/>
  <c r="AS192" i="32" s="1"/>
  <c r="AA192" i="32"/>
  <c r="AR192" i="32" s="1"/>
  <c r="AQ195" i="32"/>
  <c r="Z195" i="32"/>
  <c r="AS196" i="32"/>
  <c r="I196" i="32"/>
  <c r="AQ198" i="32"/>
  <c r="AQ199" i="32"/>
  <c r="AQ200" i="32"/>
  <c r="AQ201" i="32"/>
  <c r="AQ202" i="32"/>
  <c r="AT251" i="32"/>
  <c r="AT253" i="32" s="1"/>
  <c r="AE253" i="32"/>
  <c r="Y309" i="32"/>
  <c r="AM309" i="32"/>
  <c r="AW99" i="32"/>
  <c r="AW309" i="32" s="1"/>
  <c r="AB100" i="32"/>
  <c r="AS100" i="32" s="1"/>
  <c r="AP100" i="32"/>
  <c r="AA100" i="32"/>
  <c r="AR100" i="32" s="1"/>
  <c r="AB101" i="32"/>
  <c r="AS101" i="32" s="1"/>
  <c r="AP101" i="32"/>
  <c r="AA101" i="32"/>
  <c r="AR101" i="32" s="1"/>
  <c r="Z103" i="32"/>
  <c r="AV103" i="32"/>
  <c r="AN103" i="32"/>
  <c r="AU103" i="32" s="1"/>
  <c r="L105" i="32"/>
  <c r="Q105" i="32"/>
  <c r="U105" i="32"/>
  <c r="Y105" i="32"/>
  <c r="Y312" i="32"/>
  <c r="AQ106" i="32"/>
  <c r="Y107" i="32"/>
  <c r="AE107" i="32"/>
  <c r="I109" i="32"/>
  <c r="AP109" i="32"/>
  <c r="AA109" i="32"/>
  <c r="AR109" i="32" s="1"/>
  <c r="Z109" i="32"/>
  <c r="AS110" i="32"/>
  <c r="AV112" i="32"/>
  <c r="AN112" i="32"/>
  <c r="AL307" i="32"/>
  <c r="AV113" i="32"/>
  <c r="AN113" i="32"/>
  <c r="AT307" i="32"/>
  <c r="AV114" i="32"/>
  <c r="AN114" i="32"/>
  <c r="AU114" i="32" s="1"/>
  <c r="AV115" i="32"/>
  <c r="AN115" i="32"/>
  <c r="AU115" i="32" s="1"/>
  <c r="AV116" i="32"/>
  <c r="AN116" i="32"/>
  <c r="AU116" i="32" s="1"/>
  <c r="AN117" i="32"/>
  <c r="AU117" i="32" s="1"/>
  <c r="AL118" i="32"/>
  <c r="Z120" i="32"/>
  <c r="AA120" i="32"/>
  <c r="AR120" i="32" s="1"/>
  <c r="K122" i="32"/>
  <c r="AV123" i="32"/>
  <c r="AN123" i="32"/>
  <c r="I125" i="32"/>
  <c r="AA125" i="32"/>
  <c r="AR125" i="32" s="1"/>
  <c r="AP125" i="32"/>
  <c r="Z125" i="32"/>
  <c r="Q135" i="32"/>
  <c r="U129" i="32"/>
  <c r="AB130" i="32"/>
  <c r="AS130" i="32" s="1"/>
  <c r="Z132" i="32"/>
  <c r="AP132" i="32"/>
  <c r="AB132" i="32"/>
  <c r="AS132" i="32" s="1"/>
  <c r="AA132" i="32"/>
  <c r="AR132" i="32" s="1"/>
  <c r="Z133" i="32"/>
  <c r="AP133" i="32"/>
  <c r="AB133" i="32"/>
  <c r="AS133" i="32" s="1"/>
  <c r="Z134" i="32"/>
  <c r="AA134" i="32"/>
  <c r="AR134" i="32" s="1"/>
  <c r="AP134" i="32"/>
  <c r="AB137" i="32"/>
  <c r="AS137" i="32" s="1"/>
  <c r="AB139" i="32"/>
  <c r="AS139" i="32" s="1"/>
  <c r="AA139" i="32"/>
  <c r="AW140" i="32"/>
  <c r="AN140" i="32"/>
  <c r="AU140" i="32" s="1"/>
  <c r="AL148" i="32"/>
  <c r="AN145" i="32"/>
  <c r="AU145" i="32" s="1"/>
  <c r="AT156" i="32"/>
  <c r="AT162" i="32" s="1"/>
  <c r="AE162" i="32"/>
  <c r="AP164" i="32"/>
  <c r="AA164" i="32"/>
  <c r="AR164" i="32" s="1"/>
  <c r="Z164" i="32"/>
  <c r="AB164" i="32"/>
  <c r="AS164" i="32" s="1"/>
  <c r="AW165" i="32"/>
  <c r="AW169" i="32" s="1"/>
  <c r="AN165" i="32"/>
  <c r="AU165" i="32" s="1"/>
  <c r="I170" i="32"/>
  <c r="K176" i="32"/>
  <c r="I174" i="32"/>
  <c r="Y176" i="32"/>
  <c r="AQ174" i="32"/>
  <c r="AQ176" i="32" s="1"/>
  <c r="AW174" i="32"/>
  <c r="AN174" i="32"/>
  <c r="AU174" i="32" s="1"/>
  <c r="Z177" i="32"/>
  <c r="AP177" i="32"/>
  <c r="AB177" i="32"/>
  <c r="AA179" i="32"/>
  <c r="Z181" i="32"/>
  <c r="AP181" i="32"/>
  <c r="AB181" i="32"/>
  <c r="AS181" i="32" s="1"/>
  <c r="AQ188" i="32"/>
  <c r="Z188" i="32"/>
  <c r="AT219" i="32"/>
  <c r="AV224" i="32"/>
  <c r="AN224" i="32"/>
  <c r="AU224" i="32" s="1"/>
  <c r="AV131" i="32"/>
  <c r="K135" i="32"/>
  <c r="AL135" i="32"/>
  <c r="AR138" i="32"/>
  <c r="AV139" i="32"/>
  <c r="AN139" i="32"/>
  <c r="AU139" i="32" s="1"/>
  <c r="N148" i="32"/>
  <c r="AR145" i="32"/>
  <c r="AU149" i="32"/>
  <c r="N155" i="32"/>
  <c r="U169" i="32"/>
  <c r="AP163" i="32"/>
  <c r="AA163" i="32"/>
  <c r="AR163" i="32" s="1"/>
  <c r="Z163" i="32"/>
  <c r="AP167" i="32"/>
  <c r="AA167" i="32"/>
  <c r="AR167" i="32" s="1"/>
  <c r="Z167" i="32"/>
  <c r="AV170" i="32"/>
  <c r="AN170" i="32"/>
  <c r="AV171" i="32"/>
  <c r="AN171" i="32"/>
  <c r="AU171" i="32" s="1"/>
  <c r="AV172" i="32"/>
  <c r="AN172" i="32"/>
  <c r="AU172" i="32" s="1"/>
  <c r="AV173" i="32"/>
  <c r="AN173" i="32"/>
  <c r="AU173" i="32" s="1"/>
  <c r="AE176" i="32"/>
  <c r="AV183" i="32"/>
  <c r="AN183" i="32"/>
  <c r="AU183" i="32" s="1"/>
  <c r="AL186" i="32"/>
  <c r="AE193" i="32"/>
  <c r="AT187" i="32"/>
  <c r="AT193" i="32" s="1"/>
  <c r="AA189" i="32"/>
  <c r="AR189" i="32" s="1"/>
  <c r="Z189" i="32"/>
  <c r="AQ194" i="32"/>
  <c r="Y197" i="32"/>
  <c r="AL197" i="32"/>
  <c r="AN194" i="32"/>
  <c r="AN197" i="32" s="1"/>
  <c r="AT197" i="32"/>
  <c r="AS195" i="32"/>
  <c r="I195" i="32"/>
  <c r="AP205" i="32"/>
  <c r="AA205" i="32"/>
  <c r="AR205" i="32" s="1"/>
  <c r="Z205" i="32"/>
  <c r="AB205" i="32"/>
  <c r="AS205" i="32" s="1"/>
  <c r="L232" i="32"/>
  <c r="AS226" i="32"/>
  <c r="AQ226" i="32"/>
  <c r="AQ232" i="32" s="1"/>
  <c r="Y232" i="32"/>
  <c r="Z226" i="32"/>
  <c r="AV231" i="32"/>
  <c r="AN231" i="32"/>
  <c r="AU231" i="32" s="1"/>
  <c r="AE239" i="32"/>
  <c r="AT233" i="32"/>
  <c r="AT239" i="32" s="1"/>
  <c r="AB238" i="32"/>
  <c r="AS238" i="32" s="1"/>
  <c r="AA238" i="32"/>
  <c r="AR238" i="32" s="1"/>
  <c r="Z238" i="32"/>
  <c r="AP238" i="32"/>
  <c r="L243" i="32"/>
  <c r="AS240" i="32"/>
  <c r="AQ240" i="32"/>
  <c r="AQ243" i="32" s="1"/>
  <c r="Y243" i="32"/>
  <c r="Z240" i="32"/>
  <c r="AS261" i="32"/>
  <c r="Q41" i="32"/>
  <c r="L305" i="32"/>
  <c r="Y305" i="32"/>
  <c r="N311" i="32"/>
  <c r="L50" i="32"/>
  <c r="L56" i="32"/>
  <c r="AI305" i="32"/>
  <c r="Q83" i="32"/>
  <c r="N309" i="32"/>
  <c r="AL312" i="32"/>
  <c r="Q107" i="32"/>
  <c r="L307" i="32"/>
  <c r="Y307" i="32"/>
  <c r="AE307" i="32"/>
  <c r="AV124" i="32"/>
  <c r="AN124" i="32"/>
  <c r="AU124" i="32" s="1"/>
  <c r="AW126" i="32"/>
  <c r="AW127" i="32"/>
  <c r="AQ130" i="32"/>
  <c r="AQ135" i="32" s="1"/>
  <c r="AS134" i="32"/>
  <c r="AV136" i="32"/>
  <c r="AN136" i="32"/>
  <c r="AS141" i="32"/>
  <c r="AQ141" i="32"/>
  <c r="AQ142" i="32" s="1"/>
  <c r="Q142" i="32"/>
  <c r="AV143" i="32"/>
  <c r="AV144" i="32" s="1"/>
  <c r="AN143" i="32"/>
  <c r="AN144" i="32" s="1"/>
  <c r="Q144" i="32"/>
  <c r="Q148" i="32"/>
  <c r="U148" i="32"/>
  <c r="AE155" i="32"/>
  <c r="AT149" i="32"/>
  <c r="AT155" i="32" s="1"/>
  <c r="Z150" i="32"/>
  <c r="AV152" i="32"/>
  <c r="AN152" i="32"/>
  <c r="AU152" i="32" s="1"/>
  <c r="AP153" i="32"/>
  <c r="AQ156" i="32"/>
  <c r="AQ162" i="32" s="1"/>
  <c r="Y162" i="32"/>
  <c r="Z159" i="32"/>
  <c r="L169" i="32"/>
  <c r="Y169" i="32"/>
  <c r="AN164" i="32"/>
  <c r="AU164" i="32" s="1"/>
  <c r="AP166" i="32"/>
  <c r="AA166" i="32"/>
  <c r="AR166" i="32" s="1"/>
  <c r="Z166" i="32"/>
  <c r="AN168" i="32"/>
  <c r="AU168" i="32" s="1"/>
  <c r="AM169" i="32"/>
  <c r="AW176" i="32"/>
  <c r="AP175" i="32"/>
  <c r="AA175" i="32"/>
  <c r="AR175" i="32" s="1"/>
  <c r="Z175" i="32"/>
  <c r="K182" i="32"/>
  <c r="AR177" i="32"/>
  <c r="AR180" i="32"/>
  <c r="AR181" i="32"/>
  <c r="N186" i="32"/>
  <c r="AV184" i="32"/>
  <c r="AN184" i="32"/>
  <c r="AU184" i="32" s="1"/>
  <c r="AP185" i="32"/>
  <c r="AW193" i="32"/>
  <c r="I194" i="32"/>
  <c r="L197" i="32"/>
  <c r="Z194" i="32"/>
  <c r="AV194" i="32"/>
  <c r="Q212" i="32"/>
  <c r="U204" i="32"/>
  <c r="AP206" i="32"/>
  <c r="AA206" i="32"/>
  <c r="AR206" i="32" s="1"/>
  <c r="Z206" i="32"/>
  <c r="AB206" i="32"/>
  <c r="AS206" i="32" s="1"/>
  <c r="AW206" i="32"/>
  <c r="AN206" i="32"/>
  <c r="AU206" i="32" s="1"/>
  <c r="Z209" i="32"/>
  <c r="AP209" i="32"/>
  <c r="AB209" i="32"/>
  <c r="AS209" i="32" s="1"/>
  <c r="AV214" i="32"/>
  <c r="AN214" i="32"/>
  <c r="AU214" i="32" s="1"/>
  <c r="AP217" i="32"/>
  <c r="AA217" i="32"/>
  <c r="AR217" i="32" s="1"/>
  <c r="Z217" i="32"/>
  <c r="AB217" i="32"/>
  <c r="AS217" i="32" s="1"/>
  <c r="AW218" i="32"/>
  <c r="AW219" i="32" s="1"/>
  <c r="AN218" i="32"/>
  <c r="AU218" i="32" s="1"/>
  <c r="AS227" i="32"/>
  <c r="AQ235" i="32"/>
  <c r="AQ239" i="32" s="1"/>
  <c r="Z235" i="32"/>
  <c r="AP252" i="32"/>
  <c r="AA252" i="32"/>
  <c r="AR252" i="32" s="1"/>
  <c r="Z252" i="32"/>
  <c r="AB252" i="32"/>
  <c r="AS252" i="32" s="1"/>
  <c r="K253" i="32"/>
  <c r="I259" i="32"/>
  <c r="AW259" i="32"/>
  <c r="AN259" i="32"/>
  <c r="AU259" i="32" s="1"/>
  <c r="AV272" i="32"/>
  <c r="AN272" i="32"/>
  <c r="AU272" i="32" s="1"/>
  <c r="N305" i="32"/>
  <c r="Q311" i="32"/>
  <c r="AL311" i="32"/>
  <c r="AL58" i="32"/>
  <c r="Q309" i="32"/>
  <c r="AL309" i="32"/>
  <c r="U106" i="32"/>
  <c r="AL107" i="32"/>
  <c r="N307" i="32"/>
  <c r="L122" i="32"/>
  <c r="Y128" i="32"/>
  <c r="AV125" i="32"/>
  <c r="AN125" i="32"/>
  <c r="AU125" i="32" s="1"/>
  <c r="AP126" i="32"/>
  <c r="AA126" i="32"/>
  <c r="AR126" i="32" s="1"/>
  <c r="I127" i="32"/>
  <c r="AP127" i="32"/>
  <c r="AA127" i="32"/>
  <c r="AR127" i="32" s="1"/>
  <c r="L135" i="32"/>
  <c r="AV137" i="32"/>
  <c r="AN137" i="32"/>
  <c r="AU137" i="32" s="1"/>
  <c r="K144" i="32"/>
  <c r="AT145" i="32"/>
  <c r="AT148" i="32" s="1"/>
  <c r="AP147" i="32"/>
  <c r="AP148" i="32" s="1"/>
  <c r="Z151" i="32"/>
  <c r="Z153" i="32"/>
  <c r="AV153" i="32"/>
  <c r="AN153" i="32"/>
  <c r="AU153" i="32" s="1"/>
  <c r="AP154" i="32"/>
  <c r="N162" i="32"/>
  <c r="Z156" i="32"/>
  <c r="I158" i="32"/>
  <c r="AU160" i="32"/>
  <c r="Z160" i="32"/>
  <c r="AB163" i="32"/>
  <c r="AN163" i="32"/>
  <c r="I165" i="32"/>
  <c r="AP165" i="32"/>
  <c r="AA165" i="32"/>
  <c r="AR165" i="32" s="1"/>
  <c r="Z165" i="32"/>
  <c r="AS166" i="32"/>
  <c r="AB167" i="32"/>
  <c r="AS167" i="32" s="1"/>
  <c r="AN167" i="32"/>
  <c r="AU167" i="32" s="1"/>
  <c r="AP174" i="32"/>
  <c r="AA174" i="32"/>
  <c r="AR174" i="32" s="1"/>
  <c r="Z174" i="32"/>
  <c r="AS175" i="32"/>
  <c r="AL176" i="32"/>
  <c r="AV177" i="32"/>
  <c r="AN177" i="32"/>
  <c r="AV178" i="32"/>
  <c r="AN178" i="32"/>
  <c r="AU178" i="32" s="1"/>
  <c r="AV179" i="32"/>
  <c r="AN179" i="32"/>
  <c r="AU179" i="32" s="1"/>
  <c r="AV180" i="32"/>
  <c r="AN180" i="32"/>
  <c r="AU180" i="32" s="1"/>
  <c r="AV181" i="32"/>
  <c r="AN181" i="32"/>
  <c r="AU181" i="32" s="1"/>
  <c r="Z185" i="32"/>
  <c r="AF185" i="32" s="1"/>
  <c r="AV185" i="32"/>
  <c r="AN185" i="32"/>
  <c r="AU185" i="32" s="1"/>
  <c r="L193" i="32"/>
  <c r="I188" i="32"/>
  <c r="AB189" i="32"/>
  <c r="AT212" i="32"/>
  <c r="Z207" i="32"/>
  <c r="AB207" i="32"/>
  <c r="AS207" i="32" s="1"/>
  <c r="AA207" i="32"/>
  <c r="AR207" i="32" s="1"/>
  <c r="AP207" i="32"/>
  <c r="Z210" i="32"/>
  <c r="AP210" i="32"/>
  <c r="AB210" i="32"/>
  <c r="AS210" i="32" s="1"/>
  <c r="N212" i="32"/>
  <c r="U222" i="32"/>
  <c r="Q225" i="32"/>
  <c r="AL232" i="32"/>
  <c r="U242" i="32"/>
  <c r="Q243" i="32"/>
  <c r="L250" i="32"/>
  <c r="AQ244" i="32"/>
  <c r="Y250" i="32"/>
  <c r="AQ245" i="32"/>
  <c r="Z245" i="32"/>
  <c r="AQ246" i="32"/>
  <c r="Z246" i="32"/>
  <c r="AQ247" i="32"/>
  <c r="Z247" i="32"/>
  <c r="AQ248" i="32"/>
  <c r="Z248" i="32"/>
  <c r="AQ249" i="32"/>
  <c r="Z249" i="32"/>
  <c r="N260" i="32"/>
  <c r="AM260" i="32"/>
  <c r="AN254" i="32"/>
  <c r="AU254" i="32" s="1"/>
  <c r="AI260" i="32"/>
  <c r="AL256" i="32"/>
  <c r="I258" i="32"/>
  <c r="AB272" i="32"/>
  <c r="AS272" i="32" s="1"/>
  <c r="AA272" i="32"/>
  <c r="AR272" i="32" s="1"/>
  <c r="Z272" i="32"/>
  <c r="AP272" i="32"/>
  <c r="L290" i="32"/>
  <c r="AS286" i="32"/>
  <c r="Q219" i="32"/>
  <c r="U213" i="32"/>
  <c r="AP216" i="32"/>
  <c r="AA216" i="32"/>
  <c r="AR216" i="32" s="1"/>
  <c r="Z216" i="32"/>
  <c r="AM219" i="32"/>
  <c r="AW220" i="32"/>
  <c r="AW221" i="32" s="1"/>
  <c r="AM221" i="32"/>
  <c r="N232" i="32"/>
  <c r="Q232" i="32"/>
  <c r="U232" i="32"/>
  <c r="AV237" i="32"/>
  <c r="AN237" i="32"/>
  <c r="AU237" i="32" s="1"/>
  <c r="N243" i="32"/>
  <c r="AV241" i="32"/>
  <c r="AN241" i="32"/>
  <c r="AU241" i="32" s="1"/>
  <c r="N250" i="32"/>
  <c r="AU244" i="32"/>
  <c r="AP251" i="32"/>
  <c r="AA251" i="32"/>
  <c r="Z251" i="32"/>
  <c r="L253" i="32"/>
  <c r="U253" i="32"/>
  <c r="Y253" i="32"/>
  <c r="AM253" i="32"/>
  <c r="AA261" i="32"/>
  <c r="AR261" i="32" s="1"/>
  <c r="AW261" i="32"/>
  <c r="AW263" i="32" s="1"/>
  <c r="N263" i="32"/>
  <c r="AV264" i="32"/>
  <c r="AN264" i="32"/>
  <c r="AL269" i="32"/>
  <c r="AT269" i="32"/>
  <c r="AL276" i="32"/>
  <c r="AN270" i="32"/>
  <c r="I281" i="32"/>
  <c r="AP281" i="32"/>
  <c r="AA281" i="32"/>
  <c r="AR281" i="32" s="1"/>
  <c r="AB281" i="32"/>
  <c r="AS281" i="32" s="1"/>
  <c r="Z281" i="32"/>
  <c r="Q290" i="32"/>
  <c r="U284" i="32"/>
  <c r="I287" i="32"/>
  <c r="AP287" i="32"/>
  <c r="Z287" i="32"/>
  <c r="AB287" i="32"/>
  <c r="AS287" i="32" s="1"/>
  <c r="AA287" i="32"/>
  <c r="AR287" i="32" s="1"/>
  <c r="AP288" i="32"/>
  <c r="Z288" i="32"/>
  <c r="AN292" i="32"/>
  <c r="AU292" i="32" s="1"/>
  <c r="AV292" i="32"/>
  <c r="I296" i="32"/>
  <c r="I149" i="32"/>
  <c r="AA149" i="32"/>
  <c r="AP149" i="32"/>
  <c r="AA150" i="32"/>
  <c r="AR150" i="32" s="1"/>
  <c r="AP150" i="32"/>
  <c r="AA151" i="32"/>
  <c r="AR151" i="32" s="1"/>
  <c r="AP151" i="32"/>
  <c r="I152" i="32"/>
  <c r="AA156" i="32"/>
  <c r="AP156" i="32"/>
  <c r="AA157" i="32"/>
  <c r="AR157" i="32" s="1"/>
  <c r="AP157" i="32"/>
  <c r="AA158" i="32"/>
  <c r="AR158" i="32" s="1"/>
  <c r="AP158" i="32"/>
  <c r="AA159" i="32"/>
  <c r="AR159" i="32" s="1"/>
  <c r="AP159" i="32"/>
  <c r="AA160" i="32"/>
  <c r="AR160" i="32" s="1"/>
  <c r="AP160" i="32"/>
  <c r="AA161" i="32"/>
  <c r="AR161" i="32" s="1"/>
  <c r="AP161" i="32"/>
  <c r="U162" i="32"/>
  <c r="AA187" i="32"/>
  <c r="AP187" i="32"/>
  <c r="AA188" i="32"/>
  <c r="AR188" i="32" s="1"/>
  <c r="AP188" i="32"/>
  <c r="AA190" i="32"/>
  <c r="AV190" i="32"/>
  <c r="AN190" i="32"/>
  <c r="AU190" i="32" s="1"/>
  <c r="N197" i="32"/>
  <c r="AA194" i="32"/>
  <c r="AU195" i="32"/>
  <c r="AA195" i="32"/>
  <c r="AR195" i="32" s="1"/>
  <c r="AU196" i="32"/>
  <c r="AA196" i="32"/>
  <c r="AR196" i="32" s="1"/>
  <c r="Q197" i="32"/>
  <c r="U197" i="32"/>
  <c r="K212" i="32"/>
  <c r="AE212" i="32"/>
  <c r="AL207" i="32"/>
  <c r="AP208" i="32"/>
  <c r="AR210" i="32"/>
  <c r="Y219" i="32"/>
  <c r="AN217" i="32"/>
  <c r="AU217" i="32" s="1"/>
  <c r="AE219" i="32"/>
  <c r="AB220" i="32"/>
  <c r="AV222" i="32"/>
  <c r="AN222" i="32"/>
  <c r="AU222" i="32" s="1"/>
  <c r="AL225" i="32"/>
  <c r="AP223" i="32"/>
  <c r="AE232" i="32"/>
  <c r="AT226" i="32"/>
  <c r="AT232" i="32" s="1"/>
  <c r="AU227" i="32"/>
  <c r="Z227" i="32"/>
  <c r="I229" i="32"/>
  <c r="AP230" i="32"/>
  <c r="AL239" i="32"/>
  <c r="I234" i="32"/>
  <c r="AU236" i="32"/>
  <c r="Z236" i="32"/>
  <c r="AA237" i="32"/>
  <c r="AV238" i="32"/>
  <c r="AN238" i="32"/>
  <c r="AU238" i="32" s="1"/>
  <c r="AE243" i="32"/>
  <c r="AT240" i="32"/>
  <c r="AT243" i="32" s="1"/>
  <c r="AV242" i="32"/>
  <c r="AN242" i="32"/>
  <c r="AU242" i="32" s="1"/>
  <c r="AN252" i="32"/>
  <c r="AN253" i="32" s="1"/>
  <c r="AT260" i="32"/>
  <c r="Z258" i="32"/>
  <c r="AB258" i="32"/>
  <c r="AS258" i="32" s="1"/>
  <c r="AP262" i="32"/>
  <c r="AB262" i="32"/>
  <c r="AA262" i="32"/>
  <c r="AR262" i="32" s="1"/>
  <c r="AV262" i="32"/>
  <c r="AN262" i="32"/>
  <c r="AU262" i="32" s="1"/>
  <c r="Q269" i="32"/>
  <c r="U264" i="32"/>
  <c r="I265" i="32"/>
  <c r="AA265" i="32"/>
  <c r="AR265" i="32" s="1"/>
  <c r="AB265" i="32"/>
  <c r="AS265" i="32" s="1"/>
  <c r="Z265" i="32"/>
  <c r="AQ270" i="32"/>
  <c r="AQ276" i="32" s="1"/>
  <c r="Y276" i="32"/>
  <c r="K193" i="32"/>
  <c r="AM193" i="32"/>
  <c r="AV191" i="32"/>
  <c r="AN191" i="32"/>
  <c r="AU191" i="32" s="1"/>
  <c r="I198" i="32"/>
  <c r="U203" i="32"/>
  <c r="AP198" i="32"/>
  <c r="AA198" i="32"/>
  <c r="I199" i="32"/>
  <c r="AP199" i="32"/>
  <c r="AA199" i="32"/>
  <c r="I200" i="32"/>
  <c r="AP200" i="32"/>
  <c r="AA200" i="32"/>
  <c r="I201" i="32"/>
  <c r="AP201" i="32"/>
  <c r="AA201" i="32"/>
  <c r="I202" i="32"/>
  <c r="AP202" i="32"/>
  <c r="AA202" i="32"/>
  <c r="L212" i="32"/>
  <c r="AQ204" i="32"/>
  <c r="AQ212" i="32" s="1"/>
  <c r="AV204" i="32"/>
  <c r="I207" i="32"/>
  <c r="Z208" i="32"/>
  <c r="AV208" i="32"/>
  <c r="AN208" i="32"/>
  <c r="AU208" i="32" s="1"/>
  <c r="AV209" i="32"/>
  <c r="AN209" i="32"/>
  <c r="AU209" i="32" s="1"/>
  <c r="AV210" i="32"/>
  <c r="AN210" i="32"/>
  <c r="AU210" i="32" s="1"/>
  <c r="AV211" i="32"/>
  <c r="AV313" i="32" s="1"/>
  <c r="AN211" i="32"/>
  <c r="AU211" i="32" s="1"/>
  <c r="L219" i="32"/>
  <c r="AV213" i="32"/>
  <c r="AN213" i="32"/>
  <c r="AU213" i="32" s="1"/>
  <c r="AP215" i="32"/>
  <c r="AB215" i="32"/>
  <c r="AS215" i="32" s="1"/>
  <c r="AA215" i="32"/>
  <c r="AR215" i="32" s="1"/>
  <c r="AB216" i="32"/>
  <c r="AS216" i="32" s="1"/>
  <c r="I218" i="32"/>
  <c r="AP218" i="32"/>
  <c r="AA218" i="32"/>
  <c r="AR218" i="32" s="1"/>
  <c r="Z218" i="32"/>
  <c r="K219" i="32"/>
  <c r="K221" i="32"/>
  <c r="N225" i="32"/>
  <c r="AT225" i="32"/>
  <c r="Z223" i="32"/>
  <c r="AV223" i="32"/>
  <c r="AN223" i="32"/>
  <c r="AU223" i="32" s="1"/>
  <c r="Z230" i="32"/>
  <c r="AV230" i="32"/>
  <c r="AN230" i="32"/>
  <c r="AU233" i="32"/>
  <c r="N239" i="32"/>
  <c r="I235" i="32"/>
  <c r="Q239" i="32"/>
  <c r="U239" i="32"/>
  <c r="Y239" i="32"/>
  <c r="I244" i="32"/>
  <c r="AB245" i="32"/>
  <c r="AS245" i="32" s="1"/>
  <c r="AP245" i="32"/>
  <c r="AA245" i="32"/>
  <c r="AR245" i="32" s="1"/>
  <c r="AB246" i="32"/>
  <c r="AS246" i="32" s="1"/>
  <c r="AP246" i="32"/>
  <c r="AA246" i="32"/>
  <c r="AR246" i="32" s="1"/>
  <c r="AB247" i="32"/>
  <c r="AS247" i="32" s="1"/>
  <c r="AP247" i="32"/>
  <c r="AA247" i="32"/>
  <c r="AR247" i="32" s="1"/>
  <c r="AB248" i="32"/>
  <c r="AS248" i="32" s="1"/>
  <c r="AP248" i="32"/>
  <c r="AA248" i="32"/>
  <c r="AR248" i="32" s="1"/>
  <c r="AB249" i="32"/>
  <c r="AS249" i="32" s="1"/>
  <c r="AP249" i="32"/>
  <c r="AA249" i="32"/>
  <c r="AR249" i="32" s="1"/>
  <c r="AB251" i="32"/>
  <c r="AS251" i="32" s="1"/>
  <c r="AW255" i="32"/>
  <c r="AB257" i="32"/>
  <c r="AS257" i="32" s="1"/>
  <c r="AA257" i="32"/>
  <c r="AP257" i="32"/>
  <c r="AP261" i="32"/>
  <c r="Z261" i="32"/>
  <c r="Q263" i="32"/>
  <c r="U263" i="32"/>
  <c r="I267" i="32"/>
  <c r="AA267" i="32"/>
  <c r="AR267" i="32" s="1"/>
  <c r="Z267" i="32"/>
  <c r="AB267" i="32"/>
  <c r="AS267" i="32" s="1"/>
  <c r="L276" i="32"/>
  <c r="I270" i="32"/>
  <c r="AV274" i="32"/>
  <c r="AN274" i="32"/>
  <c r="AU274" i="32" s="1"/>
  <c r="I277" i="32"/>
  <c r="K283" i="32"/>
  <c r="AB277" i="32"/>
  <c r="I286" i="32"/>
  <c r="AA288" i="32"/>
  <c r="AR288" i="32" s="1"/>
  <c r="K297" i="32"/>
  <c r="I291" i="32"/>
  <c r="AA291" i="32"/>
  <c r="I292" i="32"/>
  <c r="Z292" i="32"/>
  <c r="AB292" i="32"/>
  <c r="AS292" i="32" s="1"/>
  <c r="AP292" i="32"/>
  <c r="AA292" i="32"/>
  <c r="AR292" i="32" s="1"/>
  <c r="AV295" i="32"/>
  <c r="AM297" i="32"/>
  <c r="AQ213" i="32"/>
  <c r="AQ219" i="32" s="1"/>
  <c r="I226" i="32"/>
  <c r="AA226" i="32"/>
  <c r="AP226" i="32"/>
  <c r="AA227" i="32"/>
  <c r="AR227" i="32" s="1"/>
  <c r="AP227" i="32"/>
  <c r="AA228" i="32"/>
  <c r="AP228" i="32"/>
  <c r="AA229" i="32"/>
  <c r="AP229" i="32"/>
  <c r="I233" i="32"/>
  <c r="AA233" i="32"/>
  <c r="AP233" i="32"/>
  <c r="AA234" i="32"/>
  <c r="AR234" i="32" s="1"/>
  <c r="AP234" i="32"/>
  <c r="AA235" i="32"/>
  <c r="AR235" i="32" s="1"/>
  <c r="AP235" i="32"/>
  <c r="AA236" i="32"/>
  <c r="AR236" i="32" s="1"/>
  <c r="AP236" i="32"/>
  <c r="I237" i="32"/>
  <c r="I240" i="32"/>
  <c r="AA240" i="32"/>
  <c r="AP240" i="32"/>
  <c r="I241" i="32"/>
  <c r="U250" i="32"/>
  <c r="I254" i="32"/>
  <c r="K260" i="32"/>
  <c r="AA254" i="32"/>
  <c r="AP255" i="32"/>
  <c r="AA255" i="32"/>
  <c r="AR255" i="32" s="1"/>
  <c r="I256" i="32"/>
  <c r="AV257" i="32"/>
  <c r="AN257" i="32"/>
  <c r="AU257" i="32" s="1"/>
  <c r="Z259" i="32"/>
  <c r="AP259" i="32"/>
  <c r="K263" i="32"/>
  <c r="AR268" i="32"/>
  <c r="I268" i="32"/>
  <c r="AP268" i="32"/>
  <c r="Z268" i="32"/>
  <c r="AB268" i="32"/>
  <c r="AS268" i="32" s="1"/>
  <c r="AV268" i="32"/>
  <c r="AN268" i="32"/>
  <c r="AU268" i="32" s="1"/>
  <c r="AT276" i="32"/>
  <c r="AE276" i="32"/>
  <c r="AB275" i="32"/>
  <c r="AS275" i="32" s="1"/>
  <c r="AA275" i="32"/>
  <c r="AR275" i="32" s="1"/>
  <c r="Z275" i="32"/>
  <c r="AP275" i="32"/>
  <c r="AU284" i="32"/>
  <c r="Z285" i="32"/>
  <c r="AF285" i="32" s="1"/>
  <c r="AO285" i="32" s="1"/>
  <c r="AP285" i="32"/>
  <c r="L297" i="32"/>
  <c r="Y297" i="32"/>
  <c r="AQ291" i="32"/>
  <c r="AQ297" i="32" s="1"/>
  <c r="AP291" i="32"/>
  <c r="AV293" i="32"/>
  <c r="AN293" i="32"/>
  <c r="AU293" i="32" s="1"/>
  <c r="Z294" i="32"/>
  <c r="AA294" i="32"/>
  <c r="AR294" i="32" s="1"/>
  <c r="AP294" i="32"/>
  <c r="L260" i="32"/>
  <c r="AN258" i="32"/>
  <c r="AU258" i="32" s="1"/>
  <c r="AL263" i="32"/>
  <c r="AV261" i="32"/>
  <c r="AN261" i="32"/>
  <c r="AW264" i="32"/>
  <c r="AW269" i="32" s="1"/>
  <c r="AV266" i="32"/>
  <c r="AN266" i="32"/>
  <c r="AU266" i="32" s="1"/>
  <c r="U270" i="32"/>
  <c r="Q276" i="32"/>
  <c r="AB271" i="32"/>
  <c r="AS271" i="32" s="1"/>
  <c r="AA271" i="32"/>
  <c r="AP271" i="32"/>
  <c r="AB273" i="32"/>
  <c r="AS273" i="32" s="1"/>
  <c r="AA273" i="32"/>
  <c r="AR273" i="32" s="1"/>
  <c r="Z273" i="32"/>
  <c r="AP273" i="32"/>
  <c r="Z274" i="32"/>
  <c r="N283" i="32"/>
  <c r="AT283" i="32"/>
  <c r="I280" i="32"/>
  <c r="AP280" i="32"/>
  <c r="AA280" i="32"/>
  <c r="AR280" i="32" s="1"/>
  <c r="AB280" i="32"/>
  <c r="AS280" i="32" s="1"/>
  <c r="Z280" i="32"/>
  <c r="K290" i="32"/>
  <c r="AV287" i="32"/>
  <c r="AN287" i="32"/>
  <c r="AU287" i="32" s="1"/>
  <c r="AN288" i="32"/>
  <c r="AU288" i="32" s="1"/>
  <c r="AV288" i="32"/>
  <c r="Z293" i="32"/>
  <c r="AP293" i="32"/>
  <c r="AB293" i="32"/>
  <c r="AS293" i="32" s="1"/>
  <c r="AA293" i="32"/>
  <c r="AR293" i="32" s="1"/>
  <c r="K269" i="32"/>
  <c r="AV265" i="32"/>
  <c r="AN265" i="32"/>
  <c r="AU265" i="32" s="1"/>
  <c r="Y283" i="32"/>
  <c r="AQ277" i="32"/>
  <c r="I278" i="32"/>
  <c r="AP278" i="32"/>
  <c r="AA278" i="32"/>
  <c r="AR278" i="32" s="1"/>
  <c r="AB278" i="32"/>
  <c r="AS278" i="32" s="1"/>
  <c r="I282" i="32"/>
  <c r="AP282" i="32"/>
  <c r="AA282" i="32"/>
  <c r="AR282" i="32" s="1"/>
  <c r="AB282" i="32"/>
  <c r="AS282" i="32" s="1"/>
  <c r="Y290" i="32"/>
  <c r="AL290" i="32"/>
  <c r="AC290" i="32"/>
  <c r="AC300" i="32" s="1"/>
  <c r="AE286" i="32"/>
  <c r="AT286" i="32" s="1"/>
  <c r="AT290" i="32" s="1"/>
  <c r="AQ289" i="32"/>
  <c r="AQ290" i="32" s="1"/>
  <c r="I294" i="32"/>
  <c r="AU295" i="32"/>
  <c r="AB274" i="32"/>
  <c r="AS274" i="32" s="1"/>
  <c r="AA274" i="32"/>
  <c r="AR274" i="32" s="1"/>
  <c r="I279" i="32"/>
  <c r="AP279" i="32"/>
  <c r="AA279" i="32"/>
  <c r="AB279" i="32"/>
  <c r="AS279" i="32" s="1"/>
  <c r="Z286" i="32"/>
  <c r="AA286" i="32"/>
  <c r="AR286" i="32" s="1"/>
  <c r="AP286" i="32"/>
  <c r="AS289" i="32"/>
  <c r="AM290" i="32"/>
  <c r="AL297" i="32"/>
  <c r="AN291" i="32"/>
  <c r="AT297" i="32"/>
  <c r="AB296" i="32"/>
  <c r="AS296" i="32" s="1"/>
  <c r="AA296" i="32"/>
  <c r="AR296" i="32" s="1"/>
  <c r="AV296" i="32"/>
  <c r="AN296" i="32"/>
  <c r="AU296" i="32" s="1"/>
  <c r="I298" i="32"/>
  <c r="K299" i="32"/>
  <c r="AR266" i="32"/>
  <c r="AV267" i="32"/>
  <c r="AN267" i="32"/>
  <c r="AU267" i="32" s="1"/>
  <c r="N276" i="32"/>
  <c r="AU271" i="32"/>
  <c r="AU275" i="32"/>
  <c r="AS285" i="32"/>
  <c r="AV286" i="32"/>
  <c r="AN286" i="32"/>
  <c r="AU286" i="32" s="1"/>
  <c r="AS288" i="32"/>
  <c r="AP295" i="32"/>
  <c r="Z298" i="32"/>
  <c r="I289" i="32"/>
  <c r="AP289" i="32"/>
  <c r="AA289" i="32"/>
  <c r="AR289" i="32" s="1"/>
  <c r="N297" i="32"/>
  <c r="AS294" i="32"/>
  <c r="AC303" i="32"/>
  <c r="P303" i="32"/>
  <c r="X76" i="31"/>
  <c r="M76" i="31"/>
  <c r="V76" i="31"/>
  <c r="AH76" i="31"/>
  <c r="P76" i="31"/>
  <c r="AN18" i="31"/>
  <c r="AU16" i="31"/>
  <c r="AU18" i="31" s="1"/>
  <c r="Y86" i="31"/>
  <c r="AQ23" i="31"/>
  <c r="Y24" i="31"/>
  <c r="L78" i="31"/>
  <c r="L31" i="31"/>
  <c r="AS25" i="31"/>
  <c r="Y78" i="31"/>
  <c r="AQ25" i="31"/>
  <c r="Z25" i="31"/>
  <c r="Z27" i="31"/>
  <c r="AB27" i="31"/>
  <c r="AS27" i="31" s="1"/>
  <c r="AA27" i="31"/>
  <c r="AR27" i="31" s="1"/>
  <c r="AP27" i="31"/>
  <c r="U84" i="31"/>
  <c r="Z29" i="31"/>
  <c r="AB29" i="31"/>
  <c r="AA29" i="31"/>
  <c r="L84" i="31"/>
  <c r="AS30" i="31"/>
  <c r="AW36" i="31"/>
  <c r="AW37" i="31" s="1"/>
  <c r="AN36" i="31"/>
  <c r="AU36" i="31" s="1"/>
  <c r="Z45" i="31"/>
  <c r="AP45" i="31"/>
  <c r="AB45" i="31"/>
  <c r="AS45" i="31" s="1"/>
  <c r="AA45" i="31"/>
  <c r="AR45" i="31" s="1"/>
  <c r="N77" i="31"/>
  <c r="N15" i="31"/>
  <c r="AE18" i="31"/>
  <c r="AT18" i="31"/>
  <c r="AP29" i="31"/>
  <c r="Q37" i="31"/>
  <c r="U32" i="31"/>
  <c r="AV32" i="31"/>
  <c r="AN32" i="31"/>
  <c r="AU32" i="31" s="1"/>
  <c r="AL37" i="31"/>
  <c r="AQ35" i="31"/>
  <c r="AQ37" i="31" s="1"/>
  <c r="AQ15" i="31"/>
  <c r="Q18" i="31"/>
  <c r="U16" i="31"/>
  <c r="I17" i="31"/>
  <c r="Z17" i="31"/>
  <c r="AB17" i="31"/>
  <c r="AS17" i="31" s="1"/>
  <c r="AA17" i="31"/>
  <c r="AR17" i="31" s="1"/>
  <c r="K18" i="31"/>
  <c r="I21" i="31"/>
  <c r="AA21" i="31"/>
  <c r="AR21" i="31" s="1"/>
  <c r="AP21" i="31"/>
  <c r="Z21" i="31"/>
  <c r="AT86" i="31"/>
  <c r="AT24" i="31"/>
  <c r="AQ26" i="31"/>
  <c r="Z26" i="31"/>
  <c r="AT27" i="31"/>
  <c r="AE84" i="31"/>
  <c r="AT29" i="31"/>
  <c r="AV30" i="31"/>
  <c r="AM37" i="31"/>
  <c r="AB33" i="31"/>
  <c r="AS33" i="31" s="1"/>
  <c r="AA33" i="31"/>
  <c r="AV35" i="31"/>
  <c r="K85" i="31"/>
  <c r="K39" i="31"/>
  <c r="I38" i="31"/>
  <c r="AS35" i="31"/>
  <c r="I35" i="31"/>
  <c r="AV15" i="31"/>
  <c r="N83" i="31"/>
  <c r="V73" i="31"/>
  <c r="O17" i="45" s="1"/>
  <c r="I28" i="31"/>
  <c r="AA28" i="31"/>
  <c r="AR28" i="31" s="1"/>
  <c r="AP28" i="31"/>
  <c r="Z28" i="31"/>
  <c r="I30" i="31"/>
  <c r="U31" i="31"/>
  <c r="Y31" i="31"/>
  <c r="AM31" i="31"/>
  <c r="Z36" i="31"/>
  <c r="AF36" i="31" s="1"/>
  <c r="AO36" i="31" s="1"/>
  <c r="AP36" i="31"/>
  <c r="AB36" i="31"/>
  <c r="AM85" i="31"/>
  <c r="AM39" i="31"/>
  <c r="AW38" i="31"/>
  <c r="AP59" i="31"/>
  <c r="Z59" i="31"/>
  <c r="AA59" i="31"/>
  <c r="AR59" i="31" s="1"/>
  <c r="AB59" i="31"/>
  <c r="AS59" i="31" s="1"/>
  <c r="Y42" i="31"/>
  <c r="AV48" i="31"/>
  <c r="AN48" i="31"/>
  <c r="AU48" i="31" s="1"/>
  <c r="AL51" i="31"/>
  <c r="N63" i="31"/>
  <c r="AV70" i="31"/>
  <c r="Z55" i="31"/>
  <c r="AA55" i="31"/>
  <c r="AR55" i="31" s="1"/>
  <c r="AT61" i="31"/>
  <c r="AT63" i="31" s="1"/>
  <c r="AE63" i="31"/>
  <c r="AW12" i="31"/>
  <c r="AW13" i="31"/>
  <c r="AM83" i="31"/>
  <c r="AW14" i="31"/>
  <c r="AW83" i="31" s="1"/>
  <c r="R73" i="31"/>
  <c r="K17" i="45" s="1"/>
  <c r="W73" i="31"/>
  <c r="P17" i="45" s="1"/>
  <c r="AJ73" i="31"/>
  <c r="AC17" i="45" s="1"/>
  <c r="AQ17" i="31"/>
  <c r="AQ18" i="31" s="1"/>
  <c r="AV17" i="31"/>
  <c r="AV19" i="31"/>
  <c r="AN19" i="31"/>
  <c r="AU19" i="31" s="1"/>
  <c r="AL86" i="31"/>
  <c r="AL24" i="31"/>
  <c r="AV23" i="31"/>
  <c r="N78" i="31"/>
  <c r="K84" i="31"/>
  <c r="Y84" i="31"/>
  <c r="AL84" i="31"/>
  <c r="AQ29" i="31"/>
  <c r="AV29" i="31"/>
  <c r="N31" i="31"/>
  <c r="AV33" i="31"/>
  <c r="AN33" i="31"/>
  <c r="AU33" i="31" s="1"/>
  <c r="Z40" i="31"/>
  <c r="AV40" i="31"/>
  <c r="Z41" i="31"/>
  <c r="AV41" i="31"/>
  <c r="AW43" i="31"/>
  <c r="AN45" i="31"/>
  <c r="AU45" i="31" s="1"/>
  <c r="AQ46" i="31"/>
  <c r="AQ47" i="31" s="1"/>
  <c r="Q47" i="31"/>
  <c r="AQ52" i="31"/>
  <c r="AQ56" i="31" s="1"/>
  <c r="Y56" i="31"/>
  <c r="AS53" i="31"/>
  <c r="I53" i="31"/>
  <c r="Z53" i="31"/>
  <c r="AV53" i="31"/>
  <c r="Z54" i="31"/>
  <c r="AP54" i="31"/>
  <c r="AM63" i="31"/>
  <c r="AP60" i="31"/>
  <c r="AP61" i="31"/>
  <c r="AA61" i="31"/>
  <c r="AR61" i="31" s="1"/>
  <c r="Z61" i="31"/>
  <c r="AP62" i="31"/>
  <c r="AA62" i="31"/>
  <c r="AR62" i="31" s="1"/>
  <c r="Z62" i="31"/>
  <c r="AU64" i="31"/>
  <c r="AN65" i="31"/>
  <c r="AU65" i="31" s="1"/>
  <c r="K77" i="31"/>
  <c r="I12" i="31"/>
  <c r="U15" i="31"/>
  <c r="AP12" i="31"/>
  <c r="AA12" i="31"/>
  <c r="AE77" i="31"/>
  <c r="AT12" i="31"/>
  <c r="AN12" i="31"/>
  <c r="AU12" i="31" s="1"/>
  <c r="I13" i="31"/>
  <c r="AP13" i="31"/>
  <c r="AA13" i="31"/>
  <c r="AR13" i="31" s="1"/>
  <c r="K83" i="31"/>
  <c r="I14" i="31"/>
  <c r="U83" i="31"/>
  <c r="AP14" i="31"/>
  <c r="AA14" i="31"/>
  <c r="AE83" i="31"/>
  <c r="AT14" i="31"/>
  <c r="AN14" i="31"/>
  <c r="AU14" i="31" s="1"/>
  <c r="S73" i="31"/>
  <c r="L17" i="45" s="1"/>
  <c r="X73" i="31"/>
  <c r="Q17" i="45" s="1"/>
  <c r="AG73" i="31"/>
  <c r="L18" i="31"/>
  <c r="K22" i="31"/>
  <c r="U19" i="31"/>
  <c r="AM22" i="31"/>
  <c r="AA20" i="31"/>
  <c r="AV20" i="31"/>
  <c r="AN20" i="31"/>
  <c r="AU20" i="31" s="1"/>
  <c r="AL22" i="31"/>
  <c r="N86" i="31"/>
  <c r="N24" i="31"/>
  <c r="L24" i="31"/>
  <c r="AW24" i="31"/>
  <c r="AM78" i="31"/>
  <c r="AW25" i="31"/>
  <c r="AL27" i="31"/>
  <c r="AM84" i="31"/>
  <c r="AW29" i="31"/>
  <c r="AR29" i="31"/>
  <c r="L37" i="31"/>
  <c r="AA34" i="31"/>
  <c r="AV34" i="31"/>
  <c r="AN34" i="31"/>
  <c r="AU34" i="31" s="1"/>
  <c r="K37" i="31"/>
  <c r="AA40" i="31"/>
  <c r="AA41" i="31"/>
  <c r="AR41" i="31" s="1"/>
  <c r="K80" i="31"/>
  <c r="U43" i="31"/>
  <c r="AQ80" i="31"/>
  <c r="AA44" i="31"/>
  <c r="AF44" i="31" s="1"/>
  <c r="AV44" i="31"/>
  <c r="AN44" i="31"/>
  <c r="AU44" i="31" s="1"/>
  <c r="AE47" i="31"/>
  <c r="AM47" i="31"/>
  <c r="Q51" i="31"/>
  <c r="U48" i="31"/>
  <c r="AW51" i="31"/>
  <c r="L56" i="31"/>
  <c r="AS52" i="31"/>
  <c r="I52" i="31"/>
  <c r="Z52" i="31"/>
  <c r="AV52" i="31"/>
  <c r="AB55" i="31"/>
  <c r="AS55" i="31" s="1"/>
  <c r="AL56" i="31"/>
  <c r="K66" i="31"/>
  <c r="I64" i="31"/>
  <c r="U66" i="31"/>
  <c r="Z64" i="31"/>
  <c r="AB64" i="31"/>
  <c r="AB66" i="31" s="1"/>
  <c r="AA64" i="31"/>
  <c r="AV64" i="31"/>
  <c r="AV66" i="31" s="1"/>
  <c r="AL66" i="31"/>
  <c r="AL72" i="31"/>
  <c r="AV67" i="31"/>
  <c r="AN67" i="31"/>
  <c r="AE86" i="31"/>
  <c r="AT64" i="31"/>
  <c r="AT66" i="31" s="1"/>
  <c r="AE66" i="31"/>
  <c r="AV69" i="31"/>
  <c r="AN69" i="31"/>
  <c r="AU69" i="31" s="1"/>
  <c r="Y77" i="31"/>
  <c r="Y15" i="31"/>
  <c r="L83" i="31"/>
  <c r="Y83" i="31"/>
  <c r="O73" i="31"/>
  <c r="T73" i="31"/>
  <c r="M17" i="45" s="1"/>
  <c r="AD73" i="31"/>
  <c r="W17" i="45" s="1"/>
  <c r="AH73" i="31"/>
  <c r="AV21" i="31"/>
  <c r="AN21" i="31"/>
  <c r="AU21" i="31" s="1"/>
  <c r="I23" i="31"/>
  <c r="Q86" i="31"/>
  <c r="U23" i="31"/>
  <c r="AN23" i="31"/>
  <c r="K78" i="31"/>
  <c r="I25" i="31"/>
  <c r="AP25" i="31"/>
  <c r="AA25" i="31"/>
  <c r="AE78" i="31"/>
  <c r="AT25" i="31"/>
  <c r="I26" i="31"/>
  <c r="AP26" i="31"/>
  <c r="AA26" i="31"/>
  <c r="AR26" i="31" s="1"/>
  <c r="I27" i="31"/>
  <c r="AV28" i="31"/>
  <c r="AN28" i="31"/>
  <c r="AU28" i="31" s="1"/>
  <c r="Q84" i="31"/>
  <c r="AN29" i="31"/>
  <c r="Z30" i="31"/>
  <c r="AF30" i="31" s="1"/>
  <c r="AP30" i="31"/>
  <c r="K31" i="31"/>
  <c r="Z35" i="31"/>
  <c r="AP35" i="31"/>
  <c r="AS36" i="31"/>
  <c r="AL85" i="31"/>
  <c r="AV38" i="31"/>
  <c r="AN38" i="31"/>
  <c r="AU38" i="31" s="1"/>
  <c r="Q39" i="31"/>
  <c r="I40" i="31"/>
  <c r="AN40" i="31"/>
  <c r="I41" i="31"/>
  <c r="AL80" i="31"/>
  <c r="AV43" i="31"/>
  <c r="AN43" i="31"/>
  <c r="Z46" i="31"/>
  <c r="AB46" i="31"/>
  <c r="AS46" i="31" s="1"/>
  <c r="AA46" i="31"/>
  <c r="AR46" i="31" s="1"/>
  <c r="I50" i="31"/>
  <c r="AA50" i="31"/>
  <c r="AR50" i="31" s="1"/>
  <c r="AP50" i="31"/>
  <c r="Z50" i="31"/>
  <c r="AA54" i="31"/>
  <c r="AR54" i="31" s="1"/>
  <c r="AW54" i="31"/>
  <c r="AW56" i="31" s="1"/>
  <c r="AM56" i="31"/>
  <c r="I55" i="31"/>
  <c r="AP55" i="31"/>
  <c r="K56" i="31"/>
  <c r="K63" i="31"/>
  <c r="I58" i="31"/>
  <c r="AA58" i="31"/>
  <c r="AP58" i="31"/>
  <c r="Z58" i="31"/>
  <c r="AV59" i="31"/>
  <c r="AN59" i="31"/>
  <c r="AU59" i="31" s="1"/>
  <c r="Z60" i="31"/>
  <c r="AF60" i="31" s="1"/>
  <c r="AV60" i="31"/>
  <c r="AN60" i="31"/>
  <c r="AU60" i="31" s="1"/>
  <c r="AB61" i="31"/>
  <c r="AS61" i="31" s="1"/>
  <c r="AB62" i="31"/>
  <c r="AS62" i="31" s="1"/>
  <c r="L66" i="31"/>
  <c r="Y66" i="31"/>
  <c r="AM66" i="31"/>
  <c r="AM72" i="31"/>
  <c r="AW67" i="31"/>
  <c r="AV68" i="31"/>
  <c r="AN68" i="31"/>
  <c r="AU68" i="31" s="1"/>
  <c r="AJ76" i="31"/>
  <c r="AD102" i="30"/>
  <c r="Q77" i="31"/>
  <c r="AL77" i="31"/>
  <c r="Q83" i="31"/>
  <c r="AL83" i="31"/>
  <c r="M73" i="31"/>
  <c r="F17" i="45" s="1"/>
  <c r="Q15" i="31"/>
  <c r="AC73" i="31"/>
  <c r="AK73" i="31"/>
  <c r="AD17" i="45" s="1"/>
  <c r="Q78" i="31"/>
  <c r="N84" i="31"/>
  <c r="AE39" i="31"/>
  <c r="N80" i="31"/>
  <c r="AU43" i="31"/>
  <c r="N47" i="31"/>
  <c r="K51" i="31"/>
  <c r="AM51" i="31"/>
  <c r="AA49" i="31"/>
  <c r="AR49" i="31" s="1"/>
  <c r="AV49" i="31"/>
  <c r="AN49" i="31"/>
  <c r="AU49" i="31" s="1"/>
  <c r="AU52" i="31"/>
  <c r="AA52" i="31"/>
  <c r="AU53" i="31"/>
  <c r="AA53" i="31"/>
  <c r="AR53" i="31" s="1"/>
  <c r="Q56" i="31"/>
  <c r="U56" i="31"/>
  <c r="I57" i="31"/>
  <c r="Q63" i="31"/>
  <c r="AV57" i="31"/>
  <c r="AN57" i="31"/>
  <c r="AW57" i="31"/>
  <c r="AR60" i="31"/>
  <c r="AL63" i="31"/>
  <c r="AW66" i="31"/>
  <c r="I65" i="31"/>
  <c r="AB68" i="31"/>
  <c r="AS68" i="31" s="1"/>
  <c r="AP68" i="31"/>
  <c r="AB69" i="31"/>
  <c r="AS69" i="31" s="1"/>
  <c r="AP69" i="31"/>
  <c r="AS70" i="31"/>
  <c r="I70" i="31"/>
  <c r="Z71" i="31"/>
  <c r="AF71" i="31" s="1"/>
  <c r="AO71" i="31" s="1"/>
  <c r="AP71" i="31"/>
  <c r="S76" i="31"/>
  <c r="T76" i="31"/>
  <c r="AC76" i="31"/>
  <c r="AV50" i="31"/>
  <c r="AN50" i="31"/>
  <c r="AU50" i="31" s="1"/>
  <c r="U63" i="31"/>
  <c r="AB57" i="31"/>
  <c r="AV58" i="31"/>
  <c r="AN58" i="31"/>
  <c r="AU58" i="31" s="1"/>
  <c r="AP65" i="31"/>
  <c r="AP66" i="31" s="1"/>
  <c r="AA65" i="31"/>
  <c r="AR65" i="31" s="1"/>
  <c r="Z65" i="31"/>
  <c r="K72" i="31"/>
  <c r="Z67" i="31"/>
  <c r="AR68" i="31"/>
  <c r="AR69" i="31"/>
  <c r="L47" i="31"/>
  <c r="L72" i="31"/>
  <c r="J76" i="31"/>
  <c r="O76" i="31"/>
  <c r="AI76" i="31"/>
  <c r="AD76" i="31"/>
  <c r="Z70" i="31"/>
  <c r="AF70" i="31" s="1"/>
  <c r="AP70" i="31"/>
  <c r="AS71" i="31"/>
  <c r="AH187" i="29"/>
  <c r="V102" i="30"/>
  <c r="M102" i="30"/>
  <c r="AG102" i="30"/>
  <c r="AK102" i="30"/>
  <c r="AL103" i="30"/>
  <c r="AV12" i="30"/>
  <c r="AN12" i="30"/>
  <c r="Q112" i="30"/>
  <c r="U16" i="30"/>
  <c r="AL112" i="30"/>
  <c r="AV16" i="30"/>
  <c r="AN16" i="30"/>
  <c r="AL17" i="30"/>
  <c r="AB25" i="30"/>
  <c r="AS25" i="30" s="1"/>
  <c r="AA25" i="30"/>
  <c r="AR25" i="30" s="1"/>
  <c r="AP25" i="30"/>
  <c r="Z25" i="30"/>
  <c r="AQ26" i="30"/>
  <c r="AQ28" i="30" s="1"/>
  <c r="N28" i="30"/>
  <c r="K111" i="30"/>
  <c r="K30" i="30"/>
  <c r="I29" i="30"/>
  <c r="U111" i="30"/>
  <c r="U30" i="30"/>
  <c r="AA29" i="30"/>
  <c r="AP29" i="30"/>
  <c r="Z29" i="30"/>
  <c r="I39" i="30"/>
  <c r="AA39" i="30"/>
  <c r="AR39" i="30" s="1"/>
  <c r="AP39" i="30"/>
  <c r="Z39" i="30"/>
  <c r="AQ45" i="30"/>
  <c r="AQ48" i="30" s="1"/>
  <c r="Y48" i="30"/>
  <c r="Z45" i="30"/>
  <c r="Q91" i="30"/>
  <c r="U85" i="30"/>
  <c r="I95" i="30"/>
  <c r="AN96" i="30"/>
  <c r="AU96" i="30" s="1"/>
  <c r="AV96" i="30"/>
  <c r="K103" i="30"/>
  <c r="K15" i="30"/>
  <c r="AP12" i="30"/>
  <c r="Z12" i="30"/>
  <c r="AM109" i="30"/>
  <c r="AW14" i="30"/>
  <c r="AW109" i="30" s="1"/>
  <c r="AN14" i="30"/>
  <c r="AT112" i="30"/>
  <c r="AT17" i="30"/>
  <c r="AV19" i="30"/>
  <c r="AN19" i="30"/>
  <c r="AU19" i="30" s="1"/>
  <c r="Q110" i="30"/>
  <c r="U20" i="30"/>
  <c r="AL110" i="30"/>
  <c r="AV20" i="30"/>
  <c r="AN20" i="30"/>
  <c r="Z21" i="30"/>
  <c r="AB21" i="30"/>
  <c r="AS21" i="30" s="1"/>
  <c r="AV21" i="30"/>
  <c r="AN21" i="30"/>
  <c r="AU21" i="30" s="1"/>
  <c r="Z22" i="30"/>
  <c r="AB22" i="30"/>
  <c r="AV22" i="30"/>
  <c r="AN22" i="30"/>
  <c r="AU22" i="30" s="1"/>
  <c r="Z26" i="30"/>
  <c r="AP26" i="30"/>
  <c r="AB26" i="30"/>
  <c r="AS26" i="30" s="1"/>
  <c r="AA26" i="30"/>
  <c r="AR26" i="30" s="1"/>
  <c r="AW27" i="30"/>
  <c r="AN27" i="30"/>
  <c r="AU27" i="30" s="1"/>
  <c r="AQ31" i="30"/>
  <c r="Y37" i="30"/>
  <c r="Z31" i="30"/>
  <c r="AQ34" i="30"/>
  <c r="Z34" i="30"/>
  <c r="Z36" i="30"/>
  <c r="AA36" i="30"/>
  <c r="AR36" i="30" s="1"/>
  <c r="AP36" i="30"/>
  <c r="AS58" i="30"/>
  <c r="L61" i="30"/>
  <c r="AQ58" i="30"/>
  <c r="AQ61" i="30" s="1"/>
  <c r="Z58" i="30"/>
  <c r="I64" i="30"/>
  <c r="K65" i="30"/>
  <c r="AP64" i="30"/>
  <c r="AA64" i="30"/>
  <c r="AR64" i="30" s="1"/>
  <c r="Z64" i="30"/>
  <c r="AB64" i="30"/>
  <c r="AB65" i="30" s="1"/>
  <c r="AA12" i="30"/>
  <c r="AR12" i="30" s="1"/>
  <c r="AM103" i="30"/>
  <c r="AW12" i="30"/>
  <c r="AM15" i="30"/>
  <c r="I13" i="30"/>
  <c r="AP13" i="30"/>
  <c r="AA13" i="30"/>
  <c r="AR13" i="30" s="1"/>
  <c r="Z13" i="30"/>
  <c r="AL15" i="30"/>
  <c r="I17" i="30"/>
  <c r="N104" i="30"/>
  <c r="N23" i="30"/>
  <c r="AC104" i="30"/>
  <c r="AC102" i="30" s="1"/>
  <c r="AE19" i="30"/>
  <c r="AT19" i="30" s="1"/>
  <c r="AA21" i="30"/>
  <c r="AR21" i="30" s="1"/>
  <c r="AP21" i="30"/>
  <c r="AS22" i="30"/>
  <c r="AA22" i="30"/>
  <c r="AR22" i="30" s="1"/>
  <c r="AP22" i="30"/>
  <c r="I26" i="30"/>
  <c r="AM111" i="30"/>
  <c r="AM30" i="30"/>
  <c r="AW29" i="30"/>
  <c r="Y106" i="30"/>
  <c r="AQ32" i="30"/>
  <c r="AQ33" i="30"/>
  <c r="Z33" i="30"/>
  <c r="AF33" i="30" s="1"/>
  <c r="AW35" i="30"/>
  <c r="AW37" i="30" s="1"/>
  <c r="AM37" i="30"/>
  <c r="AN35" i="30"/>
  <c r="AU35" i="30" s="1"/>
  <c r="AB36" i="30"/>
  <c r="AP40" i="30"/>
  <c r="Z40" i="30"/>
  <c r="AB40" i="30"/>
  <c r="AS40" i="30" s="1"/>
  <c r="AV40" i="30"/>
  <c r="AN40" i="30"/>
  <c r="AU40" i="30" s="1"/>
  <c r="AB42" i="30"/>
  <c r="AS42" i="30" s="1"/>
  <c r="AA42" i="30"/>
  <c r="AR42" i="30" s="1"/>
  <c r="AP42" i="30"/>
  <c r="Z42" i="30"/>
  <c r="U46" i="30"/>
  <c r="Q48" i="30"/>
  <c r="K61" i="30"/>
  <c r="I55" i="30"/>
  <c r="U61" i="30"/>
  <c r="AA55" i="30"/>
  <c r="AP55" i="30"/>
  <c r="Z55" i="30"/>
  <c r="AB55" i="30"/>
  <c r="K80" i="30"/>
  <c r="I75" i="30"/>
  <c r="Z75" i="30"/>
  <c r="AP75" i="30"/>
  <c r="AB75" i="30"/>
  <c r="U80" i="30"/>
  <c r="AA75" i="30"/>
  <c r="I79" i="30"/>
  <c r="Z79" i="30"/>
  <c r="AP79" i="30"/>
  <c r="AB79" i="30"/>
  <c r="AS79" i="30" s="1"/>
  <c r="AA79" i="30"/>
  <c r="AR79" i="30" s="1"/>
  <c r="I12" i="30"/>
  <c r="Q103" i="30"/>
  <c r="Q15" i="30"/>
  <c r="AB12" i="30"/>
  <c r="AQ15" i="30"/>
  <c r="K109" i="30"/>
  <c r="I14" i="30"/>
  <c r="AP14" i="30"/>
  <c r="J99" i="30"/>
  <c r="C16" i="45" s="1"/>
  <c r="V99" i="30"/>
  <c r="AT110" i="30"/>
  <c r="AV26" i="30"/>
  <c r="Z27" i="30"/>
  <c r="AP27" i="30"/>
  <c r="AB27" i="30"/>
  <c r="AS27" i="30" s="1"/>
  <c r="AB29" i="30"/>
  <c r="AB39" i="30"/>
  <c r="AS39" i="30" s="1"/>
  <c r="I43" i="30"/>
  <c r="AA43" i="30"/>
  <c r="AR43" i="30" s="1"/>
  <c r="AP43" i="30"/>
  <c r="Z43" i="30"/>
  <c r="AA50" i="30"/>
  <c r="AR50" i="30" s="1"/>
  <c r="Z50" i="30"/>
  <c r="AP50" i="30"/>
  <c r="AB50" i="30"/>
  <c r="AS50" i="30" s="1"/>
  <c r="I51" i="30"/>
  <c r="Y103" i="30"/>
  <c r="AN13" i="30"/>
  <c r="AU13" i="30" s="1"/>
  <c r="L109" i="30"/>
  <c r="Y109" i="30"/>
  <c r="AV14" i="30"/>
  <c r="O99" i="30"/>
  <c r="H16" i="45" s="1"/>
  <c r="S99" i="30"/>
  <c r="L16" i="45" s="1"/>
  <c r="W99" i="30"/>
  <c r="P16" i="45" s="1"/>
  <c r="AE15" i="30"/>
  <c r="AQ16" i="30"/>
  <c r="Q104" i="30"/>
  <c r="AA18" i="30"/>
  <c r="AT18" i="30"/>
  <c r="I19" i="30"/>
  <c r="K110" i="30"/>
  <c r="AM110" i="30"/>
  <c r="R23" i="30"/>
  <c r="AL23" i="30"/>
  <c r="AA24" i="30"/>
  <c r="AV24" i="30"/>
  <c r="AN24" i="30"/>
  <c r="AW24" i="30"/>
  <c r="AV31" i="30"/>
  <c r="AV32" i="30"/>
  <c r="AV33" i="30"/>
  <c r="AV34" i="30"/>
  <c r="AB35" i="30"/>
  <c r="AS35" i="30" s="1"/>
  <c r="K37" i="30"/>
  <c r="AL37" i="30"/>
  <c r="AR40" i="30"/>
  <c r="AA41" i="30"/>
  <c r="AF41" i="30" s="1"/>
  <c r="AO41" i="30" s="1"/>
  <c r="AV41" i="30"/>
  <c r="AN41" i="30"/>
  <c r="AU41" i="30" s="1"/>
  <c r="AV45" i="30"/>
  <c r="AN45" i="30"/>
  <c r="AU45" i="30" s="1"/>
  <c r="AL48" i="30"/>
  <c r="AS45" i="30"/>
  <c r="L48" i="30"/>
  <c r="AL54" i="30"/>
  <c r="AV50" i="30"/>
  <c r="AN50" i="30"/>
  <c r="AU50" i="30" s="1"/>
  <c r="AV51" i="30"/>
  <c r="AN51" i="30"/>
  <c r="AU51" i="30" s="1"/>
  <c r="I53" i="30"/>
  <c r="AW61" i="30"/>
  <c r="Z56" i="30"/>
  <c r="AA56" i="30"/>
  <c r="AM61" i="30"/>
  <c r="AN65" i="30"/>
  <c r="AU62" i="30"/>
  <c r="I68" i="30"/>
  <c r="Z68" i="30"/>
  <c r="AP68" i="30"/>
  <c r="AB68" i="30"/>
  <c r="AS68" i="30" s="1"/>
  <c r="AA68" i="30"/>
  <c r="AR68" i="30" s="1"/>
  <c r="AP73" i="30"/>
  <c r="AA73" i="30"/>
  <c r="AR73" i="30" s="1"/>
  <c r="Z73" i="30"/>
  <c r="AB73" i="30"/>
  <c r="AS73" i="30" s="1"/>
  <c r="I78" i="30"/>
  <c r="Z78" i="30"/>
  <c r="AP78" i="30"/>
  <c r="AB78" i="30"/>
  <c r="AS78" i="30" s="1"/>
  <c r="AA78" i="30"/>
  <c r="AR78" i="30" s="1"/>
  <c r="AT84" i="30"/>
  <c r="AB94" i="30"/>
  <c r="AS94" i="30" s="1"/>
  <c r="Z94" i="30"/>
  <c r="AP94" i="30"/>
  <c r="AA94" i="30"/>
  <c r="AR94" i="30" s="1"/>
  <c r="N109" i="30"/>
  <c r="L15" i="30"/>
  <c r="P99" i="30"/>
  <c r="I16" i="45" s="1"/>
  <c r="T99" i="30"/>
  <c r="M16" i="45" s="1"/>
  <c r="X99" i="30"/>
  <c r="Q16" i="45" s="1"/>
  <c r="AJ99" i="30"/>
  <c r="AC16" i="45" s="1"/>
  <c r="AE17" i="30"/>
  <c r="K104" i="30"/>
  <c r="AB18" i="30"/>
  <c r="AM104" i="30"/>
  <c r="L110" i="30"/>
  <c r="Y110" i="30"/>
  <c r="K23" i="30"/>
  <c r="AI23" i="30"/>
  <c r="AM23" i="30"/>
  <c r="AQ23" i="30"/>
  <c r="AB24" i="30"/>
  <c r="AV25" i="30"/>
  <c r="AN25" i="30"/>
  <c r="AU25" i="30" s="1"/>
  <c r="K28" i="30"/>
  <c r="AL28" i="30"/>
  <c r="N106" i="30"/>
  <c r="AU33" i="30"/>
  <c r="AU34" i="30"/>
  <c r="AP35" i="30"/>
  <c r="AS36" i="30"/>
  <c r="Q37" i="30"/>
  <c r="AV38" i="30"/>
  <c r="AN38" i="30"/>
  <c r="AV42" i="30"/>
  <c r="AN42" i="30"/>
  <c r="AU42" i="30" s="1"/>
  <c r="AL44" i="30"/>
  <c r="N48" i="30"/>
  <c r="AR45" i="30"/>
  <c r="AV46" i="30"/>
  <c r="AN46" i="30"/>
  <c r="AU46" i="30" s="1"/>
  <c r="K54" i="30"/>
  <c r="AM54" i="30"/>
  <c r="AW50" i="30"/>
  <c r="AW54" i="30" s="1"/>
  <c r="AP57" i="30"/>
  <c r="AB57" i="30"/>
  <c r="AS57" i="30" s="1"/>
  <c r="Z57" i="30"/>
  <c r="AT63" i="30"/>
  <c r="AT65" i="30" s="1"/>
  <c r="AE65" i="30"/>
  <c r="I67" i="30"/>
  <c r="Z67" i="30"/>
  <c r="AP67" i="30"/>
  <c r="AB67" i="30"/>
  <c r="AS67" i="30" s="1"/>
  <c r="AA67" i="30"/>
  <c r="AR67" i="30" s="1"/>
  <c r="L71" i="30"/>
  <c r="AS70" i="30"/>
  <c r="AQ70" i="30"/>
  <c r="AQ71" i="30" s="1"/>
  <c r="Z70" i="30"/>
  <c r="I77" i="30"/>
  <c r="Z77" i="30"/>
  <c r="AP77" i="30"/>
  <c r="AB77" i="30"/>
  <c r="AS77" i="30" s="1"/>
  <c r="AA77" i="30"/>
  <c r="AR77" i="30" s="1"/>
  <c r="N84" i="30"/>
  <c r="AP87" i="30"/>
  <c r="AA87" i="30"/>
  <c r="AR87" i="30" s="1"/>
  <c r="Z87" i="30"/>
  <c r="AV93" i="30"/>
  <c r="AN93" i="30"/>
  <c r="AU93" i="30" s="1"/>
  <c r="AT14" i="30"/>
  <c r="M99" i="30"/>
  <c r="F16" i="45" s="1"/>
  <c r="Y15" i="30"/>
  <c r="AC99" i="30"/>
  <c r="AG99" i="30"/>
  <c r="Z16" i="45" s="1"/>
  <c r="AK99" i="30"/>
  <c r="L17" i="30"/>
  <c r="L104" i="30"/>
  <c r="Y104" i="30"/>
  <c r="AN18" i="30"/>
  <c r="AU18" i="30" s="1"/>
  <c r="U19" i="30"/>
  <c r="AW20" i="30"/>
  <c r="L23" i="30"/>
  <c r="L28" i="30"/>
  <c r="AL111" i="30"/>
  <c r="AV29" i="30"/>
  <c r="AN29" i="30"/>
  <c r="AU29" i="30" s="1"/>
  <c r="AQ111" i="30"/>
  <c r="Q30" i="30"/>
  <c r="I31" i="30"/>
  <c r="AS31" i="30"/>
  <c r="I32" i="30"/>
  <c r="Q106" i="30"/>
  <c r="U32" i="30"/>
  <c r="AN32" i="30"/>
  <c r="AU32" i="30" s="1"/>
  <c r="I33" i="30"/>
  <c r="AO33" i="30" s="1"/>
  <c r="I34" i="30"/>
  <c r="N37" i="30"/>
  <c r="K44" i="30"/>
  <c r="U38" i="30"/>
  <c r="AM44" i="30"/>
  <c r="AV39" i="30"/>
  <c r="AN39" i="30"/>
  <c r="AU39" i="30" s="1"/>
  <c r="AV43" i="30"/>
  <c r="AN43" i="30"/>
  <c r="AU43" i="30" s="1"/>
  <c r="Z47" i="30"/>
  <c r="AV47" i="30"/>
  <c r="AN47" i="30"/>
  <c r="AU47" i="30" s="1"/>
  <c r="L54" i="30"/>
  <c r="Y54" i="30"/>
  <c r="AQ49" i="30"/>
  <c r="AQ54" i="30" s="1"/>
  <c r="AB56" i="30"/>
  <c r="AS56" i="30" s="1"/>
  <c r="AP56" i="30"/>
  <c r="I66" i="30"/>
  <c r="K71" i="30"/>
  <c r="Z66" i="30"/>
  <c r="U71" i="30"/>
  <c r="AP66" i="30"/>
  <c r="AB66" i="30"/>
  <c r="AA66" i="30"/>
  <c r="AR66" i="30" s="1"/>
  <c r="AT72" i="30"/>
  <c r="AT74" i="30" s="1"/>
  <c r="AE74" i="30"/>
  <c r="K74" i="30"/>
  <c r="I76" i="30"/>
  <c r="Z76" i="30"/>
  <c r="AP76" i="30"/>
  <c r="AB76" i="30"/>
  <c r="AS76" i="30" s="1"/>
  <c r="AA76" i="30"/>
  <c r="AR76" i="30" s="1"/>
  <c r="AV82" i="30"/>
  <c r="AN82" i="30"/>
  <c r="AU82" i="30" s="1"/>
  <c r="Z86" i="30"/>
  <c r="AB86" i="30"/>
  <c r="AS86" i="30" s="1"/>
  <c r="AP86" i="30"/>
  <c r="AA86" i="30"/>
  <c r="AR86" i="30" s="1"/>
  <c r="AE30" i="30"/>
  <c r="K106" i="30"/>
  <c r="AM106" i="30"/>
  <c r="I49" i="30"/>
  <c r="AA49" i="30"/>
  <c r="AF49" i="30" s="1"/>
  <c r="AP49" i="30"/>
  <c r="I50" i="30"/>
  <c r="Z52" i="30"/>
  <c r="Z53" i="30"/>
  <c r="Y61" i="30"/>
  <c r="AT61" i="30"/>
  <c r="AR56" i="30"/>
  <c r="R106" i="30"/>
  <c r="R102" i="30" s="1"/>
  <c r="R61" i="30"/>
  <c r="AU58" i="30"/>
  <c r="I60" i="30"/>
  <c r="AE61" i="30"/>
  <c r="AQ62" i="30"/>
  <c r="AQ65" i="30" s="1"/>
  <c r="I63" i="30"/>
  <c r="AP63" i="30"/>
  <c r="AA63" i="30"/>
  <c r="AR63" i="30" s="1"/>
  <c r="Z63" i="30"/>
  <c r="Y71" i="30"/>
  <c r="AL71" i="30"/>
  <c r="AV66" i="30"/>
  <c r="AN66" i="30"/>
  <c r="AT71" i="30"/>
  <c r="AV67" i="30"/>
  <c r="AN67" i="30"/>
  <c r="AU67" i="30" s="1"/>
  <c r="AV68" i="30"/>
  <c r="AN68" i="30"/>
  <c r="AU68" i="30" s="1"/>
  <c r="I72" i="30"/>
  <c r="U74" i="30"/>
  <c r="AP72" i="30"/>
  <c r="AP74" i="30" s="1"/>
  <c r="AA72" i="30"/>
  <c r="Z72" i="30"/>
  <c r="AR72" i="30"/>
  <c r="AR74" i="30" s="1"/>
  <c r="AV75" i="30"/>
  <c r="AN75" i="30"/>
  <c r="AV76" i="30"/>
  <c r="AN76" i="30"/>
  <c r="AU76" i="30" s="1"/>
  <c r="AV77" i="30"/>
  <c r="AN77" i="30"/>
  <c r="AU77" i="30" s="1"/>
  <c r="AV78" i="30"/>
  <c r="AN78" i="30"/>
  <c r="AU78" i="30" s="1"/>
  <c r="AV79" i="30"/>
  <c r="AN79" i="30"/>
  <c r="AU79" i="30" s="1"/>
  <c r="Q84" i="30"/>
  <c r="U81" i="30"/>
  <c r="AW84" i="30"/>
  <c r="AA82" i="30"/>
  <c r="Y91" i="30"/>
  <c r="AQ85" i="30"/>
  <c r="AQ91" i="30" s="1"/>
  <c r="AB93" i="30"/>
  <c r="AS93" i="30" s="1"/>
  <c r="Z93" i="30"/>
  <c r="AA93" i="30"/>
  <c r="AR93" i="30" s="1"/>
  <c r="Z96" i="30"/>
  <c r="AA96" i="30"/>
  <c r="AR96" i="30" s="1"/>
  <c r="AP96" i="30"/>
  <c r="AB96" i="30"/>
  <c r="AS96" i="30" s="1"/>
  <c r="AA52" i="30"/>
  <c r="AR52" i="30" s="1"/>
  <c r="AP52" i="30"/>
  <c r="AA53" i="30"/>
  <c r="AR53" i="30" s="1"/>
  <c r="AP53" i="30"/>
  <c r="N61" i="30"/>
  <c r="AV56" i="30"/>
  <c r="AN56" i="30"/>
  <c r="AU56" i="30" s="1"/>
  <c r="AU59" i="30"/>
  <c r="I62" i="30"/>
  <c r="U65" i="30"/>
  <c r="AP62" i="30"/>
  <c r="AA62" i="30"/>
  <c r="Z62" i="30"/>
  <c r="AR62" i="30"/>
  <c r="AS63" i="30"/>
  <c r="AM65" i="30"/>
  <c r="N71" i="30"/>
  <c r="AW71" i="30"/>
  <c r="L74" i="30"/>
  <c r="AS72" i="30"/>
  <c r="AM74" i="30"/>
  <c r="AW75" i="30"/>
  <c r="AW80" i="30" s="1"/>
  <c r="AM80" i="30"/>
  <c r="I83" i="30"/>
  <c r="AA83" i="30"/>
  <c r="AR83" i="30" s="1"/>
  <c r="AP83" i="30"/>
  <c r="Z83" i="30"/>
  <c r="N91" i="30"/>
  <c r="AP89" i="30"/>
  <c r="AA89" i="30"/>
  <c r="AR89" i="30" s="1"/>
  <c r="AB89" i="30"/>
  <c r="AS89" i="30" s="1"/>
  <c r="Z89" i="30"/>
  <c r="AN90" i="30"/>
  <c r="AU90" i="30" s="1"/>
  <c r="AW90" i="30"/>
  <c r="L98" i="30"/>
  <c r="I92" i="30"/>
  <c r="AU92" i="30"/>
  <c r="Q61" i="30"/>
  <c r="AV55" i="30"/>
  <c r="AN55" i="30"/>
  <c r="AU55" i="30" s="1"/>
  <c r="AI106" i="30"/>
  <c r="AI102" i="30" s="1"/>
  <c r="AL57" i="30"/>
  <c r="AL106" i="30" s="1"/>
  <c r="I58" i="30"/>
  <c r="AU60" i="30"/>
  <c r="L65" i="30"/>
  <c r="AS62" i="30"/>
  <c r="I70" i="30"/>
  <c r="AV81" i="30"/>
  <c r="AN81" i="30"/>
  <c r="AU81" i="30" s="1"/>
  <c r="AL84" i="30"/>
  <c r="AV85" i="30"/>
  <c r="AN85" i="30"/>
  <c r="AU85" i="30" s="1"/>
  <c r="AV86" i="30"/>
  <c r="AN86" i="30"/>
  <c r="AU86" i="30" s="1"/>
  <c r="AI91" i="30"/>
  <c r="AI99" i="30" s="1"/>
  <c r="AB16" i="45" s="1"/>
  <c r="AL87" i="30"/>
  <c r="AL91" i="30" s="1"/>
  <c r="AE98" i="30"/>
  <c r="AT92" i="30"/>
  <c r="AT98" i="30" s="1"/>
  <c r="AV94" i="30"/>
  <c r="AN94" i="30"/>
  <c r="AU94" i="30" s="1"/>
  <c r="AA58" i="30"/>
  <c r="AR58" i="30" s="1"/>
  <c r="AP58" i="30"/>
  <c r="AA59" i="30"/>
  <c r="AP59" i="30"/>
  <c r="AA60" i="30"/>
  <c r="AR60" i="30" s="1"/>
  <c r="AP60" i="30"/>
  <c r="AA69" i="30"/>
  <c r="AR69" i="30" s="1"/>
  <c r="AP69" i="30"/>
  <c r="AA70" i="30"/>
  <c r="AR70" i="30" s="1"/>
  <c r="AP70" i="30"/>
  <c r="K84" i="30"/>
  <c r="AM84" i="30"/>
  <c r="AQ81" i="30"/>
  <c r="AQ84" i="30" s="1"/>
  <c r="I90" i="30"/>
  <c r="AP90" i="30"/>
  <c r="AA90" i="30"/>
  <c r="AR90" i="30" s="1"/>
  <c r="Q98" i="30"/>
  <c r="U92" i="30"/>
  <c r="AL98" i="30"/>
  <c r="I97" i="30"/>
  <c r="AP97" i="30"/>
  <c r="AA97" i="30"/>
  <c r="AR97" i="30" s="1"/>
  <c r="Z97" i="30"/>
  <c r="AV83" i="30"/>
  <c r="AN83" i="30"/>
  <c r="AU83" i="30" s="1"/>
  <c r="AW91" i="30"/>
  <c r="I88" i="30"/>
  <c r="AP88" i="30"/>
  <c r="AA88" i="30"/>
  <c r="Y98" i="30"/>
  <c r="AQ92" i="30"/>
  <c r="AQ98" i="30" s="1"/>
  <c r="AB95" i="30"/>
  <c r="AS95" i="30" s="1"/>
  <c r="Z95" i="30"/>
  <c r="O102" i="30"/>
  <c r="J102" i="30"/>
  <c r="AN88" i="30"/>
  <c r="AU88" i="30" s="1"/>
  <c r="AW92" i="30"/>
  <c r="AW98" i="30" s="1"/>
  <c r="AS97" i="30"/>
  <c r="AH102" i="30"/>
  <c r="K98" i="30"/>
  <c r="S102" i="30"/>
  <c r="AN97" i="30"/>
  <c r="AU97" i="30" s="1"/>
  <c r="M187" i="29"/>
  <c r="AK187" i="29"/>
  <c r="Z21" i="29"/>
  <c r="AB21" i="29"/>
  <c r="AS21" i="29" s="1"/>
  <c r="AP21" i="29"/>
  <c r="AA21" i="29"/>
  <c r="AR21" i="29" s="1"/>
  <c r="Z20" i="29"/>
  <c r="AB20" i="29"/>
  <c r="U22" i="29"/>
  <c r="AP20" i="29"/>
  <c r="AA20" i="29"/>
  <c r="I19" i="29"/>
  <c r="AW16" i="29"/>
  <c r="AS27" i="29"/>
  <c r="AE16" i="29"/>
  <c r="AB17" i="29"/>
  <c r="AB18" i="29"/>
  <c r="AS18" i="29" s="1"/>
  <c r="Q22" i="29"/>
  <c r="AW39" i="29"/>
  <c r="AW42" i="29" s="1"/>
  <c r="AM42" i="29"/>
  <c r="I40" i="29"/>
  <c r="AP40" i="29"/>
  <c r="AA40" i="29"/>
  <c r="AR40" i="29" s="1"/>
  <c r="Z40" i="29"/>
  <c r="Z43" i="29"/>
  <c r="AB43" i="29"/>
  <c r="AV43" i="29"/>
  <c r="AN43" i="29"/>
  <c r="AL46" i="29"/>
  <c r="L53" i="29"/>
  <c r="AS51" i="29"/>
  <c r="AQ51" i="29"/>
  <c r="AQ53" i="29" s="1"/>
  <c r="Y53" i="29"/>
  <c r="I54" i="29"/>
  <c r="K57" i="29"/>
  <c r="U57" i="29"/>
  <c r="AP54" i="29"/>
  <c r="AA54" i="29"/>
  <c r="AR54" i="29" s="1"/>
  <c r="Z54" i="29"/>
  <c r="I63" i="29"/>
  <c r="AP63" i="29"/>
  <c r="AA63" i="29"/>
  <c r="AR63" i="29" s="1"/>
  <c r="AB63" i="29"/>
  <c r="AS63" i="29" s="1"/>
  <c r="Z63" i="29"/>
  <c r="L68" i="29"/>
  <c r="AQ65" i="29"/>
  <c r="AQ68" i="29" s="1"/>
  <c r="I12" i="29"/>
  <c r="AA12" i="29"/>
  <c r="AP12" i="29"/>
  <c r="AT12" i="29"/>
  <c r="M184" i="29"/>
  <c r="F15" i="45" s="1"/>
  <c r="Q13" i="29"/>
  <c r="U13" i="29"/>
  <c r="Y13" i="29"/>
  <c r="AG184" i="29"/>
  <c r="Z15" i="45" s="1"/>
  <c r="AK184" i="29"/>
  <c r="AD15" i="45" s="1"/>
  <c r="AW13" i="29"/>
  <c r="N188" i="29"/>
  <c r="Z14" i="29"/>
  <c r="N194" i="29"/>
  <c r="Z15" i="29"/>
  <c r="L16" i="29"/>
  <c r="AN17" i="29"/>
  <c r="AN18" i="29"/>
  <c r="AU18" i="29" s="1"/>
  <c r="K19" i="29"/>
  <c r="AM19" i="29"/>
  <c r="AL22" i="29"/>
  <c r="AA23" i="29"/>
  <c r="AT23" i="29"/>
  <c r="AT25" i="29" s="1"/>
  <c r="AA24" i="29"/>
  <c r="AR24" i="29" s="1"/>
  <c r="AP24" i="29"/>
  <c r="Y25" i="29"/>
  <c r="AW26" i="29"/>
  <c r="AW28" i="29" s="1"/>
  <c r="Z27" i="29"/>
  <c r="Z29" i="29"/>
  <c r="AB29" i="29"/>
  <c r="AV29" i="29"/>
  <c r="AN29" i="29"/>
  <c r="AU29" i="29" s="1"/>
  <c r="AL31" i="29"/>
  <c r="N34" i="29"/>
  <c r="AW34" i="29"/>
  <c r="AB33" i="29"/>
  <c r="AS33" i="29" s="1"/>
  <c r="AP33" i="29"/>
  <c r="AA33" i="29"/>
  <c r="AR33" i="29" s="1"/>
  <c r="L38" i="29"/>
  <c r="AQ35" i="29"/>
  <c r="AQ38" i="29" s="1"/>
  <c r="Y38" i="29"/>
  <c r="AU35" i="29"/>
  <c r="AS36" i="29"/>
  <c r="AS37" i="29"/>
  <c r="I41" i="29"/>
  <c r="AP41" i="29"/>
  <c r="AA41" i="29"/>
  <c r="AR41" i="29" s="1"/>
  <c r="Z41" i="29"/>
  <c r="AQ46" i="29"/>
  <c r="Z44" i="29"/>
  <c r="AB44" i="29"/>
  <c r="AS44" i="29" s="1"/>
  <c r="AV44" i="29"/>
  <c r="AN44" i="29"/>
  <c r="AU44" i="29" s="1"/>
  <c r="Q46" i="29"/>
  <c r="U46" i="29"/>
  <c r="AW54" i="29"/>
  <c r="AW57" i="29" s="1"/>
  <c r="AM57" i="29"/>
  <c r="I55" i="29"/>
  <c r="AP55" i="29"/>
  <c r="AA55" i="29"/>
  <c r="AR55" i="29" s="1"/>
  <c r="Z55" i="29"/>
  <c r="AT62" i="29"/>
  <c r="AT64" i="29" s="1"/>
  <c r="AE64" i="29"/>
  <c r="Z67" i="29"/>
  <c r="AA67" i="29"/>
  <c r="AR67" i="29" s="1"/>
  <c r="AP67" i="29"/>
  <c r="AT71" i="29"/>
  <c r="AL76" i="29"/>
  <c r="AV74" i="29"/>
  <c r="AV76" i="29" s="1"/>
  <c r="AN74" i="29"/>
  <c r="AU74" i="29" s="1"/>
  <c r="I75" i="29"/>
  <c r="Z75" i="29"/>
  <c r="AB75" i="29"/>
  <c r="AS75" i="29" s="1"/>
  <c r="AA75" i="29"/>
  <c r="AR75" i="29" s="1"/>
  <c r="AB12" i="29"/>
  <c r="AQ12" i="29"/>
  <c r="J184" i="29"/>
  <c r="C15" i="45" s="1"/>
  <c r="N13" i="29"/>
  <c r="V184" i="29"/>
  <c r="O15" i="45" s="1"/>
  <c r="Z13" i="29"/>
  <c r="AD184" i="29"/>
  <c r="W15" i="45" s="1"/>
  <c r="AH184" i="29"/>
  <c r="AL13" i="29"/>
  <c r="Q188" i="29"/>
  <c r="AA14" i="29"/>
  <c r="AL188" i="29"/>
  <c r="AP14" i="29"/>
  <c r="AT14" i="29"/>
  <c r="Q194" i="29"/>
  <c r="AA15" i="29"/>
  <c r="AL194" i="29"/>
  <c r="AT15" i="29"/>
  <c r="AT194" i="29" s="1"/>
  <c r="Q16" i="29"/>
  <c r="Y16" i="29"/>
  <c r="Z17" i="29"/>
  <c r="Z18" i="29"/>
  <c r="AN20" i="29"/>
  <c r="AN21" i="29"/>
  <c r="AU21" i="29" s="1"/>
  <c r="I26" i="29"/>
  <c r="AT26" i="29"/>
  <c r="AT28" i="29" s="1"/>
  <c r="AA27" i="29"/>
  <c r="AR27" i="29" s="1"/>
  <c r="AP27" i="29"/>
  <c r="AQ31" i="29"/>
  <c r="Z30" i="29"/>
  <c r="AB30" i="29"/>
  <c r="AS30" i="29" s="1"/>
  <c r="AV30" i="29"/>
  <c r="AN30" i="29"/>
  <c r="AU30" i="29" s="1"/>
  <c r="AB32" i="29"/>
  <c r="U34" i="29"/>
  <c r="AP32" i="29"/>
  <c r="AA32" i="29"/>
  <c r="AE38" i="29"/>
  <c r="AB40" i="29"/>
  <c r="AB42" i="29" s="1"/>
  <c r="AS41" i="29"/>
  <c r="AA43" i="29"/>
  <c r="AP43" i="29"/>
  <c r="AP46" i="29" s="1"/>
  <c r="Z45" i="29"/>
  <c r="AB45" i="29"/>
  <c r="AS45" i="29" s="1"/>
  <c r="AV45" i="29"/>
  <c r="AN45" i="29"/>
  <c r="AU45" i="29" s="1"/>
  <c r="N50" i="29"/>
  <c r="AU47" i="29"/>
  <c r="AE53" i="29"/>
  <c r="AB54" i="29"/>
  <c r="AQ57" i="29"/>
  <c r="I56" i="29"/>
  <c r="AP56" i="29"/>
  <c r="AA56" i="29"/>
  <c r="AR56" i="29" s="1"/>
  <c r="Z56" i="29"/>
  <c r="U58" i="29"/>
  <c r="Q61" i="29"/>
  <c r="AB59" i="29"/>
  <c r="AS59" i="29" s="1"/>
  <c r="AA59" i="29"/>
  <c r="AR59" i="29" s="1"/>
  <c r="AP59" i="29"/>
  <c r="Z59" i="29"/>
  <c r="AB60" i="29"/>
  <c r="AS60" i="29" s="1"/>
  <c r="AA60" i="29"/>
  <c r="AR60" i="29" s="1"/>
  <c r="AP60" i="29"/>
  <c r="Z60" i="29"/>
  <c r="AE61" i="29"/>
  <c r="AU63" i="29"/>
  <c r="Q68" i="29"/>
  <c r="AN65" i="29"/>
  <c r="AL68" i="29"/>
  <c r="AS69" i="29"/>
  <c r="I70" i="29"/>
  <c r="I71" i="29" s="1"/>
  <c r="AB70" i="29"/>
  <c r="AS70" i="29" s="1"/>
  <c r="AA70" i="29"/>
  <c r="AR70" i="29" s="1"/>
  <c r="Z70" i="29"/>
  <c r="AS72" i="29"/>
  <c r="AW73" i="29"/>
  <c r="AN73" i="29"/>
  <c r="AU73" i="29" s="1"/>
  <c r="N189" i="29"/>
  <c r="N82" i="29"/>
  <c r="K13" i="29"/>
  <c r="O184" i="29"/>
  <c r="S184" i="29"/>
  <c r="L15" i="45" s="1"/>
  <c r="W184" i="29"/>
  <c r="P15" i="45" s="1"/>
  <c r="AE13" i="29"/>
  <c r="K188" i="29"/>
  <c r="AB14" i="29"/>
  <c r="AS14" i="29" s="1"/>
  <c r="AM188" i="29"/>
  <c r="AQ14" i="29"/>
  <c r="AU14" i="29"/>
  <c r="K194" i="29"/>
  <c r="U194" i="29"/>
  <c r="AB15" i="29"/>
  <c r="AM194" i="29"/>
  <c r="AQ15" i="29"/>
  <c r="AA17" i="29"/>
  <c r="AP17" i="29"/>
  <c r="AP19" i="29" s="1"/>
  <c r="AA18" i="29"/>
  <c r="AR18" i="29" s="1"/>
  <c r="AQ26" i="29"/>
  <c r="AQ28" i="29" s="1"/>
  <c r="AU26" i="29"/>
  <c r="AU28" i="29" s="1"/>
  <c r="AA31" i="29"/>
  <c r="AP31" i="29"/>
  <c r="AR30" i="29"/>
  <c r="I39" i="29"/>
  <c r="K42" i="29"/>
  <c r="U42" i="29"/>
  <c r="AP39" i="29"/>
  <c r="AA39" i="29"/>
  <c r="Z39" i="29"/>
  <c r="AV42" i="29"/>
  <c r="AT46" i="29"/>
  <c r="I46" i="29"/>
  <c r="I51" i="29"/>
  <c r="I52" i="29"/>
  <c r="I62" i="29"/>
  <c r="K64" i="29"/>
  <c r="U64" i="29"/>
  <c r="AP62" i="29"/>
  <c r="AA62" i="29"/>
  <c r="AB62" i="29"/>
  <c r="Z62" i="29"/>
  <c r="I65" i="29"/>
  <c r="U68" i="29"/>
  <c r="AB67" i="29"/>
  <c r="AS67" i="29" s="1"/>
  <c r="AE71" i="29"/>
  <c r="AP75" i="29"/>
  <c r="N76" i="29"/>
  <c r="AT32" i="29"/>
  <c r="AT34" i="29" s="1"/>
  <c r="Q34" i="29"/>
  <c r="Y34" i="29"/>
  <c r="Z36" i="29"/>
  <c r="Z37" i="29"/>
  <c r="AN39" i="29"/>
  <c r="AN40" i="29"/>
  <c r="AU40" i="29" s="1"/>
  <c r="AN41" i="29"/>
  <c r="AU41" i="29" s="1"/>
  <c r="AU43" i="29"/>
  <c r="I47" i="29"/>
  <c r="AP47" i="29"/>
  <c r="AT47" i="29"/>
  <c r="AT50" i="29" s="1"/>
  <c r="AA48" i="29"/>
  <c r="AP48" i="29"/>
  <c r="AA49" i="29"/>
  <c r="AP49" i="29"/>
  <c r="Y50" i="29"/>
  <c r="Z51" i="29"/>
  <c r="Z52" i="29"/>
  <c r="AN54" i="29"/>
  <c r="AN55" i="29"/>
  <c r="AU55" i="29" s="1"/>
  <c r="AN56" i="29"/>
  <c r="AU56" i="29" s="1"/>
  <c r="AA65" i="29"/>
  <c r="AN66" i="29"/>
  <c r="AU66" i="29" s="1"/>
  <c r="K68" i="29"/>
  <c r="Z69" i="29"/>
  <c r="AP69" i="29"/>
  <c r="AP71" i="29" s="1"/>
  <c r="AP72" i="29"/>
  <c r="AA72" i="29"/>
  <c r="AE76" i="29"/>
  <c r="AR29" i="29"/>
  <c r="AA36" i="29"/>
  <c r="AR36" i="29" s="1"/>
  <c r="AP36" i="29"/>
  <c r="AA37" i="29"/>
  <c r="AR37" i="29" s="1"/>
  <c r="AP37" i="29"/>
  <c r="AS39" i="29"/>
  <c r="AA51" i="29"/>
  <c r="AP51" i="29"/>
  <c r="AA52" i="29"/>
  <c r="AR52" i="29" s="1"/>
  <c r="AP52" i="29"/>
  <c r="U53" i="29"/>
  <c r="AV58" i="29"/>
  <c r="AV61" i="29" s="1"/>
  <c r="AM64" i="29"/>
  <c r="AB65" i="29"/>
  <c r="AT65" i="29"/>
  <c r="AT68" i="29" s="1"/>
  <c r="Z66" i="29"/>
  <c r="AP66" i="29"/>
  <c r="AM68" i="29"/>
  <c r="AA69" i="29"/>
  <c r="AL71" i="29"/>
  <c r="AV69" i="29"/>
  <c r="AV71" i="29" s="1"/>
  <c r="AN69" i="29"/>
  <c r="AW69" i="29"/>
  <c r="Y76" i="29"/>
  <c r="AP73" i="29"/>
  <c r="AA73" i="29"/>
  <c r="AR73" i="29" s="1"/>
  <c r="K76" i="29"/>
  <c r="AS78" i="29"/>
  <c r="L82" i="29"/>
  <c r="N195" i="29"/>
  <c r="AU84" i="29"/>
  <c r="AU85" i="29"/>
  <c r="AU86" i="29"/>
  <c r="N61" i="29"/>
  <c r="AU60" i="29"/>
  <c r="Z65" i="29"/>
  <c r="AP65" i="29"/>
  <c r="AS66" i="29"/>
  <c r="K71" i="29"/>
  <c r="AU72" i="29"/>
  <c r="AM76" i="29"/>
  <c r="R188" i="29"/>
  <c r="U74" i="29"/>
  <c r="R76" i="29"/>
  <c r="Y189" i="29"/>
  <c r="Y82" i="29"/>
  <c r="AJ189" i="29"/>
  <c r="AJ187" i="29" s="1"/>
  <c r="AL77" i="29"/>
  <c r="AJ82" i="29"/>
  <c r="AJ184" i="29" s="1"/>
  <c r="AC15" i="45" s="1"/>
  <c r="Q195" i="29"/>
  <c r="U80" i="29"/>
  <c r="Q82" i="29"/>
  <c r="AW83" i="29"/>
  <c r="AW84" i="29"/>
  <c r="AW85" i="29"/>
  <c r="AW86" i="29"/>
  <c r="AW87" i="29"/>
  <c r="AP89" i="29"/>
  <c r="AB90" i="29"/>
  <c r="AS90" i="29" s="1"/>
  <c r="AP90" i="29"/>
  <c r="AV90" i="29"/>
  <c r="AV91" i="29"/>
  <c r="AV92" i="29"/>
  <c r="AV93" i="29"/>
  <c r="K94" i="29"/>
  <c r="U94" i="29"/>
  <c r="AP96" i="29"/>
  <c r="AA96" i="29"/>
  <c r="AR96" i="29" s="1"/>
  <c r="AE100" i="29"/>
  <c r="AM100" i="29"/>
  <c r="AU101" i="29"/>
  <c r="Y130" i="29"/>
  <c r="AQ125" i="29"/>
  <c r="AQ130" i="29" s="1"/>
  <c r="AE82" i="29"/>
  <c r="AN83" i="29"/>
  <c r="AN88" i="29" s="1"/>
  <c r="AP84" i="29"/>
  <c r="AA84" i="29"/>
  <c r="AR84" i="29" s="1"/>
  <c r="AP85" i="29"/>
  <c r="AA85" i="29"/>
  <c r="AR85" i="29" s="1"/>
  <c r="AP86" i="29"/>
  <c r="AA86" i="29"/>
  <c r="AR86" i="29" s="1"/>
  <c r="AP87" i="29"/>
  <c r="AA87" i="29"/>
  <c r="AR87" i="29" s="1"/>
  <c r="AL94" i="29"/>
  <c r="AV89" i="29"/>
  <c r="AU91" i="29"/>
  <c r="AU93" i="29"/>
  <c r="L94" i="29"/>
  <c r="AE94" i="29"/>
  <c r="AP97" i="29"/>
  <c r="AA97" i="29"/>
  <c r="AR97" i="29" s="1"/>
  <c r="AN98" i="29"/>
  <c r="I102" i="29"/>
  <c r="AA102" i="29"/>
  <c r="AR102" i="29" s="1"/>
  <c r="AP102" i="29"/>
  <c r="Z102" i="29"/>
  <c r="L106" i="29"/>
  <c r="L112" i="29"/>
  <c r="I107" i="29"/>
  <c r="I109" i="29"/>
  <c r="I111" i="29"/>
  <c r="N118" i="29"/>
  <c r="I117" i="29"/>
  <c r="AP117" i="29"/>
  <c r="AA117" i="29"/>
  <c r="AR117" i="29" s="1"/>
  <c r="AB117" i="29"/>
  <c r="AS117" i="29" s="1"/>
  <c r="Z117" i="29"/>
  <c r="AV121" i="29"/>
  <c r="AV124" i="29" s="1"/>
  <c r="AN121" i="29"/>
  <c r="AU121" i="29" s="1"/>
  <c r="I77" i="29"/>
  <c r="Q189" i="29"/>
  <c r="U77" i="29"/>
  <c r="AM189" i="29"/>
  <c r="AW77" i="29"/>
  <c r="Y195" i="29"/>
  <c r="AQ80" i="29"/>
  <c r="AT80" i="29"/>
  <c r="AT195" i="29" s="1"/>
  <c r="K88" i="29"/>
  <c r="N94" i="29"/>
  <c r="AA89" i="29"/>
  <c r="AR89" i="29" s="1"/>
  <c r="Z90" i="29"/>
  <c r="I91" i="29"/>
  <c r="AO91" i="29" s="1"/>
  <c r="I92" i="29"/>
  <c r="I93" i="29"/>
  <c r="AN95" i="29"/>
  <c r="AU95" i="29" s="1"/>
  <c r="AV100" i="29"/>
  <c r="Z96" i="29"/>
  <c r="AP98" i="29"/>
  <c r="AA98" i="29"/>
  <c r="AR98" i="29" s="1"/>
  <c r="AN99" i="29"/>
  <c r="AU99" i="29" s="1"/>
  <c r="I101" i="29"/>
  <c r="Q106" i="29"/>
  <c r="U101" i="29"/>
  <c r="I103" i="29"/>
  <c r="Z103" i="29"/>
  <c r="AB103" i="29"/>
  <c r="AS103" i="29" s="1"/>
  <c r="AP103" i="29"/>
  <c r="I115" i="29"/>
  <c r="AP115" i="29"/>
  <c r="AA115" i="29"/>
  <c r="AR115" i="29" s="1"/>
  <c r="AB115" i="29"/>
  <c r="AS115" i="29" s="1"/>
  <c r="Z115" i="29"/>
  <c r="AB121" i="29"/>
  <c r="AS121" i="29" s="1"/>
  <c r="Z121" i="29"/>
  <c r="AP121" i="29"/>
  <c r="AA121" i="29"/>
  <c r="AR121" i="29" s="1"/>
  <c r="I126" i="29"/>
  <c r="I130" i="29" s="1"/>
  <c r="AA126" i="29"/>
  <c r="AR126" i="29" s="1"/>
  <c r="AB126" i="29"/>
  <c r="AS126" i="29" s="1"/>
  <c r="AP126" i="29"/>
  <c r="Z126" i="29"/>
  <c r="AT77" i="29"/>
  <c r="I78" i="29"/>
  <c r="AP78" i="29"/>
  <c r="AA78" i="29"/>
  <c r="AR78" i="29" s="1"/>
  <c r="I79" i="29"/>
  <c r="AP79" i="29"/>
  <c r="AA79" i="29"/>
  <c r="K195" i="29"/>
  <c r="I80" i="29"/>
  <c r="AL195" i="29"/>
  <c r="AV80" i="29"/>
  <c r="L195" i="29"/>
  <c r="Z81" i="29"/>
  <c r="AP81" i="29"/>
  <c r="K82" i="29"/>
  <c r="T82" i="29"/>
  <c r="T184" i="29" s="1"/>
  <c r="M15" i="45" s="1"/>
  <c r="Z83" i="29"/>
  <c r="Z84" i="29"/>
  <c r="Z85" i="29"/>
  <c r="Z86" i="29"/>
  <c r="AF86" i="29" s="1"/>
  <c r="Z87" i="29"/>
  <c r="AE88" i="29"/>
  <c r="AB89" i="29"/>
  <c r="AN89" i="29"/>
  <c r="R189" i="29"/>
  <c r="R94" i="29"/>
  <c r="I95" i="29"/>
  <c r="K100" i="29"/>
  <c r="U100" i="29"/>
  <c r="AP95" i="29"/>
  <c r="AA95" i="29"/>
  <c r="AQ100" i="29"/>
  <c r="AB96" i="29"/>
  <c r="AS96" i="29" s="1"/>
  <c r="AU97" i="29"/>
  <c r="Z97" i="29"/>
  <c r="AP99" i="29"/>
  <c r="AA99" i="29"/>
  <c r="AR99" i="29" s="1"/>
  <c r="N100" i="29"/>
  <c r="Y106" i="29"/>
  <c r="AQ101" i="29"/>
  <c r="AQ106" i="29" s="1"/>
  <c r="AM106" i="29"/>
  <c r="AV106" i="29"/>
  <c r="AB102" i="29"/>
  <c r="AS102" i="29" s="1"/>
  <c r="N106" i="29"/>
  <c r="I108" i="29"/>
  <c r="I110" i="29"/>
  <c r="K118" i="29"/>
  <c r="I113" i="29"/>
  <c r="AB113" i="29"/>
  <c r="I119" i="29"/>
  <c r="AN123" i="29"/>
  <c r="AU123" i="29" s="1"/>
  <c r="AW123" i="29"/>
  <c r="AU103" i="29"/>
  <c r="Z107" i="29"/>
  <c r="AB107" i="29"/>
  <c r="Z108" i="29"/>
  <c r="AB108" i="29"/>
  <c r="AS108" i="29" s="1"/>
  <c r="Z109" i="29"/>
  <c r="AB109" i="29"/>
  <c r="AS109" i="29" s="1"/>
  <c r="Z110" i="29"/>
  <c r="AB110" i="29"/>
  <c r="AS110" i="29" s="1"/>
  <c r="Z111" i="29"/>
  <c r="AB111" i="29"/>
  <c r="AS111" i="29" s="1"/>
  <c r="I114" i="29"/>
  <c r="AP114" i="29"/>
  <c r="AA114" i="29"/>
  <c r="AR114" i="29" s="1"/>
  <c r="I116" i="29"/>
  <c r="AP116" i="29"/>
  <c r="AA116" i="29"/>
  <c r="AR116" i="29" s="1"/>
  <c r="U119" i="29"/>
  <c r="Q124" i="29"/>
  <c r="AP104" i="29"/>
  <c r="AA104" i="29"/>
  <c r="AM118" i="29"/>
  <c r="AN113" i="29"/>
  <c r="AQ119" i="29"/>
  <c r="AQ124" i="29" s="1"/>
  <c r="Y124" i="29"/>
  <c r="AM124" i="29"/>
  <c r="AP122" i="29"/>
  <c r="AA122" i="29"/>
  <c r="AR122" i="29" s="1"/>
  <c r="Q130" i="29"/>
  <c r="U125" i="29"/>
  <c r="Z127" i="29"/>
  <c r="AB127" i="29"/>
  <c r="AP128" i="29"/>
  <c r="AA128" i="29"/>
  <c r="AR128" i="29" s="1"/>
  <c r="Y196" i="29"/>
  <c r="Y132" i="29"/>
  <c r="AQ131" i="29"/>
  <c r="L196" i="29"/>
  <c r="L132" i="29"/>
  <c r="I131" i="29"/>
  <c r="AT147" i="29"/>
  <c r="I105" i="29"/>
  <c r="AP105" i="29"/>
  <c r="AA105" i="29"/>
  <c r="AU108" i="29"/>
  <c r="AU109" i="29"/>
  <c r="AU110" i="29"/>
  <c r="AU111" i="29"/>
  <c r="AQ118" i="29"/>
  <c r="AW113" i="29"/>
  <c r="AW115" i="29"/>
  <c r="AW117" i="29"/>
  <c r="AE124" i="29"/>
  <c r="I120" i="29"/>
  <c r="AB120" i="29"/>
  <c r="AS120" i="29" s="1"/>
  <c r="Z120" i="29"/>
  <c r="Z122" i="29"/>
  <c r="I123" i="29"/>
  <c r="AP123" i="29"/>
  <c r="AA123" i="29"/>
  <c r="AN125" i="29"/>
  <c r="AV125" i="29"/>
  <c r="AV130" i="29" s="1"/>
  <c r="AN126" i="29"/>
  <c r="AU126" i="29" s="1"/>
  <c r="AS127" i="29"/>
  <c r="AA127" i="29"/>
  <c r="AR127" i="29" s="1"/>
  <c r="AN127" i="29"/>
  <c r="AU127" i="29" s="1"/>
  <c r="N130" i="29"/>
  <c r="Z128" i="29"/>
  <c r="AS152" i="29"/>
  <c r="AB129" i="29"/>
  <c r="AS129" i="29" s="1"/>
  <c r="AM196" i="29"/>
  <c r="AW131" i="29"/>
  <c r="I134" i="29"/>
  <c r="AP134" i="29"/>
  <c r="AA134" i="29"/>
  <c r="AR134" i="29" s="1"/>
  <c r="I136" i="29"/>
  <c r="AP136" i="29"/>
  <c r="AA136" i="29"/>
  <c r="AR136" i="29" s="1"/>
  <c r="AQ141" i="29"/>
  <c r="AQ147" i="29" s="1"/>
  <c r="Y147" i="29"/>
  <c r="AB144" i="29"/>
  <c r="AS144" i="29" s="1"/>
  <c r="Z144" i="29"/>
  <c r="L147" i="29"/>
  <c r="AT151" i="29"/>
  <c r="I153" i="29"/>
  <c r="AV153" i="29"/>
  <c r="AN153" i="29"/>
  <c r="AU153" i="29" s="1"/>
  <c r="I158" i="29"/>
  <c r="AP158" i="29"/>
  <c r="AA158" i="29"/>
  <c r="AR158" i="29" s="1"/>
  <c r="AM191" i="29"/>
  <c r="AW162" i="29"/>
  <c r="AW191" i="29" s="1"/>
  <c r="AI191" i="29"/>
  <c r="AI187" i="29" s="1"/>
  <c r="AI167" i="29"/>
  <c r="AL163" i="29"/>
  <c r="AL167" i="29" s="1"/>
  <c r="AT168" i="29"/>
  <c r="AT170" i="29" s="1"/>
  <c r="AE170" i="29"/>
  <c r="L189" i="29"/>
  <c r="AM195" i="29"/>
  <c r="AW101" i="29"/>
  <c r="AW106" i="29" s="1"/>
  <c r="AN104" i="29"/>
  <c r="AU104" i="29" s="1"/>
  <c r="AN105" i="29"/>
  <c r="AU105" i="29" s="1"/>
  <c r="AU107" i="29"/>
  <c r="AT113" i="29"/>
  <c r="AT118" i="29" s="1"/>
  <c r="AW119" i="29"/>
  <c r="AW125" i="29"/>
  <c r="AW130" i="29" s="1"/>
  <c r="AN128" i="29"/>
  <c r="AU128" i="29" s="1"/>
  <c r="AN129" i="29"/>
  <c r="AU129" i="29" s="1"/>
  <c r="U131" i="29"/>
  <c r="AN131" i="29"/>
  <c r="AU131" i="29" s="1"/>
  <c r="AT131" i="29"/>
  <c r="AM140" i="29"/>
  <c r="AP137" i="29"/>
  <c r="AA137" i="29"/>
  <c r="AR137" i="29" s="1"/>
  <c r="Z138" i="29"/>
  <c r="I139" i="29"/>
  <c r="AP139" i="29"/>
  <c r="AA139" i="29"/>
  <c r="AN141" i="29"/>
  <c r="AV141" i="29"/>
  <c r="AB143" i="29"/>
  <c r="AS143" i="29" s="1"/>
  <c r="Z143" i="29"/>
  <c r="Z145" i="29"/>
  <c r="I146" i="29"/>
  <c r="AP146" i="29"/>
  <c r="AA146" i="29"/>
  <c r="AR146" i="29" s="1"/>
  <c r="L151" i="29"/>
  <c r="AA148" i="29"/>
  <c r="AN148" i="29"/>
  <c r="AV148" i="29"/>
  <c r="AV151" i="29" s="1"/>
  <c r="AB150" i="29"/>
  <c r="AS150" i="29" s="1"/>
  <c r="Z150" i="29"/>
  <c r="AT156" i="29"/>
  <c r="Z154" i="29"/>
  <c r="AB154" i="29"/>
  <c r="AS154" i="29" s="1"/>
  <c r="AR154" i="29"/>
  <c r="Z155" i="29"/>
  <c r="AB155" i="29"/>
  <c r="AS155" i="29" s="1"/>
  <c r="AI156" i="29"/>
  <c r="AW158" i="29"/>
  <c r="AW159" i="29"/>
  <c r="AN159" i="29"/>
  <c r="AU159" i="29" s="1"/>
  <c r="AL132" i="29"/>
  <c r="K140" i="29"/>
  <c r="I133" i="29"/>
  <c r="AP133" i="29"/>
  <c r="AA133" i="29"/>
  <c r="AR133" i="29" s="1"/>
  <c r="U140" i="29"/>
  <c r="Z134" i="29"/>
  <c r="I135" i="29"/>
  <c r="AP135" i="29"/>
  <c r="AA135" i="29"/>
  <c r="AR135" i="29" s="1"/>
  <c r="Z136" i="29"/>
  <c r="AW137" i="29"/>
  <c r="AW139" i="29"/>
  <c r="AE147" i="29"/>
  <c r="I142" i="29"/>
  <c r="AB142" i="29"/>
  <c r="AS142" i="29" s="1"/>
  <c r="Z142" i="29"/>
  <c r="AA144" i="29"/>
  <c r="AR144" i="29" s="1"/>
  <c r="AN144" i="29"/>
  <c r="AU144" i="29" s="1"/>
  <c r="AW146" i="29"/>
  <c r="AP148" i="29"/>
  <c r="I149" i="29"/>
  <c r="AB149" i="29"/>
  <c r="AS149" i="29" s="1"/>
  <c r="Z149" i="29"/>
  <c r="Q151" i="29"/>
  <c r="Y151" i="29"/>
  <c r="I152" i="29"/>
  <c r="AP152" i="29"/>
  <c r="AA152" i="29"/>
  <c r="AR152" i="29" s="1"/>
  <c r="AE156" i="29"/>
  <c r="K160" i="29"/>
  <c r="I157" i="29"/>
  <c r="U160" i="29"/>
  <c r="AP157" i="29"/>
  <c r="AA157" i="29"/>
  <c r="AR157" i="29" s="1"/>
  <c r="Z158" i="29"/>
  <c r="I159" i="29"/>
  <c r="AP159" i="29"/>
  <c r="AA159" i="29"/>
  <c r="AR159" i="29" s="1"/>
  <c r="K167" i="29"/>
  <c r="AR161" i="29"/>
  <c r="I161" i="29"/>
  <c r="Z161" i="29"/>
  <c r="AP161" i="29"/>
  <c r="AB161" i="29"/>
  <c r="AS161" i="29" s="1"/>
  <c r="AA129" i="29"/>
  <c r="AR129" i="29" s="1"/>
  <c r="AV131" i="29"/>
  <c r="Q132" i="29"/>
  <c r="AM132" i="29"/>
  <c r="AB134" i="29"/>
  <c r="AS134" i="29" s="1"/>
  <c r="AB136" i="29"/>
  <c r="AS136" i="29" s="1"/>
  <c r="I138" i="29"/>
  <c r="AP138" i="29"/>
  <c r="AA138" i="29"/>
  <c r="AR138" i="29" s="1"/>
  <c r="U141" i="29"/>
  <c r="Q147" i="29"/>
  <c r="AP144" i="29"/>
  <c r="AP145" i="29"/>
  <c r="AA145" i="29"/>
  <c r="AR145" i="29" s="1"/>
  <c r="AB148" i="29"/>
  <c r="Z148" i="29"/>
  <c r="U153" i="29"/>
  <c r="U156" i="29" s="1"/>
  <c r="K156" i="29"/>
  <c r="AB158" i="29"/>
  <c r="AS158" i="29" s="1"/>
  <c r="AM160" i="29"/>
  <c r="AM167" i="29"/>
  <c r="AW161" i="29"/>
  <c r="K191" i="29"/>
  <c r="I162" i="29"/>
  <c r="AB166" i="29"/>
  <c r="AS166" i="29" s="1"/>
  <c r="AA166" i="29"/>
  <c r="AR166" i="29" s="1"/>
  <c r="Z166" i="29"/>
  <c r="AP166" i="29"/>
  <c r="AN181" i="29"/>
  <c r="AU181" i="29" s="1"/>
  <c r="AV181" i="29"/>
  <c r="AN133" i="29"/>
  <c r="AU133" i="29" s="1"/>
  <c r="AN134" i="29"/>
  <c r="AU134" i="29" s="1"/>
  <c r="AN135" i="29"/>
  <c r="AU135" i="29" s="1"/>
  <c r="AN136" i="29"/>
  <c r="AU136" i="29" s="1"/>
  <c r="AW141" i="29"/>
  <c r="AN152" i="29"/>
  <c r="AV152" i="29"/>
  <c r="AT157" i="29"/>
  <c r="AT160" i="29" s="1"/>
  <c r="U163" i="29"/>
  <c r="Z165" i="29"/>
  <c r="AV165" i="29"/>
  <c r="AN165" i="29"/>
  <c r="AU165" i="29" s="1"/>
  <c r="I168" i="29"/>
  <c r="L170" i="29"/>
  <c r="AU171" i="29"/>
  <c r="N176" i="29"/>
  <c r="AB174" i="29"/>
  <c r="AS174" i="29" s="1"/>
  <c r="Z174" i="29"/>
  <c r="AP174" i="29"/>
  <c r="AL183" i="29"/>
  <c r="R191" i="29"/>
  <c r="R167" i="29"/>
  <c r="AV166" i="29"/>
  <c r="AN166" i="29"/>
  <c r="AU166" i="29" s="1"/>
  <c r="AQ168" i="29"/>
  <c r="AQ170" i="29" s="1"/>
  <c r="Y170" i="29"/>
  <c r="AE176" i="29"/>
  <c r="AT171" i="29"/>
  <c r="AT176" i="29" s="1"/>
  <c r="L176" i="29"/>
  <c r="Y183" i="29"/>
  <c r="AQ177" i="29"/>
  <c r="AC189" i="29"/>
  <c r="AC187" i="29" s="1"/>
  <c r="AC183" i="29"/>
  <c r="AC184" i="29" s="1"/>
  <c r="AE179" i="29"/>
  <c r="AT179" i="29" s="1"/>
  <c r="AT183" i="29" s="1"/>
  <c r="AV180" i="29"/>
  <c r="AN180" i="29"/>
  <c r="AU180" i="29" s="1"/>
  <c r="AV160" i="29"/>
  <c r="AV161" i="29"/>
  <c r="AN161" i="29"/>
  <c r="AT167" i="29"/>
  <c r="AV162" i="29"/>
  <c r="AN162" i="29"/>
  <c r="N170" i="29"/>
  <c r="AU168" i="29"/>
  <c r="Z168" i="29"/>
  <c r="AV175" i="29"/>
  <c r="AN175" i="29"/>
  <c r="AU175" i="29" s="1"/>
  <c r="AW183" i="29"/>
  <c r="AB178" i="29"/>
  <c r="AS178" i="29" s="1"/>
  <c r="AP178" i="29"/>
  <c r="AA178" i="29"/>
  <c r="AR178" i="29" s="1"/>
  <c r="Z178" i="29"/>
  <c r="T187" i="29"/>
  <c r="L191" i="29"/>
  <c r="AE191" i="29"/>
  <c r="AA164" i="29"/>
  <c r="AP164" i="29"/>
  <c r="AA168" i="29"/>
  <c r="AP168" i="29"/>
  <c r="AA169" i="29"/>
  <c r="AR169" i="29" s="1"/>
  <c r="AP169" i="29"/>
  <c r="U170" i="29"/>
  <c r="AB172" i="29"/>
  <c r="AS172" i="29" s="1"/>
  <c r="AP172" i="29"/>
  <c r="AA172" i="29"/>
  <c r="AR172" i="29" s="1"/>
  <c r="AB173" i="29"/>
  <c r="AS173" i="29" s="1"/>
  <c r="AP173" i="29"/>
  <c r="AA173" i="29"/>
  <c r="AR173" i="29" s="1"/>
  <c r="L183" i="29"/>
  <c r="I177" i="29"/>
  <c r="AM183" i="29"/>
  <c r="AA179" i="29"/>
  <c r="AR179" i="29" s="1"/>
  <c r="Z179" i="29"/>
  <c r="AP179" i="29"/>
  <c r="N191" i="29"/>
  <c r="AL176" i="29"/>
  <c r="I172" i="29"/>
  <c r="I173" i="29"/>
  <c r="AR174" i="29"/>
  <c r="AV174" i="29"/>
  <c r="AN174" i="29"/>
  <c r="AU174" i="29" s="1"/>
  <c r="AU179" i="29"/>
  <c r="AV179" i="29"/>
  <c r="AV183" i="29" s="1"/>
  <c r="AN179" i="29"/>
  <c r="AP181" i="29"/>
  <c r="Z181" i="29"/>
  <c r="S187" i="29"/>
  <c r="I171" i="29"/>
  <c r="AA171" i="29"/>
  <c r="AP171" i="29"/>
  <c r="I174" i="29"/>
  <c r="Q183" i="29"/>
  <c r="AP182" i="29"/>
  <c r="AA182" i="29"/>
  <c r="AR182" i="29" s="1"/>
  <c r="Z182" i="29"/>
  <c r="O187" i="29"/>
  <c r="J187" i="29"/>
  <c r="V187" i="29"/>
  <c r="AD187" i="29"/>
  <c r="U177" i="29"/>
  <c r="AS182" i="29"/>
  <c r="W187" i="29"/>
  <c r="AA113" i="29" l="1"/>
  <c r="AW71" i="29"/>
  <c r="AF72" i="29"/>
  <c r="AA47" i="29"/>
  <c r="AA50" i="29" s="1"/>
  <c r="AF180" i="29"/>
  <c r="AO180" i="29" s="1"/>
  <c r="AP151" i="29"/>
  <c r="AV147" i="29"/>
  <c r="AF105" i="29"/>
  <c r="AP113" i="29"/>
  <c r="AN61" i="29"/>
  <c r="I25" i="29"/>
  <c r="AN176" i="29"/>
  <c r="Z113" i="29"/>
  <c r="I16" i="29"/>
  <c r="AN25" i="29"/>
  <c r="I88" i="29"/>
  <c r="I38" i="29"/>
  <c r="AP126" i="42"/>
  <c r="AL223" i="42"/>
  <c r="Z79" i="42"/>
  <c r="AW189" i="42"/>
  <c r="AF49" i="42"/>
  <c r="I177" i="42"/>
  <c r="AF175" i="42"/>
  <c r="AO175" i="42" s="1"/>
  <c r="U131" i="42"/>
  <c r="AP79" i="42"/>
  <c r="I78" i="42"/>
  <c r="AV137" i="42"/>
  <c r="AM223" i="42"/>
  <c r="AE223" i="42"/>
  <c r="AF195" i="42"/>
  <c r="AO195" i="42" s="1"/>
  <c r="I26" i="42"/>
  <c r="AB79" i="42"/>
  <c r="I76" i="42"/>
  <c r="I164" i="42"/>
  <c r="AF160" i="42"/>
  <c r="AO160" i="42" s="1"/>
  <c r="Z126" i="42"/>
  <c r="Z131" i="42" s="1"/>
  <c r="AA125" i="42"/>
  <c r="U85" i="42"/>
  <c r="Y223" i="42"/>
  <c r="AV95" i="42"/>
  <c r="Q223" i="42"/>
  <c r="AS38" i="42"/>
  <c r="AB131" i="42"/>
  <c r="AF135" i="42"/>
  <c r="AO135" i="42" s="1"/>
  <c r="AW202" i="42"/>
  <c r="AS66" i="42"/>
  <c r="AP65" i="42"/>
  <c r="AP69" i="42" s="1"/>
  <c r="AB152" i="42"/>
  <c r="AN38" i="42"/>
  <c r="AS137" i="42"/>
  <c r="I203" i="42"/>
  <c r="AF73" i="42"/>
  <c r="AO73" i="42" s="1"/>
  <c r="I18" i="42"/>
  <c r="AN189" i="42"/>
  <c r="AA113" i="42"/>
  <c r="AR113" i="42" s="1"/>
  <c r="AR115" i="42" s="1"/>
  <c r="AB105" i="42"/>
  <c r="AU135" i="42"/>
  <c r="AU137" i="42" s="1"/>
  <c r="AF128" i="42"/>
  <c r="AU131" i="42"/>
  <c r="U69" i="42"/>
  <c r="AP44" i="42"/>
  <c r="AP41" i="42"/>
  <c r="AF176" i="42"/>
  <c r="AO176" i="42" s="1"/>
  <c r="AF140" i="42"/>
  <c r="AO140" i="42" s="1"/>
  <c r="AW85" i="42"/>
  <c r="AV58" i="42"/>
  <c r="AU170" i="42"/>
  <c r="Z65" i="42"/>
  <c r="Z152" i="42"/>
  <c r="AU189" i="42"/>
  <c r="AN115" i="42"/>
  <c r="AF128" i="41"/>
  <c r="AO128" i="41" s="1"/>
  <c r="AF71" i="41"/>
  <c r="AO71" i="41" s="1"/>
  <c r="AW60" i="41"/>
  <c r="AP86" i="41"/>
  <c r="AP89" i="41" s="1"/>
  <c r="Z86" i="41"/>
  <c r="AM248" i="41"/>
  <c r="AF43" i="41"/>
  <c r="AO43" i="41" s="1"/>
  <c r="AE248" i="41"/>
  <c r="Q248" i="41"/>
  <c r="AP30" i="41"/>
  <c r="AA86" i="41"/>
  <c r="AQ154" i="41"/>
  <c r="AB30" i="41"/>
  <c r="U32" i="41"/>
  <c r="AF129" i="41"/>
  <c r="AO129" i="41" s="1"/>
  <c r="AN142" i="41"/>
  <c r="AF100" i="41"/>
  <c r="Y248" i="41"/>
  <c r="AW155" i="41"/>
  <c r="AO100" i="41"/>
  <c r="AR71" i="41"/>
  <c r="AV16" i="41"/>
  <c r="Z90" i="41"/>
  <c r="U95" i="41"/>
  <c r="AQ153" i="41"/>
  <c r="AN104" i="41"/>
  <c r="AU138" i="41"/>
  <c r="AF73" i="41"/>
  <c r="AO73" i="41" s="1"/>
  <c r="AQ111" i="41"/>
  <c r="AB90" i="41"/>
  <c r="AQ142" i="41"/>
  <c r="AP67" i="41"/>
  <c r="AM143" i="41"/>
  <c r="AF21" i="45" s="1"/>
  <c r="AF119" i="41"/>
  <c r="AF124" i="41"/>
  <c r="AQ118" i="41"/>
  <c r="AW153" i="41"/>
  <c r="AN95" i="41"/>
  <c r="AF152" i="40"/>
  <c r="AP51" i="40"/>
  <c r="AQ123" i="40"/>
  <c r="I44" i="40"/>
  <c r="AP150" i="40"/>
  <c r="AA163" i="40"/>
  <c r="AF146" i="40"/>
  <c r="AN126" i="40"/>
  <c r="I113" i="40"/>
  <c r="I59" i="40"/>
  <c r="Q164" i="40"/>
  <c r="J20" i="45" s="1"/>
  <c r="AF61" i="40"/>
  <c r="AO61" i="40" s="1"/>
  <c r="N166" i="40"/>
  <c r="AU90" i="40"/>
  <c r="Z33" i="40"/>
  <c r="AF33" i="40" s="1"/>
  <c r="U170" i="40"/>
  <c r="AB19" i="40"/>
  <c r="AA19" i="40"/>
  <c r="AU124" i="40"/>
  <c r="AU126" i="40" s="1"/>
  <c r="AU161" i="40"/>
  <c r="L164" i="40"/>
  <c r="E20" i="45" s="1"/>
  <c r="AF138" i="40"/>
  <c r="AO138" i="40" s="1"/>
  <c r="AA33" i="40"/>
  <c r="AR33" i="40" s="1"/>
  <c r="AF145" i="40"/>
  <c r="AA150" i="40"/>
  <c r="AN90" i="40"/>
  <c r="I159" i="40"/>
  <c r="AP126" i="40"/>
  <c r="AP33" i="40"/>
  <c r="AP38" i="40" s="1"/>
  <c r="AF141" i="40"/>
  <c r="AO141" i="40" s="1"/>
  <c r="I177" i="40"/>
  <c r="AO91" i="39"/>
  <c r="I117" i="39"/>
  <c r="AN136" i="39"/>
  <c r="I42" i="39"/>
  <c r="AW114" i="39"/>
  <c r="AA100" i="39"/>
  <c r="AP80" i="39"/>
  <c r="AB31" i="39"/>
  <c r="AB36" i="39" s="1"/>
  <c r="AF90" i="39"/>
  <c r="AO90" i="39" s="1"/>
  <c r="AP31" i="39"/>
  <c r="AU56" i="39"/>
  <c r="AF111" i="39"/>
  <c r="AO111" i="39" s="1"/>
  <c r="AP50" i="39"/>
  <c r="AF49" i="39"/>
  <c r="AO49" i="39" s="1"/>
  <c r="U36" i="39"/>
  <c r="AF92" i="39"/>
  <c r="AO92" i="39" s="1"/>
  <c r="AF81" i="39"/>
  <c r="AU12" i="39"/>
  <c r="Z50" i="39"/>
  <c r="I93" i="39"/>
  <c r="AL219" i="32"/>
  <c r="AU106" i="32"/>
  <c r="AF67" i="32"/>
  <c r="AO67" i="32" s="1"/>
  <c r="I63" i="32"/>
  <c r="AV95" i="32"/>
  <c r="AN122" i="32"/>
  <c r="AS239" i="32"/>
  <c r="AF214" i="32"/>
  <c r="I135" i="32"/>
  <c r="AW306" i="32"/>
  <c r="AV65" i="32"/>
  <c r="AV70" i="32" s="1"/>
  <c r="AF231" i="32"/>
  <c r="AO231" i="32" s="1"/>
  <c r="AF208" i="32"/>
  <c r="AO208" i="32" s="1"/>
  <c r="AF201" i="32"/>
  <c r="Z41" i="32"/>
  <c r="AV162" i="32"/>
  <c r="AF74" i="32"/>
  <c r="AO74" i="32" s="1"/>
  <c r="AW283" i="32"/>
  <c r="AN250" i="32"/>
  <c r="AO214" i="32"/>
  <c r="AF183" i="32"/>
  <c r="I118" i="32"/>
  <c r="AR44" i="31"/>
  <c r="AT83" i="31"/>
  <c r="AF33" i="31"/>
  <c r="AO33" i="31" s="1"/>
  <c r="AF68" i="31"/>
  <c r="AO68" i="31" s="1"/>
  <c r="AU56" i="31"/>
  <c r="U77" i="31"/>
  <c r="AA63" i="31"/>
  <c r="AV56" i="31"/>
  <c r="AF59" i="31"/>
  <c r="AO59" i="31" s="1"/>
  <c r="AF57" i="31"/>
  <c r="AT47" i="31"/>
  <c r="AP38" i="31"/>
  <c r="AP85" i="31" s="1"/>
  <c r="AS15" i="31"/>
  <c r="AU72" i="30"/>
  <c r="AU74" i="30" s="1"/>
  <c r="AF47" i="30"/>
  <c r="AO47" i="30" s="1"/>
  <c r="AS64" i="30"/>
  <c r="AF73" i="30"/>
  <c r="AO73" i="30" s="1"/>
  <c r="AU65" i="30"/>
  <c r="AF40" i="30"/>
  <c r="AO40" i="30" s="1"/>
  <c r="AF34" i="30"/>
  <c r="AB74" i="30"/>
  <c r="Z14" i="30"/>
  <c r="I28" i="30"/>
  <c r="U15" i="30"/>
  <c r="AF88" i="30"/>
  <c r="AO88" i="30" s="1"/>
  <c r="AE23" i="30"/>
  <c r="AA14" i="30"/>
  <c r="AR14" i="30" s="1"/>
  <c r="AV65" i="30"/>
  <c r="I61" i="29"/>
  <c r="AF165" i="29"/>
  <c r="AO165" i="29" s="1"/>
  <c r="AF139" i="29"/>
  <c r="U38" i="29"/>
  <c r="I31" i="29"/>
  <c r="AR180" i="29"/>
  <c r="AN156" i="29"/>
  <c r="AP162" i="29"/>
  <c r="AO86" i="29"/>
  <c r="AR94" i="29"/>
  <c r="AA83" i="29"/>
  <c r="AB88" i="29"/>
  <c r="AL191" i="29"/>
  <c r="AW124" i="29"/>
  <c r="AF122" i="29"/>
  <c r="AO122" i="29" s="1"/>
  <c r="AB94" i="29"/>
  <c r="AF85" i="29"/>
  <c r="AO85" i="29" s="1"/>
  <c r="AP83" i="29"/>
  <c r="AR31" i="29"/>
  <c r="AP34" i="29"/>
  <c r="AF44" i="29"/>
  <c r="AO44" i="29" s="1"/>
  <c r="AV112" i="29"/>
  <c r="I22" i="29"/>
  <c r="AW76" i="29"/>
  <c r="AI184" i="29"/>
  <c r="AB15" i="45" s="1"/>
  <c r="AF123" i="29"/>
  <c r="AF120" i="29"/>
  <c r="AO120" i="29" s="1"/>
  <c r="U88" i="29"/>
  <c r="AU169" i="29"/>
  <c r="AU170" i="29" s="1"/>
  <c r="AN50" i="29"/>
  <c r="AU34" i="29"/>
  <c r="AE183" i="29"/>
  <c r="AF149" i="29"/>
  <c r="AO149" i="29" s="1"/>
  <c r="AW140" i="29"/>
  <c r="AF146" i="29"/>
  <c r="AF90" i="29"/>
  <c r="AO90" i="29" s="1"/>
  <c r="AF66" i="29"/>
  <c r="AO66" i="29" s="1"/>
  <c r="AP35" i="29"/>
  <c r="Z35" i="29"/>
  <c r="AA42" i="29"/>
  <c r="AS35" i="29"/>
  <c r="AB19" i="29"/>
  <c r="I34" i="29"/>
  <c r="AU50" i="29"/>
  <c r="AF179" i="29"/>
  <c r="AO179" i="29" s="1"/>
  <c r="AQ183" i="29"/>
  <c r="AW167" i="29"/>
  <c r="AR105" i="29"/>
  <c r="AF87" i="29"/>
  <c r="AO87" i="29" s="1"/>
  <c r="AF81" i="29"/>
  <c r="AO81" i="29" s="1"/>
  <c r="AF96" i="29"/>
  <c r="AO96" i="29" s="1"/>
  <c r="AU59" i="29"/>
  <c r="AA71" i="29"/>
  <c r="AA35" i="29"/>
  <c r="AU15" i="29"/>
  <c r="AF175" i="29"/>
  <c r="AO175" i="29" s="1"/>
  <c r="AF92" i="29"/>
  <c r="AO92" i="29" s="1"/>
  <c r="AE189" i="29"/>
  <c r="AE187" i="29" s="1"/>
  <c r="AA94" i="29"/>
  <c r="AQ195" i="29"/>
  <c r="AP68" i="29"/>
  <c r="AN71" i="29"/>
  <c r="AA68" i="29"/>
  <c r="AP64" i="29"/>
  <c r="AQ194" i="29"/>
  <c r="AS53" i="29"/>
  <c r="AB170" i="29"/>
  <c r="AW64" i="29"/>
  <c r="AW112" i="30"/>
  <c r="AW28" i="30"/>
  <c r="AU54" i="30"/>
  <c r="R99" i="30"/>
  <c r="K16" i="45" s="1"/>
  <c r="AV23" i="30"/>
  <c r="AQ109" i="30"/>
  <c r="AT106" i="30"/>
  <c r="AF93" i="30"/>
  <c r="AO93" i="30" s="1"/>
  <c r="AF82" i="30"/>
  <c r="AO82" i="30" s="1"/>
  <c r="AV54" i="30"/>
  <c r="AP51" i="30"/>
  <c r="AF50" i="30"/>
  <c r="N186" i="29"/>
  <c r="U72" i="31"/>
  <c r="AW72" i="31"/>
  <c r="AS64" i="31"/>
  <c r="AN42" i="31"/>
  <c r="AF35" i="31"/>
  <c r="AB15" i="31"/>
  <c r="Z15" i="31"/>
  <c r="AW63" i="31"/>
  <c r="AW84" i="31"/>
  <c r="AF20" i="31"/>
  <c r="AO20" i="31" s="1"/>
  <c r="L73" i="31"/>
  <c r="E17" i="45" s="1"/>
  <c r="AF27" i="31"/>
  <c r="AO27" i="31" s="1"/>
  <c r="AN56" i="31"/>
  <c r="I47" i="31"/>
  <c r="AF49" i="31"/>
  <c r="AO49" i="31" s="1"/>
  <c r="AO60" i="31"/>
  <c r="AF34" i="31"/>
  <c r="AO34" i="31" s="1"/>
  <c r="I37" i="31"/>
  <c r="U78" i="31"/>
  <c r="L167" i="40"/>
  <c r="AQ283" i="32"/>
  <c r="AA277" i="32"/>
  <c r="AR277" i="32" s="1"/>
  <c r="AU119" i="32"/>
  <c r="AU122" i="32" s="1"/>
  <c r="I31" i="32"/>
  <c r="I182" i="32"/>
  <c r="AN41" i="32"/>
  <c r="AF289" i="32"/>
  <c r="AO289" i="32" s="1"/>
  <c r="AP42" i="32"/>
  <c r="AP43" i="32" s="1"/>
  <c r="AP298" i="32"/>
  <c r="AP299" i="32" s="1"/>
  <c r="AS298" i="32"/>
  <c r="AS299" i="32" s="1"/>
  <c r="AP277" i="32"/>
  <c r="AF199" i="32"/>
  <c r="AO199" i="32" s="1"/>
  <c r="AF141" i="32"/>
  <c r="AO141" i="32" s="1"/>
  <c r="AW290" i="32"/>
  <c r="U43" i="32"/>
  <c r="I76" i="32"/>
  <c r="I186" i="32"/>
  <c r="AA298" i="32"/>
  <c r="AN76" i="32"/>
  <c r="U299" i="32"/>
  <c r="Z277" i="32"/>
  <c r="AR143" i="32"/>
  <c r="AR144" i="32" s="1"/>
  <c r="AB42" i="32"/>
  <c r="AB43" i="32" s="1"/>
  <c r="AB58" i="32"/>
  <c r="AS58" i="32" s="1"/>
  <c r="AB256" i="32"/>
  <c r="AS256" i="32" s="1"/>
  <c r="U260" i="32"/>
  <c r="AQ193" i="32"/>
  <c r="AS183" i="32"/>
  <c r="I225" i="32"/>
  <c r="AM166" i="40"/>
  <c r="AS57" i="39"/>
  <c r="AS58" i="39" s="1"/>
  <c r="AF99" i="39"/>
  <c r="AO99" i="39" s="1"/>
  <c r="I129" i="39"/>
  <c r="Z31" i="39"/>
  <c r="AN65" i="39"/>
  <c r="I79" i="39"/>
  <c r="AV13" i="39"/>
  <c r="AP56" i="39"/>
  <c r="AW135" i="39"/>
  <c r="AV56" i="39"/>
  <c r="AT130" i="39"/>
  <c r="AF120" i="39"/>
  <c r="AO120" i="39" s="1"/>
  <c r="AV93" i="39"/>
  <c r="AF83" i="39"/>
  <c r="AO83" i="39" s="1"/>
  <c r="AV50" i="39"/>
  <c r="AF53" i="39"/>
  <c r="AO53" i="39" s="1"/>
  <c r="AF41" i="39"/>
  <c r="AO41" i="39" s="1"/>
  <c r="AA31" i="39"/>
  <c r="AR31" i="39" s="1"/>
  <c r="AF12" i="39"/>
  <c r="AF13" i="39" s="1"/>
  <c r="AO149" i="40"/>
  <c r="I171" i="40"/>
  <c r="AB96" i="40"/>
  <c r="AF86" i="40"/>
  <c r="AO86" i="40" s="1"/>
  <c r="AF42" i="40"/>
  <c r="AO42" i="40" s="1"/>
  <c r="AE164" i="40"/>
  <c r="X20" i="45" s="1"/>
  <c r="AR152" i="40"/>
  <c r="AV150" i="40"/>
  <c r="AV136" i="40"/>
  <c r="AA153" i="40"/>
  <c r="AO148" i="40"/>
  <c r="AA96" i="40"/>
  <c r="AV66" i="40"/>
  <c r="R164" i="40"/>
  <c r="K20" i="45" s="1"/>
  <c r="AF94" i="40"/>
  <c r="AO94" i="40" s="1"/>
  <c r="AF21" i="40"/>
  <c r="AO21" i="40" s="1"/>
  <c r="AR150" i="40"/>
  <c r="AP123" i="40"/>
  <c r="AF140" i="40"/>
  <c r="AO140" i="40" s="1"/>
  <c r="AF104" i="40"/>
  <c r="AO104" i="40" s="1"/>
  <c r="AV90" i="40"/>
  <c r="I81" i="41"/>
  <c r="AP102" i="41"/>
  <c r="AP104" i="41" s="1"/>
  <c r="AB118" i="41"/>
  <c r="Z142" i="41"/>
  <c r="AQ67" i="41"/>
  <c r="AQ95" i="41"/>
  <c r="AW52" i="41"/>
  <c r="AW45" i="41"/>
  <c r="AF54" i="41"/>
  <c r="AO54" i="41" s="1"/>
  <c r="AF13" i="41"/>
  <c r="AO13" i="41" s="1"/>
  <c r="AE145" i="41"/>
  <c r="AU94" i="41"/>
  <c r="AU95" i="41" s="1"/>
  <c r="AF114" i="41"/>
  <c r="AO114" i="41" s="1"/>
  <c r="AF137" i="41"/>
  <c r="Q143" i="41"/>
  <c r="J21" i="45" s="1"/>
  <c r="AR118" i="41"/>
  <c r="AF113" i="41"/>
  <c r="AO113" i="41" s="1"/>
  <c r="AF103" i="41"/>
  <c r="AO103" i="41" s="1"/>
  <c r="AF69" i="41"/>
  <c r="AO69" i="41" s="1"/>
  <c r="AN67" i="41"/>
  <c r="AN63" i="41"/>
  <c r="AR43" i="41"/>
  <c r="AC143" i="41"/>
  <c r="AE144" i="41" s="1"/>
  <c r="AE52" i="41"/>
  <c r="AF44" i="41"/>
  <c r="AO44" i="41" s="1"/>
  <c r="AB32" i="41"/>
  <c r="AV89" i="41"/>
  <c r="Z135" i="41"/>
  <c r="AF117" i="41"/>
  <c r="AO117" i="41" s="1"/>
  <c r="AW95" i="41"/>
  <c r="AF78" i="41"/>
  <c r="AO78" i="41" s="1"/>
  <c r="AF40" i="41"/>
  <c r="AF80" i="41"/>
  <c r="AA32" i="41"/>
  <c r="AN81" i="41"/>
  <c r="AU152" i="42"/>
  <c r="AR95" i="42"/>
  <c r="AU58" i="42"/>
  <c r="AV164" i="42"/>
  <c r="AF169" i="42"/>
  <c r="AP164" i="42"/>
  <c r="Q197" i="42"/>
  <c r="J22" i="45" s="1"/>
  <c r="AP122" i="42"/>
  <c r="AF110" i="42"/>
  <c r="AO110" i="42" s="1"/>
  <c r="AR73" i="42"/>
  <c r="AF158" i="42"/>
  <c r="AO158" i="42" s="1"/>
  <c r="AL30" i="42"/>
  <c r="Z113" i="42"/>
  <c r="AA99" i="42"/>
  <c r="Z45" i="42"/>
  <c r="AN58" i="42"/>
  <c r="AF72" i="42"/>
  <c r="AO72" i="42" s="1"/>
  <c r="AF66" i="42"/>
  <c r="AO66" i="42" s="1"/>
  <c r="AU41" i="42"/>
  <c r="AN164" i="42"/>
  <c r="U115" i="42"/>
  <c r="AF185" i="42"/>
  <c r="AO185" i="42" s="1"/>
  <c r="AV183" i="42"/>
  <c r="Z122" i="42"/>
  <c r="AV99" i="42"/>
  <c r="I69" i="42"/>
  <c r="AF146" i="42"/>
  <c r="AO146" i="42" s="1"/>
  <c r="AU144" i="42"/>
  <c r="AU113" i="42"/>
  <c r="AU115" i="42" s="1"/>
  <c r="AS41" i="42"/>
  <c r="AN85" i="42"/>
  <c r="AP45" i="42"/>
  <c r="AF74" i="42"/>
  <c r="AO74" i="42" s="1"/>
  <c r="AQ46" i="42"/>
  <c r="AQ18" i="42"/>
  <c r="AF179" i="42"/>
  <c r="AO179" i="42" s="1"/>
  <c r="AN121" i="42"/>
  <c r="I34" i="42"/>
  <c r="AF187" i="42"/>
  <c r="AR175" i="42"/>
  <c r="AP113" i="42"/>
  <c r="AP115" i="42" s="1"/>
  <c r="AF142" i="42"/>
  <c r="AO142" i="42" s="1"/>
  <c r="I183" i="42"/>
  <c r="AF145" i="42"/>
  <c r="U125" i="42"/>
  <c r="AF97" i="42"/>
  <c r="AO97" i="42" s="1"/>
  <c r="AW78" i="42"/>
  <c r="AW208" i="42"/>
  <c r="AF32" i="42"/>
  <c r="AO32" i="42" s="1"/>
  <c r="AU22" i="42"/>
  <c r="AV38" i="42"/>
  <c r="AF37" i="42"/>
  <c r="AO37" i="42" s="1"/>
  <c r="AL186" i="29"/>
  <c r="AN197" i="29"/>
  <c r="AN13" i="29"/>
  <c r="AF181" i="29"/>
  <c r="AO181" i="29" s="1"/>
  <c r="AN183" i="29"/>
  <c r="Z162" i="29"/>
  <c r="AF162" i="29" s="1"/>
  <c r="AO162" i="29" s="1"/>
  <c r="AF154" i="29"/>
  <c r="AO154" i="29" s="1"/>
  <c r="AR139" i="29"/>
  <c r="AR140" i="29" s="1"/>
  <c r="AF97" i="29"/>
  <c r="AO97" i="29" s="1"/>
  <c r="AF79" i="29"/>
  <c r="AO79" i="29" s="1"/>
  <c r="AF121" i="29"/>
  <c r="AO121" i="29" s="1"/>
  <c r="AW88" i="29"/>
  <c r="AM184" i="29"/>
  <c r="AF15" i="45" s="1"/>
  <c r="AA64" i="29"/>
  <c r="N185" i="29"/>
  <c r="H15" i="45"/>
  <c r="AN76" i="29"/>
  <c r="AU23" i="29"/>
  <c r="AU25" i="29" s="1"/>
  <c r="AS17" i="29"/>
  <c r="AU12" i="29"/>
  <c r="AU62" i="29"/>
  <c r="AU64" i="29" s="1"/>
  <c r="Z26" i="29"/>
  <c r="Z28" i="29" s="1"/>
  <c r="AN188" i="29"/>
  <c r="N101" i="30"/>
  <c r="U112" i="29"/>
  <c r="AA107" i="29"/>
  <c r="AF107" i="29" s="1"/>
  <c r="AP107" i="29"/>
  <c r="AP112" i="29" s="1"/>
  <c r="AW50" i="29"/>
  <c r="AB47" i="29"/>
  <c r="Z47" i="29"/>
  <c r="Z50" i="29" s="1"/>
  <c r="AB23" i="29"/>
  <c r="Z23" i="29"/>
  <c r="Z25" i="29" s="1"/>
  <c r="AS176" i="29"/>
  <c r="AP170" i="29"/>
  <c r="AB176" i="29"/>
  <c r="AF174" i="29"/>
  <c r="AO174" i="29" s="1"/>
  <c r="AV156" i="29"/>
  <c r="U191" i="29"/>
  <c r="AW160" i="29"/>
  <c r="AF143" i="29"/>
  <c r="AO143" i="29" s="1"/>
  <c r="AU112" i="29"/>
  <c r="AF117" i="29"/>
  <c r="AP94" i="29"/>
  <c r="AW195" i="29"/>
  <c r="Y187" i="29"/>
  <c r="AR69" i="29"/>
  <c r="AR71" i="29" s="1"/>
  <c r="AU83" i="29"/>
  <c r="AU88" i="29" s="1"/>
  <c r="AB68" i="29"/>
  <c r="AP26" i="29"/>
  <c r="AP28" i="29" s="1"/>
  <c r="AF67" i="29"/>
  <c r="AO67" i="29" s="1"/>
  <c r="AF55" i="29"/>
  <c r="AN38" i="29"/>
  <c r="AN53" i="29"/>
  <c r="AP22" i="29"/>
  <c r="AQ167" i="29"/>
  <c r="AB95" i="29"/>
  <c r="AS95" i="29" s="1"/>
  <c r="Z95" i="29"/>
  <c r="Z100" i="29" s="1"/>
  <c r="AV28" i="29"/>
  <c r="AF93" i="29"/>
  <c r="AO93" i="29" s="1"/>
  <c r="AP194" i="29"/>
  <c r="AF182" i="29"/>
  <c r="AO182" i="29" s="1"/>
  <c r="AV176" i="29"/>
  <c r="AE185" i="29"/>
  <c r="V15" i="45"/>
  <c r="AB162" i="29"/>
  <c r="AS162" i="29" s="1"/>
  <c r="AR160" i="29"/>
  <c r="AF142" i="29"/>
  <c r="AO142" i="29" s="1"/>
  <c r="AF150" i="29"/>
  <c r="AO150" i="29" s="1"/>
  <c r="L187" i="29"/>
  <c r="AF135" i="29"/>
  <c r="AO135" i="29" s="1"/>
  <c r="AR123" i="29"/>
  <c r="AW118" i="29"/>
  <c r="AF127" i="29"/>
  <c r="AO127" i="29" s="1"/>
  <c r="AF104" i="29"/>
  <c r="AO104" i="29" s="1"/>
  <c r="AF115" i="29"/>
  <c r="AO115" i="29" s="1"/>
  <c r="AN195" i="29"/>
  <c r="AP88" i="29"/>
  <c r="AU98" i="29"/>
  <c r="AU100" i="29" s="1"/>
  <c r="Z94" i="29"/>
  <c r="AW194" i="29"/>
  <c r="R184" i="29"/>
  <c r="K15" i="45" s="1"/>
  <c r="AR79" i="29"/>
  <c r="AR65" i="29"/>
  <c r="AR68" i="29" s="1"/>
  <c r="AR39" i="29"/>
  <c r="AR42" i="29" s="1"/>
  <c r="AB26" i="29"/>
  <c r="AB28" i="29" s="1"/>
  <c r="AF56" i="29"/>
  <c r="AO56" i="29" s="1"/>
  <c r="AV194" i="29"/>
  <c r="AA26" i="29"/>
  <c r="AM185" i="29"/>
  <c r="AA15" i="45"/>
  <c r="AU38" i="29"/>
  <c r="L184" i="29"/>
  <c r="E15" i="45" s="1"/>
  <c r="U25" i="29"/>
  <c r="AP23" i="29"/>
  <c r="AP25" i="29" s="1"/>
  <c r="AU53" i="29"/>
  <c r="AB157" i="29"/>
  <c r="AS157" i="29" s="1"/>
  <c r="Z157" i="29"/>
  <c r="AB133" i="29"/>
  <c r="AS133" i="29" s="1"/>
  <c r="AS140" i="29" s="1"/>
  <c r="Z133" i="29"/>
  <c r="AN112" i="29"/>
  <c r="AS168" i="29"/>
  <c r="AS170" i="29" s="1"/>
  <c r="AN34" i="29"/>
  <c r="AN28" i="29"/>
  <c r="L102" i="30"/>
  <c r="N102" i="30"/>
  <c r="Y101" i="30"/>
  <c r="AR88" i="30"/>
  <c r="AL61" i="30"/>
  <c r="AL99" i="30" s="1"/>
  <c r="AE16" i="45" s="1"/>
  <c r="AF83" i="30"/>
  <c r="AF86" i="30"/>
  <c r="AO86" i="30" s="1"/>
  <c r="AA51" i="30"/>
  <c r="AR51" i="30" s="1"/>
  <c r="Y100" i="30"/>
  <c r="O16" i="45"/>
  <c r="N99" i="30"/>
  <c r="G16" i="45" s="1"/>
  <c r="AP24" i="30"/>
  <c r="AP28" i="30" s="1"/>
  <c r="Z24" i="30"/>
  <c r="Z28" i="30" s="1"/>
  <c r="AE100" i="30"/>
  <c r="V16" i="45"/>
  <c r="AN44" i="30"/>
  <c r="AF95" i="30"/>
  <c r="AO95" i="30" s="1"/>
  <c r="AF97" i="30"/>
  <c r="AF90" i="30"/>
  <c r="AV84" i="30"/>
  <c r="AF52" i="30"/>
  <c r="AO52" i="30" s="1"/>
  <c r="AE104" i="30"/>
  <c r="AE102" i="30" s="1"/>
  <c r="AM100" i="30"/>
  <c r="AD16" i="45"/>
  <c r="AV98" i="30"/>
  <c r="AA28" i="30"/>
  <c r="AB51" i="30"/>
  <c r="AS51" i="30" s="1"/>
  <c r="AS54" i="30" s="1"/>
  <c r="U54" i="30"/>
  <c r="U109" i="30"/>
  <c r="AF26" i="30"/>
  <c r="AT103" i="30"/>
  <c r="AR82" i="30"/>
  <c r="AF57" i="30"/>
  <c r="AO57" i="30" s="1"/>
  <c r="AF69" i="30"/>
  <c r="AO69" i="30" s="1"/>
  <c r="AF68" i="30"/>
  <c r="AQ110" i="30"/>
  <c r="AT37" i="30"/>
  <c r="AM76" i="31"/>
  <c r="Q76" i="31"/>
  <c r="U75" i="31" s="1"/>
  <c r="AL75" i="31"/>
  <c r="AM74" i="31"/>
  <c r="AA17" i="45"/>
  <c r="AT84" i="31"/>
  <c r="AS66" i="31"/>
  <c r="AF50" i="31"/>
  <c r="AO50" i="31" s="1"/>
  <c r="L76" i="31"/>
  <c r="AO44" i="31"/>
  <c r="AR33" i="31"/>
  <c r="AL74" i="31"/>
  <c r="Z17" i="45"/>
  <c r="AE76" i="31"/>
  <c r="AU66" i="31"/>
  <c r="AV83" i="31"/>
  <c r="AA38" i="31"/>
  <c r="AA85" i="31" s="1"/>
  <c r="AV18" i="31"/>
  <c r="AQ77" i="31"/>
  <c r="AF12" i="31"/>
  <c r="AO12" i="31" s="1"/>
  <c r="AT85" i="31"/>
  <c r="AT39" i="31"/>
  <c r="AF65" i="31"/>
  <c r="AO65" i="31" s="1"/>
  <c r="AE73" i="31"/>
  <c r="X17" i="45" s="1"/>
  <c r="AE74" i="31"/>
  <c r="V17" i="45"/>
  <c r="K73" i="31"/>
  <c r="AS40" i="31"/>
  <c r="AS42" i="31" s="1"/>
  <c r="AQ39" i="31"/>
  <c r="AV84" i="31"/>
  <c r="U39" i="31"/>
  <c r="AM73" i="31"/>
  <c r="AF17" i="45" s="1"/>
  <c r="AS83" i="31"/>
  <c r="AS38" i="31"/>
  <c r="AS85" i="31" s="1"/>
  <c r="AB39" i="31"/>
  <c r="AB31" i="31"/>
  <c r="AP67" i="31"/>
  <c r="AP72" i="31" s="1"/>
  <c r="AA67" i="31"/>
  <c r="AF67" i="31" s="1"/>
  <c r="AP63" i="31"/>
  <c r="AR20" i="31"/>
  <c r="N74" i="31"/>
  <c r="H17" i="45"/>
  <c r="Y76" i="31"/>
  <c r="AP56" i="31"/>
  <c r="Z38" i="31"/>
  <c r="AF38" i="31" s="1"/>
  <c r="U85" i="31"/>
  <c r="AF259" i="32"/>
  <c r="AP254" i="32"/>
  <c r="AP244" i="32"/>
  <c r="AP250" i="32" s="1"/>
  <c r="Z291" i="32"/>
  <c r="Z297" i="32" s="1"/>
  <c r="AF237" i="32"/>
  <c r="AO237" i="32" s="1"/>
  <c r="AO185" i="32"/>
  <c r="AN189" i="32"/>
  <c r="AN193" i="32" s="1"/>
  <c r="AF103" i="32"/>
  <c r="AO103" i="32" s="1"/>
  <c r="Z76" i="32"/>
  <c r="AP58" i="32"/>
  <c r="AA256" i="32"/>
  <c r="AR256" i="32" s="1"/>
  <c r="Z256" i="32"/>
  <c r="AF147" i="32"/>
  <c r="AO147" i="32" s="1"/>
  <c r="AL193" i="32"/>
  <c r="AA244" i="32"/>
  <c r="AR244" i="32" s="1"/>
  <c r="AR250" i="32" s="1"/>
  <c r="U297" i="32"/>
  <c r="AF200" i="32"/>
  <c r="I162" i="32"/>
  <c r="AF133" i="32"/>
  <c r="AO133" i="32" s="1"/>
  <c r="AN37" i="32"/>
  <c r="AF137" i="32"/>
  <c r="AV283" i="32"/>
  <c r="I253" i="32"/>
  <c r="AU39" i="32"/>
  <c r="AA148" i="32"/>
  <c r="AV263" i="32"/>
  <c r="AF230" i="32"/>
  <c r="AO230" i="32" s="1"/>
  <c r="I219" i="32"/>
  <c r="AF258" i="32"/>
  <c r="AO258" i="32" s="1"/>
  <c r="Z244" i="32"/>
  <c r="Z250" i="32" s="1"/>
  <c r="AA58" i="32"/>
  <c r="AR58" i="32" s="1"/>
  <c r="AF46" i="32"/>
  <c r="AS41" i="32"/>
  <c r="I263" i="32"/>
  <c r="AE302" i="32"/>
  <c r="Y125" i="39"/>
  <c r="AF268" i="32"/>
  <c r="AQ197" i="32"/>
  <c r="AV135" i="32"/>
  <c r="AS108" i="32"/>
  <c r="AW50" i="32"/>
  <c r="AF53" i="32"/>
  <c r="AO53" i="32" s="1"/>
  <c r="AA182" i="32"/>
  <c r="AF68" i="32"/>
  <c r="AO68" i="32" s="1"/>
  <c r="I83" i="32"/>
  <c r="AW203" i="32"/>
  <c r="AU194" i="32"/>
  <c r="AU197" i="32" s="1"/>
  <c r="AI300" i="32"/>
  <c r="AB18" i="45" s="1"/>
  <c r="AF210" i="32"/>
  <c r="AO210" i="32" s="1"/>
  <c r="AB169" i="32"/>
  <c r="AL305" i="32"/>
  <c r="AF191" i="32"/>
  <c r="AV76" i="32"/>
  <c r="AN162" i="32"/>
  <c r="AO183" i="32"/>
  <c r="AV250" i="32"/>
  <c r="AW76" i="32"/>
  <c r="AF257" i="32"/>
  <c r="AO257" i="32" s="1"/>
  <c r="AR263" i="32"/>
  <c r="AP253" i="32"/>
  <c r="AF160" i="32"/>
  <c r="AO160" i="32" s="1"/>
  <c r="AU162" i="32"/>
  <c r="AV276" i="32"/>
  <c r="AF181" i="32"/>
  <c r="AO181" i="32" s="1"/>
  <c r="AW142" i="32"/>
  <c r="AA309" i="32"/>
  <c r="AF211" i="32"/>
  <c r="AO211" i="32" s="1"/>
  <c r="AW128" i="32"/>
  <c r="AF178" i="32"/>
  <c r="AO178" i="32" s="1"/>
  <c r="AT105" i="32"/>
  <c r="AU246" i="32"/>
  <c r="AU250" i="32" s="1"/>
  <c r="AW232" i="32"/>
  <c r="AF266" i="32"/>
  <c r="AO266" i="32" s="1"/>
  <c r="AF165" i="32"/>
  <c r="AO165" i="32" s="1"/>
  <c r="AN312" i="32"/>
  <c r="AN105" i="32"/>
  <c r="AN70" i="32"/>
  <c r="AF33" i="32"/>
  <c r="AO33" i="32" s="1"/>
  <c r="AF25" i="32"/>
  <c r="AO25" i="32" s="1"/>
  <c r="AB309" i="32"/>
  <c r="AF93" i="32"/>
  <c r="AO93" i="32" s="1"/>
  <c r="AW83" i="32"/>
  <c r="AB239" i="32"/>
  <c r="I41" i="32"/>
  <c r="AP263" i="32"/>
  <c r="AF218" i="32"/>
  <c r="AO218" i="32" s="1"/>
  <c r="AF288" i="32"/>
  <c r="AO288" i="32" s="1"/>
  <c r="AR237" i="32"/>
  <c r="AF238" i="32"/>
  <c r="AO238" i="32" s="1"/>
  <c r="AF139" i="32"/>
  <c r="AO139" i="32" s="1"/>
  <c r="AF132" i="32"/>
  <c r="AF109" i="32"/>
  <c r="AU35" i="32"/>
  <c r="AU37" i="32" s="1"/>
  <c r="AU75" i="32"/>
  <c r="AU76" i="32" s="1"/>
  <c r="AF69" i="32"/>
  <c r="AO69" i="32" s="1"/>
  <c r="Y302" i="32"/>
  <c r="AE125" i="39"/>
  <c r="AM302" i="32"/>
  <c r="AV290" i="32"/>
  <c r="AF150" i="32"/>
  <c r="AO150" i="32" s="1"/>
  <c r="AB197" i="32"/>
  <c r="AS194" i="32"/>
  <c r="AS197" i="32" s="1"/>
  <c r="AF146" i="32"/>
  <c r="Z148" i="32"/>
  <c r="AN309" i="32"/>
  <c r="AU99" i="32"/>
  <c r="AU309" i="32" s="1"/>
  <c r="AN299" i="32"/>
  <c r="AU298" i="32"/>
  <c r="AU299" i="32" s="1"/>
  <c r="AE301" i="32"/>
  <c r="V18" i="45"/>
  <c r="AR271" i="32"/>
  <c r="AF271" i="32"/>
  <c r="AO271" i="32" s="1"/>
  <c r="AR229" i="32"/>
  <c r="AF229" i="32"/>
  <c r="AO229" i="32" s="1"/>
  <c r="AF278" i="32"/>
  <c r="AA253" i="32"/>
  <c r="AR251" i="32"/>
  <c r="AR253" i="32" s="1"/>
  <c r="AF248" i="32"/>
  <c r="AO248" i="32" s="1"/>
  <c r="AF246" i="32"/>
  <c r="AO246" i="32" s="1"/>
  <c r="AF235" i="32"/>
  <c r="AO235" i="32" s="1"/>
  <c r="AS162" i="32"/>
  <c r="AN283" i="32"/>
  <c r="AU277" i="32"/>
  <c r="AU283" i="32" s="1"/>
  <c r="AB170" i="32"/>
  <c r="AB176" i="32" s="1"/>
  <c r="U176" i="32"/>
  <c r="AA170" i="32"/>
  <c r="AR170" i="32" s="1"/>
  <c r="AR176" i="32" s="1"/>
  <c r="Z170" i="32"/>
  <c r="Y166" i="40"/>
  <c r="AB12" i="32"/>
  <c r="U313" i="32"/>
  <c r="Z12" i="32"/>
  <c r="U13" i="32"/>
  <c r="AP12" i="32"/>
  <c r="AW89" i="32"/>
  <c r="AR201" i="32"/>
  <c r="AN232" i="32"/>
  <c r="AU230" i="32"/>
  <c r="AU232" i="32" s="1"/>
  <c r="AR202" i="32"/>
  <c r="AF202" i="32"/>
  <c r="AO202" i="32" s="1"/>
  <c r="AS262" i="32"/>
  <c r="AB263" i="32"/>
  <c r="AF272" i="32"/>
  <c r="AO272" i="32" s="1"/>
  <c r="AV311" i="32"/>
  <c r="AV118" i="32"/>
  <c r="K303" i="32"/>
  <c r="AV239" i="32"/>
  <c r="AR224" i="32"/>
  <c r="AF224" i="32"/>
  <c r="AO224" i="32" s="1"/>
  <c r="AB24" i="32"/>
  <c r="AS24" i="32" s="1"/>
  <c r="Z24" i="32"/>
  <c r="AP24" i="32"/>
  <c r="AP27" i="32" s="1"/>
  <c r="U27" i="32"/>
  <c r="AA24" i="32"/>
  <c r="AR24" i="32" s="1"/>
  <c r="AR27" i="32" s="1"/>
  <c r="Z220" i="32"/>
  <c r="Z221" i="32" s="1"/>
  <c r="U221" i="32"/>
  <c r="AA220" i="32"/>
  <c r="AP220" i="32"/>
  <c r="AP221" i="32" s="1"/>
  <c r="AF206" i="32"/>
  <c r="AO206" i="32" s="1"/>
  <c r="AU203" i="32"/>
  <c r="AF189" i="32"/>
  <c r="AO189" i="32" s="1"/>
  <c r="AV176" i="32"/>
  <c r="AR148" i="32"/>
  <c r="AF134" i="32"/>
  <c r="AO134" i="32" s="1"/>
  <c r="AF120" i="32"/>
  <c r="AO120" i="32" s="1"/>
  <c r="AF138" i="32"/>
  <c r="AO138" i="32" s="1"/>
  <c r="AO146" i="32"/>
  <c r="AV105" i="32"/>
  <c r="AA89" i="32"/>
  <c r="N300" i="32"/>
  <c r="G18" i="45" s="1"/>
  <c r="AF148" i="32"/>
  <c r="AU89" i="32"/>
  <c r="AF26" i="32"/>
  <c r="AO26" i="32" s="1"/>
  <c r="AP111" i="32"/>
  <c r="AB89" i="32"/>
  <c r="N301" i="32"/>
  <c r="H18" i="45"/>
  <c r="U305" i="32"/>
  <c r="AF241" i="32"/>
  <c r="AO241" i="32" s="1"/>
  <c r="AN203" i="32"/>
  <c r="AF36" i="32"/>
  <c r="AO36" i="32" s="1"/>
  <c r="AF154" i="32"/>
  <c r="AO154" i="32" s="1"/>
  <c r="AF279" i="32"/>
  <c r="AF294" i="32"/>
  <c r="AO294" i="32" s="1"/>
  <c r="AO268" i="32"/>
  <c r="AA297" i="32"/>
  <c r="AW260" i="32"/>
  <c r="AF223" i="32"/>
  <c r="AO223" i="32" s="1"/>
  <c r="AO201" i="32"/>
  <c r="AV297" i="32"/>
  <c r="AF153" i="32"/>
  <c r="AO153" i="32" s="1"/>
  <c r="AV197" i="32"/>
  <c r="AF159" i="32"/>
  <c r="AO159" i="32" s="1"/>
  <c r="AF205" i="32"/>
  <c r="AO205" i="32" s="1"/>
  <c r="AU186" i="32"/>
  <c r="AV128" i="32"/>
  <c r="AF168" i="32"/>
  <c r="AO168" i="32" s="1"/>
  <c r="AF104" i="32"/>
  <c r="AO104" i="32" s="1"/>
  <c r="AS203" i="32"/>
  <c r="AF130" i="32"/>
  <c r="AO130" i="32" s="1"/>
  <c r="AS111" i="32"/>
  <c r="AA50" i="32"/>
  <c r="AF114" i="32"/>
  <c r="AO114" i="32" s="1"/>
  <c r="AV50" i="32"/>
  <c r="AV148" i="32"/>
  <c r="AF86" i="32"/>
  <c r="AO86" i="32" s="1"/>
  <c r="K300" i="32"/>
  <c r="D18" i="45" s="1"/>
  <c r="AB306" i="32"/>
  <c r="AF59" i="32"/>
  <c r="AO59" i="32" s="1"/>
  <c r="AF15" i="32"/>
  <c r="AO15" i="32" s="1"/>
  <c r="Z254" i="32"/>
  <c r="AB254" i="32"/>
  <c r="AS254" i="32" s="1"/>
  <c r="AS260" i="32" s="1"/>
  <c r="AN83" i="32"/>
  <c r="AB190" i="32"/>
  <c r="AS190" i="32" s="1"/>
  <c r="AP190" i="32"/>
  <c r="Z190" i="32"/>
  <c r="Z193" i="32" s="1"/>
  <c r="N302" i="32"/>
  <c r="AF293" i="32"/>
  <c r="AO293" i="32" s="1"/>
  <c r="AN263" i="32"/>
  <c r="AS253" i="32"/>
  <c r="AU261" i="32"/>
  <c r="AU263" i="32" s="1"/>
  <c r="AN276" i="32"/>
  <c r="AN243" i="32"/>
  <c r="AF166" i="32"/>
  <c r="AO166" i="32" s="1"/>
  <c r="AV155" i="32"/>
  <c r="AR139" i="32"/>
  <c r="AV232" i="32"/>
  <c r="AV186" i="32"/>
  <c r="AF110" i="32"/>
  <c r="AO110" i="32" s="1"/>
  <c r="AU83" i="32"/>
  <c r="AB76" i="32"/>
  <c r="AV22" i="32"/>
  <c r="Y301" i="32"/>
  <c r="O18" i="45"/>
  <c r="R300" i="32"/>
  <c r="K18" i="45" s="1"/>
  <c r="AT311" i="32"/>
  <c r="AF98" i="32"/>
  <c r="AO98" i="32" s="1"/>
  <c r="AU41" i="32"/>
  <c r="AV27" i="32"/>
  <c r="AF40" i="32"/>
  <c r="AO40" i="32" s="1"/>
  <c r="AL125" i="39"/>
  <c r="AP197" i="32"/>
  <c r="AF295" i="32"/>
  <c r="AO295" i="32" s="1"/>
  <c r="AM126" i="39"/>
  <c r="AM125" i="39"/>
  <c r="Q123" i="39"/>
  <c r="AV114" i="39"/>
  <c r="AM124" i="39"/>
  <c r="AA19" i="45"/>
  <c r="AF116" i="39"/>
  <c r="AO116" i="39" s="1"/>
  <c r="AU108" i="39"/>
  <c r="AU114" i="39" s="1"/>
  <c r="AQ93" i="39"/>
  <c r="L123" i="39"/>
  <c r="E19" i="45" s="1"/>
  <c r="AN56" i="39"/>
  <c r="AS45" i="39"/>
  <c r="AS46" i="39" s="1"/>
  <c r="Z135" i="39"/>
  <c r="AB134" i="39"/>
  <c r="AW24" i="39"/>
  <c r="AF20" i="39"/>
  <c r="AO20" i="39" s="1"/>
  <c r="AF119" i="39"/>
  <c r="AO119" i="39" s="1"/>
  <c r="AE123" i="39"/>
  <c r="X19" i="45" s="1"/>
  <c r="AB107" i="39"/>
  <c r="AB100" i="39"/>
  <c r="AS93" i="39"/>
  <c r="AR85" i="39"/>
  <c r="AR86" i="39" s="1"/>
  <c r="AV134" i="39"/>
  <c r="AN93" i="39"/>
  <c r="AF84" i="39"/>
  <c r="AO84" i="39" s="1"/>
  <c r="AF75" i="39"/>
  <c r="AR49" i="39"/>
  <c r="AR50" i="39" s="1"/>
  <c r="AF32" i="39"/>
  <c r="AO32" i="39" s="1"/>
  <c r="AT135" i="39"/>
  <c r="AT44" i="39"/>
  <c r="Y123" i="39"/>
  <c r="R19" i="45" s="1"/>
  <c r="AV107" i="39"/>
  <c r="AF97" i="39"/>
  <c r="AO97" i="39" s="1"/>
  <c r="AF89" i="39"/>
  <c r="AO89" i="39" s="1"/>
  <c r="AQ128" i="39"/>
  <c r="AU64" i="39"/>
  <c r="AU65" i="39" s="1"/>
  <c r="AF71" i="39"/>
  <c r="AF55" i="39"/>
  <c r="AO55" i="39" s="1"/>
  <c r="AF48" i="39"/>
  <c r="AO48" i="39" s="1"/>
  <c r="AF104" i="39"/>
  <c r="AO104" i="39" s="1"/>
  <c r="AN50" i="39"/>
  <c r="Z136" i="39"/>
  <c r="I30" i="39"/>
  <c r="AF15" i="39"/>
  <c r="AO15" i="39" s="1"/>
  <c r="AF21" i="39"/>
  <c r="AO21" i="39" s="1"/>
  <c r="AF35" i="39"/>
  <c r="AO35" i="39" s="1"/>
  <c r="AQ136" i="39"/>
  <c r="AF69" i="39"/>
  <c r="AO69" i="39" s="1"/>
  <c r="U86" i="39"/>
  <c r="AB80" i="39"/>
  <c r="AS80" i="39" s="1"/>
  <c r="Y145" i="41"/>
  <c r="AM146" i="41"/>
  <c r="Y165" i="40"/>
  <c r="O20" i="45"/>
  <c r="AE165" i="40"/>
  <c r="V20" i="45"/>
  <c r="AF157" i="40"/>
  <c r="AO157" i="40" s="1"/>
  <c r="AV174" i="40"/>
  <c r="AF36" i="40"/>
  <c r="AO36" i="40" s="1"/>
  <c r="AF56" i="40"/>
  <c r="AO56" i="40" s="1"/>
  <c r="AP174" i="40"/>
  <c r="AR23" i="40"/>
  <c r="AV170" i="40"/>
  <c r="AV143" i="40"/>
  <c r="Y164" i="40"/>
  <c r="R20" i="45" s="1"/>
  <c r="AU113" i="40"/>
  <c r="K164" i="40"/>
  <c r="D20" i="45" s="1"/>
  <c r="AF158" i="40"/>
  <c r="N164" i="40"/>
  <c r="G20" i="45" s="1"/>
  <c r="AF131" i="40"/>
  <c r="AW174" i="40"/>
  <c r="AF85" i="40"/>
  <c r="AV175" i="40"/>
  <c r="AF93" i="40"/>
  <c r="AO93" i="40" s="1"/>
  <c r="AF79" i="40"/>
  <c r="AO79" i="40" s="1"/>
  <c r="AA80" i="40"/>
  <c r="AF49" i="40"/>
  <c r="AO49" i="40" s="1"/>
  <c r="AF35" i="40"/>
  <c r="AO35" i="40" s="1"/>
  <c r="AB170" i="40"/>
  <c r="N167" i="40"/>
  <c r="AP19" i="40"/>
  <c r="Y167" i="40"/>
  <c r="AF70" i="40"/>
  <c r="AO70" i="40" s="1"/>
  <c r="AF68" i="40"/>
  <c r="AO68" i="40" s="1"/>
  <c r="AV23" i="40"/>
  <c r="AF71" i="40"/>
  <c r="AO71" i="40" s="1"/>
  <c r="AF46" i="40"/>
  <c r="AO46" i="40" s="1"/>
  <c r="AB150" i="40"/>
  <c r="AF147" i="40"/>
  <c r="AO147" i="40" s="1"/>
  <c r="AM165" i="40"/>
  <c r="AA20" i="45"/>
  <c r="AM164" i="40"/>
  <c r="AF20" i="45" s="1"/>
  <c r="AF155" i="40"/>
  <c r="AO155" i="40" s="1"/>
  <c r="AF120" i="40"/>
  <c r="AO120" i="40" s="1"/>
  <c r="AF98" i="40"/>
  <c r="AO98" i="40" s="1"/>
  <c r="AU87" i="40"/>
  <c r="AA129" i="40"/>
  <c r="AP96" i="40"/>
  <c r="AF81" i="40"/>
  <c r="AV80" i="40"/>
  <c r="AF65" i="40"/>
  <c r="AO65" i="40" s="1"/>
  <c r="AF72" i="40"/>
  <c r="AO72" i="40" s="1"/>
  <c r="AP23" i="40"/>
  <c r="AF58" i="40"/>
  <c r="AO58" i="40" s="1"/>
  <c r="AF57" i="40"/>
  <c r="AO57" i="40" s="1"/>
  <c r="AQ176" i="40"/>
  <c r="AP163" i="40"/>
  <c r="AN136" i="40"/>
  <c r="AF116" i="40"/>
  <c r="AO116" i="40" s="1"/>
  <c r="AF115" i="40"/>
  <c r="AO115" i="40" s="1"/>
  <c r="AF99" i="40"/>
  <c r="AV96" i="40"/>
  <c r="AP80" i="40"/>
  <c r="AF69" i="40"/>
  <c r="AO69" i="40" s="1"/>
  <c r="AE199" i="42"/>
  <c r="AM145" i="41"/>
  <c r="N199" i="42"/>
  <c r="AM144" i="41"/>
  <c r="AA21" i="45"/>
  <c r="AF116" i="41"/>
  <c r="AO116" i="41" s="1"/>
  <c r="AR44" i="41"/>
  <c r="Y146" i="41"/>
  <c r="AE148" i="41"/>
  <c r="AE146" i="41" s="1"/>
  <c r="AW154" i="41"/>
  <c r="AF42" i="41"/>
  <c r="AO42" i="41" s="1"/>
  <c r="AU142" i="41"/>
  <c r="AF58" i="41"/>
  <c r="AF41" i="41"/>
  <c r="AO41" i="41" s="1"/>
  <c r="AF25" i="41"/>
  <c r="AO25" i="41" s="1"/>
  <c r="AB74" i="41"/>
  <c r="AQ45" i="41"/>
  <c r="AU104" i="41"/>
  <c r="I154" i="41"/>
  <c r="N145" i="41"/>
  <c r="Y143" i="41"/>
  <c r="R21" i="45" s="1"/>
  <c r="AN101" i="41"/>
  <c r="AF120" i="41"/>
  <c r="AO120" i="41" s="1"/>
  <c r="AV154" i="41"/>
  <c r="AP74" i="41"/>
  <c r="AU64" i="41"/>
  <c r="AF92" i="41"/>
  <c r="AO92" i="41" s="1"/>
  <c r="AF84" i="41"/>
  <c r="AO84" i="41" s="1"/>
  <c r="AF93" i="41"/>
  <c r="AA89" i="41"/>
  <c r="AN85" i="41"/>
  <c r="AE60" i="41"/>
  <c r="AN155" i="41"/>
  <c r="AT27" i="41"/>
  <c r="L146" i="41"/>
  <c r="AF48" i="41"/>
  <c r="AO48" i="41" s="1"/>
  <c r="AR69" i="41"/>
  <c r="AT154" i="41"/>
  <c r="AW32" i="41"/>
  <c r="AE27" i="41"/>
  <c r="AI146" i="41"/>
  <c r="AL145" i="41" s="1"/>
  <c r="U104" i="41"/>
  <c r="AA102" i="41"/>
  <c r="AV126" i="41"/>
  <c r="AL144" i="41"/>
  <c r="Z21" i="45"/>
  <c r="N144" i="41"/>
  <c r="H21" i="45"/>
  <c r="AR137" i="41"/>
  <c r="Y144" i="41"/>
  <c r="O21" i="45"/>
  <c r="AR119" i="41"/>
  <c r="AR126" i="41" s="1"/>
  <c r="AV104" i="41"/>
  <c r="AF140" i="41"/>
  <c r="AO140" i="41" s="1"/>
  <c r="AP135" i="41"/>
  <c r="Z74" i="41"/>
  <c r="AV67" i="41"/>
  <c r="AS67" i="41"/>
  <c r="AF77" i="41"/>
  <c r="AO77" i="41" s="1"/>
  <c r="AF76" i="41"/>
  <c r="AO76" i="41" s="1"/>
  <c r="I148" i="41"/>
  <c r="K146" i="41"/>
  <c r="AF49" i="41"/>
  <c r="AO49" i="41" s="1"/>
  <c r="AR30" i="41"/>
  <c r="AR32" i="41" s="1"/>
  <c r="AT52" i="41"/>
  <c r="AF20" i="41"/>
  <c r="AO20" i="41" s="1"/>
  <c r="AF23" i="41"/>
  <c r="AO23" i="41" s="1"/>
  <c r="AF123" i="41"/>
  <c r="AO123" i="41" s="1"/>
  <c r="AB67" i="41"/>
  <c r="AM199" i="42"/>
  <c r="AA131" i="42"/>
  <c r="AV204" i="42"/>
  <c r="AF102" i="42"/>
  <c r="AO102" i="42" s="1"/>
  <c r="R197" i="42"/>
  <c r="K22" i="45" s="1"/>
  <c r="AL200" i="42"/>
  <c r="AF21" i="42"/>
  <c r="AB45" i="42"/>
  <c r="AA45" i="42"/>
  <c r="AR187" i="42"/>
  <c r="AF182" i="42"/>
  <c r="AO182" i="42" s="1"/>
  <c r="AN161" i="42"/>
  <c r="AN183" i="42"/>
  <c r="AU121" i="42"/>
  <c r="AF124" i="42"/>
  <c r="AO124" i="42" s="1"/>
  <c r="AA89" i="42"/>
  <c r="AV105" i="42"/>
  <c r="L200" i="42"/>
  <c r="AR164" i="42"/>
  <c r="AA44" i="42"/>
  <c r="AS34" i="42"/>
  <c r="AF75" i="42"/>
  <c r="AO75" i="42" s="1"/>
  <c r="AF57" i="42"/>
  <c r="AF60" i="42"/>
  <c r="AO60" i="42" s="1"/>
  <c r="AF15" i="42"/>
  <c r="AO15" i="42" s="1"/>
  <c r="AB137" i="42"/>
  <c r="AB138" i="42"/>
  <c r="AS138" i="42" s="1"/>
  <c r="AS144" i="42" s="1"/>
  <c r="U144" i="42"/>
  <c r="Z138" i="42"/>
  <c r="AU33" i="42"/>
  <c r="AU34" i="42" s="1"/>
  <c r="AU164" i="42"/>
  <c r="AF167" i="42"/>
  <c r="AF143" i="42"/>
  <c r="AO143" i="42" s="1"/>
  <c r="AF141" i="42"/>
  <c r="AO141" i="42" s="1"/>
  <c r="AA137" i="42"/>
  <c r="AF93" i="42"/>
  <c r="AO93" i="42" s="1"/>
  <c r="N200" i="42"/>
  <c r="AV144" i="42"/>
  <c r="AS152" i="42"/>
  <c r="AR110" i="42"/>
  <c r="AR96" i="42"/>
  <c r="AR99" i="42" s="1"/>
  <c r="AF191" i="42"/>
  <c r="AO191" i="42" s="1"/>
  <c r="R200" i="42"/>
  <c r="AV147" i="42"/>
  <c r="AO49" i="42"/>
  <c r="AV76" i="42"/>
  <c r="Y199" i="42"/>
  <c r="AN152" i="42"/>
  <c r="I147" i="42"/>
  <c r="AP95" i="42"/>
  <c r="AR44" i="42"/>
  <c r="AP105" i="42"/>
  <c r="AB64" i="42"/>
  <c r="AF123" i="42"/>
  <c r="AO123" i="42" s="1"/>
  <c r="AU85" i="42"/>
  <c r="AN69" i="42"/>
  <c r="AF43" i="42"/>
  <c r="AO43" i="42" s="1"/>
  <c r="AF20" i="42"/>
  <c r="AO20" i="42" s="1"/>
  <c r="AF25" i="42"/>
  <c r="AO25" i="42" s="1"/>
  <c r="AT210" i="42"/>
  <c r="AT46" i="42"/>
  <c r="AE166" i="40"/>
  <c r="AU208" i="42"/>
  <c r="AF147" i="42"/>
  <c r="AO145" i="42"/>
  <c r="AO147" i="42" s="1"/>
  <c r="AB196" i="42"/>
  <c r="AR148" i="42"/>
  <c r="AR152" i="42" s="1"/>
  <c r="AA152" i="42"/>
  <c r="AF148" i="42"/>
  <c r="AA115" i="42"/>
  <c r="AO167" i="42"/>
  <c r="I85" i="42"/>
  <c r="AP121" i="42"/>
  <c r="AB189" i="42"/>
  <c r="AN202" i="42"/>
  <c r="AA38" i="42"/>
  <c r="Z28" i="42"/>
  <c r="AB28" i="42"/>
  <c r="AA28" i="42"/>
  <c r="AP28" i="42"/>
  <c r="AN144" i="42"/>
  <c r="Z210" i="42"/>
  <c r="AF45" i="42"/>
  <c r="Z46" i="42"/>
  <c r="I52" i="42"/>
  <c r="AA34" i="42"/>
  <c r="AR31" i="42"/>
  <c r="AR34" i="42" s="1"/>
  <c r="K200" i="42"/>
  <c r="Z23" i="42"/>
  <c r="AA23" i="42"/>
  <c r="U26" i="42"/>
  <c r="AP23" i="42"/>
  <c r="AP26" i="42" s="1"/>
  <c r="AB23" i="42"/>
  <c r="I207" i="42"/>
  <c r="U201" i="42"/>
  <c r="Z12" i="42"/>
  <c r="AA12" i="42"/>
  <c r="U18" i="42"/>
  <c r="AP12" i="42"/>
  <c r="AB12" i="42"/>
  <c r="I201" i="42"/>
  <c r="AL198" i="42"/>
  <c r="N197" i="42"/>
  <c r="G22" i="45" s="1"/>
  <c r="AU190" i="42"/>
  <c r="AU196" i="42" s="1"/>
  <c r="AN196" i="42"/>
  <c r="AP196" i="42"/>
  <c r="AO187" i="42"/>
  <c r="AU156" i="42"/>
  <c r="AU161" i="42" s="1"/>
  <c r="AO169" i="42"/>
  <c r="I144" i="42"/>
  <c r="AE198" i="42"/>
  <c r="Y198" i="42"/>
  <c r="AV161" i="42"/>
  <c r="I115" i="42"/>
  <c r="AV112" i="42"/>
  <c r="L197" i="42"/>
  <c r="E22" i="45" s="1"/>
  <c r="AA196" i="42"/>
  <c r="AF172" i="42"/>
  <c r="AO172" i="42" s="1"/>
  <c r="AF165" i="42"/>
  <c r="I170" i="42"/>
  <c r="AF130" i="42"/>
  <c r="AO130" i="42" s="1"/>
  <c r="AP131" i="42"/>
  <c r="AU123" i="42"/>
  <c r="AU125" i="42" s="1"/>
  <c r="AW112" i="42"/>
  <c r="AP85" i="42"/>
  <c r="AN170" i="42"/>
  <c r="AN131" i="42"/>
  <c r="AS100" i="42"/>
  <c r="AS105" i="42" s="1"/>
  <c r="AP89" i="42"/>
  <c r="AF81" i="42"/>
  <c r="AO81" i="42" s="1"/>
  <c r="AS69" i="42"/>
  <c r="AA64" i="42"/>
  <c r="AP54" i="42"/>
  <c r="AP58" i="42" s="1"/>
  <c r="AB54" i="42"/>
  <c r="AA54" i="42"/>
  <c r="AR54" i="42" s="1"/>
  <c r="AR58" i="42" s="1"/>
  <c r="Z54" i="42"/>
  <c r="Z58" i="42" s="1"/>
  <c r="AQ208" i="42"/>
  <c r="R223" i="42"/>
  <c r="AM198" i="42"/>
  <c r="AF120" i="42"/>
  <c r="AO120" i="42" s="1"/>
  <c r="AF118" i="42"/>
  <c r="AO118" i="42" s="1"/>
  <c r="Z121" i="42"/>
  <c r="AF116" i="42"/>
  <c r="AO116" i="42" s="1"/>
  <c r="AF107" i="42"/>
  <c r="AO107" i="42" s="1"/>
  <c r="AF87" i="42"/>
  <c r="AO87" i="42" s="1"/>
  <c r="U209" i="42"/>
  <c r="AB77" i="42"/>
  <c r="AP77" i="42"/>
  <c r="U78" i="42"/>
  <c r="AA77" i="42"/>
  <c r="Z77" i="42"/>
  <c r="AF65" i="42"/>
  <c r="Z69" i="42"/>
  <c r="U208" i="42"/>
  <c r="AB50" i="42"/>
  <c r="Z50" i="42"/>
  <c r="AP50" i="42"/>
  <c r="AA50" i="42"/>
  <c r="AM197" i="42"/>
  <c r="AF22" i="45" s="1"/>
  <c r="AA189" i="42"/>
  <c r="AR184" i="42"/>
  <c r="AA164" i="42"/>
  <c r="Z132" i="42"/>
  <c r="U134" i="42"/>
  <c r="AA132" i="42"/>
  <c r="AP132" i="42"/>
  <c r="AP134" i="42" s="1"/>
  <c r="AB132" i="42"/>
  <c r="AR106" i="42"/>
  <c r="AS96" i="42"/>
  <c r="AS99" i="42" s="1"/>
  <c r="AF117" i="42"/>
  <c r="AO117" i="42" s="1"/>
  <c r="I95" i="42"/>
  <c r="AN209" i="42"/>
  <c r="AN78" i="42"/>
  <c r="AS64" i="42"/>
  <c r="AV210" i="42"/>
  <c r="AV46" i="42"/>
  <c r="AF42" i="42"/>
  <c r="AF44" i="42" s="1"/>
  <c r="Z44" i="42"/>
  <c r="I44" i="42"/>
  <c r="Z41" i="42"/>
  <c r="AF39" i="42"/>
  <c r="AU36" i="42"/>
  <c r="AP38" i="42"/>
  <c r="AF33" i="42"/>
  <c r="AO33" i="42" s="1"/>
  <c r="Z34" i="42"/>
  <c r="AF31" i="42"/>
  <c r="AF27" i="42"/>
  <c r="AN22" i="42"/>
  <c r="AW207" i="42"/>
  <c r="AS128" i="42"/>
  <c r="AS131" i="42" s="1"/>
  <c r="AA95" i="42"/>
  <c r="AF80" i="42"/>
  <c r="AO80" i="42" s="1"/>
  <c r="AP76" i="42"/>
  <c r="Z115" i="42"/>
  <c r="Z99" i="42"/>
  <c r="AF96" i="42"/>
  <c r="AA76" i="42"/>
  <c r="AF61" i="42"/>
  <c r="AO61" i="42" s="1"/>
  <c r="U58" i="42"/>
  <c r="AT202" i="42"/>
  <c r="AP210" i="42"/>
  <c r="AP46" i="42"/>
  <c r="AV26" i="42"/>
  <c r="AN207" i="42"/>
  <c r="AU17" i="42"/>
  <c r="AT201" i="42"/>
  <c r="AF83" i="42"/>
  <c r="AO83" i="42" s="1"/>
  <c r="AO57" i="42"/>
  <c r="AF48" i="42"/>
  <c r="AO48" i="42" s="1"/>
  <c r="AF150" i="42"/>
  <c r="AO150" i="42" s="1"/>
  <c r="AU77" i="42"/>
  <c r="AO51" i="42"/>
  <c r="I202" i="42"/>
  <c r="AP34" i="42"/>
  <c r="U22" i="42"/>
  <c r="AB19" i="42"/>
  <c r="Z19" i="42"/>
  <c r="AP19" i="42"/>
  <c r="AP22" i="42" s="1"/>
  <c r="AA19" i="42"/>
  <c r="AQ201" i="42"/>
  <c r="AU183" i="42"/>
  <c r="AF62" i="42"/>
  <c r="AS44" i="42"/>
  <c r="AN52" i="42"/>
  <c r="AB29" i="42"/>
  <c r="AS29" i="42" s="1"/>
  <c r="AA29" i="42"/>
  <c r="AR29" i="42" s="1"/>
  <c r="Z29" i="42"/>
  <c r="AP29" i="42"/>
  <c r="U207" i="42"/>
  <c r="Z17" i="42"/>
  <c r="AA17" i="42"/>
  <c r="AB17" i="42"/>
  <c r="AP17" i="42"/>
  <c r="AS189" i="42"/>
  <c r="AS173" i="42"/>
  <c r="AF173" i="42"/>
  <c r="AO173" i="42" s="1"/>
  <c r="AA144" i="42"/>
  <c r="AR138" i="42"/>
  <c r="AR144" i="42" s="1"/>
  <c r="AB164" i="42"/>
  <c r="AS162" i="42"/>
  <c r="AS164" i="42" s="1"/>
  <c r="I155" i="42"/>
  <c r="AS114" i="42"/>
  <c r="AS115" i="42" s="1"/>
  <c r="AB115" i="42"/>
  <c r="AB178" i="42"/>
  <c r="U183" i="42"/>
  <c r="Z178" i="42"/>
  <c r="AA178" i="42"/>
  <c r="AP178" i="42"/>
  <c r="AP183" i="42" s="1"/>
  <c r="AS171" i="42"/>
  <c r="AU147" i="42"/>
  <c r="Z125" i="42"/>
  <c r="AF122" i="42"/>
  <c r="AS121" i="42"/>
  <c r="AA105" i="42"/>
  <c r="AR100" i="42"/>
  <c r="AR105" i="42" s="1"/>
  <c r="AT208" i="42"/>
  <c r="Z147" i="42"/>
  <c r="AB76" i="42"/>
  <c r="AS70" i="42"/>
  <c r="AS76" i="42" s="1"/>
  <c r="AS90" i="42"/>
  <c r="AS95" i="42" s="1"/>
  <c r="AB95" i="42"/>
  <c r="AF82" i="42"/>
  <c r="AO82" i="42" s="1"/>
  <c r="AV203" i="42"/>
  <c r="AB108" i="42"/>
  <c r="AS108" i="42" s="1"/>
  <c r="AS112" i="42" s="1"/>
  <c r="Z108" i="42"/>
  <c r="Z112" i="42" s="1"/>
  <c r="AP108" i="42"/>
  <c r="AP112" i="42" s="1"/>
  <c r="AA108" i="42"/>
  <c r="AR108" i="42" s="1"/>
  <c r="AQ207" i="42"/>
  <c r="AV196" i="42"/>
  <c r="Z196" i="42"/>
  <c r="AF190" i="42"/>
  <c r="AO190" i="42" s="1"/>
  <c r="AF181" i="42"/>
  <c r="AO181" i="42" s="1"/>
  <c r="AR160" i="42"/>
  <c r="AF193" i="42"/>
  <c r="AO193" i="42" s="1"/>
  <c r="Z164" i="42"/>
  <c r="AF162" i="42"/>
  <c r="AF153" i="42"/>
  <c r="AF155" i="42" s="1"/>
  <c r="Z155" i="42"/>
  <c r="AN134" i="42"/>
  <c r="AU132" i="42"/>
  <c r="AU134" i="42" s="1"/>
  <c r="AF129" i="42"/>
  <c r="AO129" i="42" s="1"/>
  <c r="I196" i="42"/>
  <c r="AN155" i="42"/>
  <c r="AU153" i="42"/>
  <c r="AU155" i="42" s="1"/>
  <c r="AB144" i="42"/>
  <c r="AR126" i="42"/>
  <c r="AR131" i="42" s="1"/>
  <c r="AA85" i="42"/>
  <c r="AR79" i="42"/>
  <c r="AR85" i="42" s="1"/>
  <c r="AF171" i="42"/>
  <c r="AF163" i="42"/>
  <c r="AO163" i="42" s="1"/>
  <c r="AF159" i="42"/>
  <c r="AO159" i="42" s="1"/>
  <c r="AP156" i="42"/>
  <c r="Z156" i="42"/>
  <c r="U161" i="42"/>
  <c r="AB156" i="42"/>
  <c r="AA156" i="42"/>
  <c r="AR137" i="42"/>
  <c r="AF114" i="42"/>
  <c r="AO114" i="42" s="1"/>
  <c r="Z105" i="42"/>
  <c r="AF100" i="42"/>
  <c r="AR86" i="42"/>
  <c r="AR89" i="42" s="1"/>
  <c r="AF68" i="42"/>
  <c r="AO68" i="42" s="1"/>
  <c r="AR64" i="42"/>
  <c r="AP64" i="42"/>
  <c r="AF149" i="42"/>
  <c r="AO149" i="42" s="1"/>
  <c r="AS146" i="42"/>
  <c r="AS147" i="42" s="1"/>
  <c r="AB147" i="42"/>
  <c r="AF139" i="42"/>
  <c r="I121" i="42"/>
  <c r="AN112" i="42"/>
  <c r="AU107" i="42"/>
  <c r="AU112" i="42" s="1"/>
  <c r="AF104" i="42"/>
  <c r="AO104" i="42" s="1"/>
  <c r="AR72" i="42"/>
  <c r="AR76" i="42" s="1"/>
  <c r="AA69" i="42"/>
  <c r="AE200" i="42"/>
  <c r="AP189" i="42"/>
  <c r="I189" i="42"/>
  <c r="AF168" i="42"/>
  <c r="AO168" i="42" s="1"/>
  <c r="AS153" i="42"/>
  <c r="AS155" i="42" s="1"/>
  <c r="AB125" i="42"/>
  <c r="I105" i="42"/>
  <c r="AV209" i="42"/>
  <c r="AV78" i="42"/>
  <c r="AW204" i="42"/>
  <c r="AW64" i="42"/>
  <c r="AR35" i="42"/>
  <c r="AR38" i="42" s="1"/>
  <c r="I38" i="42"/>
  <c r="U30" i="42"/>
  <c r="AW201" i="42"/>
  <c r="AW200" i="42" s="1"/>
  <c r="AW18" i="42"/>
  <c r="Z157" i="42"/>
  <c r="AA157" i="42"/>
  <c r="AR157" i="42" s="1"/>
  <c r="AP157" i="42"/>
  <c r="AP204" i="42" s="1"/>
  <c r="AB157" i="42"/>
  <c r="AS157" i="42" s="1"/>
  <c r="AF70" i="42"/>
  <c r="Z76" i="42"/>
  <c r="AF94" i="42"/>
  <c r="AO94" i="42" s="1"/>
  <c r="AF84" i="42"/>
  <c r="AO84" i="42" s="1"/>
  <c r="AF53" i="42"/>
  <c r="AV208" i="42"/>
  <c r="AQ202" i="42"/>
  <c r="AQ52" i="42"/>
  <c r="AF36" i="42"/>
  <c r="AO36" i="42" s="1"/>
  <c r="AV207" i="42"/>
  <c r="AT203" i="42"/>
  <c r="AN18" i="42"/>
  <c r="AU12" i="42"/>
  <c r="AS89" i="42"/>
  <c r="AU204" i="42"/>
  <c r="AU64" i="42"/>
  <c r="U202" i="42"/>
  <c r="AB47" i="42"/>
  <c r="AA47" i="42"/>
  <c r="AP47" i="42"/>
  <c r="Z47" i="42"/>
  <c r="U52" i="42"/>
  <c r="U223" i="42" s="1"/>
  <c r="AN44" i="42"/>
  <c r="AU42" i="42"/>
  <c r="AU44" i="42" s="1"/>
  <c r="AB41" i="42"/>
  <c r="AN204" i="42"/>
  <c r="AV28" i="42"/>
  <c r="AV201" i="42" s="1"/>
  <c r="AN28" i="42"/>
  <c r="AU28" i="42" s="1"/>
  <c r="AU30" i="42" s="1"/>
  <c r="AF16" i="42"/>
  <c r="AO16" i="42" s="1"/>
  <c r="Q200" i="42"/>
  <c r="AF24" i="42"/>
  <c r="AO24" i="42" s="1"/>
  <c r="AR196" i="42"/>
  <c r="I125" i="42"/>
  <c r="AU52" i="42"/>
  <c r="AU210" i="42"/>
  <c r="AU46" i="42"/>
  <c r="AV177" i="42"/>
  <c r="AB121" i="42"/>
  <c r="AN99" i="42"/>
  <c r="AU96" i="42"/>
  <c r="AU99" i="42" s="1"/>
  <c r="AR69" i="42"/>
  <c r="AV202" i="42"/>
  <c r="AV52" i="42"/>
  <c r="Y197" i="42"/>
  <c r="R22" i="45" s="1"/>
  <c r="AF106" i="42"/>
  <c r="AQ204" i="42"/>
  <c r="AQ64" i="42"/>
  <c r="I208" i="42"/>
  <c r="AN210" i="42"/>
  <c r="AN46" i="42"/>
  <c r="AV30" i="42"/>
  <c r="AU177" i="42"/>
  <c r="I99" i="42"/>
  <c r="AN26" i="42"/>
  <c r="AU23" i="42"/>
  <c r="AU26" i="42" s="1"/>
  <c r="AI200" i="42"/>
  <c r="AL199" i="42" s="1"/>
  <c r="AF194" i="42"/>
  <c r="AO194" i="42" s="1"/>
  <c r="AL197" i="42"/>
  <c r="AE22" i="45" s="1"/>
  <c r="AF188" i="42"/>
  <c r="AO188" i="42" s="1"/>
  <c r="AP166" i="42"/>
  <c r="AP170" i="42" s="1"/>
  <c r="AB166" i="42"/>
  <c r="AA166" i="42"/>
  <c r="AR166" i="42" s="1"/>
  <c r="AR170" i="42" s="1"/>
  <c r="Z166" i="42"/>
  <c r="U170" i="42"/>
  <c r="AF180" i="42"/>
  <c r="AO180" i="42" s="1"/>
  <c r="AP152" i="42"/>
  <c r="AP144" i="42"/>
  <c r="AR119" i="42"/>
  <c r="AF119" i="42"/>
  <c r="AO119" i="42" s="1"/>
  <c r="AE197" i="42"/>
  <c r="X22" i="45" s="1"/>
  <c r="AR153" i="42"/>
  <c r="AR155" i="42" s="1"/>
  <c r="AV134" i="42"/>
  <c r="AS125" i="42"/>
  <c r="AS190" i="42"/>
  <c r="AS196" i="42" s="1"/>
  <c r="AQ152" i="42"/>
  <c r="AA147" i="42"/>
  <c r="AR145" i="42"/>
  <c r="AR147" i="42" s="1"/>
  <c r="AF126" i="42"/>
  <c r="AO126" i="42" s="1"/>
  <c r="I131" i="42"/>
  <c r="AP125" i="42"/>
  <c r="AQ209" i="42"/>
  <c r="AQ78" i="42"/>
  <c r="AF186" i="42"/>
  <c r="AO186" i="42" s="1"/>
  <c r="AP174" i="42"/>
  <c r="AP177" i="42" s="1"/>
  <c r="Z174" i="42"/>
  <c r="U177" i="42"/>
  <c r="AB174" i="42"/>
  <c r="AS174" i="42" s="1"/>
  <c r="AA174" i="42"/>
  <c r="AO128" i="42"/>
  <c r="AF111" i="42"/>
  <c r="AO111" i="42" s="1"/>
  <c r="AU105" i="42"/>
  <c r="AF86" i="42"/>
  <c r="AO86" i="42" s="1"/>
  <c r="Z89" i="42"/>
  <c r="I89" i="42"/>
  <c r="AO62" i="42"/>
  <c r="Z64" i="42"/>
  <c r="AF59" i="42"/>
  <c r="AO59" i="42" s="1"/>
  <c r="U204" i="42"/>
  <c r="AN177" i="42"/>
  <c r="AF151" i="42"/>
  <c r="AO151" i="42" s="1"/>
  <c r="AF127" i="42"/>
  <c r="AO127" i="42" s="1"/>
  <c r="AA121" i="42"/>
  <c r="AR116" i="42"/>
  <c r="AR121" i="42" s="1"/>
  <c r="AN95" i="42"/>
  <c r="AU90" i="42"/>
  <c r="AU95" i="42" s="1"/>
  <c r="AF71" i="42"/>
  <c r="AO71" i="42" s="1"/>
  <c r="AT204" i="42"/>
  <c r="AT64" i="42"/>
  <c r="AT223" i="42" s="1"/>
  <c r="Y200" i="42"/>
  <c r="Z189" i="42"/>
  <c r="AF184" i="42"/>
  <c r="AO184" i="42" s="1"/>
  <c r="I152" i="42"/>
  <c r="U112" i="42"/>
  <c r="AO106" i="42"/>
  <c r="I112" i="42"/>
  <c r="AU89" i="42"/>
  <c r="I204" i="42"/>
  <c r="I64" i="42"/>
  <c r="AF40" i="42"/>
  <c r="AO40" i="42" s="1"/>
  <c r="Z38" i="42"/>
  <c r="AF35" i="42"/>
  <c r="AM200" i="42"/>
  <c r="AF103" i="42"/>
  <c r="AO103" i="42" s="1"/>
  <c r="AF92" i="42"/>
  <c r="AO92" i="42" s="1"/>
  <c r="Z95" i="42"/>
  <c r="AF90" i="42"/>
  <c r="K197" i="42"/>
  <c r="AF136" i="42"/>
  <c r="AO136" i="42" s="1"/>
  <c r="AO137" i="42" s="1"/>
  <c r="AF101" i="42"/>
  <c r="AO101" i="42" s="1"/>
  <c r="AP99" i="42"/>
  <c r="AF91" i="42"/>
  <c r="AO91" i="42" s="1"/>
  <c r="AF88" i="42"/>
  <c r="AO88" i="42" s="1"/>
  <c r="AN89" i="42"/>
  <c r="Z85" i="42"/>
  <c r="AU69" i="42"/>
  <c r="AF63" i="42"/>
  <c r="AO63" i="42" s="1"/>
  <c r="AF55" i="42"/>
  <c r="AO55" i="42" s="1"/>
  <c r="AA58" i="42"/>
  <c r="I58" i="42"/>
  <c r="AN208" i="42"/>
  <c r="AN203" i="42"/>
  <c r="AU14" i="42"/>
  <c r="AU203" i="42" s="1"/>
  <c r="AV18" i="42"/>
  <c r="AN147" i="42"/>
  <c r="N198" i="42"/>
  <c r="AN105" i="42"/>
  <c r="AQ85" i="42"/>
  <c r="AF67" i="42"/>
  <c r="AO67" i="42" s="1"/>
  <c r="AF56" i="42"/>
  <c r="AO56" i="42" s="1"/>
  <c r="AA41" i="42"/>
  <c r="AR39" i="42"/>
  <c r="AR41" i="42" s="1"/>
  <c r="AB34" i="42"/>
  <c r="AO21" i="42"/>
  <c r="I22" i="42"/>
  <c r="AF133" i="42"/>
  <c r="AO133" i="42" s="1"/>
  <c r="AN76" i="42"/>
  <c r="AU70" i="42"/>
  <c r="AU76" i="42" s="1"/>
  <c r="U203" i="42"/>
  <c r="Z14" i="42"/>
  <c r="AA14" i="42"/>
  <c r="AP14" i="42"/>
  <c r="AB14" i="42"/>
  <c r="AU38" i="42"/>
  <c r="AF13" i="42"/>
  <c r="AO13" i="42" s="1"/>
  <c r="AU153" i="41"/>
  <c r="AB142" i="41"/>
  <c r="AS136" i="41"/>
  <c r="AS142" i="41" s="1"/>
  <c r="I142" i="41"/>
  <c r="AR94" i="41"/>
  <c r="AR95" i="41" s="1"/>
  <c r="AF94" i="41"/>
  <c r="AB101" i="41"/>
  <c r="AS98" i="41"/>
  <c r="AS101" i="41" s="1"/>
  <c r="AA67" i="41"/>
  <c r="AR64" i="41"/>
  <c r="AR67" i="41" s="1"/>
  <c r="AV74" i="41"/>
  <c r="I67" i="41"/>
  <c r="AS89" i="41"/>
  <c r="AR60" i="41"/>
  <c r="Z89" i="41"/>
  <c r="AF86" i="41"/>
  <c r="AO86" i="41" s="1"/>
  <c r="AA81" i="41"/>
  <c r="AR75" i="41"/>
  <c r="AR81" i="41" s="1"/>
  <c r="AF107" i="41"/>
  <c r="AO107" i="41" s="1"/>
  <c r="I147" i="41"/>
  <c r="I16" i="41"/>
  <c r="AA135" i="41"/>
  <c r="R248" i="41"/>
  <c r="Z24" i="41"/>
  <c r="Z27" i="41" s="1"/>
  <c r="AB24" i="41"/>
  <c r="AS24" i="41" s="1"/>
  <c r="AS27" i="41" s="1"/>
  <c r="AP24" i="41"/>
  <c r="AP27" i="41" s="1"/>
  <c r="AA24" i="41"/>
  <c r="AR24" i="41" s="1"/>
  <c r="AF66" i="41"/>
  <c r="AO66" i="41" s="1"/>
  <c r="AL166" i="40"/>
  <c r="AA142" i="41"/>
  <c r="K143" i="41"/>
  <c r="D21" i="45" s="1"/>
  <c r="AO119" i="41"/>
  <c r="I126" i="41"/>
  <c r="L143" i="41"/>
  <c r="E21" i="45" s="1"/>
  <c r="Z111" i="41"/>
  <c r="AF105" i="41"/>
  <c r="AO105" i="41" s="1"/>
  <c r="AL143" i="41"/>
  <c r="I74" i="41"/>
  <c r="AU67" i="41"/>
  <c r="AF133" i="41"/>
  <c r="AO133" i="41" s="1"/>
  <c r="AU156" i="41"/>
  <c r="AU97" i="41"/>
  <c r="AF88" i="41"/>
  <c r="AO88" i="41" s="1"/>
  <c r="AB126" i="41"/>
  <c r="AS121" i="41"/>
  <c r="AS126" i="41" s="1"/>
  <c r="AW126" i="41"/>
  <c r="AF106" i="41"/>
  <c r="AO106" i="41" s="1"/>
  <c r="AN111" i="41"/>
  <c r="AU105" i="41"/>
  <c r="AU111" i="41" s="1"/>
  <c r="AR86" i="41"/>
  <c r="AR89" i="41" s="1"/>
  <c r="AB81" i="41"/>
  <c r="AS75" i="41"/>
  <c r="AS81" i="41" s="1"/>
  <c r="AF110" i="41"/>
  <c r="AO110" i="41" s="1"/>
  <c r="AR42" i="41"/>
  <c r="U155" i="41"/>
  <c r="AB28" i="41"/>
  <c r="U29" i="41"/>
  <c r="AP28" i="41"/>
  <c r="AA28" i="41"/>
  <c r="Z28" i="41"/>
  <c r="AU53" i="41"/>
  <c r="AV38" i="41"/>
  <c r="I32" i="41"/>
  <c r="AN154" i="41"/>
  <c r="AR135" i="41"/>
  <c r="Z101" i="41"/>
  <c r="AF87" i="41"/>
  <c r="AO87" i="41" s="1"/>
  <c r="AP60" i="41"/>
  <c r="AP45" i="41"/>
  <c r="AF37" i="41"/>
  <c r="AF36" i="41"/>
  <c r="AO36" i="41" s="1"/>
  <c r="AF35" i="41"/>
  <c r="AO35" i="41" s="1"/>
  <c r="AF34" i="41"/>
  <c r="AO34" i="41" s="1"/>
  <c r="AP148" i="41"/>
  <c r="AP21" i="41"/>
  <c r="U153" i="41"/>
  <c r="Z15" i="41"/>
  <c r="AB15" i="41"/>
  <c r="AB16" i="41" s="1"/>
  <c r="AP15" i="41"/>
  <c r="AP16" i="41" s="1"/>
  <c r="AA15" i="41"/>
  <c r="AA16" i="41" s="1"/>
  <c r="N146" i="41"/>
  <c r="AB95" i="41"/>
  <c r="AS90" i="41"/>
  <c r="AS95" i="41" s="1"/>
  <c r="AU86" i="41"/>
  <c r="AU89" i="41" s="1"/>
  <c r="AN89" i="41"/>
  <c r="AF50" i="41"/>
  <c r="AO50" i="41" s="1"/>
  <c r="AN52" i="41"/>
  <c r="AQ150" i="41"/>
  <c r="AN27" i="41"/>
  <c r="AU22" i="41"/>
  <c r="AU27" i="41" s="1"/>
  <c r="AW148" i="41"/>
  <c r="AF57" i="41"/>
  <c r="AO57" i="41" s="1"/>
  <c r="AF55" i="41"/>
  <c r="AO55" i="41" s="1"/>
  <c r="U150" i="41"/>
  <c r="Z33" i="41"/>
  <c r="U38" i="41"/>
  <c r="AB33" i="41"/>
  <c r="AP33" i="41"/>
  <c r="AA33" i="41"/>
  <c r="AQ147" i="41"/>
  <c r="AF14" i="41"/>
  <c r="AO14" i="41" s="1"/>
  <c r="AT21" i="41"/>
  <c r="AB127" i="41"/>
  <c r="U130" i="41"/>
  <c r="AA127" i="41"/>
  <c r="AP127" i="41"/>
  <c r="AP130" i="41" s="1"/>
  <c r="Z127" i="41"/>
  <c r="AP126" i="41"/>
  <c r="AS118" i="41"/>
  <c r="I111" i="41"/>
  <c r="AS102" i="41"/>
  <c r="AS104" i="41" s="1"/>
  <c r="AB104" i="41"/>
  <c r="AS111" i="41"/>
  <c r="AN126" i="41"/>
  <c r="AB148" i="41"/>
  <c r="AB21" i="41"/>
  <c r="I52" i="41"/>
  <c r="AV18" i="41"/>
  <c r="AN18" i="41"/>
  <c r="AF136" i="41"/>
  <c r="AO136" i="41" s="1"/>
  <c r="AV147" i="41"/>
  <c r="AB45" i="41"/>
  <c r="AU130" i="41"/>
  <c r="AO137" i="41"/>
  <c r="AP118" i="41"/>
  <c r="AV111" i="41"/>
  <c r="AV101" i="41"/>
  <c r="AP142" i="41"/>
  <c r="AN130" i="41"/>
  <c r="AA118" i="41"/>
  <c r="AA111" i="41"/>
  <c r="AR105" i="41"/>
  <c r="AR111" i="41" s="1"/>
  <c r="Z104" i="41"/>
  <c r="AF102" i="41"/>
  <c r="AQ156" i="41"/>
  <c r="AQ97" i="41"/>
  <c r="AO94" i="41"/>
  <c r="AV132" i="41"/>
  <c r="AV150" i="41" s="1"/>
  <c r="AN132" i="41"/>
  <c r="AU132" i="41" s="1"/>
  <c r="AU112" i="41"/>
  <c r="AU118" i="41" s="1"/>
  <c r="AN118" i="41"/>
  <c r="I101" i="41"/>
  <c r="AT156" i="41"/>
  <c r="AT97" i="41"/>
  <c r="AU81" i="41"/>
  <c r="AU63" i="41"/>
  <c r="AF138" i="41"/>
  <c r="AB111" i="41"/>
  <c r="AF141" i="41"/>
  <c r="AO141" i="41" s="1"/>
  <c r="U156" i="41"/>
  <c r="Z96" i="41"/>
  <c r="U97" i="41"/>
  <c r="AP96" i="41"/>
  <c r="AB96" i="41"/>
  <c r="AA96" i="41"/>
  <c r="Z67" i="41"/>
  <c r="AF64" i="41"/>
  <c r="AO64" i="41" s="1"/>
  <c r="AS60" i="41"/>
  <c r="AW150" i="41"/>
  <c r="AW38" i="41"/>
  <c r="AF121" i="41"/>
  <c r="AO121" i="41" s="1"/>
  <c r="AU119" i="41"/>
  <c r="AU126" i="41" s="1"/>
  <c r="AO93" i="41"/>
  <c r="AB89" i="41"/>
  <c r="Z81" i="41"/>
  <c r="AF75" i="41"/>
  <c r="AF108" i="41"/>
  <c r="AO108" i="41" s="1"/>
  <c r="AF56" i="41"/>
  <c r="AO56" i="41" s="1"/>
  <c r="AU52" i="41"/>
  <c r="AO40" i="41"/>
  <c r="AS45" i="41"/>
  <c r="AT155" i="41"/>
  <c r="AT29" i="41"/>
  <c r="AQ148" i="41"/>
  <c r="AQ21" i="41"/>
  <c r="AQ248" i="41" s="1"/>
  <c r="AV153" i="41"/>
  <c r="AO37" i="41"/>
  <c r="I150" i="41"/>
  <c r="AU131" i="41"/>
  <c r="AU135" i="41" s="1"/>
  <c r="AU98" i="41"/>
  <c r="AU101" i="41" s="1"/>
  <c r="AO80" i="41"/>
  <c r="AN74" i="41"/>
  <c r="AA60" i="41"/>
  <c r="AU155" i="41"/>
  <c r="AU29" i="41"/>
  <c r="AF22" i="41"/>
  <c r="AO22" i="41" s="1"/>
  <c r="AA154" i="41"/>
  <c r="AR19" i="41"/>
  <c r="AL148" i="41"/>
  <c r="AF122" i="41"/>
  <c r="AO122" i="41" s="1"/>
  <c r="AF109" i="41"/>
  <c r="AO109" i="41" s="1"/>
  <c r="AA95" i="41"/>
  <c r="AU70" i="41"/>
  <c r="AU74" i="41" s="1"/>
  <c r="AF31" i="41"/>
  <c r="AO31" i="41" s="1"/>
  <c r="AS19" i="41"/>
  <c r="AS17" i="41"/>
  <c r="AN147" i="41"/>
  <c r="AN16" i="41"/>
  <c r="AU12" i="41"/>
  <c r="AF70" i="41"/>
  <c r="AO70" i="41" s="1"/>
  <c r="AO58" i="41"/>
  <c r="AV55" i="41"/>
  <c r="AV60" i="41" s="1"/>
  <c r="AN55" i="41"/>
  <c r="AU55" i="41" s="1"/>
  <c r="AB60" i="41"/>
  <c r="AP32" i="41"/>
  <c r="U27" i="41"/>
  <c r="AT148" i="41"/>
  <c r="AF26" i="41"/>
  <c r="AO26" i="41" s="1"/>
  <c r="AN150" i="41"/>
  <c r="AN38" i="41"/>
  <c r="AU33" i="41"/>
  <c r="U147" i="41"/>
  <c r="AF98" i="41"/>
  <c r="AF101" i="41" s="1"/>
  <c r="AA45" i="41"/>
  <c r="Z95" i="41"/>
  <c r="AF90" i="41"/>
  <c r="AO90" i="41" s="1"/>
  <c r="AR27" i="41"/>
  <c r="AF30" i="41"/>
  <c r="Z32" i="41"/>
  <c r="Z118" i="41"/>
  <c r="AF112" i="41"/>
  <c r="AO112" i="41" s="1"/>
  <c r="AO118" i="41" s="1"/>
  <c r="AV156" i="41"/>
  <c r="AV97" i="41"/>
  <c r="AR136" i="41"/>
  <c r="AR142" i="41" s="1"/>
  <c r="AF134" i="41"/>
  <c r="AO134" i="41" s="1"/>
  <c r="AS132" i="41"/>
  <c r="AS135" i="41" s="1"/>
  <c r="AB135" i="41"/>
  <c r="AA126" i="41"/>
  <c r="I130" i="41"/>
  <c r="AF125" i="41"/>
  <c r="AO125" i="41" s="1"/>
  <c r="I135" i="41"/>
  <c r="AO131" i="41"/>
  <c r="AV130" i="41"/>
  <c r="AO124" i="41"/>
  <c r="I118" i="41"/>
  <c r="AP111" i="41"/>
  <c r="AV118" i="41"/>
  <c r="AP101" i="41"/>
  <c r="AR98" i="41"/>
  <c r="AR101" i="41" s="1"/>
  <c r="AA74" i="41"/>
  <c r="AF68" i="41"/>
  <c r="AF139" i="41"/>
  <c r="AO139" i="41" s="1"/>
  <c r="AO138" i="41"/>
  <c r="AV63" i="41"/>
  <c r="AF91" i="41"/>
  <c r="AO91" i="41" s="1"/>
  <c r="AF83" i="41"/>
  <c r="AO83" i="41" s="1"/>
  <c r="U85" i="41"/>
  <c r="AB82" i="41"/>
  <c r="AP82" i="41"/>
  <c r="AP85" i="41" s="1"/>
  <c r="AA82" i="41"/>
  <c r="Z82" i="41"/>
  <c r="AF72" i="41"/>
  <c r="AO72" i="41" s="1"/>
  <c r="AB61" i="41"/>
  <c r="U63" i="41"/>
  <c r="AA61" i="41"/>
  <c r="AP61" i="41"/>
  <c r="AP63" i="41" s="1"/>
  <c r="Z61" i="41"/>
  <c r="U52" i="41"/>
  <c r="AB46" i="41"/>
  <c r="AP46" i="41"/>
  <c r="AP52" i="41" s="1"/>
  <c r="AA46" i="41"/>
  <c r="Z46" i="41"/>
  <c r="AU82" i="41"/>
  <c r="AU85" i="41" s="1"/>
  <c r="AF79" i="41"/>
  <c r="AO79" i="41" s="1"/>
  <c r="AF65" i="41"/>
  <c r="AO65" i="41" s="1"/>
  <c r="AF62" i="41"/>
  <c r="AO62" i="41" s="1"/>
  <c r="AS30" i="41"/>
  <c r="AS32" i="41" s="1"/>
  <c r="Z126" i="41"/>
  <c r="AW156" i="41"/>
  <c r="AW97" i="41"/>
  <c r="I89" i="41"/>
  <c r="AP81" i="41"/>
  <c r="AS74" i="41"/>
  <c r="AN45" i="41"/>
  <c r="AU39" i="41"/>
  <c r="AU45" i="41" s="1"/>
  <c r="I155" i="41"/>
  <c r="I29" i="41"/>
  <c r="I27" i="41"/>
  <c r="AU154" i="41"/>
  <c r="U154" i="41"/>
  <c r="AN153" i="41"/>
  <c r="AT147" i="41"/>
  <c r="AT16" i="41"/>
  <c r="Q146" i="41"/>
  <c r="U145" i="41" s="1"/>
  <c r="AL150" i="41"/>
  <c r="AQ155" i="41"/>
  <c r="AQ29" i="41"/>
  <c r="AF132" i="41"/>
  <c r="AO132" i="41" s="1"/>
  <c r="AF59" i="41"/>
  <c r="AO59" i="41" s="1"/>
  <c r="AF51" i="41"/>
  <c r="AO51" i="41" s="1"/>
  <c r="Z45" i="41"/>
  <c r="AF39" i="41"/>
  <c r="I45" i="41"/>
  <c r="AA148" i="41"/>
  <c r="AA21" i="41"/>
  <c r="AR17" i="41"/>
  <c r="AW147" i="41"/>
  <c r="AW16" i="41"/>
  <c r="AW248" i="41" s="1"/>
  <c r="N143" i="41"/>
  <c r="G21" i="45" s="1"/>
  <c r="AP95" i="41"/>
  <c r="I95" i="41"/>
  <c r="AN32" i="41"/>
  <c r="AU30" i="41"/>
  <c r="AU32" i="41" s="1"/>
  <c r="AF19" i="41"/>
  <c r="Z148" i="41"/>
  <c r="Z21" i="41"/>
  <c r="AF17" i="41"/>
  <c r="U16" i="41"/>
  <c r="AL248" i="41"/>
  <c r="I153" i="41"/>
  <c r="AR68" i="41"/>
  <c r="AR74" i="41" s="1"/>
  <c r="AF53" i="41"/>
  <c r="Z60" i="41"/>
  <c r="AF47" i="41"/>
  <c r="AO47" i="41" s="1"/>
  <c r="AF12" i="41"/>
  <c r="AO12" i="41" s="1"/>
  <c r="AF18" i="41"/>
  <c r="AO18" i="41" s="1"/>
  <c r="N125" i="39"/>
  <c r="AS151" i="40"/>
  <c r="AS153" i="40" s="1"/>
  <c r="AB153" i="40"/>
  <c r="I153" i="40"/>
  <c r="AA123" i="40"/>
  <c r="AU132" i="40"/>
  <c r="AU136" i="40" s="1"/>
  <c r="AP136" i="40"/>
  <c r="Z114" i="40"/>
  <c r="U117" i="40"/>
  <c r="AB114" i="40"/>
  <c r="AP114" i="40"/>
  <c r="AP117" i="40" s="1"/>
  <c r="AA114" i="40"/>
  <c r="AR96" i="40"/>
  <c r="AN123" i="40"/>
  <c r="AU118" i="40"/>
  <c r="AU123" i="40" s="1"/>
  <c r="AN117" i="40"/>
  <c r="AU114" i="40"/>
  <c r="AU117" i="40" s="1"/>
  <c r="Z129" i="40"/>
  <c r="AF127" i="40"/>
  <c r="AO127" i="40" s="1"/>
  <c r="I129" i="40"/>
  <c r="AF111" i="40"/>
  <c r="AO111" i="40" s="1"/>
  <c r="N165" i="40"/>
  <c r="AB90" i="40"/>
  <c r="AS88" i="40"/>
  <c r="AS90" i="40" s="1"/>
  <c r="AP87" i="40"/>
  <c r="AF76" i="40"/>
  <c r="AO76" i="40" s="1"/>
  <c r="Z67" i="40"/>
  <c r="U73" i="40"/>
  <c r="AP67" i="40"/>
  <c r="AP73" i="40" s="1"/>
  <c r="AB67" i="40"/>
  <c r="AA67" i="40"/>
  <c r="AV171" i="40"/>
  <c r="AN59" i="40"/>
  <c r="K167" i="40"/>
  <c r="I166" i="40" s="1"/>
  <c r="AU54" i="40"/>
  <c r="AU59" i="40" s="1"/>
  <c r="AF50" i="40"/>
  <c r="AO50" i="40" s="1"/>
  <c r="AS51" i="40"/>
  <c r="AN44" i="40"/>
  <c r="AU39" i="40"/>
  <c r="AU44" i="40" s="1"/>
  <c r="AQ177" i="40"/>
  <c r="AQ25" i="40"/>
  <c r="AA174" i="40"/>
  <c r="AR14" i="40"/>
  <c r="AP15" i="40"/>
  <c r="AF89" i="40"/>
  <c r="AO89" i="40" s="1"/>
  <c r="AA90" i="40"/>
  <c r="AF83" i="40"/>
  <c r="AO83" i="40" s="1"/>
  <c r="AF78" i="40"/>
  <c r="AO78" i="40" s="1"/>
  <c r="AN51" i="40"/>
  <c r="AU45" i="40"/>
  <c r="AU51" i="40" s="1"/>
  <c r="AU80" i="40"/>
  <c r="AP170" i="40"/>
  <c r="Z15" i="40"/>
  <c r="AF12" i="40"/>
  <c r="AO12" i="40" s="1"/>
  <c r="AW177" i="40"/>
  <c r="AF16" i="40"/>
  <c r="Z19" i="40"/>
  <c r="AN174" i="40"/>
  <c r="AQ168" i="40"/>
  <c r="AQ15" i="40"/>
  <c r="AF54" i="40"/>
  <c r="AS54" i="40"/>
  <c r="AB38" i="40"/>
  <c r="I175" i="40"/>
  <c r="AQ169" i="40"/>
  <c r="AQ32" i="40"/>
  <c r="AU25" i="40"/>
  <c r="Z174" i="40"/>
  <c r="AF14" i="40"/>
  <c r="AO14" i="40" s="1"/>
  <c r="AW168" i="40"/>
  <c r="AS34" i="40"/>
  <c r="AS38" i="40" s="1"/>
  <c r="AN177" i="40"/>
  <c r="AN25" i="40"/>
  <c r="AT168" i="40"/>
  <c r="AT15" i="40"/>
  <c r="U159" i="40"/>
  <c r="AB154" i="40"/>
  <c r="Z154" i="40"/>
  <c r="AP154" i="40"/>
  <c r="AP159" i="40" s="1"/>
  <c r="AA154" i="40"/>
  <c r="AF162" i="40"/>
  <c r="AO162" i="40" s="1"/>
  <c r="AB163" i="40"/>
  <c r="AU154" i="40"/>
  <c r="AU159" i="40" s="1"/>
  <c r="AN159" i="40"/>
  <c r="AO152" i="40"/>
  <c r="AR151" i="40"/>
  <c r="AR153" i="40" s="1"/>
  <c r="I150" i="40"/>
  <c r="AN143" i="40"/>
  <c r="AS136" i="40"/>
  <c r="AN108" i="40"/>
  <c r="AU107" i="40"/>
  <c r="AU108" i="40" s="1"/>
  <c r="AS126" i="40"/>
  <c r="Z150" i="40"/>
  <c r="AF144" i="40"/>
  <c r="Z136" i="40"/>
  <c r="AF130" i="40"/>
  <c r="AB136" i="40"/>
  <c r="AS129" i="40"/>
  <c r="AF128" i="40"/>
  <c r="AO128" i="40" s="1"/>
  <c r="Z101" i="40"/>
  <c r="U106" i="40"/>
  <c r="AB101" i="40"/>
  <c r="AP101" i="40"/>
  <c r="AP106" i="40" s="1"/>
  <c r="AA101" i="40"/>
  <c r="AF135" i="40"/>
  <c r="AO135" i="40" s="1"/>
  <c r="AF107" i="40"/>
  <c r="Z108" i="40"/>
  <c r="AF122" i="40"/>
  <c r="AO122" i="40" s="1"/>
  <c r="AB87" i="40"/>
  <c r="AS81" i="40"/>
  <c r="AS87" i="40" s="1"/>
  <c r="AS80" i="40"/>
  <c r="Z80" i="40"/>
  <c r="AF74" i="40"/>
  <c r="AT170" i="40"/>
  <c r="AT38" i="40"/>
  <c r="AU175" i="40"/>
  <c r="U169" i="40"/>
  <c r="AB26" i="40"/>
  <c r="U32" i="40"/>
  <c r="AP26" i="40"/>
  <c r="AA26" i="40"/>
  <c r="Z26" i="40"/>
  <c r="AM167" i="40"/>
  <c r="AF105" i="40"/>
  <c r="AO105" i="40" s="1"/>
  <c r="AV176" i="40"/>
  <c r="AV53" i="40"/>
  <c r="AF45" i="40"/>
  <c r="Z51" i="40"/>
  <c r="AN27" i="40"/>
  <c r="AV27" i="40"/>
  <c r="U66" i="40"/>
  <c r="AB60" i="40"/>
  <c r="Z60" i="40"/>
  <c r="AP60" i="40"/>
  <c r="AP66" i="40" s="1"/>
  <c r="AA60" i="40"/>
  <c r="Z39" i="40"/>
  <c r="U44" i="40"/>
  <c r="AB39" i="40"/>
  <c r="AP39" i="40"/>
  <c r="AP44" i="40" s="1"/>
  <c r="AA39" i="40"/>
  <c r="AN170" i="40"/>
  <c r="AN38" i="40"/>
  <c r="AU33" i="40"/>
  <c r="Z87" i="40"/>
  <c r="AN73" i="40"/>
  <c r="AU67" i="40"/>
  <c r="AU73" i="40" s="1"/>
  <c r="AF64" i="40"/>
  <c r="AO64" i="40" s="1"/>
  <c r="AB51" i="40"/>
  <c r="I170" i="40"/>
  <c r="I38" i="40"/>
  <c r="AU15" i="40"/>
  <c r="AQ59" i="40"/>
  <c r="AF41" i="40"/>
  <c r="AO41" i="40" s="1"/>
  <c r="AT169" i="40"/>
  <c r="AT32" i="40"/>
  <c r="I169" i="40"/>
  <c r="I32" i="40"/>
  <c r="AR54" i="40"/>
  <c r="AN23" i="40"/>
  <c r="AU20" i="40"/>
  <c r="AU23" i="40" s="1"/>
  <c r="AF17" i="40"/>
  <c r="AO17" i="40" s="1"/>
  <c r="AU174" i="40"/>
  <c r="I168" i="40"/>
  <c r="I15" i="40"/>
  <c r="AF43" i="40"/>
  <c r="AO43" i="40" s="1"/>
  <c r="AV177" i="40"/>
  <c r="AV25" i="40"/>
  <c r="AF18" i="40"/>
  <c r="AO18" i="40" s="1"/>
  <c r="AN19" i="40"/>
  <c r="AE167" i="40"/>
  <c r="I165" i="40"/>
  <c r="AF160" i="40"/>
  <c r="Z163" i="40"/>
  <c r="I163" i="40"/>
  <c r="AO146" i="40"/>
  <c r="AO145" i="40"/>
  <c r="AU150" i="40"/>
  <c r="AO158" i="40"/>
  <c r="AP153" i="40"/>
  <c r="AN150" i="40"/>
  <c r="AS150" i="40"/>
  <c r="AO131" i="40"/>
  <c r="I136" i="40"/>
  <c r="AR118" i="40"/>
  <c r="AR123" i="40" s="1"/>
  <c r="U113" i="40"/>
  <c r="AB109" i="40"/>
  <c r="AP109" i="40"/>
  <c r="AP113" i="40" s="1"/>
  <c r="AA109" i="40"/>
  <c r="Z109" i="40"/>
  <c r="I143" i="40"/>
  <c r="AN129" i="40"/>
  <c r="AU127" i="40"/>
  <c r="AU129" i="40" s="1"/>
  <c r="AF112" i="40"/>
  <c r="AO112" i="40" s="1"/>
  <c r="AF134" i="40"/>
  <c r="AO134" i="40" s="1"/>
  <c r="AF121" i="40"/>
  <c r="AO121" i="40" s="1"/>
  <c r="I117" i="40"/>
  <c r="AF103" i="40"/>
  <c r="AO103" i="40" s="1"/>
  <c r="AO99" i="40"/>
  <c r="AU100" i="40"/>
  <c r="AR90" i="40"/>
  <c r="Z126" i="40"/>
  <c r="AF124" i="40"/>
  <c r="AO124" i="40" s="1"/>
  <c r="AB126" i="40"/>
  <c r="AN106" i="40"/>
  <c r="AU101" i="40"/>
  <c r="AU106" i="40" s="1"/>
  <c r="I87" i="40"/>
  <c r="AO81" i="40"/>
  <c r="AB129" i="40"/>
  <c r="AP129" i="40"/>
  <c r="AF125" i="40"/>
  <c r="AO125" i="40" s="1"/>
  <c r="AF119" i="40"/>
  <c r="AO119" i="40" s="1"/>
  <c r="AF102" i="40"/>
  <c r="AO102" i="40" s="1"/>
  <c r="AU96" i="40"/>
  <c r="AF110" i="40"/>
  <c r="AO110" i="40" s="1"/>
  <c r="AS96" i="40"/>
  <c r="Z96" i="40"/>
  <c r="AF91" i="40"/>
  <c r="AO91" i="40" s="1"/>
  <c r="Z90" i="40"/>
  <c r="AF88" i="40"/>
  <c r="AO85" i="40"/>
  <c r="AN66" i="40"/>
  <c r="AN171" i="40"/>
  <c r="AW176" i="40"/>
  <c r="AW53" i="40"/>
  <c r="AA51" i="40"/>
  <c r="AL32" i="40"/>
  <c r="AL164" i="40" s="1"/>
  <c r="U172" i="40"/>
  <c r="AB28" i="40"/>
  <c r="AP28" i="40"/>
  <c r="AP172" i="40" s="1"/>
  <c r="AA28" i="40"/>
  <c r="Z28" i="40"/>
  <c r="AB174" i="40"/>
  <c r="AB15" i="40"/>
  <c r="AF84" i="40"/>
  <c r="AO84" i="40" s="1"/>
  <c r="AN87" i="40"/>
  <c r="AF48" i="40"/>
  <c r="AO48" i="40" s="1"/>
  <c r="AF34" i="40"/>
  <c r="AO34" i="40" s="1"/>
  <c r="AL169" i="40"/>
  <c r="AL167" i="40" s="1"/>
  <c r="AR12" i="40"/>
  <c r="AA15" i="40"/>
  <c r="AB80" i="40"/>
  <c r="AF63" i="40"/>
  <c r="AO63" i="40" s="1"/>
  <c r="AT171" i="40"/>
  <c r="AF77" i="40"/>
  <c r="AO77" i="40" s="1"/>
  <c r="AV73" i="40"/>
  <c r="AT176" i="40"/>
  <c r="Z170" i="40"/>
  <c r="AB23" i="40"/>
  <c r="AS20" i="40"/>
  <c r="AS23" i="40" s="1"/>
  <c r="I174" i="40"/>
  <c r="U177" i="40"/>
  <c r="AB24" i="40"/>
  <c r="U25" i="40"/>
  <c r="AP24" i="40"/>
  <c r="AA24" i="40"/>
  <c r="Z24" i="40"/>
  <c r="AS17" i="40"/>
  <c r="AS19" i="40" s="1"/>
  <c r="AF31" i="40"/>
  <c r="AO31" i="40" s="1"/>
  <c r="AN175" i="40"/>
  <c r="AV168" i="40"/>
  <c r="AF13" i="40"/>
  <c r="AO13" i="40" s="1"/>
  <c r="AF22" i="40"/>
  <c r="AO22" i="40" s="1"/>
  <c r="AU163" i="40"/>
  <c r="AF161" i="40"/>
  <c r="AO161" i="40" s="1"/>
  <c r="AS160" i="40"/>
  <c r="AS163" i="40" s="1"/>
  <c r="AN113" i="40"/>
  <c r="AF156" i="40"/>
  <c r="AO156" i="40" s="1"/>
  <c r="Z153" i="40"/>
  <c r="AF151" i="40"/>
  <c r="AF153" i="40" s="1"/>
  <c r="AL165" i="40"/>
  <c r="AB137" i="40"/>
  <c r="U143" i="40"/>
  <c r="AP137" i="40"/>
  <c r="Z137" i="40"/>
  <c r="AA137" i="40"/>
  <c r="AP139" i="40"/>
  <c r="Z139" i="40"/>
  <c r="AB139" i="40"/>
  <c r="AS139" i="40" s="1"/>
  <c r="AA139" i="40"/>
  <c r="AR139" i="40" s="1"/>
  <c r="AO133" i="40"/>
  <c r="Z123" i="40"/>
  <c r="AF118" i="40"/>
  <c r="I123" i="40"/>
  <c r="AN100" i="40"/>
  <c r="AF142" i="40"/>
  <c r="AO142" i="40" s="1"/>
  <c r="AF132" i="40"/>
  <c r="AO132" i="40" s="1"/>
  <c r="I126" i="40"/>
  <c r="AR107" i="40"/>
  <c r="AR108" i="40" s="1"/>
  <c r="U100" i="40"/>
  <c r="AB97" i="40"/>
  <c r="AP97" i="40"/>
  <c r="AP100" i="40" s="1"/>
  <c r="AA97" i="40"/>
  <c r="Z97" i="40"/>
  <c r="AQ150" i="40"/>
  <c r="AU143" i="40"/>
  <c r="AA136" i="40"/>
  <c r="AR130" i="40"/>
  <c r="AR136" i="40" s="1"/>
  <c r="AS123" i="40"/>
  <c r="AR124" i="40"/>
  <c r="AR126" i="40" s="1"/>
  <c r="AA126" i="40"/>
  <c r="AB123" i="40"/>
  <c r="AV106" i="40"/>
  <c r="I96" i="40"/>
  <c r="AR127" i="40"/>
  <c r="AR129" i="40" s="1"/>
  <c r="AB108" i="40"/>
  <c r="AS107" i="40"/>
  <c r="AS108" i="40" s="1"/>
  <c r="I100" i="40"/>
  <c r="AN96" i="40"/>
  <c r="AA87" i="40"/>
  <c r="AR81" i="40"/>
  <c r="AR87" i="40" s="1"/>
  <c r="AN80" i="40"/>
  <c r="U175" i="40"/>
  <c r="AB30" i="40"/>
  <c r="AP30" i="40"/>
  <c r="AP175" i="40" s="1"/>
  <c r="AA30" i="40"/>
  <c r="Z30" i="40"/>
  <c r="U168" i="40"/>
  <c r="AF62" i="40"/>
  <c r="AO62" i="40" s="1"/>
  <c r="U171" i="40"/>
  <c r="AB55" i="40"/>
  <c r="AB59" i="40" s="1"/>
  <c r="AP55" i="40"/>
  <c r="AA55" i="40"/>
  <c r="Z55" i="40"/>
  <c r="AN176" i="40"/>
  <c r="AN53" i="40"/>
  <c r="AU52" i="40"/>
  <c r="AF47" i="40"/>
  <c r="AO47" i="40" s="1"/>
  <c r="AF37" i="40"/>
  <c r="AO37" i="40" s="1"/>
  <c r="AW170" i="40"/>
  <c r="AW38" i="40"/>
  <c r="Q167" i="40"/>
  <c r="U166" i="40" s="1"/>
  <c r="AR77" i="40"/>
  <c r="AR80" i="40" s="1"/>
  <c r="I66" i="40"/>
  <c r="U176" i="40"/>
  <c r="Z52" i="40"/>
  <c r="AB52" i="40"/>
  <c r="U53" i="40"/>
  <c r="AP52" i="40"/>
  <c r="AA52" i="40"/>
  <c r="AR45" i="40"/>
  <c r="AR51" i="40" s="1"/>
  <c r="AW169" i="40"/>
  <c r="AF95" i="40"/>
  <c r="AO95" i="40" s="1"/>
  <c r="AF92" i="40"/>
  <c r="AO92" i="40" s="1"/>
  <c r="AU60" i="40"/>
  <c r="AU66" i="40" s="1"/>
  <c r="I176" i="40"/>
  <c r="AQ170" i="40"/>
  <c r="AF40" i="40"/>
  <c r="AO40" i="40" s="1"/>
  <c r="AA38" i="40"/>
  <c r="AF29" i="40"/>
  <c r="AO29" i="40" s="1"/>
  <c r="AR27" i="40"/>
  <c r="AF27" i="40"/>
  <c r="AO27" i="40" s="1"/>
  <c r="AO20" i="40"/>
  <c r="I23" i="40"/>
  <c r="AU19" i="40"/>
  <c r="AS12" i="40"/>
  <c r="AA23" i="40"/>
  <c r="AR16" i="40"/>
  <c r="AR19" i="40" s="1"/>
  <c r="AF82" i="40"/>
  <c r="AO82" i="40" s="1"/>
  <c r="U59" i="40"/>
  <c r="I172" i="40"/>
  <c r="Z23" i="40"/>
  <c r="AS14" i="40"/>
  <c r="AS174" i="40" s="1"/>
  <c r="AV59" i="40"/>
  <c r="AQ175" i="40"/>
  <c r="AN168" i="40"/>
  <c r="AR24" i="39"/>
  <c r="AU44" i="39"/>
  <c r="Z115" i="39"/>
  <c r="U117" i="39"/>
  <c r="AP115" i="39"/>
  <c r="AP117" i="39" s="1"/>
  <c r="AB115" i="39"/>
  <c r="AA115" i="39"/>
  <c r="U114" i="39"/>
  <c r="AB108" i="39"/>
  <c r="Z108" i="39"/>
  <c r="AP108" i="39"/>
  <c r="AP114" i="39" s="1"/>
  <c r="AA108" i="39"/>
  <c r="AF105" i="39"/>
  <c r="AO105" i="39" s="1"/>
  <c r="AN79" i="39"/>
  <c r="AU73" i="39"/>
  <c r="AU79" i="39" s="1"/>
  <c r="AW72" i="39"/>
  <c r="I135" i="39"/>
  <c r="I44" i="39"/>
  <c r="AP72" i="39"/>
  <c r="Z36" i="39"/>
  <c r="I122" i="39"/>
  <c r="AS101" i="39"/>
  <c r="AS107" i="39" s="1"/>
  <c r="AU93" i="39"/>
  <c r="Z93" i="39"/>
  <c r="AF87" i="39"/>
  <c r="AF106" i="39"/>
  <c r="AO106" i="39" s="1"/>
  <c r="AP93" i="39"/>
  <c r="AS86" i="39"/>
  <c r="AE124" i="39"/>
  <c r="AN107" i="39"/>
  <c r="AP100" i="39"/>
  <c r="AF96" i="39"/>
  <c r="AO96" i="39" s="1"/>
  <c r="AO81" i="39"/>
  <c r="AR61" i="39"/>
  <c r="AR128" i="39" s="1"/>
  <c r="AF61" i="39"/>
  <c r="AO61" i="39" s="1"/>
  <c r="AF57" i="39"/>
  <c r="AF58" i="39" s="1"/>
  <c r="AF54" i="39"/>
  <c r="AO54" i="39" s="1"/>
  <c r="AB56" i="39"/>
  <c r="AF95" i="39"/>
  <c r="AO95" i="39" s="1"/>
  <c r="AA86" i="39"/>
  <c r="AS47" i="39"/>
  <c r="AS50" i="39" s="1"/>
  <c r="AB50" i="39"/>
  <c r="AB135" i="39"/>
  <c r="AB44" i="39"/>
  <c r="AS43" i="39"/>
  <c r="AF70" i="39"/>
  <c r="AO70" i="39" s="1"/>
  <c r="AF67" i="39"/>
  <c r="AO67" i="39" s="1"/>
  <c r="AA56" i="39"/>
  <c r="K126" i="39"/>
  <c r="AF78" i="39"/>
  <c r="AF68" i="39"/>
  <c r="AO68" i="39" s="1"/>
  <c r="AF64" i="39"/>
  <c r="AO64" i="39" s="1"/>
  <c r="AF60" i="39"/>
  <c r="AO60" i="39" s="1"/>
  <c r="AF23" i="39"/>
  <c r="AO23" i="39" s="1"/>
  <c r="AS24" i="39"/>
  <c r="AF82" i="39"/>
  <c r="AO82" i="39" s="1"/>
  <c r="Z65" i="39"/>
  <c r="AF59" i="39"/>
  <c r="AB65" i="39"/>
  <c r="Z134" i="39"/>
  <c r="I133" i="39"/>
  <c r="Q126" i="39"/>
  <c r="U125" i="39" s="1"/>
  <c r="AB72" i="39"/>
  <c r="AS66" i="39"/>
  <c r="AS72" i="39" s="1"/>
  <c r="AV133" i="39"/>
  <c r="L126" i="39"/>
  <c r="AT136" i="39"/>
  <c r="AT13" i="39"/>
  <c r="AF40" i="39"/>
  <c r="AO40" i="39" s="1"/>
  <c r="U129" i="39"/>
  <c r="Z37" i="39"/>
  <c r="AB37" i="39"/>
  <c r="U42" i="39"/>
  <c r="AP37" i="39"/>
  <c r="AA37" i="39"/>
  <c r="AF34" i="39"/>
  <c r="AO34" i="39" s="1"/>
  <c r="AA36" i="39"/>
  <c r="AW134" i="39"/>
  <c r="AP128" i="39"/>
  <c r="AP24" i="39"/>
  <c r="Y126" i="39"/>
  <c r="AF63" i="39"/>
  <c r="AO63" i="39" s="1"/>
  <c r="AF33" i="39"/>
  <c r="AO33" i="39" s="1"/>
  <c r="AV127" i="39"/>
  <c r="Z56" i="39"/>
  <c r="AF51" i="39"/>
  <c r="AO51" i="39" s="1"/>
  <c r="AN135" i="39"/>
  <c r="AN44" i="39"/>
  <c r="Z86" i="39"/>
  <c r="I86" i="39"/>
  <c r="AE126" i="39"/>
  <c r="AB24" i="39"/>
  <c r="I72" i="39"/>
  <c r="AW36" i="39"/>
  <c r="AP134" i="39"/>
  <c r="U122" i="39"/>
  <c r="AB118" i="39"/>
  <c r="AA118" i="39"/>
  <c r="AP118" i="39"/>
  <c r="AP122" i="39" s="1"/>
  <c r="Z118" i="39"/>
  <c r="AN122" i="39"/>
  <c r="AU118" i="39"/>
  <c r="AU122" i="39" s="1"/>
  <c r="I107" i="39"/>
  <c r="AT114" i="39"/>
  <c r="I114" i="39"/>
  <c r="AA107" i="39"/>
  <c r="AR101" i="39"/>
  <c r="AR107" i="39" s="1"/>
  <c r="AV100" i="39"/>
  <c r="AF103" i="39"/>
  <c r="AO103" i="39" s="1"/>
  <c r="AU107" i="39"/>
  <c r="AN100" i="39"/>
  <c r="AU94" i="39"/>
  <c r="AU100" i="39" s="1"/>
  <c r="AF112" i="39"/>
  <c r="AO112" i="39" s="1"/>
  <c r="N124" i="39"/>
  <c r="Z107" i="39"/>
  <c r="AF101" i="39"/>
  <c r="AR94" i="39"/>
  <c r="AR100" i="39" s="1"/>
  <c r="I100" i="39"/>
  <c r="AR87" i="39"/>
  <c r="AR93" i="39" s="1"/>
  <c r="AA93" i="39"/>
  <c r="I58" i="39"/>
  <c r="AN86" i="39"/>
  <c r="AU80" i="39"/>
  <c r="AU86" i="39" s="1"/>
  <c r="AR56" i="39"/>
  <c r="I56" i="39"/>
  <c r="AV135" i="39"/>
  <c r="AV44" i="39"/>
  <c r="AW129" i="39"/>
  <c r="AW42" i="39"/>
  <c r="AW130" i="39"/>
  <c r="AW30" i="39"/>
  <c r="AV24" i="39"/>
  <c r="AW133" i="39"/>
  <c r="AW127" i="39"/>
  <c r="AW18" i="39"/>
  <c r="AP86" i="39"/>
  <c r="AO71" i="39"/>
  <c r="I65" i="39"/>
  <c r="AF77" i="39"/>
  <c r="Z73" i="39"/>
  <c r="U79" i="39"/>
  <c r="AB73" i="39"/>
  <c r="AB79" i="39" s="1"/>
  <c r="AA73" i="39"/>
  <c r="AU66" i="39"/>
  <c r="AU57" i="39"/>
  <c r="AU58" i="39" s="1"/>
  <c r="AF52" i="39"/>
  <c r="AO52" i="39" s="1"/>
  <c r="AS51" i="39"/>
  <c r="AS56" i="39" s="1"/>
  <c r="AA50" i="39"/>
  <c r="AF47" i="39"/>
  <c r="AP135" i="39"/>
  <c r="AP44" i="39"/>
  <c r="AQ129" i="39"/>
  <c r="AQ42" i="39"/>
  <c r="Z46" i="39"/>
  <c r="AF45" i="39"/>
  <c r="AF46" i="39" s="1"/>
  <c r="AN30" i="39"/>
  <c r="AU25" i="39"/>
  <c r="U130" i="39"/>
  <c r="Z25" i="39"/>
  <c r="U30" i="39"/>
  <c r="AB25" i="39"/>
  <c r="AP25" i="39"/>
  <c r="AA25" i="39"/>
  <c r="Z128" i="39"/>
  <c r="AF88" i="39"/>
  <c r="AO88" i="39" s="1"/>
  <c r="AA65" i="39"/>
  <c r="AR59" i="39"/>
  <c r="Z24" i="39"/>
  <c r="U133" i="39"/>
  <c r="Z17" i="39"/>
  <c r="AB17" i="39"/>
  <c r="AP17" i="39"/>
  <c r="AP133" i="39" s="1"/>
  <c r="AA17" i="39"/>
  <c r="AF66" i="39"/>
  <c r="Z72" i="39"/>
  <c r="AR72" i="39"/>
  <c r="AU31" i="39"/>
  <c r="AR134" i="39"/>
  <c r="AN133" i="39"/>
  <c r="AU17" i="39"/>
  <c r="AU133" i="39" s="1"/>
  <c r="AN127" i="39"/>
  <c r="AN18" i="39"/>
  <c r="AU14" i="39"/>
  <c r="I46" i="39"/>
  <c r="AO45" i="39"/>
  <c r="AO46" i="39" s="1"/>
  <c r="AF39" i="39"/>
  <c r="AO39" i="39" s="1"/>
  <c r="AN129" i="39"/>
  <c r="AN42" i="39"/>
  <c r="AU37" i="39"/>
  <c r="AP36" i="39"/>
  <c r="I36" i="39"/>
  <c r="AQ133" i="39"/>
  <c r="AW136" i="39"/>
  <c r="AW13" i="39"/>
  <c r="AS134" i="39"/>
  <c r="AW128" i="39"/>
  <c r="AF16" i="39"/>
  <c r="AO16" i="39" s="1"/>
  <c r="AB136" i="39"/>
  <c r="AN117" i="39"/>
  <c r="AU115" i="39"/>
  <c r="AU117" i="39" s="1"/>
  <c r="AL124" i="39"/>
  <c r="AF121" i="39"/>
  <c r="AO121" i="39" s="1"/>
  <c r="AF98" i="39"/>
  <c r="AO98" i="39" s="1"/>
  <c r="AV32" i="39"/>
  <c r="AV36" i="39" s="1"/>
  <c r="AN32" i="39"/>
  <c r="AU32" i="39" s="1"/>
  <c r="AL36" i="39"/>
  <c r="AS65" i="39"/>
  <c r="AU136" i="39"/>
  <c r="AU13" i="39"/>
  <c r="U127" i="39"/>
  <c r="Z14" i="39"/>
  <c r="AB14" i="39"/>
  <c r="AP14" i="39"/>
  <c r="AA14" i="39"/>
  <c r="U18" i="39"/>
  <c r="AP136" i="39"/>
  <c r="AP13" i="39"/>
  <c r="AR36" i="39"/>
  <c r="AN134" i="39"/>
  <c r="AA128" i="39"/>
  <c r="AA24" i="39"/>
  <c r="I128" i="39"/>
  <c r="I24" i="39"/>
  <c r="AQ127" i="39"/>
  <c r="AQ18" i="39"/>
  <c r="I136" i="39"/>
  <c r="I13" i="39"/>
  <c r="Y124" i="39"/>
  <c r="AV122" i="39"/>
  <c r="N123" i="39"/>
  <c r="G19" i="45" s="1"/>
  <c r="K123" i="39"/>
  <c r="AP107" i="39"/>
  <c r="AV68" i="39"/>
  <c r="AV72" i="39" s="1"/>
  <c r="AN68" i="39"/>
  <c r="AU68" i="39" s="1"/>
  <c r="AL72" i="39"/>
  <c r="AL123" i="39" s="1"/>
  <c r="AE19" i="45" s="1"/>
  <c r="AM123" i="39"/>
  <c r="AF19" i="45" s="1"/>
  <c r="AF110" i="39"/>
  <c r="AO110" i="39" s="1"/>
  <c r="AS94" i="39"/>
  <c r="AS100" i="39" s="1"/>
  <c r="AF102" i="39"/>
  <c r="AO102" i="39" s="1"/>
  <c r="AQ107" i="39"/>
  <c r="Z100" i="39"/>
  <c r="AF94" i="39"/>
  <c r="AB93" i="39"/>
  <c r="AW86" i="39"/>
  <c r="AF76" i="39"/>
  <c r="AR135" i="39"/>
  <c r="AR44" i="39"/>
  <c r="AN24" i="39"/>
  <c r="N126" i="39"/>
  <c r="AF113" i="39"/>
  <c r="AO113" i="39" s="1"/>
  <c r="AV79" i="39"/>
  <c r="AA135" i="39"/>
  <c r="AA44" i="39"/>
  <c r="AA46" i="39"/>
  <c r="AR45" i="39"/>
  <c r="AR46" i="39" s="1"/>
  <c r="AF43" i="39"/>
  <c r="AV30" i="39"/>
  <c r="I130" i="39"/>
  <c r="AF74" i="39"/>
  <c r="AP65" i="39"/>
  <c r="AL126" i="39"/>
  <c r="I127" i="39"/>
  <c r="AA72" i="39"/>
  <c r="AA134" i="39"/>
  <c r="I134" i="39"/>
  <c r="AO22" i="39"/>
  <c r="AS13" i="39"/>
  <c r="AA136" i="39"/>
  <c r="AA13" i="39"/>
  <c r="AF62" i="39"/>
  <c r="AO62" i="39" s="1"/>
  <c r="AU47" i="39"/>
  <c r="AU50" i="39" s="1"/>
  <c r="AF38" i="39"/>
  <c r="AO38" i="39" s="1"/>
  <c r="AV129" i="39"/>
  <c r="AV42" i="39"/>
  <c r="AF29" i="39"/>
  <c r="AO29" i="39" s="1"/>
  <c r="AF28" i="39"/>
  <c r="AO28" i="39" s="1"/>
  <c r="AF27" i="39"/>
  <c r="AO27" i="39" s="1"/>
  <c r="AF26" i="39"/>
  <c r="AO26" i="39" s="1"/>
  <c r="AU22" i="39"/>
  <c r="AU134" i="39" s="1"/>
  <c r="AT127" i="39"/>
  <c r="AT18" i="39"/>
  <c r="AR12" i="39"/>
  <c r="AT24" i="39"/>
  <c r="AF19" i="39"/>
  <c r="AO19" i="39" s="1"/>
  <c r="AM75" i="31"/>
  <c r="N75" i="31"/>
  <c r="Y75" i="31"/>
  <c r="AM186" i="29"/>
  <c r="AS263" i="32"/>
  <c r="AU148" i="32"/>
  <c r="AS170" i="32"/>
  <c r="AS176" i="32" s="1"/>
  <c r="AN307" i="32"/>
  <c r="AU113" i="32"/>
  <c r="N303" i="32"/>
  <c r="Q300" i="32"/>
  <c r="AU219" i="32"/>
  <c r="Z203" i="32"/>
  <c r="AF198" i="32"/>
  <c r="U128" i="32"/>
  <c r="AB123" i="32"/>
  <c r="Z123" i="32"/>
  <c r="AP123" i="32"/>
  <c r="AP128" i="32" s="1"/>
  <c r="AA123" i="32"/>
  <c r="AP105" i="32"/>
  <c r="I37" i="32"/>
  <c r="AN22" i="32"/>
  <c r="AN155" i="32"/>
  <c r="AF119" i="32"/>
  <c r="Z122" i="32"/>
  <c r="AR34" i="32"/>
  <c r="AP41" i="32"/>
  <c r="AN297" i="32"/>
  <c r="AU291" i="32"/>
  <c r="AU297" i="32" s="1"/>
  <c r="AO278" i="32"/>
  <c r="AE290" i="32"/>
  <c r="AE300" i="32" s="1"/>
  <c r="X18" i="45" s="1"/>
  <c r="AB270" i="32"/>
  <c r="U276" i="32"/>
  <c r="AA270" i="32"/>
  <c r="AP270" i="32"/>
  <c r="AP276" i="32" s="1"/>
  <c r="Z270" i="32"/>
  <c r="AN290" i="32"/>
  <c r="I260" i="32"/>
  <c r="I243" i="32"/>
  <c r="AP239" i="32"/>
  <c r="AP283" i="32"/>
  <c r="I283" i="32"/>
  <c r="AU225" i="32"/>
  <c r="AN219" i="32"/>
  <c r="AR190" i="32"/>
  <c r="AN225" i="32"/>
  <c r="AV207" i="32"/>
  <c r="AN207" i="32"/>
  <c r="AU207" i="32" s="1"/>
  <c r="AA162" i="32"/>
  <c r="AR156" i="32"/>
  <c r="AR162" i="32" s="1"/>
  <c r="I155" i="32"/>
  <c r="AF287" i="32"/>
  <c r="AO287" i="32" s="1"/>
  <c r="I290" i="32"/>
  <c r="AN269" i="32"/>
  <c r="Z253" i="32"/>
  <c r="AF251" i="32"/>
  <c r="AF207" i="32"/>
  <c r="AO207" i="32" s="1"/>
  <c r="AR200" i="32"/>
  <c r="AN135" i="32"/>
  <c r="AU129" i="32"/>
  <c r="AU135" i="32" s="1"/>
  <c r="AF64" i="32"/>
  <c r="AO64" i="32" s="1"/>
  <c r="AN56" i="32"/>
  <c r="AU51" i="32"/>
  <c r="AU56" i="32" s="1"/>
  <c r="I105" i="32"/>
  <c r="I89" i="32"/>
  <c r="AF158" i="32"/>
  <c r="I148" i="32"/>
  <c r="AO145" i="32"/>
  <c r="AN43" i="32"/>
  <c r="AU42" i="32"/>
  <c r="AU43" i="32" s="1"/>
  <c r="AP29" i="32"/>
  <c r="AB29" i="32"/>
  <c r="AS29" i="32" s="1"/>
  <c r="AA29" i="32"/>
  <c r="AR29" i="32" s="1"/>
  <c r="Z29" i="32"/>
  <c r="AQ310" i="32"/>
  <c r="Q303" i="32"/>
  <c r="U302" i="32" s="1"/>
  <c r="AN221" i="32"/>
  <c r="AU220" i="32"/>
  <c r="AU221" i="32" s="1"/>
  <c r="AF149" i="32"/>
  <c r="AF124" i="32"/>
  <c r="AO124" i="32" s="1"/>
  <c r="AA122" i="32"/>
  <c r="AR119" i="32"/>
  <c r="AR122" i="32" s="1"/>
  <c r="I122" i="32"/>
  <c r="AF101" i="32"/>
  <c r="AO101" i="32" s="1"/>
  <c r="AF81" i="32"/>
  <c r="AO81" i="32" s="1"/>
  <c r="AF79" i="32"/>
  <c r="AO79" i="32" s="1"/>
  <c r="Z83" i="32"/>
  <c r="AF77" i="32"/>
  <c r="AB83" i="32"/>
  <c r="AU57" i="32"/>
  <c r="I311" i="32"/>
  <c r="AT305" i="32"/>
  <c r="AB50" i="32"/>
  <c r="I50" i="32"/>
  <c r="AF23" i="32"/>
  <c r="AO23" i="32" s="1"/>
  <c r="Z27" i="32"/>
  <c r="AR306" i="32"/>
  <c r="AF85" i="32"/>
  <c r="AO85" i="32" s="1"/>
  <c r="AF82" i="32"/>
  <c r="AO82" i="32" s="1"/>
  <c r="AF80" i="32"/>
  <c r="AO80" i="32" s="1"/>
  <c r="AF78" i="32"/>
  <c r="AO78" i="32" s="1"/>
  <c r="AF72" i="32"/>
  <c r="AO72" i="32" s="1"/>
  <c r="AQ311" i="32"/>
  <c r="AO46" i="32"/>
  <c r="AN34" i="32"/>
  <c r="AU32" i="32"/>
  <c r="AU34" i="32" s="1"/>
  <c r="AU27" i="32"/>
  <c r="Z306" i="32"/>
  <c r="AF97" i="32"/>
  <c r="I306" i="32"/>
  <c r="AF49" i="32"/>
  <c r="AO49" i="32" s="1"/>
  <c r="AA43" i="32"/>
  <c r="AR42" i="32"/>
  <c r="AR43" i="32" s="1"/>
  <c r="AS34" i="32"/>
  <c r="AI303" i="32"/>
  <c r="AL302" i="32" s="1"/>
  <c r="AL304" i="32"/>
  <c r="L303" i="32"/>
  <c r="AF215" i="32"/>
  <c r="AO215" i="32" s="1"/>
  <c r="AN311" i="32"/>
  <c r="AF52" i="32"/>
  <c r="AO52" i="32" s="1"/>
  <c r="I310" i="32"/>
  <c r="AU290" i="32"/>
  <c r="AR291" i="32"/>
  <c r="AR297" i="32" s="1"/>
  <c r="I276" i="32"/>
  <c r="AP162" i="32"/>
  <c r="AR149" i="32"/>
  <c r="AU243" i="32"/>
  <c r="AV256" i="32"/>
  <c r="AV260" i="32" s="1"/>
  <c r="AN256" i="32"/>
  <c r="AU256" i="32" s="1"/>
  <c r="AU260" i="32" s="1"/>
  <c r="AL260" i="32"/>
  <c r="AS250" i="32"/>
  <c r="AS122" i="32"/>
  <c r="AV58" i="32"/>
  <c r="AN58" i="32"/>
  <c r="AU58" i="32" s="1"/>
  <c r="AV193" i="32"/>
  <c r="AR169" i="32"/>
  <c r="AU155" i="32"/>
  <c r="AF177" i="32"/>
  <c r="Z182" i="32"/>
  <c r="I70" i="32"/>
  <c r="AF84" i="32"/>
  <c r="Z89" i="32"/>
  <c r="I312" i="32"/>
  <c r="I107" i="32"/>
  <c r="AV310" i="32"/>
  <c r="AQ105" i="32"/>
  <c r="AR104" i="32"/>
  <c r="Z43" i="32"/>
  <c r="U312" i="32"/>
  <c r="AB106" i="32"/>
  <c r="U107" i="32"/>
  <c r="AP106" i="32"/>
  <c r="AA106" i="32"/>
  <c r="Z106" i="32"/>
  <c r="AF252" i="32"/>
  <c r="AO252" i="32" s="1"/>
  <c r="Z197" i="32"/>
  <c r="AF194" i="32"/>
  <c r="AO194" i="32" s="1"/>
  <c r="AN142" i="32"/>
  <c r="AS232" i="32"/>
  <c r="AF163" i="32"/>
  <c r="Z169" i="32"/>
  <c r="AP176" i="32"/>
  <c r="I176" i="32"/>
  <c r="AV307" i="32"/>
  <c r="AQ203" i="32"/>
  <c r="AF195" i="32"/>
  <c r="AO195" i="32" s="1"/>
  <c r="AF192" i="32"/>
  <c r="AO192" i="32" s="1"/>
  <c r="AQ307" i="32"/>
  <c r="U118" i="32"/>
  <c r="Z112" i="32"/>
  <c r="AP112" i="32"/>
  <c r="AB112" i="32"/>
  <c r="AA112" i="32"/>
  <c r="AN111" i="32"/>
  <c r="AU108" i="32"/>
  <c r="AU111" i="32" s="1"/>
  <c r="AU102" i="32"/>
  <c r="AP309" i="32"/>
  <c r="AU204" i="32"/>
  <c r="AB184" i="32"/>
  <c r="AA184" i="32"/>
  <c r="Z184" i="32"/>
  <c r="U186" i="32"/>
  <c r="AP184" i="32"/>
  <c r="AP186" i="32" s="1"/>
  <c r="AO137" i="32"/>
  <c r="AQ128" i="32"/>
  <c r="AT312" i="32"/>
  <c r="AT107" i="32"/>
  <c r="AM101" i="30"/>
  <c r="Z299" i="32"/>
  <c r="AF298" i="32"/>
  <c r="AF299" i="32" s="1"/>
  <c r="AR298" i="32"/>
  <c r="AR299" i="32" s="1"/>
  <c r="AA299" i="32"/>
  <c r="I299" i="32"/>
  <c r="AO298" i="32"/>
  <c r="AO299" i="32" s="1"/>
  <c r="AR279" i="32"/>
  <c r="AR283" i="32" s="1"/>
  <c r="AF280" i="32"/>
  <c r="AO280" i="32" s="1"/>
  <c r="AF273" i="32"/>
  <c r="AO273" i="32" s="1"/>
  <c r="AU264" i="32"/>
  <c r="AU269" i="32" s="1"/>
  <c r="AR254" i="32"/>
  <c r="AU252" i="32"/>
  <c r="AU253" i="32" s="1"/>
  <c r="AA239" i="32"/>
  <c r="AR233" i="32"/>
  <c r="AR239" i="32" s="1"/>
  <c r="AF233" i="32"/>
  <c r="AO233" i="32" s="1"/>
  <c r="AP232" i="32"/>
  <c r="I297" i="32"/>
  <c r="AF277" i="32"/>
  <c r="Z283" i="32"/>
  <c r="AF261" i="32"/>
  <c r="Z263" i="32"/>
  <c r="AB250" i="32"/>
  <c r="Z239" i="32"/>
  <c r="AV219" i="32"/>
  <c r="I203" i="32"/>
  <c r="AF265" i="32"/>
  <c r="AO265" i="32" s="1"/>
  <c r="I269" i="32"/>
  <c r="AV225" i="32"/>
  <c r="AF296" i="32"/>
  <c r="AO296" i="32" s="1"/>
  <c r="U290" i="32"/>
  <c r="Z284" i="32"/>
  <c r="AP284" i="32"/>
  <c r="AP290" i="32" s="1"/>
  <c r="AA284" i="32"/>
  <c r="AB284" i="32"/>
  <c r="AF282" i="32"/>
  <c r="AO282" i="32" s="1"/>
  <c r="AV269" i="32"/>
  <c r="AA263" i="32"/>
  <c r="AV243" i="32"/>
  <c r="AF249" i="32"/>
  <c r="AO249" i="32" s="1"/>
  <c r="AF247" i="32"/>
  <c r="AO247" i="32" s="1"/>
  <c r="AF245" i="32"/>
  <c r="AO245" i="32" s="1"/>
  <c r="AL212" i="32"/>
  <c r="AR199" i="32"/>
  <c r="AN182" i="32"/>
  <c r="AU177" i="32"/>
  <c r="AU182" i="32" s="1"/>
  <c r="AF174" i="32"/>
  <c r="AO174" i="32" s="1"/>
  <c r="AN169" i="32"/>
  <c r="AU163" i="32"/>
  <c r="AU169" i="32" s="1"/>
  <c r="AO158" i="32"/>
  <c r="AO259" i="32"/>
  <c r="I212" i="32"/>
  <c r="AR179" i="32"/>
  <c r="AR182" i="32" s="1"/>
  <c r="AV142" i="32"/>
  <c r="AF240" i="32"/>
  <c r="Z232" i="32"/>
  <c r="AF226" i="32"/>
  <c r="AO226" i="32" s="1"/>
  <c r="AS189" i="32"/>
  <c r="AA169" i="32"/>
  <c r="I169" i="32"/>
  <c r="AU143" i="32"/>
  <c r="AU144" i="32" s="1"/>
  <c r="AU136" i="32"/>
  <c r="AU142" i="32" s="1"/>
  <c r="AB182" i="32"/>
  <c r="AS177" i="32"/>
  <c r="AS182" i="32" s="1"/>
  <c r="Z176" i="32"/>
  <c r="Z129" i="32"/>
  <c r="U135" i="32"/>
  <c r="AP129" i="32"/>
  <c r="AP135" i="32" s="1"/>
  <c r="AB129" i="32"/>
  <c r="AA129" i="32"/>
  <c r="AF125" i="32"/>
  <c r="AO125" i="32" s="1"/>
  <c r="AF196" i="32"/>
  <c r="AO196" i="32" s="1"/>
  <c r="U307" i="32"/>
  <c r="Z113" i="32"/>
  <c r="AP113" i="32"/>
  <c r="AB113" i="32"/>
  <c r="AA113" i="32"/>
  <c r="AR99" i="32"/>
  <c r="AR309" i="32" s="1"/>
  <c r="AN306" i="32"/>
  <c r="AU97" i="32"/>
  <c r="AU306" i="32" s="1"/>
  <c r="AF87" i="32"/>
  <c r="AO87" i="32" s="1"/>
  <c r="AA76" i="32"/>
  <c r="AR71" i="32"/>
  <c r="AR76" i="32" s="1"/>
  <c r="AU66" i="32"/>
  <c r="AU70" i="32" s="1"/>
  <c r="AF55" i="32"/>
  <c r="AO55" i="32" s="1"/>
  <c r="AV56" i="32"/>
  <c r="AF48" i="32"/>
  <c r="AO48" i="32" s="1"/>
  <c r="AL301" i="32"/>
  <c r="AN239" i="32"/>
  <c r="AW212" i="32"/>
  <c r="AF179" i="32"/>
  <c r="AO179" i="32" s="1"/>
  <c r="AF121" i="32"/>
  <c r="AO121" i="32" s="1"/>
  <c r="AR102" i="32"/>
  <c r="Z105" i="32"/>
  <c r="AF96" i="32"/>
  <c r="AF88" i="32"/>
  <c r="AO88" i="32" s="1"/>
  <c r="AS85" i="32"/>
  <c r="AS89" i="32" s="1"/>
  <c r="AP89" i="32"/>
  <c r="AS148" i="32"/>
  <c r="AF127" i="32"/>
  <c r="AO127" i="32" s="1"/>
  <c r="AF117" i="32"/>
  <c r="AO117" i="32" s="1"/>
  <c r="AN89" i="32"/>
  <c r="Z57" i="32"/>
  <c r="U63" i="32"/>
  <c r="AP57" i="32"/>
  <c r="AP63" i="32" s="1"/>
  <c r="AB57" i="32"/>
  <c r="AA57" i="32"/>
  <c r="AF47" i="32"/>
  <c r="AO47" i="32" s="1"/>
  <c r="AQ305" i="32"/>
  <c r="I34" i="32"/>
  <c r="AB27" i="32"/>
  <c r="AS23" i="32"/>
  <c r="AT304" i="32"/>
  <c r="AT17" i="32"/>
  <c r="I304" i="32"/>
  <c r="I17" i="32"/>
  <c r="AQ313" i="32"/>
  <c r="AQ13" i="32"/>
  <c r="I193" i="32"/>
  <c r="AF173" i="32"/>
  <c r="AF161" i="32"/>
  <c r="AO161" i="32" s="1"/>
  <c r="Z142" i="32"/>
  <c r="AF136" i="32"/>
  <c r="AB142" i="32"/>
  <c r="AS136" i="32"/>
  <c r="AS142" i="32" s="1"/>
  <c r="AB122" i="32"/>
  <c r="AW307" i="32"/>
  <c r="AA83" i="32"/>
  <c r="AR77" i="32"/>
  <c r="AR83" i="32" s="1"/>
  <c r="AF73" i="32"/>
  <c r="AO73" i="32" s="1"/>
  <c r="AP50" i="32"/>
  <c r="AA34" i="32"/>
  <c r="AF24" i="32"/>
  <c r="AO24" i="32" s="1"/>
  <c r="AF21" i="32"/>
  <c r="AO21" i="32" s="1"/>
  <c r="AS18" i="32"/>
  <c r="AW310" i="32"/>
  <c r="U56" i="32"/>
  <c r="Z51" i="32"/>
  <c r="AA51" i="32"/>
  <c r="AP51" i="32"/>
  <c r="AP56" i="32" s="1"/>
  <c r="AB51" i="32"/>
  <c r="AB41" i="32"/>
  <c r="AB34" i="32"/>
  <c r="AF18" i="32"/>
  <c r="AO18" i="32" s="1"/>
  <c r="U310" i="32"/>
  <c r="Z16" i="32"/>
  <c r="AA16" i="32"/>
  <c r="AA17" i="32" s="1"/>
  <c r="AP16" i="32"/>
  <c r="AB16" i="32"/>
  <c r="AW304" i="32"/>
  <c r="AW17" i="32"/>
  <c r="AM301" i="32"/>
  <c r="AA306" i="32"/>
  <c r="I95" i="32"/>
  <c r="AF61" i="32"/>
  <c r="AO61" i="32" s="1"/>
  <c r="AB313" i="32"/>
  <c r="AB152" i="32"/>
  <c r="AA152" i="32"/>
  <c r="AR152" i="32" s="1"/>
  <c r="Z152" i="32"/>
  <c r="Z155" i="32" s="1"/>
  <c r="U155" i="32"/>
  <c r="AP152" i="32"/>
  <c r="AP311" i="32" s="1"/>
  <c r="I56" i="32"/>
  <c r="I305" i="32"/>
  <c r="Y303" i="32"/>
  <c r="AA313" i="32"/>
  <c r="AA13" i="32"/>
  <c r="AR12" i="32"/>
  <c r="I313" i="32"/>
  <c r="I13" i="32"/>
  <c r="AF91" i="32"/>
  <c r="AO91" i="32" s="1"/>
  <c r="AQ50" i="32"/>
  <c r="AN310" i="32"/>
  <c r="AR240" i="32"/>
  <c r="I232" i="32"/>
  <c r="AA283" i="32"/>
  <c r="AF255" i="32"/>
  <c r="AO255" i="32" s="1"/>
  <c r="AU239" i="32"/>
  <c r="AP203" i="32"/>
  <c r="AF236" i="32"/>
  <c r="AO236" i="32" s="1"/>
  <c r="AB221" i="32"/>
  <c r="AS220" i="32"/>
  <c r="AS221" i="32" s="1"/>
  <c r="AA193" i="32"/>
  <c r="AR187" i="32"/>
  <c r="Z204" i="32"/>
  <c r="U212" i="32"/>
  <c r="AP204" i="32"/>
  <c r="AP212" i="32" s="1"/>
  <c r="AB204" i="32"/>
  <c r="AA204" i="32"/>
  <c r="Z144" i="32"/>
  <c r="AF143" i="32"/>
  <c r="AS143" i="32"/>
  <c r="AS144" i="32" s="1"/>
  <c r="AB144" i="32"/>
  <c r="L300" i="32"/>
  <c r="AA142" i="32"/>
  <c r="AF71" i="32"/>
  <c r="U304" i="32"/>
  <c r="AW313" i="32"/>
  <c r="AW13" i="32"/>
  <c r="AA111" i="32"/>
  <c r="AR108" i="32"/>
  <c r="AR111" i="32" s="1"/>
  <c r="I111" i="32"/>
  <c r="AB66" i="32"/>
  <c r="AS66" i="32" s="1"/>
  <c r="AA66" i="32"/>
  <c r="AR66" i="32" s="1"/>
  <c r="Z66" i="32"/>
  <c r="AP66" i="32"/>
  <c r="AU18" i="32"/>
  <c r="AU22" i="32" s="1"/>
  <c r="Z90" i="32"/>
  <c r="U95" i="32"/>
  <c r="AP90" i="32"/>
  <c r="AP95" i="32" s="1"/>
  <c r="AB90" i="32"/>
  <c r="AA90" i="32"/>
  <c r="AS309" i="32"/>
  <c r="AF62" i="32"/>
  <c r="AO62" i="32" s="1"/>
  <c r="AF45" i="32"/>
  <c r="AO45" i="32" s="1"/>
  <c r="AV29" i="32"/>
  <c r="AV31" i="32" s="1"/>
  <c r="AN29" i="32"/>
  <c r="AU29" i="32" s="1"/>
  <c r="AU31" i="32" s="1"/>
  <c r="AQ304" i="32"/>
  <c r="AQ17" i="32"/>
  <c r="AT313" i="32"/>
  <c r="AT13" i="32"/>
  <c r="AF60" i="32"/>
  <c r="AO60" i="32" s="1"/>
  <c r="AE101" i="30"/>
  <c r="AU270" i="32"/>
  <c r="AU276" i="32" s="1"/>
  <c r="AF286" i="32"/>
  <c r="AO286" i="32" s="1"/>
  <c r="AO279" i="32"/>
  <c r="AF274" i="32"/>
  <c r="AO274" i="32" s="1"/>
  <c r="AR257" i="32"/>
  <c r="AP297" i="32"/>
  <c r="AS297" i="32"/>
  <c r="AF275" i="32"/>
  <c r="AO275" i="32" s="1"/>
  <c r="AP260" i="32"/>
  <c r="I239" i="32"/>
  <c r="AR228" i="32"/>
  <c r="AF228" i="32"/>
  <c r="AO228" i="32" s="1"/>
  <c r="AA232" i="32"/>
  <c r="AR226" i="32"/>
  <c r="AF292" i="32"/>
  <c r="AO292" i="32" s="1"/>
  <c r="AB297" i="32"/>
  <c r="AB283" i="32"/>
  <c r="AS277" i="32"/>
  <c r="AS283" i="32" s="1"/>
  <c r="AF267" i="32"/>
  <c r="AO267" i="32" s="1"/>
  <c r="AB253" i="32"/>
  <c r="I250" i="32"/>
  <c r="AF220" i="32"/>
  <c r="AV212" i="32"/>
  <c r="AO200" i="32"/>
  <c r="AA203" i="32"/>
  <c r="AP264" i="32"/>
  <c r="AP269" i="32" s="1"/>
  <c r="Z264" i="32"/>
  <c r="U269" i="32"/>
  <c r="AB264" i="32"/>
  <c r="AA264" i="32"/>
  <c r="AF227" i="32"/>
  <c r="AO227" i="32" s="1"/>
  <c r="AA197" i="32"/>
  <c r="AR194" i="32"/>
  <c r="AR197" i="32" s="1"/>
  <c r="AP193" i="32"/>
  <c r="AF281" i="32"/>
  <c r="AO281" i="32" s="1"/>
  <c r="AF216" i="32"/>
  <c r="AO216" i="32" s="1"/>
  <c r="U219" i="32"/>
  <c r="AB213" i="32"/>
  <c r="Z213" i="32"/>
  <c r="AP213" i="32"/>
  <c r="AP219" i="32" s="1"/>
  <c r="AA213" i="32"/>
  <c r="AQ250" i="32"/>
  <c r="AB242" i="32"/>
  <c r="U243" i="32"/>
  <c r="AA242" i="32"/>
  <c r="AR242" i="32" s="1"/>
  <c r="Z242" i="32"/>
  <c r="AP242" i="32"/>
  <c r="AP243" i="32" s="1"/>
  <c r="AB222" i="32"/>
  <c r="AA222" i="32"/>
  <c r="U225" i="32"/>
  <c r="Z222" i="32"/>
  <c r="AP222" i="32"/>
  <c r="AP225" i="32" s="1"/>
  <c r="AR198" i="32"/>
  <c r="AV182" i="32"/>
  <c r="Z162" i="32"/>
  <c r="AF156" i="32"/>
  <c r="AF151" i="32"/>
  <c r="AO151" i="32" s="1"/>
  <c r="AR136" i="32"/>
  <c r="AF262" i="32"/>
  <c r="AO262" i="32" s="1"/>
  <c r="AF217" i="32"/>
  <c r="AO217" i="32" s="1"/>
  <c r="AF209" i="32"/>
  <c r="AO209" i="32" s="1"/>
  <c r="I197" i="32"/>
  <c r="AF175" i="32"/>
  <c r="AO175" i="32" s="1"/>
  <c r="AS163" i="32"/>
  <c r="AS169" i="32" s="1"/>
  <c r="AE305" i="32"/>
  <c r="AE303" i="32" s="1"/>
  <c r="AF234" i="32"/>
  <c r="AO234" i="32" s="1"/>
  <c r="AN186" i="32"/>
  <c r="AN176" i="32"/>
  <c r="AU170" i="32"/>
  <c r="AU176" i="32" s="1"/>
  <c r="AF167" i="32"/>
  <c r="AO167" i="32" s="1"/>
  <c r="AP169" i="32"/>
  <c r="AF188" i="32"/>
  <c r="AO188" i="32" s="1"/>
  <c r="AP182" i="32"/>
  <c r="AF164" i="32"/>
  <c r="AO164" i="32" s="1"/>
  <c r="AF157" i="32"/>
  <c r="AO157" i="32" s="1"/>
  <c r="AN148" i="32"/>
  <c r="AN128" i="32"/>
  <c r="AU123" i="32"/>
  <c r="AU128" i="32" s="1"/>
  <c r="AN118" i="32"/>
  <c r="AU112" i="32"/>
  <c r="AU118" i="32" s="1"/>
  <c r="AO109" i="32"/>
  <c r="AQ312" i="32"/>
  <c r="AQ107" i="32"/>
  <c r="AO191" i="32"/>
  <c r="AF187" i="32"/>
  <c r="AF180" i="32"/>
  <c r="AO180" i="32" s="1"/>
  <c r="AF171" i="32"/>
  <c r="AO171" i="32" s="1"/>
  <c r="AF140" i="32"/>
  <c r="AO140" i="32" s="1"/>
  <c r="AW312" i="32"/>
  <c r="Z309" i="32"/>
  <c r="AF99" i="32"/>
  <c r="AO99" i="32" s="1"/>
  <c r="I309" i="32"/>
  <c r="AW105" i="32"/>
  <c r="AU90" i="32"/>
  <c r="AU95" i="32" s="1"/>
  <c r="AN95" i="32"/>
  <c r="AP76" i="32"/>
  <c r="Z65" i="32"/>
  <c r="AB65" i="32"/>
  <c r="AP65" i="32"/>
  <c r="U70" i="32"/>
  <c r="AA65" i="32"/>
  <c r="AR65" i="32" s="1"/>
  <c r="AA311" i="32"/>
  <c r="AR48" i="32"/>
  <c r="AF172" i="32"/>
  <c r="AO172" i="32" s="1"/>
  <c r="AO132" i="32"/>
  <c r="AF131" i="32"/>
  <c r="AO131" i="32" s="1"/>
  <c r="AW135" i="32"/>
  <c r="I128" i="32"/>
  <c r="I307" i="32"/>
  <c r="AV312" i="32"/>
  <c r="AU312" i="32"/>
  <c r="AU107" i="32"/>
  <c r="AS97" i="32"/>
  <c r="AS306" i="32" s="1"/>
  <c r="AA105" i="32"/>
  <c r="AR84" i="32"/>
  <c r="AR89" i="32" s="1"/>
  <c r="AS77" i="32"/>
  <c r="AS83" i="32" s="1"/>
  <c r="AF126" i="32"/>
  <c r="AO126" i="32" s="1"/>
  <c r="AF92" i="32"/>
  <c r="AO92" i="32" s="1"/>
  <c r="AF39" i="32"/>
  <c r="AO39" i="32" s="1"/>
  <c r="AB35" i="32"/>
  <c r="U37" i="32"/>
  <c r="Z35" i="32"/>
  <c r="AP35" i="32"/>
  <c r="AP37" i="32" s="1"/>
  <c r="AA35" i="32"/>
  <c r="AF30" i="32"/>
  <c r="AO30" i="32" s="1"/>
  <c r="U31" i="32"/>
  <c r="AP28" i="32"/>
  <c r="Z28" i="32"/>
  <c r="AB28" i="32"/>
  <c r="AA28" i="32"/>
  <c r="I27" i="32"/>
  <c r="I22" i="32"/>
  <c r="AN17" i="32"/>
  <c r="AU14" i="32"/>
  <c r="AM300" i="32"/>
  <c r="AF18" i="45" s="1"/>
  <c r="Z313" i="32"/>
  <c r="Z13" i="32"/>
  <c r="AF12" i="32"/>
  <c r="AO173" i="32"/>
  <c r="AP142" i="32"/>
  <c r="I142" i="32"/>
  <c r="AP122" i="32"/>
  <c r="AF100" i="32"/>
  <c r="AO100" i="32" s="1"/>
  <c r="AP83" i="32"/>
  <c r="AL63" i="32"/>
  <c r="AN50" i="32"/>
  <c r="AU44" i="32"/>
  <c r="AF44" i="32"/>
  <c r="Z50" i="32"/>
  <c r="AF32" i="32"/>
  <c r="AF34" i="32" s="1"/>
  <c r="Z34" i="32"/>
  <c r="AF14" i="32"/>
  <c r="AO14" i="32" s="1"/>
  <c r="Z17" i="32"/>
  <c r="AF116" i="32"/>
  <c r="AO116" i="32" s="1"/>
  <c r="AF108" i="32"/>
  <c r="Z111" i="32"/>
  <c r="AF94" i="32"/>
  <c r="AO94" i="32" s="1"/>
  <c r="AS71" i="32"/>
  <c r="AS76" i="32" s="1"/>
  <c r="AF54" i="32"/>
  <c r="AO54" i="32" s="1"/>
  <c r="AW305" i="32"/>
  <c r="AA41" i="32"/>
  <c r="AR38" i="32"/>
  <c r="AR41" i="32" s="1"/>
  <c r="AM303" i="32"/>
  <c r="Y300" i="32"/>
  <c r="R18" i="45" s="1"/>
  <c r="AP306" i="32"/>
  <c r="AW311" i="32"/>
  <c r="AF115" i="32"/>
  <c r="AO115" i="32" s="1"/>
  <c r="AF75" i="32"/>
  <c r="AO75" i="32" s="1"/>
  <c r="AU45" i="32"/>
  <c r="AR45" i="32"/>
  <c r="AS44" i="32"/>
  <c r="AS50" i="32" s="1"/>
  <c r="AN27" i="32"/>
  <c r="AP19" i="32"/>
  <c r="Z19" i="32"/>
  <c r="AA19" i="32"/>
  <c r="AB19" i="32"/>
  <c r="AS19" i="32" s="1"/>
  <c r="AV17" i="32"/>
  <c r="AS14" i="32"/>
  <c r="AN313" i="32"/>
  <c r="AU12" i="32"/>
  <c r="AN13" i="32"/>
  <c r="AP313" i="32"/>
  <c r="AP13" i="32"/>
  <c r="AF20" i="32"/>
  <c r="AO20" i="32" s="1"/>
  <c r="AF38" i="32"/>
  <c r="AB105" i="32"/>
  <c r="AU22" i="31"/>
  <c r="I63" i="31"/>
  <c r="AO57" i="31"/>
  <c r="AU80" i="31"/>
  <c r="AU47" i="31"/>
  <c r="AN86" i="31"/>
  <c r="AN24" i="31"/>
  <c r="AV37" i="31"/>
  <c r="AO70" i="31"/>
  <c r="AN63" i="31"/>
  <c r="AF58" i="31"/>
  <c r="AR58" i="31"/>
  <c r="AR63" i="31" s="1"/>
  <c r="AN47" i="31"/>
  <c r="AN80" i="31"/>
  <c r="AR34" i="31"/>
  <c r="AN84" i="31"/>
  <c r="AU29" i="31"/>
  <c r="AU84" i="31" s="1"/>
  <c r="I78" i="31"/>
  <c r="I31" i="31"/>
  <c r="U86" i="31"/>
  <c r="AB23" i="31"/>
  <c r="U24" i="31"/>
  <c r="AA23" i="31"/>
  <c r="AP23" i="31"/>
  <c r="Z23" i="31"/>
  <c r="U80" i="31"/>
  <c r="AP43" i="31"/>
  <c r="Z43" i="31"/>
  <c r="U47" i="31"/>
  <c r="AB43" i="31"/>
  <c r="AA43" i="31"/>
  <c r="I83" i="31"/>
  <c r="AR12" i="31"/>
  <c r="AA15" i="31"/>
  <c r="I77" i="31"/>
  <c r="I15" i="31"/>
  <c r="AN66" i="31"/>
  <c r="AF54" i="31"/>
  <c r="AO54" i="31" s="1"/>
  <c r="AV42" i="31"/>
  <c r="AQ84" i="31"/>
  <c r="AN51" i="31"/>
  <c r="AO30" i="31"/>
  <c r="Y74" i="31"/>
  <c r="AR38" i="31"/>
  <c r="AF26" i="31"/>
  <c r="AO26" i="31" s="1"/>
  <c r="AF21" i="31"/>
  <c r="AO21" i="31" s="1"/>
  <c r="AF17" i="31"/>
  <c r="AO17" i="31" s="1"/>
  <c r="Z16" i="31"/>
  <c r="AA16" i="31"/>
  <c r="U18" i="31"/>
  <c r="AP16" i="31"/>
  <c r="AP18" i="31" s="1"/>
  <c r="AB16" i="31"/>
  <c r="U37" i="31"/>
  <c r="AP32" i="31"/>
  <c r="AP37" i="31" s="1"/>
  <c r="Z32" i="31"/>
  <c r="Z78" i="31" s="1"/>
  <c r="AB32" i="31"/>
  <c r="AA32" i="31"/>
  <c r="AA78" i="31" s="1"/>
  <c r="N76" i="31"/>
  <c r="AF45" i="31"/>
  <c r="AO45" i="31" s="1"/>
  <c r="Z84" i="31"/>
  <c r="AF29" i="31"/>
  <c r="AQ86" i="31"/>
  <c r="AQ24" i="31"/>
  <c r="AV72" i="31"/>
  <c r="AF64" i="31"/>
  <c r="Z66" i="31"/>
  <c r="AS56" i="31"/>
  <c r="AU85" i="31"/>
  <c r="AU39" i="31"/>
  <c r="AV86" i="31"/>
  <c r="AV24" i="31"/>
  <c r="AV22" i="31"/>
  <c r="AW77" i="31"/>
  <c r="AW15" i="31"/>
  <c r="AU83" i="31"/>
  <c r="AO35" i="31"/>
  <c r="AP39" i="31"/>
  <c r="I85" i="31"/>
  <c r="I39" i="31"/>
  <c r="AP84" i="31"/>
  <c r="AU15" i="31"/>
  <c r="AU37" i="31"/>
  <c r="AB84" i="31"/>
  <c r="AS29" i="31"/>
  <c r="AS84" i="31" s="1"/>
  <c r="AF69" i="31"/>
  <c r="AO69" i="31" s="1"/>
  <c r="Z72" i="31"/>
  <c r="AV63" i="31"/>
  <c r="AR52" i="31"/>
  <c r="AR56" i="31" s="1"/>
  <c r="AA56" i="31"/>
  <c r="I51" i="31"/>
  <c r="AF46" i="31"/>
  <c r="AO46" i="31" s="1"/>
  <c r="AV47" i="31"/>
  <c r="AV80" i="31"/>
  <c r="AA31" i="31"/>
  <c r="I72" i="31"/>
  <c r="AA66" i="31"/>
  <c r="AR64" i="31"/>
  <c r="AR66" i="31" s="1"/>
  <c r="Z56" i="31"/>
  <c r="AF52" i="31"/>
  <c r="AO52" i="31" s="1"/>
  <c r="AA42" i="31"/>
  <c r="AR40" i="31"/>
  <c r="AR42" i="31" s="1"/>
  <c r="AL78" i="31"/>
  <c r="AL76" i="31" s="1"/>
  <c r="AV27" i="31"/>
  <c r="AN27" i="31"/>
  <c r="AL31" i="31"/>
  <c r="AL73" i="31" s="1"/>
  <c r="AA83" i="31"/>
  <c r="AR14" i="31"/>
  <c r="AN77" i="31"/>
  <c r="AN15" i="31"/>
  <c r="AP15" i="31"/>
  <c r="K76" i="31"/>
  <c r="I80" i="31"/>
  <c r="AF40" i="31"/>
  <c r="Z42" i="31"/>
  <c r="AB83" i="31"/>
  <c r="AV51" i="31"/>
  <c r="AW85" i="31"/>
  <c r="AW39" i="31"/>
  <c r="AF28" i="31"/>
  <c r="AO28" i="31" s="1"/>
  <c r="AF14" i="31"/>
  <c r="AF13" i="31"/>
  <c r="AO13" i="31" s="1"/>
  <c r="Z31" i="31"/>
  <c r="AF25" i="31"/>
  <c r="AQ83" i="31"/>
  <c r="AV85" i="31"/>
  <c r="AV39" i="31"/>
  <c r="AT78" i="31"/>
  <c r="AT31" i="31"/>
  <c r="AF41" i="31"/>
  <c r="AO41" i="31" s="1"/>
  <c r="AS57" i="31"/>
  <c r="AS63" i="31" s="1"/>
  <c r="AB63" i="31"/>
  <c r="AB56" i="31"/>
  <c r="AE75" i="31"/>
  <c r="AB72" i="31"/>
  <c r="AS67" i="31"/>
  <c r="AS72" i="31" s="1"/>
  <c r="Q73" i="31"/>
  <c r="I42" i="31"/>
  <c r="AN85" i="31"/>
  <c r="AN39" i="31"/>
  <c r="AP31" i="31"/>
  <c r="I86" i="31"/>
  <c r="I24" i="31"/>
  <c r="Y73" i="31"/>
  <c r="R17" i="45" s="1"/>
  <c r="AN72" i="31"/>
  <c r="AU67" i="31"/>
  <c r="AU72" i="31" s="1"/>
  <c r="I66" i="31"/>
  <c r="AO64" i="31"/>
  <c r="I56" i="31"/>
  <c r="U51" i="31"/>
  <c r="AB48" i="31"/>
  <c r="AP48" i="31"/>
  <c r="AP51" i="31" s="1"/>
  <c r="AA48" i="31"/>
  <c r="Z48" i="31"/>
  <c r="AU40" i="31"/>
  <c r="AU42" i="31" s="1"/>
  <c r="AR84" i="31"/>
  <c r="AW78" i="31"/>
  <c r="AW31" i="31"/>
  <c r="AU23" i="31"/>
  <c r="U22" i="31"/>
  <c r="AB19" i="31"/>
  <c r="AA19" i="31"/>
  <c r="AP19" i="31"/>
  <c r="AP22" i="31" s="1"/>
  <c r="Z19" i="31"/>
  <c r="AN83" i="31"/>
  <c r="AP83" i="31"/>
  <c r="AT77" i="31"/>
  <c r="AT15" i="31"/>
  <c r="AF62" i="31"/>
  <c r="AO62" i="31" s="1"/>
  <c r="AF61" i="31"/>
  <c r="AO61" i="31" s="1"/>
  <c r="Z63" i="31"/>
  <c r="AF53" i="31"/>
  <c r="AO53" i="31" s="1"/>
  <c r="AU51" i="31"/>
  <c r="AW80" i="31"/>
  <c r="AW47" i="31"/>
  <c r="AN22" i="31"/>
  <c r="AF55" i="31"/>
  <c r="AO55" i="31" s="1"/>
  <c r="AR25" i="31"/>
  <c r="Z83" i="31"/>
  <c r="AV77" i="31"/>
  <c r="I18" i="31"/>
  <c r="AN37" i="31"/>
  <c r="N73" i="31"/>
  <c r="G17" i="45" s="1"/>
  <c r="AU57" i="31"/>
  <c r="AU63" i="31" s="1"/>
  <c r="AA84" i="31"/>
  <c r="I84" i="31"/>
  <c r="AQ31" i="31"/>
  <c r="AQ78" i="31"/>
  <c r="I22" i="31"/>
  <c r="Y186" i="29"/>
  <c r="AL101" i="30"/>
  <c r="AR71" i="30"/>
  <c r="AU48" i="30"/>
  <c r="AB19" i="30"/>
  <c r="AS19" i="30" s="1"/>
  <c r="AA19" i="30"/>
  <c r="AR19" i="30" s="1"/>
  <c r="Z19" i="30"/>
  <c r="AP19" i="30"/>
  <c r="U23" i="30"/>
  <c r="Y99" i="30"/>
  <c r="R16" i="45" s="1"/>
  <c r="AU111" i="30"/>
  <c r="AU30" i="30"/>
  <c r="N100" i="30"/>
  <c r="AW103" i="30"/>
  <c r="AW15" i="30"/>
  <c r="AF58" i="30"/>
  <c r="AO58" i="30" s="1"/>
  <c r="U110" i="30"/>
  <c r="Z20" i="30"/>
  <c r="AB20" i="30"/>
  <c r="AP20" i="30"/>
  <c r="AP110" i="30" s="1"/>
  <c r="AA20" i="30"/>
  <c r="AA23" i="30" s="1"/>
  <c r="AF12" i="30"/>
  <c r="AO12" i="30" s="1"/>
  <c r="Z15" i="30"/>
  <c r="AR15" i="30"/>
  <c r="Z85" i="30"/>
  <c r="U91" i="30"/>
  <c r="AB85" i="30"/>
  <c r="AP85" i="30"/>
  <c r="AP91" i="30" s="1"/>
  <c r="AA85" i="30"/>
  <c r="AP111" i="30"/>
  <c r="AP30" i="30"/>
  <c r="I111" i="30"/>
  <c r="I30" i="30"/>
  <c r="AN112" i="30"/>
  <c r="AN17" i="30"/>
  <c r="AV103" i="30"/>
  <c r="AV15" i="30"/>
  <c r="AS74" i="30"/>
  <c r="AA65" i="30"/>
  <c r="AF96" i="30"/>
  <c r="AO96" i="30" s="1"/>
  <c r="AN80" i="30"/>
  <c r="AU75" i="30"/>
  <c r="AU80" i="30" s="1"/>
  <c r="AF72" i="30"/>
  <c r="AF74" i="30" s="1"/>
  <c r="Z74" i="30"/>
  <c r="I74" i="30"/>
  <c r="AV71" i="30"/>
  <c r="AO50" i="30"/>
  <c r="AF76" i="30"/>
  <c r="AP71" i="30"/>
  <c r="I71" i="30"/>
  <c r="AO34" i="30"/>
  <c r="U106" i="30"/>
  <c r="AB32" i="30"/>
  <c r="AA32" i="30"/>
  <c r="AP32" i="30"/>
  <c r="Z32" i="30"/>
  <c r="AU84" i="30"/>
  <c r="AF77" i="30"/>
  <c r="AV44" i="30"/>
  <c r="AB28" i="30"/>
  <c r="AS24" i="30"/>
  <c r="AS28" i="30" s="1"/>
  <c r="AS18" i="30"/>
  <c r="L99" i="30"/>
  <c r="E16" i="45" s="1"/>
  <c r="AO68" i="30"/>
  <c r="AF56" i="30"/>
  <c r="AO56" i="30" s="1"/>
  <c r="AE99" i="30"/>
  <c r="X16" i="45" s="1"/>
  <c r="AV109" i="30"/>
  <c r="AW104" i="30"/>
  <c r="Q102" i="30"/>
  <c r="U101" i="30" s="1"/>
  <c r="AA80" i="30"/>
  <c r="AF75" i="30"/>
  <c r="Z80" i="30"/>
  <c r="AB61" i="30"/>
  <c r="AS55" i="30"/>
  <c r="AS61" i="30" s="1"/>
  <c r="Z54" i="30"/>
  <c r="AF42" i="30"/>
  <c r="AO42" i="30" s="1"/>
  <c r="AQ106" i="30"/>
  <c r="AM102" i="30"/>
  <c r="AQ37" i="30"/>
  <c r="AN110" i="30"/>
  <c r="AU20" i="30"/>
  <c r="AU110" i="30" s="1"/>
  <c r="I104" i="30"/>
  <c r="AN109" i="30"/>
  <c r="AU14" i="30"/>
  <c r="AU109" i="30" s="1"/>
  <c r="AP15" i="30"/>
  <c r="K99" i="30"/>
  <c r="AF45" i="30"/>
  <c r="AA111" i="30"/>
  <c r="AA30" i="30"/>
  <c r="AR29" i="30"/>
  <c r="AV112" i="30"/>
  <c r="AV17" i="30"/>
  <c r="AS109" i="30"/>
  <c r="I98" i="30"/>
  <c r="AF62" i="30"/>
  <c r="Z65" i="30"/>
  <c r="I65" i="30"/>
  <c r="AO62" i="30"/>
  <c r="AU66" i="30"/>
  <c r="AU71" i="30" s="1"/>
  <c r="AN71" i="30"/>
  <c r="AO49" i="30"/>
  <c r="I54" i="30"/>
  <c r="AS66" i="30"/>
  <c r="AS71" i="30" s="1"/>
  <c r="AB71" i="30"/>
  <c r="U44" i="30"/>
  <c r="AB38" i="30"/>
  <c r="AA38" i="30"/>
  <c r="AP38" i="30"/>
  <c r="AP44" i="30" s="1"/>
  <c r="Z38" i="30"/>
  <c r="AF70" i="30"/>
  <c r="AO70" i="30" s="1"/>
  <c r="AV48" i="30"/>
  <c r="AV37" i="30"/>
  <c r="AA104" i="30"/>
  <c r="AF18" i="30"/>
  <c r="AP109" i="30"/>
  <c r="Q99" i="30"/>
  <c r="AP80" i="30"/>
  <c r="AA61" i="30"/>
  <c r="AR55" i="30"/>
  <c r="AO97" i="30"/>
  <c r="AR59" i="30"/>
  <c r="AF59" i="30"/>
  <c r="AO59" i="30" s="1"/>
  <c r="AN84" i="30"/>
  <c r="AS65" i="30"/>
  <c r="AV57" i="30"/>
  <c r="AV61" i="30" s="1"/>
  <c r="AN57" i="30"/>
  <c r="AU57" i="30" s="1"/>
  <c r="AU106" i="30" s="1"/>
  <c r="AU98" i="30"/>
  <c r="AF89" i="30"/>
  <c r="AO89" i="30" s="1"/>
  <c r="AP65" i="30"/>
  <c r="AV80" i="30"/>
  <c r="AA74" i="30"/>
  <c r="AF63" i="30"/>
  <c r="AO63" i="30" s="1"/>
  <c r="AP54" i="30"/>
  <c r="AO76" i="30"/>
  <c r="I37" i="30"/>
  <c r="AN111" i="30"/>
  <c r="AN30" i="30"/>
  <c r="AW110" i="30"/>
  <c r="AR18" i="30"/>
  <c r="AL100" i="30"/>
  <c r="AT109" i="30"/>
  <c r="AT15" i="30"/>
  <c r="AO77" i="30"/>
  <c r="AB54" i="30"/>
  <c r="AR41" i="30"/>
  <c r="AR109" i="30" s="1"/>
  <c r="U37" i="30"/>
  <c r="AF35" i="30"/>
  <c r="AO35" i="30" s="1"/>
  <c r="AR24" i="30"/>
  <c r="AR28" i="30" s="1"/>
  <c r="U104" i="30"/>
  <c r="AF94" i="30"/>
  <c r="AO94" i="30" s="1"/>
  <c r="AN28" i="30"/>
  <c r="AT104" i="30"/>
  <c r="AT23" i="30"/>
  <c r="AU16" i="30"/>
  <c r="Y102" i="30"/>
  <c r="AF51" i="30"/>
  <c r="AO51" i="30" s="1"/>
  <c r="AF43" i="30"/>
  <c r="AO43" i="30" s="1"/>
  <c r="AU38" i="30"/>
  <c r="AU44" i="30" s="1"/>
  <c r="AF27" i="30"/>
  <c r="AO27" i="30" s="1"/>
  <c r="Z109" i="30"/>
  <c r="AF14" i="30"/>
  <c r="AO14" i="30" s="1"/>
  <c r="AQ103" i="30"/>
  <c r="I103" i="30"/>
  <c r="I15" i="30"/>
  <c r="AF79" i="30"/>
  <c r="AO75" i="30"/>
  <c r="I80" i="30"/>
  <c r="Z61" i="30"/>
  <c r="AF55" i="30"/>
  <c r="I61" i="30"/>
  <c r="AB46" i="30"/>
  <c r="AA46" i="30"/>
  <c r="Z46" i="30"/>
  <c r="U48" i="30"/>
  <c r="AP46" i="30"/>
  <c r="AP48" i="30" s="1"/>
  <c r="AF24" i="30"/>
  <c r="AF13" i="30"/>
  <c r="AO13" i="30" s="1"/>
  <c r="AA15" i="30"/>
  <c r="AF64" i="30"/>
  <c r="AF36" i="30"/>
  <c r="AO36" i="30" s="1"/>
  <c r="AN37" i="30"/>
  <c r="I23" i="30"/>
  <c r="AF22" i="30"/>
  <c r="AO22" i="30" s="1"/>
  <c r="AV110" i="30"/>
  <c r="K102" i="30"/>
  <c r="I91" i="30"/>
  <c r="I44" i="30"/>
  <c r="AF25" i="30"/>
  <c r="AO25" i="30" s="1"/>
  <c r="AB109" i="30"/>
  <c r="AU24" i="30"/>
  <c r="AU28" i="30" s="1"/>
  <c r="U98" i="30"/>
  <c r="AB92" i="30"/>
  <c r="Z92" i="30"/>
  <c r="AP92" i="30"/>
  <c r="AP98" i="30" s="1"/>
  <c r="AA92" i="30"/>
  <c r="AO90" i="30"/>
  <c r="AV87" i="30"/>
  <c r="AV104" i="30" s="1"/>
  <c r="AN87" i="30"/>
  <c r="AU87" i="30" s="1"/>
  <c r="AU91" i="30" s="1"/>
  <c r="AN98" i="30"/>
  <c r="AO83" i="30"/>
  <c r="I84" i="30"/>
  <c r="AR65" i="30"/>
  <c r="U84" i="30"/>
  <c r="AB81" i="30"/>
  <c r="Z81" i="30"/>
  <c r="AP81" i="30"/>
  <c r="AP84" i="30" s="1"/>
  <c r="AA81" i="30"/>
  <c r="AF53" i="30"/>
  <c r="AF54" i="30" s="1"/>
  <c r="AA54" i="30"/>
  <c r="AR49" i="30"/>
  <c r="AR54" i="30" s="1"/>
  <c r="AA71" i="30"/>
  <c r="Z71" i="30"/>
  <c r="AF66" i="30"/>
  <c r="AO66" i="30" s="1"/>
  <c r="I106" i="30"/>
  <c r="AV111" i="30"/>
  <c r="AV30" i="30"/>
  <c r="AN23" i="30"/>
  <c r="AF87" i="30"/>
  <c r="AO87" i="30" s="1"/>
  <c r="AF67" i="30"/>
  <c r="AO67" i="30" s="1"/>
  <c r="AU37" i="30"/>
  <c r="AQ104" i="30"/>
  <c r="AF78" i="30"/>
  <c r="AO78" i="30" s="1"/>
  <c r="AF60" i="30"/>
  <c r="AO60" i="30" s="1"/>
  <c r="AN54" i="30"/>
  <c r="AN48" i="30"/>
  <c r="AV28" i="30"/>
  <c r="AL104" i="30"/>
  <c r="AL102" i="30" s="1"/>
  <c r="AQ112" i="30"/>
  <c r="AQ17" i="30"/>
  <c r="AQ99" i="30" s="1"/>
  <c r="AJ16" i="45" s="1"/>
  <c r="AB111" i="30"/>
  <c r="AB30" i="30"/>
  <c r="AS29" i="30"/>
  <c r="AA109" i="30"/>
  <c r="I109" i="30"/>
  <c r="AB15" i="30"/>
  <c r="AS12" i="30"/>
  <c r="AO79" i="30"/>
  <c r="AB80" i="30"/>
  <c r="AS75" i="30"/>
  <c r="AS80" i="30" s="1"/>
  <c r="AR75" i="30"/>
  <c r="AR80" i="30" s="1"/>
  <c r="AP61" i="30"/>
  <c r="AW111" i="30"/>
  <c r="AW30" i="30"/>
  <c r="AO26" i="30"/>
  <c r="AM99" i="30"/>
  <c r="AF16" i="45" s="1"/>
  <c r="AO64" i="30"/>
  <c r="AF31" i="30"/>
  <c r="AO31" i="30" s="1"/>
  <c r="AF21" i="30"/>
  <c r="AO21" i="30" s="1"/>
  <c r="I110" i="30"/>
  <c r="U103" i="30"/>
  <c r="AF39" i="30"/>
  <c r="AO39" i="30" s="1"/>
  <c r="Z111" i="30"/>
  <c r="AF29" i="30"/>
  <c r="Z30" i="30"/>
  <c r="U112" i="30"/>
  <c r="Z16" i="30"/>
  <c r="AB16" i="30"/>
  <c r="AP16" i="30"/>
  <c r="AA16" i="30"/>
  <c r="U17" i="30"/>
  <c r="AN103" i="30"/>
  <c r="AN15" i="30"/>
  <c r="AU12" i="30"/>
  <c r="AW23" i="30"/>
  <c r="AU183" i="29"/>
  <c r="AE186" i="29"/>
  <c r="AU176" i="29"/>
  <c r="AF161" i="29"/>
  <c r="AO161" i="29" s="1"/>
  <c r="AF158" i="29"/>
  <c r="AO158" i="29" s="1"/>
  <c r="AU140" i="29"/>
  <c r="AU196" i="29"/>
  <c r="AU132" i="29"/>
  <c r="AN196" i="29"/>
  <c r="AN132" i="29"/>
  <c r="AS160" i="29"/>
  <c r="AA118" i="29"/>
  <c r="AR113" i="29"/>
  <c r="AR118" i="29" s="1"/>
  <c r="AN94" i="29"/>
  <c r="AU89" i="29"/>
  <c r="AU94" i="29" s="1"/>
  <c r="AO117" i="29"/>
  <c r="AF129" i="29"/>
  <c r="AO129" i="29" s="1"/>
  <c r="Z38" i="29"/>
  <c r="AF35" i="29"/>
  <c r="AU194" i="29"/>
  <c r="AN68" i="29"/>
  <c r="AU65" i="29"/>
  <c r="AU68" i="29" s="1"/>
  <c r="AB58" i="29"/>
  <c r="U61" i="29"/>
  <c r="AA58" i="29"/>
  <c r="AP58" i="29"/>
  <c r="AP61" i="29" s="1"/>
  <c r="Z58" i="29"/>
  <c r="AA34" i="29"/>
  <c r="AR32" i="29"/>
  <c r="AR34" i="29" s="1"/>
  <c r="AS19" i="29"/>
  <c r="AF173" i="29"/>
  <c r="Z170" i="29"/>
  <c r="AF168" i="29"/>
  <c r="AA176" i="29"/>
  <c r="AR171" i="29"/>
  <c r="AR176" i="29" s="1"/>
  <c r="I183" i="29"/>
  <c r="AA170" i="29"/>
  <c r="AR168" i="29"/>
  <c r="AR170" i="29" s="1"/>
  <c r="AF178" i="29"/>
  <c r="AO178" i="29" s="1"/>
  <c r="AU162" i="29"/>
  <c r="AU161" i="29"/>
  <c r="AF172" i="29"/>
  <c r="AO172" i="29" s="1"/>
  <c r="Z176" i="29"/>
  <c r="I170" i="29"/>
  <c r="AO168" i="29"/>
  <c r="AP163" i="29"/>
  <c r="AB163" i="29"/>
  <c r="AS163" i="29" s="1"/>
  <c r="AA163" i="29"/>
  <c r="Z163" i="29"/>
  <c r="AW147" i="29"/>
  <c r="AN140" i="29"/>
  <c r="I191" i="29"/>
  <c r="AF157" i="29"/>
  <c r="Z153" i="29"/>
  <c r="AP153" i="29"/>
  <c r="AP156" i="29" s="1"/>
  <c r="AB153" i="29"/>
  <c r="AA153" i="29"/>
  <c r="AR153" i="29" s="1"/>
  <c r="AR156" i="29" s="1"/>
  <c r="AB151" i="29"/>
  <c r="AP167" i="29"/>
  <c r="AP160" i="29"/>
  <c r="I151" i="29"/>
  <c r="AF136" i="29"/>
  <c r="AA140" i="29"/>
  <c r="AN160" i="29"/>
  <c r="AA151" i="29"/>
  <c r="AR148" i="29"/>
  <c r="AR151" i="29" s="1"/>
  <c r="AV163" i="29"/>
  <c r="AV167" i="29" s="1"/>
  <c r="AN163" i="29"/>
  <c r="AU163" i="29" s="1"/>
  <c r="Z160" i="29"/>
  <c r="AF137" i="29"/>
  <c r="AO137" i="29" s="1"/>
  <c r="U130" i="29"/>
  <c r="AB125" i="29"/>
  <c r="Z125" i="29"/>
  <c r="AA125" i="29"/>
  <c r="AP125" i="29"/>
  <c r="AP130" i="29" s="1"/>
  <c r="AN124" i="29"/>
  <c r="AF113" i="29"/>
  <c r="AO113" i="29" s="1"/>
  <c r="Z118" i="29"/>
  <c r="AP100" i="29"/>
  <c r="AF84" i="29"/>
  <c r="AO84" i="29" s="1"/>
  <c r="AR104" i="29"/>
  <c r="I106" i="29"/>
  <c r="AF114" i="29"/>
  <c r="AO114" i="29" s="1"/>
  <c r="AF102" i="29"/>
  <c r="AN106" i="29"/>
  <c r="AF65" i="29"/>
  <c r="Z68" i="29"/>
  <c r="I94" i="29"/>
  <c r="Z71" i="29"/>
  <c r="AF69" i="29"/>
  <c r="AF52" i="29"/>
  <c r="AU46" i="29"/>
  <c r="AF37" i="29"/>
  <c r="AO37" i="29" s="1"/>
  <c r="I64" i="29"/>
  <c r="AP42" i="29"/>
  <c r="I42" i="29"/>
  <c r="AU16" i="29"/>
  <c r="U188" i="29"/>
  <c r="AE184" i="29"/>
  <c r="X15" i="45" s="1"/>
  <c r="K184" i="29"/>
  <c r="D15" i="45" s="1"/>
  <c r="AF70" i="29"/>
  <c r="AO70" i="29" s="1"/>
  <c r="AF59" i="29"/>
  <c r="AO59" i="29" s="1"/>
  <c r="AA46" i="29"/>
  <c r="AR43" i="29"/>
  <c r="AR46" i="29" s="1"/>
  <c r="AA28" i="29"/>
  <c r="AR26" i="29"/>
  <c r="AR28" i="29" s="1"/>
  <c r="AN22" i="29"/>
  <c r="AA194" i="29"/>
  <c r="AR15" i="29"/>
  <c r="AQ197" i="29"/>
  <c r="AQ13" i="29"/>
  <c r="AQ189" i="29"/>
  <c r="AF41" i="29"/>
  <c r="AO41" i="29"/>
  <c r="AV31" i="29"/>
  <c r="AF27" i="29"/>
  <c r="AO27" i="29" s="1"/>
  <c r="AU20" i="29"/>
  <c r="AU22" i="29" s="1"/>
  <c r="AP197" i="29"/>
  <c r="AP13" i="29"/>
  <c r="AF63" i="29"/>
  <c r="AO63" i="29" s="1"/>
  <c r="AP57" i="29"/>
  <c r="I57" i="29"/>
  <c r="AF43" i="29"/>
  <c r="Z46" i="29"/>
  <c r="AN194" i="29"/>
  <c r="I194" i="29"/>
  <c r="AO136" i="29"/>
  <c r="AF159" i="29"/>
  <c r="AO159" i="29" s="1"/>
  <c r="AN118" i="29"/>
  <c r="AU113" i="29"/>
  <c r="AU118" i="29" s="1"/>
  <c r="U106" i="29"/>
  <c r="AB101" i="29"/>
  <c r="Z101" i="29"/>
  <c r="AP101" i="29"/>
  <c r="AP106" i="29" s="1"/>
  <c r="AA101" i="29"/>
  <c r="AW189" i="29"/>
  <c r="AW82" i="29"/>
  <c r="AF116" i="29"/>
  <c r="AO116" i="29" s="1"/>
  <c r="U195" i="29"/>
  <c r="AB80" i="29"/>
  <c r="AP80" i="29"/>
  <c r="AP195" i="29" s="1"/>
  <c r="Z80" i="29"/>
  <c r="AA80" i="29"/>
  <c r="AA38" i="29"/>
  <c r="AR35" i="29"/>
  <c r="AR38" i="29" s="1"/>
  <c r="AU31" i="29"/>
  <c r="I53" i="29"/>
  <c r="AM187" i="29"/>
  <c r="AB71" i="29"/>
  <c r="AB57" i="29"/>
  <c r="AS54" i="29"/>
  <c r="AS57" i="29" s="1"/>
  <c r="U183" i="29"/>
  <c r="AB177" i="29"/>
  <c r="AP177" i="29"/>
  <c r="AP183" i="29" s="1"/>
  <c r="AA177" i="29"/>
  <c r="Z177" i="29"/>
  <c r="I176" i="29"/>
  <c r="AV191" i="29"/>
  <c r="AF166" i="29"/>
  <c r="AO166" i="29" s="1"/>
  <c r="AP191" i="29"/>
  <c r="AF152" i="29"/>
  <c r="I147" i="29"/>
  <c r="AV196" i="29"/>
  <c r="AV132" i="29"/>
  <c r="U167" i="29"/>
  <c r="AF134" i="29"/>
  <c r="AP140" i="29"/>
  <c r="AS148" i="29"/>
  <c r="AS151" i="29" s="1"/>
  <c r="AO146" i="29"/>
  <c r="AF138" i="29"/>
  <c r="AO138" i="29" s="1"/>
  <c r="AT196" i="29"/>
  <c r="AT132" i="29"/>
  <c r="AF169" i="29"/>
  <c r="AO169" i="29" s="1"/>
  <c r="AF144" i="29"/>
  <c r="AO144" i="29" s="1"/>
  <c r="AF128" i="29"/>
  <c r="AO128" i="29" s="1"/>
  <c r="AU125" i="29"/>
  <c r="AU130" i="29" s="1"/>
  <c r="AN130" i="29"/>
  <c r="AO123" i="29"/>
  <c r="I196" i="29"/>
  <c r="I132" i="29"/>
  <c r="AB119" i="29"/>
  <c r="U124" i="29"/>
  <c r="Z119" i="29"/>
  <c r="AP119" i="29"/>
  <c r="AP124" i="29" s="1"/>
  <c r="AA119" i="29"/>
  <c r="AF110" i="29"/>
  <c r="AO110" i="29" s="1"/>
  <c r="AF108" i="29"/>
  <c r="AO108" i="29" s="1"/>
  <c r="AU124" i="29"/>
  <c r="AB118" i="29"/>
  <c r="AS113" i="29"/>
  <c r="AS118" i="29" s="1"/>
  <c r="I118" i="29"/>
  <c r="Z88" i="29"/>
  <c r="AF83" i="29"/>
  <c r="I195" i="29"/>
  <c r="AT189" i="29"/>
  <c r="AT82" i="29"/>
  <c r="AN100" i="29"/>
  <c r="U189" i="29"/>
  <c r="AP77" i="29"/>
  <c r="AB77" i="29"/>
  <c r="AA77" i="29"/>
  <c r="U82" i="29"/>
  <c r="Z77" i="29"/>
  <c r="I112" i="29"/>
  <c r="AF99" i="29"/>
  <c r="AO99" i="29" s="1"/>
  <c r="AV94" i="29"/>
  <c r="AA88" i="29"/>
  <c r="AR83" i="29"/>
  <c r="AR88" i="29" s="1"/>
  <c r="AU106" i="29"/>
  <c r="AF98" i="29"/>
  <c r="AO98" i="29" s="1"/>
  <c r="AL189" i="29"/>
  <c r="AL82" i="29"/>
  <c r="AL184" i="29" s="1"/>
  <c r="AN77" i="29"/>
  <c r="AV77" i="29"/>
  <c r="AP53" i="29"/>
  <c r="AP38" i="29"/>
  <c r="AO72" i="29"/>
  <c r="Z53" i="29"/>
  <c r="AF51" i="29"/>
  <c r="AF53" i="29" s="1"/>
  <c r="AR49" i="29"/>
  <c r="AF49" i="29"/>
  <c r="AO49" i="29" s="1"/>
  <c r="AP50" i="29"/>
  <c r="AF36" i="29"/>
  <c r="AO36" i="29" s="1"/>
  <c r="AF73" i="29"/>
  <c r="AO73" i="29" s="1"/>
  <c r="Z64" i="29"/>
  <c r="AF62" i="29"/>
  <c r="AO52" i="29"/>
  <c r="AA19" i="29"/>
  <c r="AB194" i="29"/>
  <c r="AQ188" i="29"/>
  <c r="AQ16" i="29"/>
  <c r="K187" i="29"/>
  <c r="AS71" i="29"/>
  <c r="AF45" i="29"/>
  <c r="AO45" i="29" s="1"/>
  <c r="AF32" i="29"/>
  <c r="AS32" i="29"/>
  <c r="AS34" i="29" s="1"/>
  <c r="AB34" i="29"/>
  <c r="AF30" i="29"/>
  <c r="AO30" i="29" s="1"/>
  <c r="I28" i="29"/>
  <c r="AF18" i="29"/>
  <c r="AO18" i="29" s="1"/>
  <c r="AA16" i="29"/>
  <c r="AR14" i="29"/>
  <c r="N184" i="29"/>
  <c r="G15" i="45" s="1"/>
  <c r="AB197" i="29"/>
  <c r="AB13" i="29"/>
  <c r="AS12" i="29"/>
  <c r="I76" i="29"/>
  <c r="AS40" i="29"/>
  <c r="AS38" i="29"/>
  <c r="AB31" i="29"/>
  <c r="AS29" i="29"/>
  <c r="AS31" i="29" s="1"/>
  <c r="AR17" i="29"/>
  <c r="AR19" i="29" s="1"/>
  <c r="AS15" i="29"/>
  <c r="AS194" i="29" s="1"/>
  <c r="Z16" i="29"/>
  <c r="AF14" i="29"/>
  <c r="AL185" i="29"/>
  <c r="Q184" i="29"/>
  <c r="AA197" i="29"/>
  <c r="AA13" i="29"/>
  <c r="AR12" i="29"/>
  <c r="AS100" i="29"/>
  <c r="AN46" i="29"/>
  <c r="AF33" i="29"/>
  <c r="AO33" i="29" s="1"/>
  <c r="I188" i="29"/>
  <c r="AF24" i="29"/>
  <c r="AO24" i="29" s="1"/>
  <c r="AB22" i="29"/>
  <c r="AS20" i="29"/>
  <c r="AS22" i="29" s="1"/>
  <c r="AB140" i="29"/>
  <c r="AB112" i="29"/>
  <c r="I124" i="29"/>
  <c r="AS107" i="29"/>
  <c r="AS112" i="29" s="1"/>
  <c r="Z74" i="29"/>
  <c r="AP74" i="29"/>
  <c r="AP76" i="29" s="1"/>
  <c r="AB74" i="29"/>
  <c r="AA74" i="29"/>
  <c r="AR74" i="29" s="1"/>
  <c r="AA53" i="29"/>
  <c r="AR51" i="29"/>
  <c r="AR53" i="29" s="1"/>
  <c r="U76" i="29"/>
  <c r="AT188" i="29"/>
  <c r="AT16" i="29"/>
  <c r="AV188" i="29"/>
  <c r="AF78" i="29"/>
  <c r="AO78" i="29" s="1"/>
  <c r="AF29" i="29"/>
  <c r="Z31" i="29"/>
  <c r="AS26" i="29"/>
  <c r="AS28" i="29" s="1"/>
  <c r="AA25" i="29"/>
  <c r="AR23" i="29"/>
  <c r="AR25" i="29" s="1"/>
  <c r="AN19" i="29"/>
  <c r="AU17" i="29"/>
  <c r="AU19" i="29" s="1"/>
  <c r="Z194" i="29"/>
  <c r="AF15" i="29"/>
  <c r="N187" i="29"/>
  <c r="I197" i="29"/>
  <c r="I13" i="29"/>
  <c r="AB100" i="29"/>
  <c r="AS65" i="29"/>
  <c r="AS68" i="29" s="1"/>
  <c r="AF54" i="29"/>
  <c r="Z57" i="29"/>
  <c r="AR57" i="29"/>
  <c r="AV46" i="29"/>
  <c r="AF40" i="29"/>
  <c r="AO40" i="29" s="1"/>
  <c r="AW188" i="29"/>
  <c r="AA22" i="29"/>
  <c r="AR20" i="29"/>
  <c r="AR22" i="29" s="1"/>
  <c r="AF20" i="29"/>
  <c r="Z22" i="29"/>
  <c r="AF21" i="29"/>
  <c r="AO21" i="29" s="1"/>
  <c r="AS191" i="29"/>
  <c r="AR164" i="29"/>
  <c r="AF164" i="29"/>
  <c r="AO164" i="29" s="1"/>
  <c r="I160" i="29"/>
  <c r="AO157" i="29"/>
  <c r="AU69" i="29"/>
  <c r="AU71" i="29" s="1"/>
  <c r="AF47" i="29"/>
  <c r="AO47" i="29" s="1"/>
  <c r="AB64" i="29"/>
  <c r="AS62" i="29"/>
  <c r="AS64" i="29" s="1"/>
  <c r="AF39" i="29"/>
  <c r="Z42" i="29"/>
  <c r="Q187" i="29"/>
  <c r="AP176" i="29"/>
  <c r="AO173" i="29"/>
  <c r="AT191" i="29"/>
  <c r="AS167" i="29"/>
  <c r="AF171" i="29"/>
  <c r="AF176" i="29" s="1"/>
  <c r="Z151" i="29"/>
  <c r="AF148" i="29"/>
  <c r="AB141" i="29"/>
  <c r="U147" i="29"/>
  <c r="Z141" i="29"/>
  <c r="AP141" i="29"/>
  <c r="AP147" i="29" s="1"/>
  <c r="AA141" i="29"/>
  <c r="AB167" i="29"/>
  <c r="I167" i="29"/>
  <c r="AA160" i="29"/>
  <c r="AU152" i="29"/>
  <c r="AU156" i="29" s="1"/>
  <c r="AO152" i="29"/>
  <c r="I156" i="29"/>
  <c r="I140" i="29"/>
  <c r="AU160" i="29"/>
  <c r="AF155" i="29"/>
  <c r="AO155" i="29" s="1"/>
  <c r="AU148" i="29"/>
  <c r="AU151" i="29" s="1"/>
  <c r="AN151" i="29"/>
  <c r="AF145" i="29"/>
  <c r="AO145" i="29" s="1"/>
  <c r="AU141" i="29"/>
  <c r="AU147" i="29" s="1"/>
  <c r="AN147" i="29"/>
  <c r="AO139" i="29"/>
  <c r="U196" i="29"/>
  <c r="U132" i="29"/>
  <c r="Z131" i="29"/>
  <c r="AP131" i="29"/>
  <c r="AB131" i="29"/>
  <c r="AA131" i="29"/>
  <c r="AW196" i="29"/>
  <c r="AW132" i="29"/>
  <c r="AO105" i="29"/>
  <c r="AB160" i="29"/>
  <c r="AQ196" i="29"/>
  <c r="AQ132" i="29"/>
  <c r="AF111" i="29"/>
  <c r="AO111" i="29" s="1"/>
  <c r="AF109" i="29"/>
  <c r="AO109" i="29" s="1"/>
  <c r="Z112" i="29"/>
  <c r="AP118" i="29"/>
  <c r="AA100" i="29"/>
  <c r="AR95" i="29"/>
  <c r="AR100" i="29" s="1"/>
  <c r="I100" i="29"/>
  <c r="AV195" i="29"/>
  <c r="AF126" i="29"/>
  <c r="AO126" i="29" s="1"/>
  <c r="AF103" i="29"/>
  <c r="AO103" i="29" s="1"/>
  <c r="I189" i="29"/>
  <c r="I82" i="29"/>
  <c r="AO102" i="29"/>
  <c r="AS89" i="29"/>
  <c r="AS94" i="29" s="1"/>
  <c r="AF89" i="29"/>
  <c r="R187" i="29"/>
  <c r="AU76" i="29"/>
  <c r="AU61" i="29"/>
  <c r="AU195" i="29"/>
  <c r="AS42" i="29"/>
  <c r="AA76" i="29"/>
  <c r="AR72" i="29"/>
  <c r="AR76" i="29" s="1"/>
  <c r="AN57" i="29"/>
  <c r="AU54" i="29"/>
  <c r="AU57" i="29" s="1"/>
  <c r="AR48" i="29"/>
  <c r="AF48" i="29"/>
  <c r="AO48" i="29" s="1"/>
  <c r="I50" i="29"/>
  <c r="AN42" i="29"/>
  <c r="AU39" i="29"/>
  <c r="AU42" i="29" s="1"/>
  <c r="I68" i="29"/>
  <c r="AR62" i="29"/>
  <c r="AR64" i="29" s="1"/>
  <c r="AB16" i="29"/>
  <c r="AF60" i="29"/>
  <c r="AO60" i="29" s="1"/>
  <c r="AF17" i="29"/>
  <c r="Z19" i="29"/>
  <c r="AP16" i="29"/>
  <c r="Y185" i="29"/>
  <c r="AU197" i="29"/>
  <c r="AU13" i="29"/>
  <c r="AQ82" i="29"/>
  <c r="AF75" i="29"/>
  <c r="AO75" i="29" s="1"/>
  <c r="AO55" i="29"/>
  <c r="AN31" i="29"/>
  <c r="Y184" i="29"/>
  <c r="R15" i="45" s="1"/>
  <c r="AT197" i="29"/>
  <c r="AT13" i="29"/>
  <c r="AA57" i="29"/>
  <c r="AB46" i="29"/>
  <c r="AS43" i="29"/>
  <c r="AS46" i="29" s="1"/>
  <c r="AF12" i="29"/>
  <c r="AO12" i="29" s="1"/>
  <c r="AF26" i="29" l="1"/>
  <c r="AR47" i="29"/>
  <c r="AB188" i="29"/>
  <c r="AL187" i="29"/>
  <c r="AN186" i="29" s="1"/>
  <c r="AF57" i="29"/>
  <c r="AF68" i="29"/>
  <c r="AF163" i="29"/>
  <c r="AO163" i="29" s="1"/>
  <c r="AO167" i="29" s="1"/>
  <c r="AF133" i="29"/>
  <c r="AO133" i="29" s="1"/>
  <c r="U199" i="42"/>
  <c r="AS79" i="42"/>
  <c r="AS85" i="42" s="1"/>
  <c r="AB85" i="42"/>
  <c r="AF113" i="42"/>
  <c r="AO113" i="42" s="1"/>
  <c r="AF138" i="42"/>
  <c r="AO138" i="42" s="1"/>
  <c r="AP203" i="42"/>
  <c r="AW223" i="42"/>
  <c r="AU207" i="42"/>
  <c r="AQ223" i="42"/>
  <c r="AV223" i="42"/>
  <c r="AF79" i="42"/>
  <c r="AF125" i="42"/>
  <c r="AF99" i="42"/>
  <c r="AN223" i="42"/>
  <c r="AR189" i="42"/>
  <c r="Z204" i="42"/>
  <c r="U248" i="41"/>
  <c r="AF45" i="41"/>
  <c r="AF32" i="41"/>
  <c r="AB154" i="41"/>
  <c r="AA170" i="40"/>
  <c r="AF150" i="40"/>
  <c r="Z38" i="40"/>
  <c r="AP171" i="40"/>
  <c r="U165" i="40"/>
  <c r="AT126" i="39"/>
  <c r="AB128" i="39"/>
  <c r="AF31" i="39"/>
  <c r="AO31" i="39" s="1"/>
  <c r="AN128" i="39"/>
  <c r="AS31" i="39"/>
  <c r="AS36" i="39" s="1"/>
  <c r="AO12" i="39"/>
  <c r="AF136" i="39"/>
  <c r="AV130" i="39"/>
  <c r="AF111" i="32"/>
  <c r="AA176" i="32"/>
  <c r="AS193" i="32"/>
  <c r="AP31" i="32"/>
  <c r="AA27" i="32"/>
  <c r="AS27" i="32"/>
  <c r="AU311" i="32"/>
  <c r="AA250" i="32"/>
  <c r="AV305" i="32"/>
  <c r="AO148" i="32"/>
  <c r="AV304" i="32"/>
  <c r="AV303" i="32" s="1"/>
  <c r="AB104" i="30"/>
  <c r="AB23" i="30"/>
  <c r="AR61" i="30"/>
  <c r="AF23" i="29"/>
  <c r="AO23" i="29" s="1"/>
  <c r="AA188" i="29"/>
  <c r="AF42" i="29"/>
  <c r="AT102" i="30"/>
  <c r="U99" i="30"/>
  <c r="AB103" i="30"/>
  <c r="Z85" i="31"/>
  <c r="AA39" i="31"/>
  <c r="AQ73" i="31"/>
  <c r="AJ17" i="45" s="1"/>
  <c r="AT73" i="31"/>
  <c r="AM17" i="45" s="1"/>
  <c r="AP78" i="31"/>
  <c r="AS42" i="32"/>
  <c r="AS43" i="32" s="1"/>
  <c r="AA260" i="32"/>
  <c r="AF42" i="32"/>
  <c r="AF203" i="32"/>
  <c r="AR203" i="32"/>
  <c r="AV63" i="32"/>
  <c r="AV300" i="32" s="1"/>
  <c r="AF244" i="32"/>
  <c r="AO244" i="32" s="1"/>
  <c r="Z304" i="32"/>
  <c r="AR70" i="32"/>
  <c r="AT300" i="32"/>
  <c r="AM18" i="45" s="1"/>
  <c r="AU189" i="32"/>
  <c r="AU193" i="32" s="1"/>
  <c r="AF256" i="32"/>
  <c r="AO256" i="32" s="1"/>
  <c r="AR65" i="39"/>
  <c r="AQ164" i="40"/>
  <c r="AJ20" i="45" s="1"/>
  <c r="AB168" i="40"/>
  <c r="AF123" i="40"/>
  <c r="AS170" i="40"/>
  <c r="AO23" i="40"/>
  <c r="AO144" i="40"/>
  <c r="I186" i="29"/>
  <c r="AV135" i="41"/>
  <c r="AV248" i="41" s="1"/>
  <c r="U144" i="41"/>
  <c r="V21" i="45"/>
  <c r="AQ143" i="41"/>
  <c r="AJ21" i="45" s="1"/>
  <c r="AN135" i="41"/>
  <c r="AF118" i="41"/>
  <c r="AR154" i="41"/>
  <c r="AE143" i="41"/>
  <c r="X21" i="45" s="1"/>
  <c r="I101" i="30"/>
  <c r="I199" i="42"/>
  <c r="AO96" i="42"/>
  <c r="AO99" i="42" s="1"/>
  <c r="Z144" i="42"/>
  <c r="AO89" i="42"/>
  <c r="AO122" i="42"/>
  <c r="AO125" i="42" s="1"/>
  <c r="AO42" i="42"/>
  <c r="AO44" i="42" s="1"/>
  <c r="AN75" i="31"/>
  <c r="AN185" i="29"/>
  <c r="AE15" i="45"/>
  <c r="AF28" i="29"/>
  <c r="AW184" i="29"/>
  <c r="AP15" i="45" s="1"/>
  <c r="U185" i="29"/>
  <c r="J15" i="45"/>
  <c r="AB191" i="29"/>
  <c r="AR107" i="29"/>
  <c r="AR112" i="29" s="1"/>
  <c r="AA112" i="29"/>
  <c r="AB50" i="29"/>
  <c r="AS47" i="29"/>
  <c r="AS50" i="29" s="1"/>
  <c r="AF95" i="29"/>
  <c r="AO95" i="29" s="1"/>
  <c r="AO100" i="29" s="1"/>
  <c r="AT184" i="29"/>
  <c r="AM15" i="45" s="1"/>
  <c r="U184" i="29"/>
  <c r="AF64" i="29"/>
  <c r="AA156" i="29"/>
  <c r="AO65" i="29"/>
  <c r="AO68" i="29" s="1"/>
  <c r="AO51" i="29"/>
  <c r="AO53" i="29" s="1"/>
  <c r="I185" i="29"/>
  <c r="Z140" i="29"/>
  <c r="AS23" i="29"/>
  <c r="AS25" i="29" s="1"/>
  <c r="AB25" i="29"/>
  <c r="I100" i="30"/>
  <c r="D16" i="45"/>
  <c r="Z100" i="30"/>
  <c r="N16" i="45"/>
  <c r="AN104" i="30"/>
  <c r="AF46" i="30"/>
  <c r="AO46" i="30" s="1"/>
  <c r="AV106" i="30"/>
  <c r="U100" i="30"/>
  <c r="J16" i="45"/>
  <c r="I75" i="31"/>
  <c r="I302" i="32"/>
  <c r="U73" i="31"/>
  <c r="AF66" i="31"/>
  <c r="AS31" i="31"/>
  <c r="AF15" i="31"/>
  <c r="AN74" i="31"/>
  <c r="AE17" i="45"/>
  <c r="AS39" i="31"/>
  <c r="Z39" i="31"/>
  <c r="AO66" i="31"/>
  <c r="AA77" i="31"/>
  <c r="AF63" i="31"/>
  <c r="AA72" i="31"/>
  <c r="AR67" i="31"/>
  <c r="AR72" i="31" s="1"/>
  <c r="AQ76" i="31"/>
  <c r="U74" i="31"/>
  <c r="J17" i="45"/>
  <c r="U76" i="31"/>
  <c r="Z75" i="31" s="1"/>
  <c r="I74" i="31"/>
  <c r="D17" i="45"/>
  <c r="AP304" i="32"/>
  <c r="AF58" i="32"/>
  <c r="AO58" i="32" s="1"/>
  <c r="AP305" i="32"/>
  <c r="AL300" i="32"/>
  <c r="AN301" i="32" s="1"/>
  <c r="AU305" i="32"/>
  <c r="AR311" i="32"/>
  <c r="AB260" i="32"/>
  <c r="AU212" i="32"/>
  <c r="AF306" i="32"/>
  <c r="AF291" i="32"/>
  <c r="AO291" i="32" s="1"/>
  <c r="AN305" i="32"/>
  <c r="AR142" i="32"/>
  <c r="AR193" i="32"/>
  <c r="AF170" i="32"/>
  <c r="AN212" i="32"/>
  <c r="AL303" i="32"/>
  <c r="AN302" i="32" s="1"/>
  <c r="AN125" i="39"/>
  <c r="AO27" i="32"/>
  <c r="AO250" i="32"/>
  <c r="AO198" i="32"/>
  <c r="AO203" i="32" s="1"/>
  <c r="AN31" i="32"/>
  <c r="AF50" i="32"/>
  <c r="AN304" i="32"/>
  <c r="AN303" i="32" s="1"/>
  <c r="AN260" i="32"/>
  <c r="U300" i="32"/>
  <c r="Z301" i="32" s="1"/>
  <c r="AF197" i="32"/>
  <c r="AB193" i="32"/>
  <c r="AB13" i="32"/>
  <c r="AS12" i="32"/>
  <c r="I301" i="32"/>
  <c r="E18" i="45"/>
  <c r="AR232" i="32"/>
  <c r="U303" i="32"/>
  <c r="Z302" i="32" s="1"/>
  <c r="AF254" i="32"/>
  <c r="AO254" i="32" s="1"/>
  <c r="Z260" i="32"/>
  <c r="AF190" i="32"/>
  <c r="AO190" i="32" s="1"/>
  <c r="AP70" i="32"/>
  <c r="AO309" i="32"/>
  <c r="AP155" i="32"/>
  <c r="U301" i="32"/>
  <c r="J18" i="45"/>
  <c r="AA221" i="32"/>
  <c r="AR220" i="32"/>
  <c r="AR221" i="32" s="1"/>
  <c r="AS136" i="39"/>
  <c r="AF100" i="39"/>
  <c r="AF72" i="39"/>
  <c r="AV128" i="39"/>
  <c r="AO56" i="39"/>
  <c r="AF56" i="39"/>
  <c r="I124" i="39"/>
  <c r="D19" i="45"/>
  <c r="AB86" i="39"/>
  <c r="AO57" i="39"/>
  <c r="AO58" i="39" s="1"/>
  <c r="AF80" i="39"/>
  <c r="AF107" i="39"/>
  <c r="AT123" i="39"/>
  <c r="AM19" i="45" s="1"/>
  <c r="AW123" i="39"/>
  <c r="AP19" i="45" s="1"/>
  <c r="AQ123" i="39"/>
  <c r="AJ19" i="45" s="1"/>
  <c r="AN199" i="42"/>
  <c r="U124" i="39"/>
  <c r="J19" i="45"/>
  <c r="AN166" i="40"/>
  <c r="I145" i="41"/>
  <c r="AP143" i="40"/>
  <c r="AF163" i="40"/>
  <c r="AT164" i="40"/>
  <c r="AM20" i="45" s="1"/>
  <c r="AN165" i="40"/>
  <c r="AE20" i="45"/>
  <c r="AW164" i="40"/>
  <c r="AP20" i="45" s="1"/>
  <c r="Z168" i="40"/>
  <c r="AT167" i="40"/>
  <c r="AW167" i="40"/>
  <c r="AO95" i="41"/>
  <c r="AT143" i="41"/>
  <c r="AM21" i="45" s="1"/>
  <c r="AR45" i="41"/>
  <c r="AA104" i="41"/>
  <c r="AR102" i="41"/>
  <c r="AR104" i="41" s="1"/>
  <c r="Z154" i="41"/>
  <c r="Z147" i="41"/>
  <c r="AA27" i="41"/>
  <c r="AU60" i="41"/>
  <c r="AW143" i="41"/>
  <c r="AP21" i="45" s="1"/>
  <c r="AN144" i="41"/>
  <c r="AE21" i="45"/>
  <c r="AO39" i="41"/>
  <c r="AO45" i="41" s="1"/>
  <c r="AL146" i="41"/>
  <c r="AN145" i="41" s="1"/>
  <c r="U143" i="41"/>
  <c r="I144" i="41"/>
  <c r="AQ197" i="42"/>
  <c r="AJ22" i="45" s="1"/>
  <c r="AF95" i="42"/>
  <c r="AO189" i="42"/>
  <c r="AB46" i="42"/>
  <c r="AS45" i="42"/>
  <c r="AB210" i="42"/>
  <c r="AV200" i="42"/>
  <c r="AU199" i="42" s="1"/>
  <c r="AF38" i="42"/>
  <c r="AF144" i="42"/>
  <c r="AO196" i="42"/>
  <c r="AO139" i="42"/>
  <c r="AF29" i="42"/>
  <c r="AO29" i="42" s="1"/>
  <c r="U198" i="42"/>
  <c r="AF166" i="42"/>
  <c r="AO166" i="42" s="1"/>
  <c r="AF85" i="42"/>
  <c r="I198" i="42"/>
  <c r="D22" i="45"/>
  <c r="U197" i="42"/>
  <c r="AW197" i="42"/>
  <c r="AP22" i="45" s="1"/>
  <c r="AP30" i="42"/>
  <c r="AA46" i="42"/>
  <c r="AR45" i="42"/>
  <c r="AA210" i="42"/>
  <c r="AO64" i="42"/>
  <c r="AO121" i="42"/>
  <c r="AF164" i="42"/>
  <c r="AO162" i="42"/>
  <c r="AO164" i="42" s="1"/>
  <c r="AB134" i="42"/>
  <c r="AS132" i="42"/>
  <c r="AS134" i="42" s="1"/>
  <c r="AF132" i="42"/>
  <c r="Z134" i="42"/>
  <c r="AO79" i="42"/>
  <c r="AO85" i="42" s="1"/>
  <c r="AN30" i="42"/>
  <c r="AN197" i="42" s="1"/>
  <c r="AG22" i="45" s="1"/>
  <c r="AF174" i="42"/>
  <c r="AO174" i="42" s="1"/>
  <c r="Z177" i="42"/>
  <c r="AN198" i="42"/>
  <c r="AA202" i="42"/>
  <c r="AR47" i="42"/>
  <c r="AA52" i="42"/>
  <c r="AF76" i="42"/>
  <c r="AO70" i="42"/>
  <c r="AO76" i="42" s="1"/>
  <c r="AF157" i="42"/>
  <c r="AO157" i="42" s="1"/>
  <c r="Z161" i="42"/>
  <c r="AF156" i="42"/>
  <c r="AA183" i="42"/>
  <c r="AR178" i="42"/>
  <c r="AR183" i="42" s="1"/>
  <c r="AO153" i="42"/>
  <c r="AO155" i="42" s="1"/>
  <c r="AT197" i="42"/>
  <c r="AM22" i="45" s="1"/>
  <c r="Z207" i="42"/>
  <c r="AF17" i="42"/>
  <c r="AU209" i="42"/>
  <c r="AU78" i="42"/>
  <c r="AU223" i="42" s="1"/>
  <c r="AF34" i="42"/>
  <c r="AO31" i="42"/>
  <c r="AO34" i="42" s="1"/>
  <c r="AA208" i="42"/>
  <c r="AR50" i="42"/>
  <c r="Z209" i="42"/>
  <c r="Z78" i="42"/>
  <c r="AF77" i="42"/>
  <c r="AB209" i="42"/>
  <c r="AB78" i="42"/>
  <c r="AS77" i="42"/>
  <c r="AF121" i="42"/>
  <c r="I200" i="42"/>
  <c r="AA201" i="42"/>
  <c r="AA18" i="42"/>
  <c r="AR12" i="42"/>
  <c r="AB26" i="42"/>
  <c r="AS23" i="42"/>
  <c r="AS26" i="42" s="1"/>
  <c r="AF23" i="42"/>
  <c r="Z26" i="42"/>
  <c r="AR28" i="42"/>
  <c r="AR30" i="42" s="1"/>
  <c r="AA30" i="42"/>
  <c r="AB203" i="42"/>
  <c r="AS14" i="42"/>
  <c r="AS203" i="42" s="1"/>
  <c r="AP202" i="42"/>
  <c r="AP52" i="42"/>
  <c r="AU201" i="42"/>
  <c r="AU18" i="42"/>
  <c r="AB183" i="42"/>
  <c r="AS178" i="42"/>
  <c r="AS183" i="42" s="1"/>
  <c r="AA207" i="42"/>
  <c r="AR17" i="42"/>
  <c r="AA22" i="42"/>
  <c r="AR19" i="42"/>
  <c r="AR22" i="42" s="1"/>
  <c r="AA203" i="42"/>
  <c r="AR14" i="42"/>
  <c r="AR203" i="42" s="1"/>
  <c r="AF89" i="42"/>
  <c r="AA177" i="42"/>
  <c r="AR174" i="42"/>
  <c r="AR177" i="42" s="1"/>
  <c r="AS166" i="42"/>
  <c r="AS170" i="42" s="1"/>
  <c r="AB170" i="42"/>
  <c r="AF137" i="42"/>
  <c r="AB52" i="42"/>
  <c r="AB202" i="42"/>
  <c r="AS47" i="42"/>
  <c r="AN201" i="42"/>
  <c r="AN200" i="42" s="1"/>
  <c r="AO35" i="42"/>
  <c r="AO38" i="42" s="1"/>
  <c r="AB112" i="42"/>
  <c r="AF105" i="42"/>
  <c r="AO100" i="42"/>
  <c r="AO105" i="42" s="1"/>
  <c r="AA161" i="42"/>
  <c r="AR156" i="42"/>
  <c r="AR161" i="42" s="1"/>
  <c r="AP161" i="42"/>
  <c r="AF177" i="42"/>
  <c r="AO171" i="42"/>
  <c r="AA170" i="42"/>
  <c r="AF196" i="42"/>
  <c r="AS177" i="42"/>
  <c r="Z183" i="42"/>
  <c r="AF178" i="42"/>
  <c r="AP207" i="42"/>
  <c r="AF19" i="42"/>
  <c r="Z22" i="42"/>
  <c r="AT200" i="42"/>
  <c r="AF41" i="42"/>
  <c r="AO39" i="42"/>
  <c r="AO41" i="42" s="1"/>
  <c r="AR112" i="42"/>
  <c r="AA134" i="42"/>
  <c r="AR132" i="42"/>
  <c r="AR134" i="42" s="1"/>
  <c r="AP208" i="42"/>
  <c r="AA209" i="42"/>
  <c r="AA78" i="42"/>
  <c r="AR77" i="42"/>
  <c r="AF54" i="42"/>
  <c r="AO54" i="42" s="1"/>
  <c r="AU197" i="42"/>
  <c r="AN22" i="45" s="1"/>
  <c r="AB201" i="42"/>
  <c r="AB18" i="42"/>
  <c r="AS12" i="42"/>
  <c r="Z201" i="42"/>
  <c r="AF12" i="42"/>
  <c r="Z18" i="42"/>
  <c r="AS28" i="42"/>
  <c r="AS30" i="42" s="1"/>
  <c r="AB30" i="42"/>
  <c r="AF152" i="42"/>
  <c r="AO148" i="42"/>
  <c r="AO152" i="42" s="1"/>
  <c r="AO131" i="42"/>
  <c r="AV197" i="42"/>
  <c r="Z30" i="42"/>
  <c r="AB208" i="42"/>
  <c r="AS50" i="42"/>
  <c r="AF69" i="42"/>
  <c r="AO65" i="42"/>
  <c r="AO69" i="42" s="1"/>
  <c r="AP209" i="42"/>
  <c r="AP78" i="42"/>
  <c r="AS54" i="42"/>
  <c r="AS58" i="42" s="1"/>
  <c r="AB58" i="42"/>
  <c r="Z170" i="42"/>
  <c r="AO115" i="42"/>
  <c r="AA26" i="42"/>
  <c r="AR23" i="42"/>
  <c r="AR26" i="42" s="1"/>
  <c r="Z203" i="42"/>
  <c r="AF14" i="42"/>
  <c r="AF189" i="42"/>
  <c r="AF64" i="42"/>
  <c r="AF131" i="42"/>
  <c r="AU202" i="42"/>
  <c r="Z202" i="42"/>
  <c r="Z52" i="42"/>
  <c r="AF47" i="42"/>
  <c r="AO53" i="42"/>
  <c r="AB161" i="42"/>
  <c r="AS156" i="42"/>
  <c r="I197" i="42"/>
  <c r="B22" i="45" s="1"/>
  <c r="AF108" i="42"/>
  <c r="AO108" i="42" s="1"/>
  <c r="AO112" i="42" s="1"/>
  <c r="AB177" i="42"/>
  <c r="AB207" i="42"/>
  <c r="AS17" i="42"/>
  <c r="AS207" i="42" s="1"/>
  <c r="AQ200" i="42"/>
  <c r="AB22" i="42"/>
  <c r="AS19" i="42"/>
  <c r="AS22" i="42" s="1"/>
  <c r="AF115" i="42"/>
  <c r="AO27" i="42"/>
  <c r="AO90" i="42"/>
  <c r="AO95" i="42" s="1"/>
  <c r="AA112" i="42"/>
  <c r="Z208" i="42"/>
  <c r="AF50" i="42"/>
  <c r="AA204" i="42"/>
  <c r="AO165" i="42"/>
  <c r="AO170" i="42" s="1"/>
  <c r="AP201" i="42"/>
  <c r="AP18" i="42"/>
  <c r="U200" i="42"/>
  <c r="Z199" i="42" s="1"/>
  <c r="AF210" i="42"/>
  <c r="AF46" i="42"/>
  <c r="AO45" i="42"/>
  <c r="AF28" i="42"/>
  <c r="AO28" i="42" s="1"/>
  <c r="AB204" i="42"/>
  <c r="AF60" i="41"/>
  <c r="AO53" i="41"/>
  <c r="AO60" i="41" s="1"/>
  <c r="AO19" i="41"/>
  <c r="AP156" i="41"/>
  <c r="AP97" i="41"/>
  <c r="AV148" i="41"/>
  <c r="AV146" i="41" s="1"/>
  <c r="AV21" i="41"/>
  <c r="AF135" i="41"/>
  <c r="AA150" i="41"/>
  <c r="AA38" i="41"/>
  <c r="AR33" i="41"/>
  <c r="Z150" i="41"/>
  <c r="Z38" i="41"/>
  <c r="AF33" i="41"/>
  <c r="AS82" i="41"/>
  <c r="AS85" i="41" s="1"/>
  <c r="AB85" i="41"/>
  <c r="Z153" i="41"/>
  <c r="AF15" i="41"/>
  <c r="Z16" i="41"/>
  <c r="AP155" i="41"/>
  <c r="AP29" i="41"/>
  <c r="AB52" i="41"/>
  <c r="AS46" i="41"/>
  <c r="AS52" i="41" s="1"/>
  <c r="AP150" i="41"/>
  <c r="AP38" i="41"/>
  <c r="AO30" i="41"/>
  <c r="AO32" i="41" s="1"/>
  <c r="I143" i="41"/>
  <c r="B21" i="45" s="1"/>
  <c r="AR148" i="41"/>
  <c r="AR21" i="41"/>
  <c r="AB147" i="41"/>
  <c r="AT146" i="41"/>
  <c r="AF46" i="41"/>
  <c r="Z52" i="41"/>
  <c r="AA85" i="41"/>
  <c r="AR82" i="41"/>
  <c r="AR85" i="41" s="1"/>
  <c r="AF95" i="41"/>
  <c r="AU150" i="41"/>
  <c r="AU38" i="41"/>
  <c r="AP147" i="41"/>
  <c r="AU147" i="41"/>
  <c r="AU16" i="41"/>
  <c r="AS154" i="41"/>
  <c r="AB27" i="41"/>
  <c r="AA156" i="41"/>
  <c r="AA97" i="41"/>
  <c r="AR96" i="41"/>
  <c r="Z156" i="41"/>
  <c r="AF96" i="41"/>
  <c r="Z97" i="41"/>
  <c r="AF142" i="41"/>
  <c r="AF126" i="41"/>
  <c r="AB150" i="41"/>
  <c r="AB38" i="41"/>
  <c r="AS33" i="41"/>
  <c r="AP248" i="41"/>
  <c r="AP153" i="41"/>
  <c r="AN60" i="41"/>
  <c r="Z155" i="41"/>
  <c r="Z29" i="41"/>
  <c r="AF28" i="41"/>
  <c r="AB155" i="41"/>
  <c r="AB29" i="41"/>
  <c r="AS28" i="41"/>
  <c r="AF111" i="41"/>
  <c r="AF24" i="41"/>
  <c r="AO24" i="41" s="1"/>
  <c r="AO27" i="41" s="1"/>
  <c r="AP154" i="41"/>
  <c r="AF104" i="41"/>
  <c r="AO102" i="41"/>
  <c r="AO104" i="41" s="1"/>
  <c r="AO111" i="41"/>
  <c r="AO67" i="41"/>
  <c r="AO142" i="41"/>
  <c r="AF16" i="41"/>
  <c r="AF148" i="41"/>
  <c r="AF21" i="41"/>
  <c r="AO17" i="41"/>
  <c r="AW146" i="41"/>
  <c r="AT248" i="41"/>
  <c r="AO89" i="41"/>
  <c r="AA63" i="41"/>
  <c r="AR61" i="41"/>
  <c r="AR63" i="41" s="1"/>
  <c r="Z85" i="41"/>
  <c r="AF82" i="41"/>
  <c r="U146" i="41"/>
  <c r="Z145" i="41" s="1"/>
  <c r="AS148" i="41"/>
  <c r="AS21" i="41"/>
  <c r="AF81" i="41"/>
  <c r="AO75" i="41"/>
  <c r="AO81" i="41" s="1"/>
  <c r="AA130" i="41"/>
  <c r="AR127" i="41"/>
  <c r="AR130" i="41" s="1"/>
  <c r="AA153" i="41"/>
  <c r="AR15" i="41"/>
  <c r="AA52" i="41"/>
  <c r="AR46" i="41"/>
  <c r="AF61" i="41"/>
  <c r="Z63" i="41"/>
  <c r="AS61" i="41"/>
  <c r="AS63" i="41" s="1"/>
  <c r="AB63" i="41"/>
  <c r="AF74" i="41"/>
  <c r="AO135" i="41"/>
  <c r="AA147" i="41"/>
  <c r="AF67" i="41"/>
  <c r="AB156" i="41"/>
  <c r="AB97" i="41"/>
  <c r="AS96" i="41"/>
  <c r="AO98" i="41"/>
  <c r="AO101" i="41" s="1"/>
  <c r="AN21" i="41"/>
  <c r="AN148" i="41"/>
  <c r="AN146" i="41" s="1"/>
  <c r="AU18" i="41"/>
  <c r="AF127" i="41"/>
  <c r="Z130" i="41"/>
  <c r="AB130" i="41"/>
  <c r="AS127" i="41"/>
  <c r="AS130" i="41" s="1"/>
  <c r="AQ146" i="41"/>
  <c r="AB153" i="41"/>
  <c r="AS15" i="41"/>
  <c r="AA155" i="41"/>
  <c r="AA29" i="41"/>
  <c r="AR28" i="41"/>
  <c r="AO68" i="41"/>
  <c r="AO74" i="41" s="1"/>
  <c r="AO126" i="41"/>
  <c r="I146" i="41"/>
  <c r="AF89" i="41"/>
  <c r="AO126" i="40"/>
  <c r="AA176" i="40"/>
  <c r="AA53" i="40"/>
  <c r="AR52" i="40"/>
  <c r="Z176" i="40"/>
  <c r="AF52" i="40"/>
  <c r="Z53" i="40"/>
  <c r="Z171" i="40"/>
  <c r="AF55" i="40"/>
  <c r="AF59" i="40" s="1"/>
  <c r="AO96" i="40"/>
  <c r="Z100" i="40"/>
  <c r="AF97" i="40"/>
  <c r="AO118" i="40"/>
  <c r="AO123" i="40" s="1"/>
  <c r="AA143" i="40"/>
  <c r="AR137" i="40"/>
  <c r="AR143" i="40" s="1"/>
  <c r="AS137" i="40"/>
  <c r="AS143" i="40" s="1"/>
  <c r="AB143" i="40"/>
  <c r="Z172" i="40"/>
  <c r="AF28" i="40"/>
  <c r="AF90" i="40"/>
  <c r="AO88" i="40"/>
  <c r="AO90" i="40" s="1"/>
  <c r="AO87" i="40"/>
  <c r="AF109" i="40"/>
  <c r="Z113" i="40"/>
  <c r="AU170" i="40"/>
  <c r="AU38" i="40"/>
  <c r="AA66" i="40"/>
  <c r="AR60" i="40"/>
  <c r="AR66" i="40" s="1"/>
  <c r="AU171" i="40"/>
  <c r="AA169" i="40"/>
  <c r="AA32" i="40"/>
  <c r="AR26" i="40"/>
  <c r="AF80" i="40"/>
  <c r="AO74" i="40"/>
  <c r="AO80" i="40" s="1"/>
  <c r="AF19" i="40"/>
  <c r="AO16" i="40"/>
  <c r="AO19" i="40" s="1"/>
  <c r="AR174" i="40"/>
  <c r="AB73" i="40"/>
  <c r="AS67" i="40"/>
  <c r="AS73" i="40" s="1"/>
  <c r="AF129" i="40"/>
  <c r="AO151" i="40"/>
  <c r="AO153" i="40" s="1"/>
  <c r="AF23" i="40"/>
  <c r="AQ167" i="40"/>
  <c r="AB117" i="40"/>
  <c r="AS114" i="40"/>
  <c r="AS117" i="40" s="1"/>
  <c r="AP176" i="40"/>
  <c r="AP53" i="40"/>
  <c r="Z177" i="40"/>
  <c r="Z25" i="40"/>
  <c r="AF24" i="40"/>
  <c r="AB177" i="40"/>
  <c r="AB25" i="40"/>
  <c r="AS24" i="40"/>
  <c r="AF170" i="40"/>
  <c r="AF38" i="40"/>
  <c r="AA172" i="40"/>
  <c r="AR28" i="40"/>
  <c r="AR172" i="40" s="1"/>
  <c r="AA106" i="40"/>
  <c r="AR101" i="40"/>
  <c r="AR106" i="40" s="1"/>
  <c r="AF101" i="40"/>
  <c r="Z106" i="40"/>
  <c r="AF136" i="40"/>
  <c r="AF154" i="40"/>
  <c r="Z159" i="40"/>
  <c r="AS15" i="40"/>
  <c r="Z175" i="40"/>
  <c r="AF30" i="40"/>
  <c r="AF139" i="40"/>
  <c r="AO139" i="40" s="1"/>
  <c r="AA177" i="40"/>
  <c r="AA25" i="40"/>
  <c r="AR24" i="40"/>
  <c r="AR15" i="40"/>
  <c r="AF96" i="40"/>
  <c r="AO130" i="40"/>
  <c r="AO136" i="40" s="1"/>
  <c r="AO160" i="40"/>
  <c r="AO163" i="40" s="1"/>
  <c r="AU168" i="40"/>
  <c r="Z66" i="40"/>
  <c r="AF60" i="40"/>
  <c r="AV169" i="40"/>
  <c r="AV167" i="40" s="1"/>
  <c r="AV32" i="40"/>
  <c r="AV164" i="40" s="1"/>
  <c r="AO150" i="40"/>
  <c r="AB159" i="40"/>
  <c r="AS154" i="40"/>
  <c r="AS159" i="40" s="1"/>
  <c r="AF174" i="40"/>
  <c r="AU177" i="40"/>
  <c r="AO54" i="40"/>
  <c r="AF15" i="40"/>
  <c r="AF87" i="40"/>
  <c r="AR170" i="40"/>
  <c r="AR38" i="40"/>
  <c r="AU176" i="40"/>
  <c r="AU53" i="40"/>
  <c r="AA171" i="40"/>
  <c r="AR55" i="40"/>
  <c r="AR171" i="40" s="1"/>
  <c r="AB175" i="40"/>
  <c r="AS30" i="40"/>
  <c r="AS175" i="40" s="1"/>
  <c r="AA100" i="40"/>
  <c r="AR97" i="40"/>
  <c r="AR100" i="40" s="1"/>
  <c r="Z143" i="40"/>
  <c r="AF137" i="40"/>
  <c r="AF126" i="40"/>
  <c r="AR109" i="40"/>
  <c r="AR113" i="40" s="1"/>
  <c r="AA113" i="40"/>
  <c r="I164" i="40"/>
  <c r="B20" i="45" s="1"/>
  <c r="AO15" i="40"/>
  <c r="AA59" i="40"/>
  <c r="AB44" i="40"/>
  <c r="AS39" i="40"/>
  <c r="AS44" i="40" s="1"/>
  <c r="AF51" i="40"/>
  <c r="AO45" i="40"/>
  <c r="AO51" i="40" s="1"/>
  <c r="AP169" i="40"/>
  <c r="AP32" i="40"/>
  <c r="AB176" i="40"/>
  <c r="AB53" i="40"/>
  <c r="AS52" i="40"/>
  <c r="AB171" i="40"/>
  <c r="AS55" i="40"/>
  <c r="AS171" i="40" s="1"/>
  <c r="U167" i="40"/>
  <c r="Z166" i="40" s="1"/>
  <c r="AA175" i="40"/>
  <c r="AR30" i="40"/>
  <c r="AR175" i="40" s="1"/>
  <c r="AB100" i="40"/>
  <c r="AS97" i="40"/>
  <c r="AS100" i="40" s="1"/>
  <c r="AP59" i="40"/>
  <c r="AP177" i="40"/>
  <c r="AP25" i="40"/>
  <c r="AO174" i="40"/>
  <c r="AA168" i="40"/>
  <c r="AB172" i="40"/>
  <c r="AS28" i="40"/>
  <c r="AS172" i="40" s="1"/>
  <c r="AB113" i="40"/>
  <c r="AS109" i="40"/>
  <c r="AS113" i="40" s="1"/>
  <c r="I167" i="40"/>
  <c r="AO33" i="40"/>
  <c r="AA44" i="40"/>
  <c r="AR39" i="40"/>
  <c r="AR44" i="40" s="1"/>
  <c r="Z44" i="40"/>
  <c r="AF39" i="40"/>
  <c r="AB66" i="40"/>
  <c r="AS60" i="40"/>
  <c r="AS66" i="40" s="1"/>
  <c r="AN169" i="40"/>
  <c r="AN167" i="40" s="1"/>
  <c r="AN32" i="40"/>
  <c r="AN164" i="40" s="1"/>
  <c r="AG20" i="45" s="1"/>
  <c r="AU27" i="40"/>
  <c r="Z169" i="40"/>
  <c r="Z32" i="40"/>
  <c r="AF26" i="40"/>
  <c r="AB169" i="40"/>
  <c r="AB32" i="40"/>
  <c r="AS26" i="40"/>
  <c r="AF108" i="40"/>
  <c r="AO107" i="40"/>
  <c r="AO108" i="40" s="1"/>
  <c r="AB106" i="40"/>
  <c r="AS101" i="40"/>
  <c r="AS106" i="40" s="1"/>
  <c r="AA159" i="40"/>
  <c r="AR154" i="40"/>
  <c r="AR159" i="40" s="1"/>
  <c r="U164" i="40"/>
  <c r="Z59" i="40"/>
  <c r="AP168" i="40"/>
  <c r="AA73" i="40"/>
  <c r="AR67" i="40"/>
  <c r="AR73" i="40" s="1"/>
  <c r="AF67" i="40"/>
  <c r="Z73" i="40"/>
  <c r="AO129" i="40"/>
  <c r="AA117" i="40"/>
  <c r="AR114" i="40"/>
  <c r="AR117" i="40" s="1"/>
  <c r="Z117" i="40"/>
  <c r="AF114" i="40"/>
  <c r="I125" i="39"/>
  <c r="AO128" i="39"/>
  <c r="AO24" i="39"/>
  <c r="Z133" i="39"/>
  <c r="AF17" i="39"/>
  <c r="AP130" i="39"/>
  <c r="AP30" i="39"/>
  <c r="AF65" i="39"/>
  <c r="I123" i="39"/>
  <c r="B19" i="45" s="1"/>
  <c r="AV123" i="39"/>
  <c r="Z127" i="39"/>
  <c r="AF14" i="39"/>
  <c r="Z18" i="39"/>
  <c r="AU129" i="39"/>
  <c r="AU42" i="39"/>
  <c r="AA133" i="39"/>
  <c r="AR17" i="39"/>
  <c r="AR133" i="39" s="1"/>
  <c r="AB130" i="39"/>
  <c r="AB30" i="39"/>
  <c r="AS25" i="39"/>
  <c r="AU130" i="39"/>
  <c r="AU30" i="39"/>
  <c r="AN72" i="39"/>
  <c r="Z79" i="39"/>
  <c r="AF73" i="39"/>
  <c r="AF79" i="39" s="1"/>
  <c r="AW126" i="39"/>
  <c r="AO94" i="39"/>
  <c r="AO100" i="39" s="1"/>
  <c r="AB122" i="39"/>
  <c r="AS118" i="39"/>
  <c r="AS122" i="39" s="1"/>
  <c r="AO66" i="39"/>
  <c r="AO72" i="39" s="1"/>
  <c r="AP129" i="39"/>
  <c r="AP42" i="39"/>
  <c r="AF36" i="39"/>
  <c r="Z114" i="39"/>
  <c r="AF108" i="39"/>
  <c r="AA117" i="39"/>
  <c r="AR115" i="39"/>
  <c r="AR117" i="39" s="1"/>
  <c r="AF115" i="39"/>
  <c r="Z117" i="39"/>
  <c r="AF128" i="39"/>
  <c r="AF24" i="39"/>
  <c r="AU127" i="39"/>
  <c r="AU18" i="39"/>
  <c r="AU72" i="39"/>
  <c r="AA129" i="39"/>
  <c r="AA42" i="39"/>
  <c r="AR37" i="39"/>
  <c r="AR136" i="39"/>
  <c r="AR13" i="39"/>
  <c r="AA127" i="39"/>
  <c r="AR14" i="39"/>
  <c r="AA18" i="39"/>
  <c r="U126" i="39"/>
  <c r="Z125" i="39" s="1"/>
  <c r="AN124" i="39"/>
  <c r="AO36" i="39"/>
  <c r="AU36" i="39"/>
  <c r="AA79" i="39"/>
  <c r="AR73" i="39"/>
  <c r="AR79" i="39" s="1"/>
  <c r="AO101" i="39"/>
  <c r="AO107" i="39" s="1"/>
  <c r="Z122" i="39"/>
  <c r="AF118" i="39"/>
  <c r="U123" i="39"/>
  <c r="AS128" i="39"/>
  <c r="AS135" i="39"/>
  <c r="AS44" i="39"/>
  <c r="AU24" i="39"/>
  <c r="AB114" i="39"/>
  <c r="AS108" i="39"/>
  <c r="AS114" i="39" s="1"/>
  <c r="AB117" i="39"/>
  <c r="AS115" i="39"/>
  <c r="AS117" i="39" s="1"/>
  <c r="AB127" i="39"/>
  <c r="AB18" i="39"/>
  <c r="AS14" i="39"/>
  <c r="AA122" i="39"/>
  <c r="AR118" i="39"/>
  <c r="AR122" i="39" s="1"/>
  <c r="Z129" i="39"/>
  <c r="AF37" i="39"/>
  <c r="Z42" i="39"/>
  <c r="AO134" i="39"/>
  <c r="I126" i="39"/>
  <c r="AF134" i="39"/>
  <c r="AF135" i="39"/>
  <c r="AF44" i="39"/>
  <c r="AO136" i="39"/>
  <c r="AO13" i="39"/>
  <c r="AQ126" i="39"/>
  <c r="AP127" i="39"/>
  <c r="AP18" i="39"/>
  <c r="AN36" i="39"/>
  <c r="AB133" i="39"/>
  <c r="AS17" i="39"/>
  <c r="AS133" i="39" s="1"/>
  <c r="AA130" i="39"/>
  <c r="AR25" i="39"/>
  <c r="AA30" i="39"/>
  <c r="Z130" i="39"/>
  <c r="Z30" i="39"/>
  <c r="AF25" i="39"/>
  <c r="AN130" i="39"/>
  <c r="AN126" i="39" s="1"/>
  <c r="AF50" i="39"/>
  <c r="AO47" i="39"/>
  <c r="AO50" i="39" s="1"/>
  <c r="AO59" i="39"/>
  <c r="AO65" i="39" s="1"/>
  <c r="AB129" i="39"/>
  <c r="AB42" i="39"/>
  <c r="AS37" i="39"/>
  <c r="AF93" i="39"/>
  <c r="AO87" i="39"/>
  <c r="AO93" i="39" s="1"/>
  <c r="AU128" i="39"/>
  <c r="AO43" i="39"/>
  <c r="AA114" i="39"/>
  <c r="AR108" i="39"/>
  <c r="AR114" i="39" s="1"/>
  <c r="AU135" i="39"/>
  <c r="AR19" i="32"/>
  <c r="AA22" i="32"/>
  <c r="AF313" i="32"/>
  <c r="AF13" i="32"/>
  <c r="AU304" i="32"/>
  <c r="AU17" i="32"/>
  <c r="AB31" i="32"/>
  <c r="AS28" i="32"/>
  <c r="AS31" i="32" s="1"/>
  <c r="AF65" i="32"/>
  <c r="AO65" i="32" s="1"/>
  <c r="Z225" i="32"/>
  <c r="AF222" i="32"/>
  <c r="AS242" i="32"/>
  <c r="AS243" i="32" s="1"/>
  <c r="AB243" i="32"/>
  <c r="AF264" i="32"/>
  <c r="Z269" i="32"/>
  <c r="AB95" i="32"/>
  <c r="AS90" i="32"/>
  <c r="AS95" i="32" s="1"/>
  <c r="I300" i="32"/>
  <c r="B18" i="45" s="1"/>
  <c r="AS152" i="32"/>
  <c r="AB155" i="32"/>
  <c r="AB310" i="32"/>
  <c r="AS16" i="32"/>
  <c r="AF51" i="32"/>
  <c r="Z56" i="32"/>
  <c r="AS22" i="32"/>
  <c r="AT303" i="32"/>
  <c r="AO32" i="32"/>
  <c r="AO34" i="32" s="1"/>
  <c r="AB63" i="32"/>
  <c r="AS57" i="32"/>
  <c r="AS63" i="32" s="1"/>
  <c r="AP307" i="32"/>
  <c r="AF284" i="32"/>
  <c r="Z290" i="32"/>
  <c r="AF263" i="32"/>
  <c r="AO261" i="32"/>
  <c r="AO263" i="32" s="1"/>
  <c r="AF184" i="32"/>
  <c r="Z186" i="32"/>
  <c r="AB118" i="32"/>
  <c r="AS112" i="32"/>
  <c r="AF169" i="32"/>
  <c r="AO163" i="32"/>
  <c r="AO169" i="32" s="1"/>
  <c r="AA312" i="32"/>
  <c r="AA107" i="32"/>
  <c r="AR106" i="32"/>
  <c r="AF43" i="32"/>
  <c r="AO42" i="32"/>
  <c r="AO43" i="32" s="1"/>
  <c r="AB304" i="32"/>
  <c r="AF182" i="32"/>
  <c r="AO177" i="32"/>
  <c r="AO182" i="32" s="1"/>
  <c r="AP22" i="32"/>
  <c r="AF27" i="32"/>
  <c r="AN63" i="32"/>
  <c r="Z70" i="32"/>
  <c r="Z276" i="32"/>
  <c r="AF270" i="32"/>
  <c r="AB276" i="32"/>
  <c r="AS270" i="32"/>
  <c r="AS276" i="32" s="1"/>
  <c r="AF122" i="32"/>
  <c r="AO119" i="32"/>
  <c r="AO122" i="32" s="1"/>
  <c r="AA128" i="32"/>
  <c r="AR123" i="32"/>
  <c r="AR128" i="32" s="1"/>
  <c r="AA304" i="32"/>
  <c r="AF19" i="32"/>
  <c r="AO19" i="32" s="1"/>
  <c r="AO22" i="32" s="1"/>
  <c r="Z31" i="32"/>
  <c r="AF28" i="32"/>
  <c r="AA37" i="32"/>
  <c r="AR35" i="32"/>
  <c r="AR37" i="32" s="1"/>
  <c r="AB37" i="32"/>
  <c r="AS35" i="32"/>
  <c r="AS37" i="32" s="1"/>
  <c r="AF242" i="32"/>
  <c r="AO242" i="32" s="1"/>
  <c r="Z219" i="32"/>
  <c r="AF213" i="32"/>
  <c r="AA269" i="32"/>
  <c r="AR264" i="32"/>
  <c r="AR269" i="32" s="1"/>
  <c r="AO108" i="32"/>
  <c r="AO111" i="32" s="1"/>
  <c r="AW300" i="32"/>
  <c r="AP18" i="45" s="1"/>
  <c r="AF76" i="32"/>
  <c r="AO71" i="32"/>
  <c r="AO76" i="32" s="1"/>
  <c r="AR243" i="32"/>
  <c r="AP310" i="32"/>
  <c r="AB56" i="32"/>
  <c r="AS51" i="32"/>
  <c r="AB22" i="32"/>
  <c r="AF142" i="32"/>
  <c r="AO136" i="32"/>
  <c r="AO142" i="32" s="1"/>
  <c r="AF105" i="32"/>
  <c r="Z307" i="32"/>
  <c r="AF113" i="32"/>
  <c r="AR129" i="32"/>
  <c r="AR135" i="32" s="1"/>
  <c r="AA135" i="32"/>
  <c r="AF129" i="32"/>
  <c r="Z135" i="32"/>
  <c r="AF243" i="32"/>
  <c r="AB290" i="32"/>
  <c r="AS284" i="32"/>
  <c r="AS290" i="32" s="1"/>
  <c r="AO297" i="32"/>
  <c r="AR184" i="32"/>
  <c r="AR186" i="32" s="1"/>
  <c r="AA186" i="32"/>
  <c r="AP118" i="32"/>
  <c r="AP312" i="32"/>
  <c r="AP107" i="32"/>
  <c r="AU105" i="32"/>
  <c r="AP17" i="32"/>
  <c r="AO44" i="32"/>
  <c r="AO50" i="32" s="1"/>
  <c r="AF253" i="32"/>
  <c r="AO251" i="32"/>
  <c r="AO253" i="32" s="1"/>
  <c r="AF297" i="32"/>
  <c r="AU313" i="32"/>
  <c r="AU13" i="32"/>
  <c r="AF193" i="32"/>
  <c r="AO187" i="32"/>
  <c r="AO193" i="32" s="1"/>
  <c r="AA225" i="32"/>
  <c r="AR222" i="32"/>
  <c r="AR225" i="32" s="1"/>
  <c r="AB219" i="32"/>
  <c r="AS213" i="32"/>
  <c r="AS219" i="32" s="1"/>
  <c r="AB269" i="32"/>
  <c r="AS264" i="32"/>
  <c r="AS269" i="32" s="1"/>
  <c r="AF221" i="32"/>
  <c r="AO220" i="32"/>
  <c r="AO221" i="32" s="1"/>
  <c r="AQ303" i="32"/>
  <c r="Z305" i="32"/>
  <c r="AF66" i="32"/>
  <c r="AO66" i="32" s="1"/>
  <c r="AF144" i="32"/>
  <c r="AO143" i="32"/>
  <c r="AO144" i="32" s="1"/>
  <c r="AA212" i="32"/>
  <c r="AR204" i="32"/>
  <c r="AR212" i="32" s="1"/>
  <c r="AF204" i="32"/>
  <c r="Z212" i="32"/>
  <c r="AA243" i="32"/>
  <c r="AR313" i="32"/>
  <c r="AR13" i="32"/>
  <c r="AB305" i="32"/>
  <c r="AF152" i="32"/>
  <c r="AO152" i="32" s="1"/>
  <c r="AO311" i="32" s="1"/>
  <c r="AA310" i="32"/>
  <c r="AR16" i="32"/>
  <c r="Z22" i="32"/>
  <c r="AR50" i="32"/>
  <c r="AQ300" i="32"/>
  <c r="AJ18" i="45" s="1"/>
  <c r="I303" i="32"/>
  <c r="AA70" i="32"/>
  <c r="AA307" i="32"/>
  <c r="AR113" i="32"/>
  <c r="AR307" i="32" s="1"/>
  <c r="AB135" i="32"/>
  <c r="AS129" i="32"/>
  <c r="AS135" i="32" s="1"/>
  <c r="Z243" i="32"/>
  <c r="AA290" i="32"/>
  <c r="AR284" i="32"/>
  <c r="AR290" i="32" s="1"/>
  <c r="AF283" i="32"/>
  <c r="AB186" i="32"/>
  <c r="AS184" i="32"/>
  <c r="AS186" i="32" s="1"/>
  <c r="AS105" i="32"/>
  <c r="AF112" i="32"/>
  <c r="Z118" i="32"/>
  <c r="AF89" i="32"/>
  <c r="AO84" i="32"/>
  <c r="AO89" i="32" s="1"/>
  <c r="AR155" i="32"/>
  <c r="AU310" i="32"/>
  <c r="AO97" i="32"/>
  <c r="AO306" i="32" s="1"/>
  <c r="AF83" i="32"/>
  <c r="AO77" i="32"/>
  <c r="AO83" i="32" s="1"/>
  <c r="AF29" i="32"/>
  <c r="AO29" i="32" s="1"/>
  <c r="AO96" i="32"/>
  <c r="AO105" i="32" s="1"/>
  <c r="AF250" i="32"/>
  <c r="AO277" i="32"/>
  <c r="AO283" i="32" s="1"/>
  <c r="AO240" i="32"/>
  <c r="AO243" i="32" s="1"/>
  <c r="AR270" i="32"/>
  <c r="AR276" i="32" s="1"/>
  <c r="AA276" i="32"/>
  <c r="AF123" i="32"/>
  <c r="Z128" i="32"/>
  <c r="AF41" i="32"/>
  <c r="AO38" i="32"/>
  <c r="AO41" i="32" s="1"/>
  <c r="AU50" i="32"/>
  <c r="AA31" i="32"/>
  <c r="AR28" i="32"/>
  <c r="AR31" i="32" s="1"/>
  <c r="Z37" i="32"/>
  <c r="AF35" i="32"/>
  <c r="AA305" i="32"/>
  <c r="AS65" i="32"/>
  <c r="AS70" i="32" s="1"/>
  <c r="AB70" i="32"/>
  <c r="AF309" i="32"/>
  <c r="AO197" i="32"/>
  <c r="AF162" i="32"/>
  <c r="AO156" i="32"/>
  <c r="AO162" i="32" s="1"/>
  <c r="AB225" i="32"/>
  <c r="AS222" i="32"/>
  <c r="AS225" i="32" s="1"/>
  <c r="AR213" i="32"/>
  <c r="AR219" i="32" s="1"/>
  <c r="AA219" i="32"/>
  <c r="AO239" i="32"/>
  <c r="AA95" i="32"/>
  <c r="AR90" i="32"/>
  <c r="AR95" i="32" s="1"/>
  <c r="Z95" i="32"/>
  <c r="AF90" i="32"/>
  <c r="AB212" i="32"/>
  <c r="AS204" i="32"/>
  <c r="AS212" i="32" s="1"/>
  <c r="AO232" i="32"/>
  <c r="AO12" i="32"/>
  <c r="AW303" i="32"/>
  <c r="Z310" i="32"/>
  <c r="AF16" i="32"/>
  <c r="AF17" i="32" s="1"/>
  <c r="AA56" i="32"/>
  <c r="AR51" i="32"/>
  <c r="AR56" i="32" s="1"/>
  <c r="AA63" i="32"/>
  <c r="AR57" i="32"/>
  <c r="AR63" i="32" s="1"/>
  <c r="Z63" i="32"/>
  <c r="AF57" i="32"/>
  <c r="Z311" i="32"/>
  <c r="AB307" i="32"/>
  <c r="AS113" i="32"/>
  <c r="AF176" i="32"/>
  <c r="AF232" i="32"/>
  <c r="AF239" i="32"/>
  <c r="AR260" i="32"/>
  <c r="AA118" i="32"/>
  <c r="AR112" i="32"/>
  <c r="AO170" i="32"/>
  <c r="AO176" i="32" s="1"/>
  <c r="Z312" i="32"/>
  <c r="Z107" i="32"/>
  <c r="AF106" i="32"/>
  <c r="AB312" i="32"/>
  <c r="AS106" i="32"/>
  <c r="AB107" i="32"/>
  <c r="AB17" i="32"/>
  <c r="AA155" i="32"/>
  <c r="AU63" i="32"/>
  <c r="AR105" i="32"/>
  <c r="AO149" i="32"/>
  <c r="AB128" i="32"/>
  <c r="AS123" i="32"/>
  <c r="AS128" i="32" s="1"/>
  <c r="AU307" i="32"/>
  <c r="AB311" i="32"/>
  <c r="AF31" i="31"/>
  <c r="AF42" i="31"/>
  <c r="AW73" i="31"/>
  <c r="AP17" i="45" s="1"/>
  <c r="Z80" i="31"/>
  <c r="Z47" i="31"/>
  <c r="AF43" i="31"/>
  <c r="AP86" i="31"/>
  <c r="AP24" i="31"/>
  <c r="AF39" i="31"/>
  <c r="AF85" i="31"/>
  <c r="AR31" i="31"/>
  <c r="AT76" i="31"/>
  <c r="AU86" i="31"/>
  <c r="AU24" i="31"/>
  <c r="AS48" i="31"/>
  <c r="AS51" i="31" s="1"/>
  <c r="AB51" i="31"/>
  <c r="AO40" i="31"/>
  <c r="AO42" i="31" s="1"/>
  <c r="AF83" i="31"/>
  <c r="AU77" i="31"/>
  <c r="AW76" i="31"/>
  <c r="AO58" i="31"/>
  <c r="AO63" i="31" s="1"/>
  <c r="AF32" i="31"/>
  <c r="AF78" i="31" s="1"/>
  <c r="Z37" i="31"/>
  <c r="I73" i="31"/>
  <c r="B17" i="45" s="1"/>
  <c r="AA80" i="31"/>
  <c r="AA47" i="31"/>
  <c r="AR43" i="31"/>
  <c r="AP80" i="31"/>
  <c r="AP47" i="31"/>
  <c r="AA86" i="31"/>
  <c r="AA24" i="31"/>
  <c r="AR23" i="31"/>
  <c r="AO25" i="31"/>
  <c r="AP77" i="31"/>
  <c r="AA22" i="31"/>
  <c r="AR19" i="31"/>
  <c r="AR22" i="31" s="1"/>
  <c r="Z51" i="31"/>
  <c r="AF48" i="31"/>
  <c r="AN78" i="31"/>
  <c r="AN76" i="31" s="1"/>
  <c r="AU27" i="31"/>
  <c r="AN31" i="31"/>
  <c r="AN73" i="31" s="1"/>
  <c r="AG17" i="45" s="1"/>
  <c r="AO38" i="31"/>
  <c r="AF84" i="31"/>
  <c r="AO29" i="31"/>
  <c r="AO84" i="31" s="1"/>
  <c r="I76" i="31"/>
  <c r="AB80" i="31"/>
  <c r="AB47" i="31"/>
  <c r="AS43" i="31"/>
  <c r="Z22" i="31"/>
  <c r="AF19" i="31"/>
  <c r="AB37" i="31"/>
  <c r="AS32" i="31"/>
  <c r="AB78" i="31"/>
  <c r="AB18" i="31"/>
  <c r="AB77" i="31"/>
  <c r="AS16" i="31"/>
  <c r="AF16" i="31"/>
  <c r="Z18" i="31"/>
  <c r="Z77" i="31"/>
  <c r="AR85" i="31"/>
  <c r="AR39" i="31"/>
  <c r="AR15" i="31"/>
  <c r="AS19" i="31"/>
  <c r="AS22" i="31" s="1"/>
  <c r="AB22" i="31"/>
  <c r="AA51" i="31"/>
  <c r="AR48" i="31"/>
  <c r="AR51" i="31" s="1"/>
  <c r="AO56" i="31"/>
  <c r="AR83" i="31"/>
  <c r="AV78" i="31"/>
  <c r="AV76" i="31" s="1"/>
  <c r="AV31" i="31"/>
  <c r="AV73" i="31" s="1"/>
  <c r="AF56" i="31"/>
  <c r="AF72" i="31"/>
  <c r="AO67" i="31"/>
  <c r="AO72" i="31" s="1"/>
  <c r="AA37" i="31"/>
  <c r="AR32" i="31"/>
  <c r="AR37" i="31" s="1"/>
  <c r="AA18" i="31"/>
  <c r="AR16" i="31"/>
  <c r="AR18" i="31" s="1"/>
  <c r="AO14" i="31"/>
  <c r="AO83" i="31" s="1"/>
  <c r="Z24" i="31"/>
  <c r="Z86" i="31"/>
  <c r="AF23" i="31"/>
  <c r="AB86" i="31"/>
  <c r="AB24" i="31"/>
  <c r="AS23" i="31"/>
  <c r="AN101" i="30"/>
  <c r="AF111" i="30"/>
  <c r="AF30" i="30"/>
  <c r="AS81" i="30"/>
  <c r="AS84" i="30" s="1"/>
  <c r="AB84" i="30"/>
  <c r="Z98" i="30"/>
  <c r="AF92" i="30"/>
  <c r="I102" i="30"/>
  <c r="Z112" i="30"/>
  <c r="AF16" i="30"/>
  <c r="Z17" i="30"/>
  <c r="AR46" i="30"/>
  <c r="AR48" i="30" s="1"/>
  <c r="AA48" i="30"/>
  <c r="AR104" i="30"/>
  <c r="AF19" i="30"/>
  <c r="AO19" i="30" s="1"/>
  <c r="Z104" i="30"/>
  <c r="Z23" i="30"/>
  <c r="AU103" i="30"/>
  <c r="AU15" i="30"/>
  <c r="AA112" i="30"/>
  <c r="AA17" i="30"/>
  <c r="AR16" i="30"/>
  <c r="AS15" i="30"/>
  <c r="AN91" i="30"/>
  <c r="AA98" i="30"/>
  <c r="AR92" i="30"/>
  <c r="AR98" i="30" s="1"/>
  <c r="AA103" i="30"/>
  <c r="AB48" i="30"/>
  <c r="AS46" i="30"/>
  <c r="AS48" i="30" s="1"/>
  <c r="AO15" i="30"/>
  <c r="AF109" i="30"/>
  <c r="AT99" i="30"/>
  <c r="AM16" i="45" s="1"/>
  <c r="AO53" i="30"/>
  <c r="AA44" i="30"/>
  <c r="AR38" i="30"/>
  <c r="AP106" i="30"/>
  <c r="AP37" i="30"/>
  <c r="AO72" i="30"/>
  <c r="AO74" i="30" s="1"/>
  <c r="AU23" i="30"/>
  <c r="AS111" i="30"/>
  <c r="AS30" i="30"/>
  <c r="AO80" i="30"/>
  <c r="AO109" i="30"/>
  <c r="AA84" i="30"/>
  <c r="AR81" i="30"/>
  <c r="AR84" i="30" s="1"/>
  <c r="AB98" i="30"/>
  <c r="AS92" i="30"/>
  <c r="AS98" i="30" s="1"/>
  <c r="AF28" i="30"/>
  <c r="AO24" i="30"/>
  <c r="AO28" i="30" s="1"/>
  <c r="AF61" i="30"/>
  <c r="AQ102" i="30"/>
  <c r="AU112" i="30"/>
  <c r="AU17" i="30"/>
  <c r="AO18" i="30"/>
  <c r="AO65" i="30"/>
  <c r="AR111" i="30"/>
  <c r="AR30" i="30"/>
  <c r="Z48" i="30"/>
  <c r="AP103" i="30"/>
  <c r="AS104" i="30"/>
  <c r="Z106" i="30"/>
  <c r="AF32" i="30"/>
  <c r="AF37" i="30" s="1"/>
  <c r="AB91" i="30"/>
  <c r="AS85" i="30"/>
  <c r="AS91" i="30" s="1"/>
  <c r="AA110" i="30"/>
  <c r="AR20" i="30"/>
  <c r="AR110" i="30" s="1"/>
  <c r="AN100" i="30"/>
  <c r="AN99" i="30"/>
  <c r="AG16" i="45" s="1"/>
  <c r="AP112" i="30"/>
  <c r="AP17" i="30"/>
  <c r="U102" i="30"/>
  <c r="Z101" i="30" s="1"/>
  <c r="Z37" i="30"/>
  <c r="AF71" i="30"/>
  <c r="AF81" i="30"/>
  <c r="Z84" i="30"/>
  <c r="AO55" i="30"/>
  <c r="AO61" i="30" s="1"/>
  <c r="I99" i="30"/>
  <c r="B16" i="45" s="1"/>
  <c r="AN106" i="30"/>
  <c r="AN102" i="30" s="1"/>
  <c r="AS38" i="30"/>
  <c r="AS44" i="30" s="1"/>
  <c r="AB44" i="30"/>
  <c r="AV91" i="30"/>
  <c r="AV99" i="30" s="1"/>
  <c r="AF80" i="30"/>
  <c r="AA106" i="30"/>
  <c r="AR32" i="30"/>
  <c r="AA37" i="30"/>
  <c r="AN61" i="30"/>
  <c r="AV102" i="30"/>
  <c r="AO29" i="30"/>
  <c r="AA91" i="30"/>
  <c r="AR85" i="30"/>
  <c r="AR91" i="30" s="1"/>
  <c r="AF85" i="30"/>
  <c r="Z91" i="30"/>
  <c r="AF15" i="30"/>
  <c r="AB110" i="30"/>
  <c r="AS20" i="30"/>
  <c r="AS110" i="30" s="1"/>
  <c r="AW99" i="30"/>
  <c r="AP16" i="45" s="1"/>
  <c r="AU104" i="30"/>
  <c r="AB112" i="30"/>
  <c r="AB17" i="30"/>
  <c r="AS16" i="30"/>
  <c r="AF38" i="30"/>
  <c r="Z44" i="30"/>
  <c r="AO54" i="30"/>
  <c r="AU61" i="30"/>
  <c r="AF65" i="30"/>
  <c r="AO45" i="30"/>
  <c r="AO48" i="30" s="1"/>
  <c r="AB106" i="30"/>
  <c r="AS32" i="30"/>
  <c r="AB37" i="30"/>
  <c r="AO71" i="30"/>
  <c r="Z103" i="30"/>
  <c r="Z110" i="30"/>
  <c r="AF20" i="30"/>
  <c r="AW102" i="30"/>
  <c r="AP23" i="30"/>
  <c r="AP99" i="30" s="1"/>
  <c r="AI16" i="45" s="1"/>
  <c r="AP104" i="30"/>
  <c r="AO197" i="29"/>
  <c r="AO13" i="29"/>
  <c r="AP196" i="29"/>
  <c r="AP132" i="29"/>
  <c r="AR197" i="29"/>
  <c r="AR13" i="29"/>
  <c r="AN189" i="29"/>
  <c r="AN82" i="29"/>
  <c r="AU77" i="29"/>
  <c r="AB189" i="29"/>
  <c r="AS77" i="29"/>
  <c r="AB82" i="29"/>
  <c r="AB106" i="29"/>
  <c r="AS101" i="29"/>
  <c r="AS106" i="29" s="1"/>
  <c r="AP188" i="29"/>
  <c r="AF94" i="29"/>
  <c r="AO89" i="29"/>
  <c r="AO94" i="29" s="1"/>
  <c r="AA196" i="29"/>
  <c r="AA132" i="29"/>
  <c r="AR131" i="29"/>
  <c r="AF151" i="29"/>
  <c r="AO148" i="29"/>
  <c r="AO151" i="29" s="1"/>
  <c r="AF50" i="29"/>
  <c r="AF22" i="29"/>
  <c r="AO20" i="29"/>
  <c r="AO22" i="29" s="1"/>
  <c r="AF194" i="29"/>
  <c r="AO15" i="29"/>
  <c r="AO194" i="29" s="1"/>
  <c r="AF31" i="29"/>
  <c r="AO29" i="29"/>
  <c r="AO31" i="29" s="1"/>
  <c r="AT187" i="29"/>
  <c r="AF34" i="29"/>
  <c r="AO32" i="29"/>
  <c r="AO34" i="29" s="1"/>
  <c r="AA124" i="29"/>
  <c r="AR119" i="29"/>
  <c r="AR124" i="29" s="1"/>
  <c r="AB124" i="29"/>
  <c r="AS119" i="29"/>
  <c r="AS124" i="29" s="1"/>
  <c r="AA183" i="29"/>
  <c r="AR177" i="29"/>
  <c r="AR183" i="29" s="1"/>
  <c r="Z195" i="29"/>
  <c r="AF80" i="29"/>
  <c r="AF46" i="29"/>
  <c r="AO43" i="29"/>
  <c r="AO46" i="29" s="1"/>
  <c r="AU188" i="29"/>
  <c r="AO62" i="29"/>
  <c r="AO64" i="29" s="1"/>
  <c r="AA130" i="29"/>
  <c r="AR125" i="29"/>
  <c r="AR130" i="29" s="1"/>
  <c r="AF160" i="29"/>
  <c r="AU191" i="29"/>
  <c r="AR58" i="29"/>
  <c r="AR61" i="29" s="1"/>
  <c r="AA61" i="29"/>
  <c r="AF191" i="29"/>
  <c r="AO25" i="29"/>
  <c r="AF19" i="29"/>
  <c r="AO17" i="29"/>
  <c r="AO19" i="29" s="1"/>
  <c r="AF197" i="29"/>
  <c r="AF13" i="29"/>
  <c r="AF112" i="29"/>
  <c r="AB196" i="29"/>
  <c r="AB132" i="29"/>
  <c r="AS131" i="29"/>
  <c r="AF141" i="29"/>
  <c r="Z147" i="29"/>
  <c r="AR50" i="29"/>
  <c r="AO160" i="29"/>
  <c r="I184" i="29"/>
  <c r="B15" i="45" s="1"/>
  <c r="AB76" i="29"/>
  <c r="AS74" i="29"/>
  <c r="AS76" i="29" s="1"/>
  <c r="I187" i="29"/>
  <c r="Z188" i="29"/>
  <c r="AQ187" i="29"/>
  <c r="AV189" i="29"/>
  <c r="AV187" i="29" s="1"/>
  <c r="AV82" i="29"/>
  <c r="AV184" i="29" s="1"/>
  <c r="AO107" i="29"/>
  <c r="AO112" i="29" s="1"/>
  <c r="AA189" i="29"/>
  <c r="AA82" i="29"/>
  <c r="AR77" i="29"/>
  <c r="AO118" i="29"/>
  <c r="AO171" i="29"/>
  <c r="AO176" i="29" s="1"/>
  <c r="AF101" i="29"/>
  <c r="Z106" i="29"/>
  <c r="AO54" i="29"/>
  <c r="AO57" i="29" s="1"/>
  <c r="AR194" i="29"/>
  <c r="AO39" i="29"/>
  <c r="AO42" i="29" s="1"/>
  <c r="AF71" i="29"/>
  <c r="AO69" i="29"/>
  <c r="AO71" i="29" s="1"/>
  <c r="AF125" i="29"/>
  <c r="Z130" i="29"/>
  <c r="AS153" i="29"/>
  <c r="AS156" i="29" s="1"/>
  <c r="AB156" i="29"/>
  <c r="AO191" i="29"/>
  <c r="AN191" i="29"/>
  <c r="AO134" i="29"/>
  <c r="AO140" i="29" s="1"/>
  <c r="Z167" i="29"/>
  <c r="Z191" i="29"/>
  <c r="U187" i="29"/>
  <c r="Z186" i="29" s="1"/>
  <c r="AB130" i="29"/>
  <c r="AS125" i="29"/>
  <c r="AS130" i="29" s="1"/>
  <c r="AO170" i="29"/>
  <c r="AU167" i="29"/>
  <c r="Z61" i="29"/>
  <c r="AF58" i="29"/>
  <c r="AB61" i="29"/>
  <c r="AS58" i="29"/>
  <c r="AS61" i="29" s="1"/>
  <c r="AF38" i="29"/>
  <c r="AO35" i="29"/>
  <c r="AO38" i="29" s="1"/>
  <c r="AF167" i="29"/>
  <c r="AS16" i="29"/>
  <c r="AF119" i="29"/>
  <c r="Z124" i="29"/>
  <c r="AB183" i="29"/>
  <c r="AS177" i="29"/>
  <c r="AS183" i="29" s="1"/>
  <c r="AB195" i="29"/>
  <c r="AS80" i="29"/>
  <c r="AS195" i="29" s="1"/>
  <c r="AQ184" i="29"/>
  <c r="AJ15" i="45" s="1"/>
  <c r="AO50" i="29"/>
  <c r="Z196" i="29"/>
  <c r="AF131" i="29"/>
  <c r="Z132" i="29"/>
  <c r="AA147" i="29"/>
  <c r="AR141" i="29"/>
  <c r="AR147" i="29" s="1"/>
  <c r="AB147" i="29"/>
  <c r="AS141" i="29"/>
  <c r="AS147" i="29" s="1"/>
  <c r="U186" i="29"/>
  <c r="AW187" i="29"/>
  <c r="AF74" i="29"/>
  <c r="AO74" i="29" s="1"/>
  <c r="AO76" i="29" s="1"/>
  <c r="Z76" i="29"/>
  <c r="AF16" i="29"/>
  <c r="AO14" i="29"/>
  <c r="AS197" i="29"/>
  <c r="AS13" i="29"/>
  <c r="AR16" i="29"/>
  <c r="AO26" i="29"/>
  <c r="AO28" i="29" s="1"/>
  <c r="Z189" i="29"/>
  <c r="Z82" i="29"/>
  <c r="AF77" i="29"/>
  <c r="AP189" i="29"/>
  <c r="AP82" i="29"/>
  <c r="AF88" i="29"/>
  <c r="AO83" i="29"/>
  <c r="AO88" i="29" s="1"/>
  <c r="Z183" i="29"/>
  <c r="AF177" i="29"/>
  <c r="AA195" i="29"/>
  <c r="AR80" i="29"/>
  <c r="AR195" i="29" s="1"/>
  <c r="AA106" i="29"/>
  <c r="AR101" i="29"/>
  <c r="AR106" i="29" s="1"/>
  <c r="AF118" i="29"/>
  <c r="AF153" i="29"/>
  <c r="AO153" i="29" s="1"/>
  <c r="AO156" i="29" s="1"/>
  <c r="Z156" i="29"/>
  <c r="AR163" i="29"/>
  <c r="AA191" i="29"/>
  <c r="AA167" i="29"/>
  <c r="AN167" i="29"/>
  <c r="AF170" i="29"/>
  <c r="AF140" i="29" l="1"/>
  <c r="AF25" i="29"/>
  <c r="Z223" i="42"/>
  <c r="AB223" i="42"/>
  <c r="AA223" i="42"/>
  <c r="AO144" i="42"/>
  <c r="AP223" i="42"/>
  <c r="AA197" i="42"/>
  <c r="T22" i="45" s="1"/>
  <c r="AN248" i="41"/>
  <c r="AB248" i="41"/>
  <c r="Z248" i="41"/>
  <c r="AV143" i="41"/>
  <c r="AO21" i="45" s="1"/>
  <c r="AA248" i="41"/>
  <c r="AV126" i="39"/>
  <c r="AN300" i="32"/>
  <c r="AG18" i="45" s="1"/>
  <c r="AE18" i="45"/>
  <c r="AO260" i="32"/>
  <c r="AR78" i="31"/>
  <c r="AF48" i="30"/>
  <c r="AB102" i="30"/>
  <c r="AS23" i="30"/>
  <c r="AF103" i="30"/>
  <c r="AP184" i="29"/>
  <c r="AI15" i="45" s="1"/>
  <c r="AF188" i="29"/>
  <c r="AA184" i="29"/>
  <c r="T15" i="45" s="1"/>
  <c r="AN184" i="29"/>
  <c r="AG15" i="45" s="1"/>
  <c r="AF23" i="30"/>
  <c r="AA73" i="31"/>
  <c r="T17" i="45" s="1"/>
  <c r="AF260" i="32"/>
  <c r="AF155" i="32"/>
  <c r="AU123" i="39"/>
  <c r="AN19" i="45" s="1"/>
  <c r="AP123" i="39"/>
  <c r="AI19" i="45" s="1"/>
  <c r="AP126" i="39"/>
  <c r="AP143" i="41"/>
  <c r="AI21" i="45" s="1"/>
  <c r="AU302" i="32"/>
  <c r="AF204" i="42"/>
  <c r="AO177" i="42"/>
  <c r="AF170" i="42"/>
  <c r="AA187" i="29"/>
  <c r="AU185" i="29"/>
  <c r="AO15" i="45"/>
  <c r="AB184" i="29"/>
  <c r="U15" i="45" s="1"/>
  <c r="Z184" i="29"/>
  <c r="S15" i="45" s="1"/>
  <c r="AS188" i="29"/>
  <c r="Z185" i="29"/>
  <c r="N15" i="45"/>
  <c r="AF100" i="29"/>
  <c r="AB187" i="29"/>
  <c r="AU100" i="30"/>
  <c r="AO16" i="45"/>
  <c r="Z102" i="30"/>
  <c r="Z99" i="30"/>
  <c r="AB99" i="30"/>
  <c r="U16" i="45" s="1"/>
  <c r="AU99" i="30"/>
  <c r="AN16" i="45" s="1"/>
  <c r="AA99" i="30"/>
  <c r="T16" i="45" s="1"/>
  <c r="AR23" i="30"/>
  <c r="AU166" i="40"/>
  <c r="AA76" i="31"/>
  <c r="AU74" i="31"/>
  <c r="AO17" i="45"/>
  <c r="AP73" i="31"/>
  <c r="AI17" i="45" s="1"/>
  <c r="AR77" i="31"/>
  <c r="Z73" i="31"/>
  <c r="S17" i="45" s="1"/>
  <c r="AB73" i="31"/>
  <c r="U17" i="45" s="1"/>
  <c r="Z74" i="31"/>
  <c r="N17" i="45"/>
  <c r="AP300" i="32"/>
  <c r="AI18" i="45" s="1"/>
  <c r="Z167" i="40"/>
  <c r="N18" i="45"/>
  <c r="AF305" i="32"/>
  <c r="AP303" i="32"/>
  <c r="AS310" i="32"/>
  <c r="AR118" i="32"/>
  <c r="AA300" i="32"/>
  <c r="T18" i="45" s="1"/>
  <c r="AS13" i="32"/>
  <c r="AS313" i="32"/>
  <c r="Z303" i="32"/>
  <c r="AO70" i="32"/>
  <c r="Z300" i="32"/>
  <c r="S18" i="45" s="1"/>
  <c r="AU301" i="32"/>
  <c r="AO18" i="45"/>
  <c r="AN123" i="39"/>
  <c r="AG19" i="45" s="1"/>
  <c r="AF86" i="39"/>
  <c r="AO80" i="39"/>
  <c r="AO86" i="39" s="1"/>
  <c r="AB123" i="39"/>
  <c r="U19" i="45" s="1"/>
  <c r="Z124" i="39"/>
  <c r="N19" i="45"/>
  <c r="AU124" i="39"/>
  <c r="AO19" i="45"/>
  <c r="AP167" i="40"/>
  <c r="AA164" i="40"/>
  <c r="T20" i="45" s="1"/>
  <c r="AB164" i="40"/>
  <c r="U20" i="45" s="1"/>
  <c r="Z165" i="40"/>
  <c r="N20" i="45"/>
  <c r="AA167" i="40"/>
  <c r="AP164" i="40"/>
  <c r="AI20" i="45" s="1"/>
  <c r="AU165" i="40"/>
  <c r="AO20" i="45"/>
  <c r="AS168" i="40"/>
  <c r="AB167" i="40"/>
  <c r="Z164" i="40"/>
  <c r="S20" i="45" s="1"/>
  <c r="AB143" i="41"/>
  <c r="U21" i="45" s="1"/>
  <c r="AA146" i="41"/>
  <c r="Z146" i="41"/>
  <c r="Z144" i="41"/>
  <c r="N21" i="45"/>
  <c r="AN143" i="41"/>
  <c r="AG21" i="45" s="1"/>
  <c r="AU144" i="41"/>
  <c r="AA143" i="41"/>
  <c r="T21" i="45" s="1"/>
  <c r="AF154" i="41"/>
  <c r="AB197" i="42"/>
  <c r="U22" i="45" s="1"/>
  <c r="Z197" i="42"/>
  <c r="S22" i="45" s="1"/>
  <c r="AO58" i="42"/>
  <c r="AF58" i="42"/>
  <c r="AU198" i="42"/>
  <c r="AO22" i="45"/>
  <c r="AR210" i="42"/>
  <c r="AR46" i="42"/>
  <c r="Z198" i="42"/>
  <c r="N22" i="45"/>
  <c r="AS210" i="42"/>
  <c r="AS46" i="42"/>
  <c r="AF201" i="42"/>
  <c r="AF18" i="42"/>
  <c r="AO12" i="42"/>
  <c r="AR201" i="42"/>
  <c r="AR18" i="42"/>
  <c r="AS209" i="42"/>
  <c r="AS78" i="42"/>
  <c r="AP200" i="42"/>
  <c r="AO30" i="42"/>
  <c r="AS161" i="42"/>
  <c r="AS204" i="42"/>
  <c r="AF202" i="42"/>
  <c r="AF52" i="42"/>
  <c r="AO47" i="42"/>
  <c r="AF203" i="42"/>
  <c r="AO14" i="42"/>
  <c r="AO203" i="42" s="1"/>
  <c r="AP197" i="42"/>
  <c r="AI22" i="45" s="1"/>
  <c r="Z200" i="42"/>
  <c r="AF26" i="42"/>
  <c r="AO23" i="42"/>
  <c r="AO26" i="42" s="1"/>
  <c r="AF207" i="42"/>
  <c r="AO17" i="42"/>
  <c r="AO207" i="42" s="1"/>
  <c r="AR202" i="42"/>
  <c r="AR52" i="42"/>
  <c r="AO210" i="42"/>
  <c r="AO46" i="42"/>
  <c r="AF208" i="42"/>
  <c r="AO50" i="42"/>
  <c r="AB200" i="42"/>
  <c r="AR209" i="42"/>
  <c r="AR78" i="42"/>
  <c r="AF30" i="42"/>
  <c r="AS208" i="42"/>
  <c r="AS201" i="42"/>
  <c r="AS200" i="42" s="1"/>
  <c r="AS18" i="42"/>
  <c r="AF183" i="42"/>
  <c r="AO178" i="42"/>
  <c r="AO183" i="42" s="1"/>
  <c r="AR204" i="42"/>
  <c r="AS202" i="42"/>
  <c r="AS52" i="42"/>
  <c r="AS223" i="42" s="1"/>
  <c r="AA200" i="42"/>
  <c r="AR208" i="42"/>
  <c r="AF134" i="42"/>
  <c r="AO132" i="42"/>
  <c r="AO134" i="42" s="1"/>
  <c r="AF22" i="42"/>
  <c r="AO19" i="42"/>
  <c r="AO22" i="42" s="1"/>
  <c r="AU200" i="42"/>
  <c r="AU125" i="39"/>
  <c r="AR207" i="42"/>
  <c r="AF209" i="42"/>
  <c r="AF78" i="42"/>
  <c r="AO77" i="42"/>
  <c r="AF161" i="42"/>
  <c r="AO156" i="42"/>
  <c r="AO161" i="42" s="1"/>
  <c r="AF112" i="42"/>
  <c r="AR155" i="41"/>
  <c r="AR29" i="41"/>
  <c r="Z143" i="41"/>
  <c r="AR153" i="41"/>
  <c r="AR16" i="41"/>
  <c r="AS150" i="41"/>
  <c r="AS38" i="41"/>
  <c r="AR156" i="41"/>
  <c r="AR97" i="41"/>
  <c r="AF27" i="41"/>
  <c r="AP146" i="41"/>
  <c r="AF52" i="41"/>
  <c r="AO46" i="41"/>
  <c r="AO52" i="41" s="1"/>
  <c r="AF153" i="41"/>
  <c r="AO15" i="41"/>
  <c r="AR150" i="41"/>
  <c r="AR38" i="41"/>
  <c r="AR248" i="41" s="1"/>
  <c r="AF85" i="41"/>
  <c r="AO82" i="41"/>
  <c r="AO85" i="41" s="1"/>
  <c r="AS155" i="41"/>
  <c r="AS29" i="41"/>
  <c r="AS147" i="41"/>
  <c r="AF130" i="41"/>
  <c r="AO127" i="41"/>
  <c r="AO130" i="41" s="1"/>
  <c r="AO61" i="41"/>
  <c r="AO63" i="41" s="1"/>
  <c r="AF63" i="41"/>
  <c r="AF150" i="41"/>
  <c r="AF38" i="41"/>
  <c r="AO33" i="41"/>
  <c r="AS156" i="41"/>
  <c r="AS97" i="41"/>
  <c r="AS153" i="41"/>
  <c r="AS16" i="41"/>
  <c r="AS248" i="41" s="1"/>
  <c r="AU148" i="41"/>
  <c r="AU146" i="41" s="1"/>
  <c r="AU21" i="41"/>
  <c r="AU143" i="41" s="1"/>
  <c r="AN21" i="45" s="1"/>
  <c r="AR52" i="41"/>
  <c r="AR147" i="41"/>
  <c r="AR146" i="41" s="1"/>
  <c r="AO148" i="41"/>
  <c r="AO21" i="41"/>
  <c r="AF147" i="41"/>
  <c r="AF155" i="41"/>
  <c r="AF29" i="41"/>
  <c r="AO28" i="41"/>
  <c r="AF156" i="41"/>
  <c r="AF97" i="41"/>
  <c r="AO96" i="41"/>
  <c r="AU248" i="41"/>
  <c r="AB146" i="41"/>
  <c r="AU145" i="41"/>
  <c r="AO154" i="41"/>
  <c r="AF113" i="40"/>
  <c r="AO109" i="40"/>
  <c r="AO113" i="40" s="1"/>
  <c r="AF172" i="40"/>
  <c r="AO28" i="40"/>
  <c r="AO172" i="40" s="1"/>
  <c r="AF100" i="40"/>
  <c r="AO97" i="40"/>
  <c r="AO100" i="40" s="1"/>
  <c r="AR176" i="40"/>
  <c r="AR53" i="40"/>
  <c r="AF66" i="40"/>
  <c r="AO60" i="40"/>
  <c r="AO66" i="40" s="1"/>
  <c r="AR177" i="40"/>
  <c r="AR25" i="40"/>
  <c r="AF73" i="40"/>
  <c r="AO67" i="40"/>
  <c r="AO73" i="40" s="1"/>
  <c r="AS169" i="40"/>
  <c r="AS32" i="40"/>
  <c r="AF175" i="40"/>
  <c r="AO30" i="40"/>
  <c r="AO175" i="40" s="1"/>
  <c r="AF177" i="40"/>
  <c r="AF25" i="40"/>
  <c r="AO24" i="40"/>
  <c r="AS59" i="40"/>
  <c r="AR169" i="40"/>
  <c r="AR32" i="40"/>
  <c r="AR59" i="40"/>
  <c r="AF169" i="40"/>
  <c r="AF32" i="40"/>
  <c r="AO26" i="40"/>
  <c r="AF44" i="40"/>
  <c r="AO39" i="40"/>
  <c r="AO44" i="40" s="1"/>
  <c r="AO170" i="40"/>
  <c r="AO38" i="40"/>
  <c r="AF143" i="40"/>
  <c r="AO137" i="40"/>
  <c r="AO143" i="40" s="1"/>
  <c r="AS176" i="40"/>
  <c r="AS53" i="40"/>
  <c r="AF168" i="40"/>
  <c r="AS177" i="40"/>
  <c r="AS25" i="40"/>
  <c r="AF176" i="40"/>
  <c r="AF53" i="40"/>
  <c r="AO52" i="40"/>
  <c r="AF117" i="40"/>
  <c r="AO114" i="40"/>
  <c r="AO117" i="40" s="1"/>
  <c r="AU169" i="40"/>
  <c r="AU167" i="40" s="1"/>
  <c r="AU32" i="40"/>
  <c r="AU164" i="40" s="1"/>
  <c r="AN20" i="45" s="1"/>
  <c r="AR168" i="40"/>
  <c r="AF159" i="40"/>
  <c r="AO154" i="40"/>
  <c r="AO159" i="40" s="1"/>
  <c r="AF106" i="40"/>
  <c r="AO101" i="40"/>
  <c r="AO106" i="40" s="1"/>
  <c r="AF171" i="40"/>
  <c r="AO55" i="40"/>
  <c r="AO171" i="40" s="1"/>
  <c r="AA123" i="39"/>
  <c r="T19" i="45" s="1"/>
  <c r="AS130" i="39"/>
  <c r="AS30" i="39"/>
  <c r="AF127" i="39"/>
  <c r="AF18" i="39"/>
  <c r="AO14" i="39"/>
  <c r="AF133" i="39"/>
  <c r="AO17" i="39"/>
  <c r="AO133" i="39" s="1"/>
  <c r="AF130" i="39"/>
  <c r="AF30" i="39"/>
  <c r="AO25" i="39"/>
  <c r="AR130" i="39"/>
  <c r="AR30" i="39"/>
  <c r="AF129" i="39"/>
  <c r="AF42" i="39"/>
  <c r="AO37" i="39"/>
  <c r="AS127" i="39"/>
  <c r="AS18" i="39"/>
  <c r="AR127" i="39"/>
  <c r="AR18" i="39"/>
  <c r="AR129" i="39"/>
  <c r="AR42" i="39"/>
  <c r="AR123" i="39" s="1"/>
  <c r="AF114" i="39"/>
  <c r="AO108" i="39"/>
  <c r="AO114" i="39" s="1"/>
  <c r="Z126" i="39"/>
  <c r="AF122" i="39"/>
  <c r="AO118" i="39"/>
  <c r="AO122" i="39" s="1"/>
  <c r="AA126" i="39"/>
  <c r="AU126" i="39"/>
  <c r="AF117" i="39"/>
  <c r="AO115" i="39"/>
  <c r="AO117" i="39" s="1"/>
  <c r="AO135" i="39"/>
  <c r="AO44" i="39"/>
  <c r="AS129" i="39"/>
  <c r="AS42" i="39"/>
  <c r="AB126" i="39"/>
  <c r="Z123" i="39"/>
  <c r="AF219" i="32"/>
  <c r="AO213" i="32"/>
  <c r="AO219" i="32" s="1"/>
  <c r="AU303" i="32"/>
  <c r="AO155" i="32"/>
  <c r="AS312" i="32"/>
  <c r="AS107" i="32"/>
  <c r="AS307" i="32"/>
  <c r="AF304" i="32"/>
  <c r="AF311" i="32"/>
  <c r="AF307" i="32"/>
  <c r="AO113" i="32"/>
  <c r="AF22" i="32"/>
  <c r="AF276" i="32"/>
  <c r="AO270" i="32"/>
  <c r="AO276" i="32" s="1"/>
  <c r="AR312" i="32"/>
  <c r="AR107" i="32"/>
  <c r="AF186" i="32"/>
  <c r="AO184" i="32"/>
  <c r="AO186" i="32" s="1"/>
  <c r="AF290" i="32"/>
  <c r="AO284" i="32"/>
  <c r="AO290" i="32" s="1"/>
  <c r="AF56" i="32"/>
  <c r="AO51" i="32"/>
  <c r="AS155" i="32"/>
  <c r="AS311" i="32"/>
  <c r="AR304" i="32"/>
  <c r="AR22" i="32"/>
  <c r="AU75" i="31"/>
  <c r="AF310" i="32"/>
  <c r="AO16" i="32"/>
  <c r="AO313" i="32"/>
  <c r="AO13" i="32"/>
  <c r="AF95" i="32"/>
  <c r="AO90" i="32"/>
  <c r="AO95" i="32" s="1"/>
  <c r="AF37" i="32"/>
  <c r="AO35" i="32"/>
  <c r="AO37" i="32" s="1"/>
  <c r="AF128" i="32"/>
  <c r="AO123" i="32"/>
  <c r="AO128" i="32" s="1"/>
  <c r="AR310" i="32"/>
  <c r="AR17" i="32"/>
  <c r="AF212" i="32"/>
  <c r="AO204" i="32"/>
  <c r="AO212" i="32" s="1"/>
  <c r="AU300" i="32"/>
  <c r="AN18" i="45" s="1"/>
  <c r="AF135" i="32"/>
  <c r="AO129" i="32"/>
  <c r="AO135" i="32" s="1"/>
  <c r="AR305" i="32"/>
  <c r="AA303" i="32"/>
  <c r="AB303" i="32"/>
  <c r="AS118" i="32"/>
  <c r="AF225" i="32"/>
  <c r="AO222" i="32"/>
  <c r="AO225" i="32" s="1"/>
  <c r="AS17" i="32"/>
  <c r="AF63" i="32"/>
  <c r="AO57" i="32"/>
  <c r="AO63" i="32" s="1"/>
  <c r="AF118" i="32"/>
  <c r="AO112" i="32"/>
  <c r="AF70" i="32"/>
  <c r="AB300" i="32"/>
  <c r="AF312" i="32"/>
  <c r="AF107" i="32"/>
  <c r="AO106" i="32"/>
  <c r="AS56" i="32"/>
  <c r="AS305" i="32"/>
  <c r="AF31" i="32"/>
  <c r="AO28" i="32"/>
  <c r="AO31" i="32" s="1"/>
  <c r="AF269" i="32"/>
  <c r="AO264" i="32"/>
  <c r="AO269" i="32" s="1"/>
  <c r="AS304" i="32"/>
  <c r="AO85" i="31"/>
  <c r="AO39" i="31"/>
  <c r="AO31" i="31"/>
  <c r="AS86" i="31"/>
  <c r="AS24" i="31"/>
  <c r="AF18" i="31"/>
  <c r="AO16" i="31"/>
  <c r="AR86" i="31"/>
  <c r="AR24" i="31"/>
  <c r="AO15" i="31"/>
  <c r="AF22" i="31"/>
  <c r="AO19" i="31"/>
  <c r="AO22" i="31" s="1"/>
  <c r="AS18" i="31"/>
  <c r="AS77" i="31"/>
  <c r="AS37" i="31"/>
  <c r="AS78" i="31"/>
  <c r="AS80" i="31"/>
  <c r="AS47" i="31"/>
  <c r="AF51" i="31"/>
  <c r="AO48" i="31"/>
  <c r="AO51" i="31" s="1"/>
  <c r="AP76" i="31"/>
  <c r="AR80" i="31"/>
  <c r="AR47" i="31"/>
  <c r="AF80" i="31"/>
  <c r="AF47" i="31"/>
  <c r="AO43" i="31"/>
  <c r="AF86" i="31"/>
  <c r="AF24" i="31"/>
  <c r="AO23" i="31"/>
  <c r="AU186" i="29"/>
  <c r="Z76" i="31"/>
  <c r="AB76" i="31"/>
  <c r="AU31" i="31"/>
  <c r="AU73" i="31" s="1"/>
  <c r="AN17" i="45" s="1"/>
  <c r="AU78" i="31"/>
  <c r="AU76" i="31" s="1"/>
  <c r="AF77" i="31"/>
  <c r="AF37" i="31"/>
  <c r="AO32" i="31"/>
  <c r="AO37" i="31" s="1"/>
  <c r="AU101" i="30"/>
  <c r="AF104" i="30"/>
  <c r="AR44" i="30"/>
  <c r="AR103" i="30"/>
  <c r="AR112" i="30"/>
  <c r="AR17" i="30"/>
  <c r="AU102" i="30"/>
  <c r="AF98" i="30"/>
  <c r="AO92" i="30"/>
  <c r="AO98" i="30" s="1"/>
  <c r="AS106" i="30"/>
  <c r="AS37" i="30"/>
  <c r="AF91" i="30"/>
  <c r="AO85" i="30"/>
  <c r="AO91" i="30" s="1"/>
  <c r="AF84" i="30"/>
  <c r="AO81" i="30"/>
  <c r="AO84" i="30" s="1"/>
  <c r="AF110" i="30"/>
  <c r="AO20" i="30"/>
  <c r="AO110" i="30" s="1"/>
  <c r="AS112" i="30"/>
  <c r="AS17" i="30"/>
  <c r="AS99" i="30" s="1"/>
  <c r="AL16" i="45" s="1"/>
  <c r="AF106" i="30"/>
  <c r="AO32" i="30"/>
  <c r="AP102" i="30"/>
  <c r="AA102" i="30"/>
  <c r="AF112" i="30"/>
  <c r="AF17" i="30"/>
  <c r="AO16" i="30"/>
  <c r="AF44" i="30"/>
  <c r="AO38" i="30"/>
  <c r="AO111" i="30"/>
  <c r="AO30" i="30"/>
  <c r="AR106" i="30"/>
  <c r="AR37" i="30"/>
  <c r="AO104" i="30"/>
  <c r="AS103" i="30"/>
  <c r="AF130" i="29"/>
  <c r="AO125" i="29"/>
  <c r="AO130" i="29" s="1"/>
  <c r="AF189" i="29"/>
  <c r="AF82" i="29"/>
  <c r="AO77" i="29"/>
  <c r="AO16" i="29"/>
  <c r="AF124" i="29"/>
  <c r="AO119" i="29"/>
  <c r="AO124" i="29" s="1"/>
  <c r="AS196" i="29"/>
  <c r="AS132" i="29"/>
  <c r="AP187" i="29"/>
  <c r="AS189" i="29"/>
  <c r="AS82" i="29"/>
  <c r="AN187" i="29"/>
  <c r="AR189" i="29"/>
  <c r="AR82" i="29"/>
  <c r="AF195" i="29"/>
  <c r="AO80" i="29"/>
  <c r="AO195" i="29" s="1"/>
  <c r="AU189" i="29"/>
  <c r="AU187" i="29" s="1"/>
  <c r="AU82" i="29"/>
  <c r="AU184" i="29" s="1"/>
  <c r="AN15" i="45" s="1"/>
  <c r="AR167" i="29"/>
  <c r="AR191" i="29"/>
  <c r="AF183" i="29"/>
  <c r="AO177" i="29"/>
  <c r="AO183" i="29" s="1"/>
  <c r="AR188" i="29"/>
  <c r="AF196" i="29"/>
  <c r="AF132" i="29"/>
  <c r="AO131" i="29"/>
  <c r="Z187" i="29"/>
  <c r="AF147" i="29"/>
  <c r="AO141" i="29"/>
  <c r="AO147" i="29" s="1"/>
  <c r="AF156" i="29"/>
  <c r="AF61" i="29"/>
  <c r="AO58" i="29"/>
  <c r="AO61" i="29" s="1"/>
  <c r="AF106" i="29"/>
  <c r="AO101" i="29"/>
  <c r="AO106" i="29" s="1"/>
  <c r="AF76" i="29"/>
  <c r="AR196" i="29"/>
  <c r="AR132" i="29"/>
  <c r="AS184" i="29" l="1"/>
  <c r="AL15" i="45" s="1"/>
  <c r="AR223" i="42"/>
  <c r="AF223" i="42"/>
  <c r="AF198" i="42"/>
  <c r="AF248" i="41"/>
  <c r="AF101" i="30"/>
  <c r="AF76" i="31"/>
  <c r="AF74" i="31"/>
  <c r="AF186" i="29"/>
  <c r="AR164" i="40"/>
  <c r="AO165" i="40" s="1"/>
  <c r="AS164" i="40"/>
  <c r="AL20" i="45" s="1"/>
  <c r="AF187" i="29"/>
  <c r="AF184" i="29"/>
  <c r="Y15" i="45" s="1"/>
  <c r="AR184" i="29"/>
  <c r="AS187" i="29"/>
  <c r="AF185" i="29"/>
  <c r="AF100" i="30"/>
  <c r="S16" i="45"/>
  <c r="AF99" i="30"/>
  <c r="Y16" i="45" s="1"/>
  <c r="AS102" i="30"/>
  <c r="AF102" i="30"/>
  <c r="AR76" i="31"/>
  <c r="AS76" i="31"/>
  <c r="AR73" i="31"/>
  <c r="AK17" i="45" s="1"/>
  <c r="AF166" i="40"/>
  <c r="AF301" i="32"/>
  <c r="U18" i="45"/>
  <c r="AS303" i="32"/>
  <c r="AF300" i="32"/>
  <c r="Y18" i="45" s="1"/>
  <c r="AO307" i="32"/>
  <c r="AR300" i="32"/>
  <c r="AK18" i="45" s="1"/>
  <c r="AK19" i="45"/>
  <c r="AF124" i="39"/>
  <c r="S19" i="45"/>
  <c r="AS123" i="39"/>
  <c r="AL19" i="45" s="1"/>
  <c r="AR126" i="39"/>
  <c r="AS167" i="40"/>
  <c r="AF165" i="40"/>
  <c r="AF145" i="41"/>
  <c r="AR143" i="41"/>
  <c r="AK21" i="45" s="1"/>
  <c r="AF143" i="41"/>
  <c r="Y21" i="45" s="1"/>
  <c r="AF144" i="41"/>
  <c r="S21" i="45"/>
  <c r="AS197" i="42"/>
  <c r="AL22" i="45" s="1"/>
  <c r="AF197" i="42"/>
  <c r="Y22" i="45" s="1"/>
  <c r="AO204" i="42"/>
  <c r="AF199" i="42"/>
  <c r="AO209" i="42"/>
  <c r="AO78" i="42"/>
  <c r="AF200" i="42"/>
  <c r="AO202" i="42"/>
  <c r="AO52" i="42"/>
  <c r="AR200" i="42"/>
  <c r="AO199" i="42" s="1"/>
  <c r="AR197" i="42"/>
  <c r="AO223" i="42"/>
  <c r="AO208" i="42"/>
  <c r="AO201" i="42"/>
  <c r="AO18" i="42"/>
  <c r="AF146" i="41"/>
  <c r="AO150" i="41"/>
  <c r="AO38" i="41"/>
  <c r="AS146" i="41"/>
  <c r="AO145" i="41" s="1"/>
  <c r="AO155" i="41"/>
  <c r="AO29" i="41"/>
  <c r="AO153" i="41"/>
  <c r="AO16" i="41"/>
  <c r="AO156" i="41"/>
  <c r="AO97" i="41"/>
  <c r="AS143" i="41"/>
  <c r="AO147" i="41"/>
  <c r="AO59" i="40"/>
  <c r="AF164" i="40"/>
  <c r="Y20" i="45" s="1"/>
  <c r="AO169" i="40"/>
  <c r="AO32" i="40"/>
  <c r="AO177" i="40"/>
  <c r="AO25" i="40"/>
  <c r="AR167" i="40"/>
  <c r="AO176" i="40"/>
  <c r="AO53" i="40"/>
  <c r="AF167" i="40"/>
  <c r="AO168" i="40"/>
  <c r="AF125" i="39"/>
  <c r="AO130" i="39"/>
  <c r="AO30" i="39"/>
  <c r="AF123" i="39"/>
  <c r="Y19" i="45" s="1"/>
  <c r="AO127" i="39"/>
  <c r="AO18" i="39"/>
  <c r="AS126" i="39"/>
  <c r="AO129" i="39"/>
  <c r="AO42" i="39"/>
  <c r="AF126" i="39"/>
  <c r="AF302" i="32"/>
  <c r="AO312" i="32"/>
  <c r="AO107" i="32"/>
  <c r="AO310" i="32"/>
  <c r="AO17" i="32"/>
  <c r="AR303" i="32"/>
  <c r="AO56" i="32"/>
  <c r="AO305" i="32"/>
  <c r="AO118" i="32"/>
  <c r="AS300" i="32"/>
  <c r="AF303" i="32"/>
  <c r="AO304" i="32"/>
  <c r="AO80" i="31"/>
  <c r="AO47" i="31"/>
  <c r="AO86" i="31"/>
  <c r="AO24" i="31"/>
  <c r="AF75" i="31"/>
  <c r="AS73" i="31"/>
  <c r="AO18" i="31"/>
  <c r="AO77" i="31"/>
  <c r="AF73" i="31"/>
  <c r="Y17" i="45" s="1"/>
  <c r="AO78" i="31"/>
  <c r="AO23" i="30"/>
  <c r="AO112" i="30"/>
  <c r="AO17" i="30"/>
  <c r="AR99" i="30"/>
  <c r="AO106" i="30"/>
  <c r="AO37" i="30"/>
  <c r="AO44" i="30"/>
  <c r="AO103" i="30"/>
  <c r="AR102" i="30"/>
  <c r="AR187" i="29"/>
  <c r="AO196" i="29"/>
  <c r="AO132" i="29"/>
  <c r="AO188" i="29"/>
  <c r="AO189" i="29"/>
  <c r="AO82" i="29"/>
  <c r="AK20" i="45" l="1"/>
  <c r="AO166" i="40"/>
  <c r="AO123" i="39"/>
  <c r="AH19" i="45" s="1"/>
  <c r="AO73" i="31"/>
  <c r="AH17" i="45" s="1"/>
  <c r="AO186" i="29"/>
  <c r="AO197" i="42"/>
  <c r="AH22" i="45" s="1"/>
  <c r="AO184" i="29"/>
  <c r="AH15" i="45" s="1"/>
  <c r="AO185" i="29"/>
  <c r="AK15" i="45"/>
  <c r="AO75" i="31"/>
  <c r="AO101" i="30"/>
  <c r="AO102" i="30"/>
  <c r="AO100" i="30"/>
  <c r="AK16" i="45"/>
  <c r="AO99" i="30"/>
  <c r="AH16" i="45" s="1"/>
  <c r="AO74" i="31"/>
  <c r="AL17" i="45"/>
  <c r="AO302" i="32"/>
  <c r="AO300" i="32"/>
  <c r="AH18" i="45" s="1"/>
  <c r="AO125" i="39"/>
  <c r="AO301" i="32"/>
  <c r="AL18" i="45"/>
  <c r="AO124" i="39"/>
  <c r="AO146" i="41"/>
  <c r="AO144" i="41"/>
  <c r="AL21" i="45"/>
  <c r="AO143" i="41"/>
  <c r="AH21" i="45" s="1"/>
  <c r="AO198" i="42"/>
  <c r="AK22" i="45"/>
  <c r="AO200" i="42"/>
  <c r="AO248" i="41"/>
  <c r="AO167" i="40"/>
  <c r="AO164" i="40"/>
  <c r="AH20" i="45" s="1"/>
  <c r="AO126" i="39"/>
  <c r="AO303" i="32"/>
  <c r="AO76" i="31"/>
  <c r="AO187" i="29"/>
  <c r="AH458" i="43" l="1"/>
  <c r="AG458" i="43"/>
  <c r="AH455" i="43"/>
  <c r="AG455" i="43"/>
  <c r="AH452" i="43"/>
  <c r="AG452" i="43"/>
  <c r="AH445" i="43"/>
  <c r="AG445" i="43"/>
  <c r="AH438" i="43"/>
  <c r="AG438" i="43"/>
  <c r="AH431" i="43"/>
  <c r="AG431" i="43"/>
  <c r="AH424" i="43"/>
  <c r="AG424" i="43"/>
  <c r="AH417" i="43"/>
  <c r="AG417" i="43"/>
  <c r="AH410" i="43"/>
  <c r="AG410" i="43"/>
  <c r="AH404" i="43"/>
  <c r="AG404" i="43"/>
  <c r="AH401" i="43"/>
  <c r="AG401" i="43"/>
  <c r="AH394" i="43"/>
  <c r="AG394" i="43"/>
  <c r="AH387" i="43"/>
  <c r="AG387" i="43"/>
  <c r="AH383" i="43"/>
  <c r="AG383" i="43"/>
  <c r="AH377" i="43"/>
  <c r="AG377" i="43"/>
  <c r="AH370" i="43"/>
  <c r="AG370" i="43"/>
  <c r="AH368" i="43"/>
  <c r="AG368" i="43"/>
  <c r="AH364" i="43"/>
  <c r="AG364" i="43"/>
  <c r="AH357" i="43"/>
  <c r="AG357" i="43"/>
  <c r="AH352" i="43"/>
  <c r="AG352" i="43"/>
  <c r="AH345" i="43"/>
  <c r="AG345" i="43"/>
  <c r="AH339" i="43"/>
  <c r="AG339" i="43"/>
  <c r="AH331" i="43"/>
  <c r="AG331" i="43"/>
  <c r="AH328" i="43"/>
  <c r="AG328" i="43"/>
  <c r="AH324" i="43"/>
  <c r="AG324" i="43"/>
  <c r="AH321" i="43"/>
  <c r="AG321" i="43"/>
  <c r="AH319" i="43"/>
  <c r="AG319" i="43"/>
  <c r="AH313" i="43"/>
  <c r="AG313" i="43"/>
  <c r="AH309" i="43"/>
  <c r="AG309" i="43"/>
  <c r="AH302" i="43"/>
  <c r="AG302" i="43"/>
  <c r="AH295" i="43"/>
  <c r="AG295" i="43"/>
  <c r="AH293" i="43"/>
  <c r="AG293" i="43"/>
  <c r="AH285" i="43"/>
  <c r="AG285" i="43"/>
  <c r="AH280" i="43"/>
  <c r="AG280" i="43"/>
  <c r="AH273" i="43"/>
  <c r="AG273" i="43"/>
  <c r="AH269" i="43"/>
  <c r="AG269" i="43"/>
  <c r="AH263" i="43"/>
  <c r="AG263" i="43"/>
  <c r="AH259" i="43"/>
  <c r="AG259" i="43"/>
  <c r="AH255" i="43"/>
  <c r="AG255" i="43"/>
  <c r="AH253" i="43"/>
  <c r="AG253" i="43"/>
  <c r="AH246" i="43"/>
  <c r="AG246" i="43"/>
  <c r="AH240" i="43"/>
  <c r="AG240" i="43"/>
  <c r="AH234" i="43"/>
  <c r="AG234" i="43"/>
  <c r="AH228" i="43"/>
  <c r="AG228" i="43"/>
  <c r="AH222" i="43"/>
  <c r="AG222" i="43"/>
  <c r="AH216" i="43"/>
  <c r="AG216" i="43"/>
  <c r="AH210" i="43"/>
  <c r="AG210" i="43"/>
  <c r="AH203" i="43"/>
  <c r="AG203" i="43"/>
  <c r="AH197" i="43"/>
  <c r="AG197" i="43"/>
  <c r="AH191" i="43"/>
  <c r="AG191" i="43"/>
  <c r="AH184" i="43"/>
  <c r="AG184" i="43"/>
  <c r="AH177" i="43"/>
  <c r="AG177" i="43"/>
  <c r="AH171" i="43"/>
  <c r="AG171" i="43"/>
  <c r="AH165" i="43"/>
  <c r="AG165" i="43"/>
  <c r="AH159" i="43"/>
  <c r="AG159" i="43"/>
  <c r="AH154" i="43"/>
  <c r="AG154" i="43"/>
  <c r="AH148" i="43"/>
  <c r="AG148" i="43"/>
  <c r="AH142" i="43"/>
  <c r="AG142" i="43"/>
  <c r="AH136" i="43"/>
  <c r="AG136" i="43"/>
  <c r="AH129" i="43"/>
  <c r="AG129" i="43"/>
  <c r="AH122" i="43"/>
  <c r="AG122" i="43"/>
  <c r="AH117" i="43"/>
  <c r="AG117" i="43"/>
  <c r="AH114" i="43"/>
  <c r="AG114" i="43"/>
  <c r="AH111" i="43"/>
  <c r="AG111" i="43"/>
  <c r="AH107" i="43"/>
  <c r="AG107" i="43"/>
  <c r="AH103" i="43"/>
  <c r="AG103" i="43"/>
  <c r="AH100" i="43"/>
  <c r="AG100" i="43"/>
  <c r="AH96" i="43"/>
  <c r="AG96" i="43"/>
  <c r="AH92" i="43"/>
  <c r="AG92" i="43"/>
  <c r="AH89" i="43"/>
  <c r="AG89" i="43"/>
  <c r="AH85" i="43"/>
  <c r="AG85" i="43"/>
  <c r="AH81" i="43"/>
  <c r="AG81" i="43"/>
  <c r="AH78" i="43"/>
  <c r="AG78" i="43"/>
  <c r="AH74" i="43"/>
  <c r="AG74" i="43"/>
  <c r="AH69" i="43"/>
  <c r="AG69" i="43"/>
  <c r="AH66" i="43"/>
  <c r="AG66" i="43"/>
  <c r="AH62" i="43"/>
  <c r="AG62" i="43"/>
  <c r="AH58" i="43"/>
  <c r="AG58" i="43"/>
  <c r="AH54" i="43"/>
  <c r="AG54" i="43"/>
  <c r="AH51" i="43"/>
  <c r="AG51" i="43"/>
  <c r="AH48" i="43"/>
  <c r="AG48" i="43"/>
  <c r="AH45" i="43"/>
  <c r="AG45" i="43"/>
  <c r="AH41" i="43"/>
  <c r="AG41" i="43"/>
  <c r="AH38" i="43"/>
  <c r="AG38" i="43"/>
  <c r="AH34" i="43"/>
  <c r="AG34" i="43"/>
  <c r="AH30" i="43"/>
  <c r="AG30" i="43"/>
  <c r="AH27" i="43"/>
  <c r="AG27" i="43"/>
  <c r="AH22" i="43"/>
  <c r="AG22" i="43"/>
  <c r="AH18" i="43"/>
  <c r="AG18" i="43"/>
  <c r="AH13" i="43"/>
  <c r="AG13" i="43"/>
  <c r="AH129" i="44"/>
  <c r="AG129" i="44"/>
  <c r="AH123" i="44"/>
  <c r="AG123" i="44"/>
  <c r="AH114" i="44"/>
  <c r="AG114" i="44"/>
  <c r="AH112" i="44"/>
  <c r="AG112" i="44"/>
  <c r="AH106" i="44"/>
  <c r="AG106" i="44"/>
  <c r="AH104" i="44"/>
  <c r="AG104" i="44"/>
  <c r="AH100" i="44"/>
  <c r="AG100" i="44"/>
  <c r="AH94" i="44"/>
  <c r="AG94" i="44"/>
  <c r="AH90" i="44"/>
  <c r="AG90" i="44"/>
  <c r="AH83" i="44"/>
  <c r="AG83" i="44"/>
  <c r="AH76" i="44"/>
  <c r="AG76" i="44"/>
  <c r="AH69" i="44"/>
  <c r="AG69" i="44"/>
  <c r="AH62" i="44"/>
  <c r="AG62" i="44"/>
  <c r="AH55" i="44"/>
  <c r="AG55" i="44"/>
  <c r="AH48" i="44"/>
  <c r="AG48" i="44"/>
  <c r="AH41" i="44"/>
  <c r="AG41" i="44"/>
  <c r="AH34" i="44"/>
  <c r="AG34" i="44"/>
  <c r="AH27" i="44"/>
  <c r="AG27" i="44"/>
  <c r="AH18" i="44"/>
  <c r="AG18" i="44"/>
  <c r="AH13" i="44"/>
  <c r="AG13" i="44"/>
  <c r="V458" i="43"/>
  <c r="V455" i="43"/>
  <c r="V452" i="43"/>
  <c r="V445" i="43"/>
  <c r="V438" i="43"/>
  <c r="V431" i="43"/>
  <c r="V424" i="43"/>
  <c r="V417" i="43"/>
  <c r="V410" i="43"/>
  <c r="V404" i="43"/>
  <c r="V401" i="43"/>
  <c r="V394" i="43"/>
  <c r="V387" i="43"/>
  <c r="V383" i="43"/>
  <c r="V377" i="43"/>
  <c r="V370" i="43"/>
  <c r="V368" i="43"/>
  <c r="V364" i="43"/>
  <c r="V357" i="43"/>
  <c r="V352" i="43"/>
  <c r="V345" i="43"/>
  <c r="V339" i="43"/>
  <c r="V331" i="43"/>
  <c r="V328" i="43"/>
  <c r="V324" i="43"/>
  <c r="V321" i="43"/>
  <c r="V319" i="43"/>
  <c r="V313" i="43"/>
  <c r="V309" i="43"/>
  <c r="V302" i="43"/>
  <c r="V295" i="43"/>
  <c r="V293" i="43"/>
  <c r="V285" i="43"/>
  <c r="V280" i="43"/>
  <c r="V273" i="43"/>
  <c r="V269" i="43"/>
  <c r="V263" i="43"/>
  <c r="V259" i="43"/>
  <c r="V255" i="43"/>
  <c r="V253" i="43"/>
  <c r="V246" i="43"/>
  <c r="V240" i="43"/>
  <c r="V234" i="43"/>
  <c r="V228" i="43"/>
  <c r="V222" i="43"/>
  <c r="V216" i="43"/>
  <c r="V210" i="43"/>
  <c r="V203" i="43"/>
  <c r="V197" i="43"/>
  <c r="V191" i="43"/>
  <c r="V184" i="43"/>
  <c r="V177" i="43"/>
  <c r="V171" i="43"/>
  <c r="V165" i="43"/>
  <c r="V159" i="43"/>
  <c r="V154" i="43"/>
  <c r="V148" i="43"/>
  <c r="V142" i="43"/>
  <c r="V136" i="43"/>
  <c r="V129" i="43"/>
  <c r="V122" i="43"/>
  <c r="V117" i="43"/>
  <c r="V114" i="43"/>
  <c r="V111" i="43"/>
  <c r="V107" i="43"/>
  <c r="V103" i="43"/>
  <c r="V100" i="43"/>
  <c r="V96" i="43"/>
  <c r="V92" i="43"/>
  <c r="V89" i="43"/>
  <c r="V85" i="43"/>
  <c r="V81" i="43"/>
  <c r="V78" i="43"/>
  <c r="V74" i="43"/>
  <c r="V69" i="43"/>
  <c r="V66" i="43"/>
  <c r="V62" i="43"/>
  <c r="V58" i="43"/>
  <c r="V54" i="43"/>
  <c r="V51" i="43"/>
  <c r="V48" i="43"/>
  <c r="V45" i="43"/>
  <c r="V41" i="43"/>
  <c r="V38" i="43"/>
  <c r="V34" i="43"/>
  <c r="V30" i="43"/>
  <c r="V27" i="43"/>
  <c r="V22" i="43"/>
  <c r="V18" i="43"/>
  <c r="V13" i="43"/>
  <c r="V129" i="44" l="1"/>
  <c r="V123" i="44"/>
  <c r="V114" i="44"/>
  <c r="V112" i="44"/>
  <c r="V106" i="44"/>
  <c r="V104" i="44"/>
  <c r="V100" i="44"/>
  <c r="V94" i="44"/>
  <c r="V90" i="44"/>
  <c r="V83" i="44"/>
  <c r="V76" i="44"/>
  <c r="V69" i="44"/>
  <c r="V62" i="44"/>
  <c r="V55" i="44"/>
  <c r="V48" i="44"/>
  <c r="V41" i="44"/>
  <c r="V34" i="44"/>
  <c r="V27" i="44"/>
  <c r="V18" i="44"/>
  <c r="V13" i="44"/>
  <c r="J370" i="43"/>
  <c r="M370" i="43"/>
  <c r="O370" i="43"/>
  <c r="P370" i="43"/>
  <c r="I23" i="43"/>
  <c r="I143" i="43"/>
  <c r="I198" i="43"/>
  <c r="I447" i="43"/>
  <c r="P129" i="44"/>
  <c r="O129" i="44"/>
  <c r="M129" i="44"/>
  <c r="J129" i="44"/>
  <c r="P123" i="44"/>
  <c r="O123" i="44"/>
  <c r="M123" i="44"/>
  <c r="J123" i="44"/>
  <c r="P114" i="44"/>
  <c r="O114" i="44"/>
  <c r="M114" i="44"/>
  <c r="J114" i="44"/>
  <c r="P112" i="44"/>
  <c r="O112" i="44"/>
  <c r="M112" i="44"/>
  <c r="J112" i="44"/>
  <c r="P106" i="44"/>
  <c r="O106" i="44"/>
  <c r="M106" i="44"/>
  <c r="J106" i="44"/>
  <c r="P104" i="44"/>
  <c r="O104" i="44"/>
  <c r="M104" i="44"/>
  <c r="J104" i="44"/>
  <c r="P100" i="44"/>
  <c r="O100" i="44"/>
  <c r="M100" i="44"/>
  <c r="J100" i="44"/>
  <c r="P94" i="44"/>
  <c r="O94" i="44"/>
  <c r="M94" i="44"/>
  <c r="J94" i="44"/>
  <c r="P90" i="44"/>
  <c r="O90" i="44"/>
  <c r="M90" i="44"/>
  <c r="J90" i="44"/>
  <c r="P83" i="44"/>
  <c r="O83" i="44"/>
  <c r="M83" i="44"/>
  <c r="J83" i="44"/>
  <c r="P76" i="44"/>
  <c r="O76" i="44"/>
  <c r="M76" i="44"/>
  <c r="J76" i="44"/>
  <c r="P69" i="44"/>
  <c r="O69" i="44"/>
  <c r="M69" i="44"/>
  <c r="J69" i="44"/>
  <c r="P62" i="44"/>
  <c r="O62" i="44"/>
  <c r="M62" i="44"/>
  <c r="J62" i="44"/>
  <c r="P55" i="44"/>
  <c r="O55" i="44"/>
  <c r="M55" i="44"/>
  <c r="J55" i="44"/>
  <c r="P48" i="44"/>
  <c r="O48" i="44"/>
  <c r="M48" i="44"/>
  <c r="J48" i="44"/>
  <c r="P41" i="44"/>
  <c r="O41" i="44"/>
  <c r="M41" i="44"/>
  <c r="J41" i="44"/>
  <c r="P34" i="44"/>
  <c r="O34" i="44"/>
  <c r="M34" i="44"/>
  <c r="J34" i="44"/>
  <c r="P27" i="44"/>
  <c r="O27" i="44"/>
  <c r="M27" i="44"/>
  <c r="J27" i="44"/>
  <c r="P18" i="44"/>
  <c r="O18" i="44"/>
  <c r="M18" i="44"/>
  <c r="J18" i="44"/>
  <c r="P13" i="44"/>
  <c r="O13" i="44"/>
  <c r="M13" i="44"/>
  <c r="J13" i="44"/>
  <c r="I20" i="44"/>
  <c r="N457" i="43"/>
  <c r="N454" i="43"/>
  <c r="N449" i="43"/>
  <c r="N442" i="43"/>
  <c r="N435" i="43"/>
  <c r="N428" i="43"/>
  <c r="N421" i="43"/>
  <c r="N414" i="43"/>
  <c r="N407" i="43"/>
  <c r="N403" i="43"/>
  <c r="N398" i="43"/>
  <c r="N390" i="43"/>
  <c r="N386" i="43"/>
  <c r="N374" i="43"/>
  <c r="N369" i="43"/>
  <c r="N367" i="43"/>
  <c r="N361" i="43"/>
  <c r="N348" i="43"/>
  <c r="N342" i="43"/>
  <c r="N336" i="43"/>
  <c r="N330" i="43"/>
  <c r="N327" i="43"/>
  <c r="N323" i="43"/>
  <c r="N316" i="43"/>
  <c r="N312" i="43"/>
  <c r="N306" i="43"/>
  <c r="N299" i="43"/>
  <c r="N289" i="43"/>
  <c r="N284" i="43"/>
  <c r="N277" i="43"/>
  <c r="N272" i="43"/>
  <c r="N266" i="43"/>
  <c r="N262" i="43"/>
  <c r="N258" i="43"/>
  <c r="N250" i="43"/>
  <c r="N243" i="43"/>
  <c r="N237" i="43"/>
  <c r="N231" i="43"/>
  <c r="N225" i="43"/>
  <c r="N219" i="43"/>
  <c r="N213" i="43"/>
  <c r="L457" i="43"/>
  <c r="K457" i="43"/>
  <c r="L454" i="43"/>
  <c r="K454" i="43"/>
  <c r="L449" i="43"/>
  <c r="K449" i="43"/>
  <c r="L442" i="43"/>
  <c r="K442" i="43"/>
  <c r="L435" i="43"/>
  <c r="K435" i="43"/>
  <c r="L428" i="43"/>
  <c r="K428" i="43"/>
  <c r="L421" i="43"/>
  <c r="K421" i="43"/>
  <c r="L414" i="43"/>
  <c r="K414" i="43"/>
  <c r="L407" i="43"/>
  <c r="K407" i="43"/>
  <c r="L403" i="43"/>
  <c r="K403" i="43"/>
  <c r="L398" i="43"/>
  <c r="K398" i="43"/>
  <c r="L390" i="43"/>
  <c r="K390" i="43"/>
  <c r="L386" i="43"/>
  <c r="K386" i="43"/>
  <c r="L374" i="43"/>
  <c r="K374" i="43"/>
  <c r="L369" i="43"/>
  <c r="L370" i="43" s="1"/>
  <c r="K369" i="43"/>
  <c r="K370" i="43" s="1"/>
  <c r="L367" i="43"/>
  <c r="K367" i="43"/>
  <c r="L361" i="43"/>
  <c r="K361" i="43"/>
  <c r="L348" i="43"/>
  <c r="K348" i="43"/>
  <c r="L342" i="43"/>
  <c r="K342" i="43"/>
  <c r="L336" i="43"/>
  <c r="K336" i="43"/>
  <c r="L330" i="43"/>
  <c r="K330" i="43"/>
  <c r="L327" i="43"/>
  <c r="K327" i="43"/>
  <c r="L323" i="43"/>
  <c r="K323" i="43"/>
  <c r="L316" i="43"/>
  <c r="K316" i="43"/>
  <c r="L312" i="43"/>
  <c r="K312" i="43"/>
  <c r="L306" i="43"/>
  <c r="K306" i="43"/>
  <c r="L299" i="43"/>
  <c r="K299" i="43"/>
  <c r="L289" i="43"/>
  <c r="K289" i="43"/>
  <c r="L284" i="43"/>
  <c r="K284" i="43"/>
  <c r="L277" i="43"/>
  <c r="K277" i="43"/>
  <c r="L272" i="43"/>
  <c r="K272" i="43"/>
  <c r="L266" i="43"/>
  <c r="K266" i="43"/>
  <c r="L262" i="43"/>
  <c r="K262" i="43"/>
  <c r="L258" i="43"/>
  <c r="K258" i="43"/>
  <c r="L250" i="43"/>
  <c r="K250" i="43"/>
  <c r="L243" i="43"/>
  <c r="K243" i="43"/>
  <c r="L237" i="43"/>
  <c r="K237" i="43"/>
  <c r="L231" i="43"/>
  <c r="K231" i="43"/>
  <c r="L225" i="43"/>
  <c r="K225" i="43"/>
  <c r="L219" i="43"/>
  <c r="K219" i="43"/>
  <c r="L213" i="43"/>
  <c r="K213" i="43"/>
  <c r="N206" i="43"/>
  <c r="N200" i="43"/>
  <c r="N194" i="43"/>
  <c r="N187" i="43"/>
  <c r="N181" i="43"/>
  <c r="N174" i="43"/>
  <c r="N162" i="43"/>
  <c r="N151" i="43"/>
  <c r="N145" i="43"/>
  <c r="N139" i="43"/>
  <c r="N132" i="43"/>
  <c r="N126" i="43"/>
  <c r="L206" i="43"/>
  <c r="K206" i="43"/>
  <c r="L200" i="43"/>
  <c r="K200" i="43"/>
  <c r="L194" i="43"/>
  <c r="K194" i="43"/>
  <c r="L187" i="43"/>
  <c r="K187" i="43"/>
  <c r="L181" i="43"/>
  <c r="K181" i="43"/>
  <c r="L174" i="43"/>
  <c r="K174" i="43"/>
  <c r="L162" i="43"/>
  <c r="K162" i="43"/>
  <c r="L151" i="43"/>
  <c r="K151" i="43"/>
  <c r="L145" i="43"/>
  <c r="K145" i="43"/>
  <c r="L139" i="43"/>
  <c r="K139" i="43"/>
  <c r="L132" i="43"/>
  <c r="K132" i="43"/>
  <c r="L126" i="43"/>
  <c r="K126" i="43"/>
  <c r="N121" i="43"/>
  <c r="N116" i="43"/>
  <c r="N113" i="43"/>
  <c r="N110" i="43"/>
  <c r="N106" i="43"/>
  <c r="N102" i="43"/>
  <c r="N99" i="43"/>
  <c r="N95" i="43"/>
  <c r="N91" i="43"/>
  <c r="N88" i="43"/>
  <c r="N84" i="43"/>
  <c r="N80" i="43"/>
  <c r="N77" i="43"/>
  <c r="N73" i="43"/>
  <c r="N68" i="43"/>
  <c r="N65" i="43"/>
  <c r="N61" i="43"/>
  <c r="N57" i="43"/>
  <c r="N53" i="43"/>
  <c r="N50" i="43"/>
  <c r="N47" i="43"/>
  <c r="N44" i="43"/>
  <c r="N40" i="43"/>
  <c r="N37" i="43"/>
  <c r="N33" i="43"/>
  <c r="N29" i="43"/>
  <c r="N26" i="43"/>
  <c r="N21" i="43"/>
  <c r="N17" i="43"/>
  <c r="L121" i="43"/>
  <c r="K121" i="43"/>
  <c r="L116" i="43"/>
  <c r="K116" i="43"/>
  <c r="L113" i="43"/>
  <c r="K113" i="43"/>
  <c r="L110" i="43"/>
  <c r="K110" i="43"/>
  <c r="L106" i="43"/>
  <c r="K106" i="43"/>
  <c r="L102" i="43"/>
  <c r="K102" i="43"/>
  <c r="L99" i="43"/>
  <c r="K99" i="43"/>
  <c r="L95" i="43"/>
  <c r="K95" i="43"/>
  <c r="L91" i="43"/>
  <c r="K91" i="43"/>
  <c r="L88" i="43"/>
  <c r="K88" i="43"/>
  <c r="L84" i="43"/>
  <c r="K84" i="43"/>
  <c r="L80" i="43"/>
  <c r="K80" i="43"/>
  <c r="L77" i="43"/>
  <c r="K77" i="43"/>
  <c r="L73" i="43"/>
  <c r="K73" i="43"/>
  <c r="L68" i="43"/>
  <c r="K68" i="43"/>
  <c r="L65" i="43"/>
  <c r="K65" i="43"/>
  <c r="L61" i="43"/>
  <c r="K61" i="43"/>
  <c r="L57" i="43"/>
  <c r="K57" i="43"/>
  <c r="L53" i="43"/>
  <c r="K53" i="43"/>
  <c r="L50" i="43"/>
  <c r="K50" i="43"/>
  <c r="L47" i="43"/>
  <c r="K47" i="43"/>
  <c r="L44" i="43"/>
  <c r="K44" i="43"/>
  <c r="L40" i="43"/>
  <c r="K40" i="43"/>
  <c r="L37" i="43"/>
  <c r="K37" i="43"/>
  <c r="L33" i="43"/>
  <c r="K33" i="43"/>
  <c r="L29" i="43"/>
  <c r="K29" i="43"/>
  <c r="L26" i="43"/>
  <c r="K26" i="43"/>
  <c r="L21" i="43"/>
  <c r="K21" i="43"/>
  <c r="L17" i="43"/>
  <c r="K17" i="43"/>
  <c r="N119" i="44"/>
  <c r="N113" i="44"/>
  <c r="N114" i="44" s="1"/>
  <c r="N103" i="44"/>
  <c r="N93" i="44"/>
  <c r="N87" i="44"/>
  <c r="N80" i="44"/>
  <c r="N73" i="44"/>
  <c r="N66" i="44"/>
  <c r="N59" i="44"/>
  <c r="N52" i="44"/>
  <c r="N45" i="44"/>
  <c r="N38" i="44"/>
  <c r="N31" i="44"/>
  <c r="N22" i="44"/>
  <c r="N12" i="44"/>
  <c r="N13" i="44" s="1"/>
  <c r="L119" i="44"/>
  <c r="K119" i="44"/>
  <c r="L103" i="44"/>
  <c r="K103" i="44"/>
  <c r="L93" i="44"/>
  <c r="K93" i="44"/>
  <c r="L87" i="44"/>
  <c r="K87" i="44"/>
  <c r="L80" i="44"/>
  <c r="K80" i="44"/>
  <c r="L73" i="44"/>
  <c r="K73" i="44"/>
  <c r="L66" i="44"/>
  <c r="K66" i="44"/>
  <c r="L59" i="44"/>
  <c r="K59" i="44"/>
  <c r="L52" i="44"/>
  <c r="K52" i="44"/>
  <c r="L45" i="44"/>
  <c r="K45" i="44"/>
  <c r="L38" i="44"/>
  <c r="K38" i="44"/>
  <c r="L31" i="44"/>
  <c r="K31" i="44"/>
  <c r="L22" i="44"/>
  <c r="K22" i="44"/>
  <c r="L12" i="44"/>
  <c r="L13" i="44" s="1"/>
  <c r="K12" i="44"/>
  <c r="I12" i="44" l="1"/>
  <c r="I13" i="44" s="1"/>
  <c r="I306" i="43"/>
  <c r="I231" i="43"/>
  <c r="I258" i="43"/>
  <c r="I316" i="43"/>
  <c r="I327" i="43"/>
  <c r="I348" i="43"/>
  <c r="I374" i="43"/>
  <c r="I390" i="43"/>
  <c r="I403" i="43"/>
  <c r="I414" i="43"/>
  <c r="I428" i="43"/>
  <c r="I442" i="43"/>
  <c r="I454" i="43"/>
  <c r="N370" i="43"/>
  <c r="I17" i="43"/>
  <c r="I26" i="43"/>
  <c r="I33" i="43"/>
  <c r="I40" i="43"/>
  <c r="I47" i="43"/>
  <c r="I53" i="43"/>
  <c r="I61" i="43"/>
  <c r="I68" i="43"/>
  <c r="I77" i="43"/>
  <c r="I84" i="43"/>
  <c r="I91" i="43"/>
  <c r="I99" i="43"/>
  <c r="I106" i="43"/>
  <c r="I113" i="43"/>
  <c r="I121" i="43"/>
  <c r="I139" i="43"/>
  <c r="I312" i="43"/>
  <c r="I323" i="43"/>
  <c r="I361" i="43"/>
  <c r="I369" i="43"/>
  <c r="I386" i="43"/>
  <c r="I449" i="43"/>
  <c r="I457" i="43"/>
  <c r="I132" i="43"/>
  <c r="I145" i="43"/>
  <c r="I162" i="43"/>
  <c r="I181" i="43"/>
  <c r="I194" i="43"/>
  <c r="I206" i="43"/>
  <c r="I219" i="43"/>
  <c r="I243" i="43"/>
  <c r="I266" i="43"/>
  <c r="I277" i="43"/>
  <c r="I289" i="43"/>
  <c r="I336" i="43"/>
  <c r="I367" i="43"/>
  <c r="I80" i="43"/>
  <c r="I88" i="43"/>
  <c r="I187" i="43"/>
  <c r="I200" i="43"/>
  <c r="I284" i="43"/>
  <c r="I398" i="43"/>
  <c r="I421" i="43"/>
  <c r="I126" i="43"/>
  <c r="I151" i="43"/>
  <c r="I174" i="43"/>
  <c r="I213" i="43"/>
  <c r="I225" i="43"/>
  <c r="I237" i="43"/>
  <c r="I250" i="43"/>
  <c r="I262" i="43"/>
  <c r="I272" i="43"/>
  <c r="I299" i="43"/>
  <c r="I330" i="43"/>
  <c r="I342" i="43"/>
  <c r="I407" i="43"/>
  <c r="I435" i="43"/>
  <c r="I44" i="43"/>
  <c r="I116" i="43"/>
  <c r="I21" i="43"/>
  <c r="I29" i="43"/>
  <c r="I37" i="43"/>
  <c r="I50" i="43"/>
  <c r="I57" i="43"/>
  <c r="I65" i="43"/>
  <c r="I73" i="43"/>
  <c r="I95" i="43"/>
  <c r="I102" i="43"/>
  <c r="I110" i="43"/>
  <c r="I31" i="44"/>
  <c r="I45" i="44"/>
  <c r="I59" i="44"/>
  <c r="I73" i="44"/>
  <c r="I87" i="44"/>
  <c r="I103" i="44"/>
  <c r="K13" i="44"/>
  <c r="I22" i="44"/>
  <c r="I38" i="44"/>
  <c r="I52" i="44"/>
  <c r="I66" i="44"/>
  <c r="I80" i="44"/>
  <c r="I93" i="44"/>
  <c r="I119" i="44"/>
  <c r="N451" i="43"/>
  <c r="N444" i="43"/>
  <c r="N437" i="43"/>
  <c r="N430" i="43"/>
  <c r="N423" i="43"/>
  <c r="N416" i="43"/>
  <c r="N409" i="43"/>
  <c r="N400" i="43"/>
  <c r="N393" i="43"/>
  <c r="N392" i="43"/>
  <c r="N382" i="43"/>
  <c r="N376" i="43"/>
  <c r="N363" i="43"/>
  <c r="N356" i="43"/>
  <c r="N351" i="43"/>
  <c r="N350" i="43"/>
  <c r="N344" i="43"/>
  <c r="N338" i="43"/>
  <c r="N318" i="43"/>
  <c r="N308" i="43"/>
  <c r="N301" i="43"/>
  <c r="N294" i="43"/>
  <c r="N292" i="43"/>
  <c r="N291" i="43"/>
  <c r="N279" i="43"/>
  <c r="N268" i="43"/>
  <c r="N254" i="43"/>
  <c r="N252" i="43"/>
  <c r="N245" i="43"/>
  <c r="N239" i="43"/>
  <c r="L451" i="43"/>
  <c r="K451" i="43"/>
  <c r="L444" i="43"/>
  <c r="K444" i="43"/>
  <c r="L437" i="43"/>
  <c r="K437" i="43"/>
  <c r="L430" i="43"/>
  <c r="K430" i="43"/>
  <c r="L423" i="43"/>
  <c r="K423" i="43"/>
  <c r="L416" i="43"/>
  <c r="K416" i="43"/>
  <c r="L409" i="43"/>
  <c r="K409" i="43"/>
  <c r="L400" i="43"/>
  <c r="K400" i="43"/>
  <c r="L392" i="43"/>
  <c r="K392" i="43"/>
  <c r="L382" i="43"/>
  <c r="K382" i="43"/>
  <c r="L376" i="43"/>
  <c r="K376" i="43"/>
  <c r="L363" i="43"/>
  <c r="K363" i="43"/>
  <c r="L356" i="43"/>
  <c r="K356" i="43"/>
  <c r="L350" i="43"/>
  <c r="K350" i="43"/>
  <c r="L344" i="43"/>
  <c r="K344" i="43"/>
  <c r="L338" i="43"/>
  <c r="K338" i="43"/>
  <c r="L318" i="43"/>
  <c r="K318" i="43"/>
  <c r="L308" i="43"/>
  <c r="K308" i="43"/>
  <c r="L301" i="43"/>
  <c r="K301" i="43"/>
  <c r="L292" i="43"/>
  <c r="K292" i="43"/>
  <c r="L291" i="43"/>
  <c r="K291" i="43"/>
  <c r="L279" i="43"/>
  <c r="K279" i="43"/>
  <c r="L268" i="43"/>
  <c r="K268" i="43"/>
  <c r="L252" i="43"/>
  <c r="K252" i="43"/>
  <c r="L245" i="43"/>
  <c r="K245" i="43"/>
  <c r="L239" i="43"/>
  <c r="K239" i="43"/>
  <c r="N233" i="43"/>
  <c r="N227" i="43"/>
  <c r="N221" i="43"/>
  <c r="N215" i="43"/>
  <c r="N208" i="43"/>
  <c r="N202" i="43"/>
  <c r="N196" i="43"/>
  <c r="N190" i="43"/>
  <c r="N189" i="43"/>
  <c r="N183" i="43"/>
  <c r="N176" i="43"/>
  <c r="N170" i="43"/>
  <c r="N169" i="43"/>
  <c r="N164" i="43"/>
  <c r="N158" i="43"/>
  <c r="N153" i="43"/>
  <c r="N147" i="43"/>
  <c r="N141" i="43"/>
  <c r="N134" i="43"/>
  <c r="N128" i="43"/>
  <c r="L233" i="43"/>
  <c r="K233" i="43"/>
  <c r="L227" i="43"/>
  <c r="K227" i="43"/>
  <c r="L221" i="43"/>
  <c r="K221" i="43"/>
  <c r="L215" i="43"/>
  <c r="K215" i="43"/>
  <c r="L208" i="43"/>
  <c r="K208" i="43"/>
  <c r="L202" i="43"/>
  <c r="K202" i="43"/>
  <c r="L196" i="43"/>
  <c r="K196" i="43"/>
  <c r="L189" i="43"/>
  <c r="K189" i="43"/>
  <c r="L183" i="43"/>
  <c r="K183" i="43"/>
  <c r="L176" i="43"/>
  <c r="K176" i="43"/>
  <c r="L170" i="43"/>
  <c r="K170" i="43"/>
  <c r="L169" i="43"/>
  <c r="K169" i="43"/>
  <c r="L164" i="43"/>
  <c r="K164" i="43"/>
  <c r="L158" i="43"/>
  <c r="K158" i="43"/>
  <c r="L153" i="43"/>
  <c r="K153" i="43"/>
  <c r="L147" i="43"/>
  <c r="K147" i="43"/>
  <c r="L141" i="43"/>
  <c r="K141" i="43"/>
  <c r="L134" i="43"/>
  <c r="K134" i="43"/>
  <c r="L128" i="43"/>
  <c r="K128" i="43"/>
  <c r="L190" i="43"/>
  <c r="K190" i="43"/>
  <c r="I147" i="43" l="1"/>
  <c r="I190" i="43"/>
  <c r="I158" i="43"/>
  <c r="I169" i="43"/>
  <c r="I176" i="43"/>
  <c r="I189" i="43"/>
  <c r="I202" i="43"/>
  <c r="I215" i="43"/>
  <c r="I227" i="43"/>
  <c r="I239" i="43"/>
  <c r="I252" i="43"/>
  <c r="I279" i="43"/>
  <c r="I292" i="43"/>
  <c r="I308" i="43"/>
  <c r="I338" i="43"/>
  <c r="I350" i="43"/>
  <c r="I363" i="43"/>
  <c r="I382" i="43"/>
  <c r="I400" i="43"/>
  <c r="I416" i="43"/>
  <c r="I430" i="43"/>
  <c r="I444" i="43"/>
  <c r="I134" i="43"/>
  <c r="I128" i="43"/>
  <c r="I141" i="43"/>
  <c r="I153" i="43"/>
  <c r="I164" i="43"/>
  <c r="I170" i="43"/>
  <c r="I183" i="43"/>
  <c r="I196" i="43"/>
  <c r="I208" i="43"/>
  <c r="I221" i="43"/>
  <c r="I233" i="43"/>
  <c r="I245" i="43"/>
  <c r="I268" i="43"/>
  <c r="I291" i="43"/>
  <c r="I301" i="43"/>
  <c r="I318" i="43"/>
  <c r="I344" i="43"/>
  <c r="I356" i="43"/>
  <c r="I376" i="43"/>
  <c r="I392" i="43"/>
  <c r="I409" i="43"/>
  <c r="I423" i="43"/>
  <c r="I437" i="43"/>
  <c r="I451" i="43"/>
  <c r="I370" i="43"/>
  <c r="L128" i="44"/>
  <c r="K128" i="44"/>
  <c r="L122" i="44"/>
  <c r="K122" i="44"/>
  <c r="L121" i="44"/>
  <c r="K121" i="44"/>
  <c r="L111" i="44"/>
  <c r="K111" i="44"/>
  <c r="L99" i="44"/>
  <c r="K99" i="44"/>
  <c r="L89" i="44"/>
  <c r="K89" i="44"/>
  <c r="L82" i="44"/>
  <c r="K82" i="44"/>
  <c r="L75" i="44"/>
  <c r="K75" i="44"/>
  <c r="L68" i="44"/>
  <c r="K68" i="44"/>
  <c r="L61" i="44"/>
  <c r="K61" i="44"/>
  <c r="L54" i="44"/>
  <c r="K54" i="44"/>
  <c r="L47" i="44"/>
  <c r="K47" i="44"/>
  <c r="L40" i="44"/>
  <c r="K40" i="44"/>
  <c r="L33" i="44"/>
  <c r="K33" i="44"/>
  <c r="L24" i="44"/>
  <c r="K24" i="44"/>
  <c r="L17" i="44"/>
  <c r="K17" i="44"/>
  <c r="N128" i="44"/>
  <c r="N122" i="44"/>
  <c r="N121" i="44"/>
  <c r="N111" i="44"/>
  <c r="N99" i="44"/>
  <c r="N89" i="44"/>
  <c r="N82" i="44"/>
  <c r="N75" i="44"/>
  <c r="N68" i="44"/>
  <c r="N61" i="44"/>
  <c r="N54" i="44"/>
  <c r="N47" i="44"/>
  <c r="N40" i="44"/>
  <c r="N33" i="44"/>
  <c r="N24" i="44"/>
  <c r="N17" i="44"/>
  <c r="I40" i="44" l="1"/>
  <c r="I17" i="44"/>
  <c r="I33" i="44"/>
  <c r="I47" i="44"/>
  <c r="I61" i="44"/>
  <c r="I75" i="44"/>
  <c r="I89" i="44"/>
  <c r="I111" i="44"/>
  <c r="I122" i="44"/>
  <c r="I24" i="44"/>
  <c r="I54" i="44"/>
  <c r="I68" i="44"/>
  <c r="I82" i="44"/>
  <c r="I99" i="44"/>
  <c r="I121" i="44"/>
  <c r="I128" i="44"/>
  <c r="T77" i="44"/>
  <c r="Q411" i="43"/>
  <c r="L14" i="44"/>
  <c r="K15" i="44"/>
  <c r="L15" i="44"/>
  <c r="K16" i="44"/>
  <c r="L16" i="44"/>
  <c r="K19" i="44"/>
  <c r="L19" i="44"/>
  <c r="K21" i="44"/>
  <c r="L21" i="44"/>
  <c r="K23" i="44"/>
  <c r="L23" i="44"/>
  <c r="K25" i="44"/>
  <c r="L25" i="44"/>
  <c r="K26" i="44"/>
  <c r="L26" i="44"/>
  <c r="K28" i="44"/>
  <c r="L28" i="44"/>
  <c r="L29" i="44"/>
  <c r="K30" i="44"/>
  <c r="L30" i="44"/>
  <c r="K32" i="44"/>
  <c r="L32" i="44"/>
  <c r="K35" i="44"/>
  <c r="L35" i="44"/>
  <c r="K36" i="44"/>
  <c r="K37" i="44"/>
  <c r="L37" i="44"/>
  <c r="K39" i="44"/>
  <c r="L39" i="44"/>
  <c r="K42" i="44"/>
  <c r="L42" i="44"/>
  <c r="K43" i="44"/>
  <c r="K44" i="44"/>
  <c r="L44" i="44"/>
  <c r="K46" i="44"/>
  <c r="L46" i="44"/>
  <c r="K49" i="44"/>
  <c r="L49" i="44"/>
  <c r="L50" i="44"/>
  <c r="K51" i="44"/>
  <c r="L51" i="44"/>
  <c r="K53" i="44"/>
  <c r="L53" i="44"/>
  <c r="K56" i="44"/>
  <c r="L56" i="44"/>
  <c r="L57" i="44"/>
  <c r="K58" i="44"/>
  <c r="L58" i="44"/>
  <c r="K60" i="44"/>
  <c r="L60" i="44"/>
  <c r="K63" i="44"/>
  <c r="L63" i="44"/>
  <c r="K64" i="44"/>
  <c r="K65" i="44"/>
  <c r="L65" i="44"/>
  <c r="K67" i="44"/>
  <c r="L67" i="44"/>
  <c r="K70" i="44"/>
  <c r="L70" i="44"/>
  <c r="K71" i="44"/>
  <c r="K72" i="44"/>
  <c r="L72" i="44"/>
  <c r="K74" i="44"/>
  <c r="L74" i="44"/>
  <c r="K77" i="44"/>
  <c r="L77" i="44"/>
  <c r="K78" i="44"/>
  <c r="L78" i="44"/>
  <c r="K79" i="44"/>
  <c r="L79" i="44"/>
  <c r="K81" i="44"/>
  <c r="L81" i="44"/>
  <c r="K84" i="44"/>
  <c r="L84" i="44"/>
  <c r="K85" i="44"/>
  <c r="K86" i="44"/>
  <c r="L86" i="44"/>
  <c r="K88" i="44"/>
  <c r="L88" i="44"/>
  <c r="K91" i="44"/>
  <c r="L91" i="44"/>
  <c r="K92" i="44"/>
  <c r="L92" i="44"/>
  <c r="K95" i="44"/>
  <c r="L95" i="44"/>
  <c r="K96" i="44"/>
  <c r="L96" i="44"/>
  <c r="K97" i="44"/>
  <c r="L97" i="44"/>
  <c r="K98" i="44"/>
  <c r="L98" i="44"/>
  <c r="K101" i="44"/>
  <c r="L101" i="44"/>
  <c r="K102" i="44"/>
  <c r="L102" i="44"/>
  <c r="K105" i="44"/>
  <c r="L105" i="44"/>
  <c r="K107" i="44"/>
  <c r="L107" i="44"/>
  <c r="K108" i="44"/>
  <c r="L108" i="44"/>
  <c r="K109" i="44"/>
  <c r="L109" i="44"/>
  <c r="K110" i="44"/>
  <c r="L110" i="44"/>
  <c r="K113" i="44"/>
  <c r="L113" i="44"/>
  <c r="K115" i="44"/>
  <c r="L115" i="44"/>
  <c r="K116" i="44"/>
  <c r="K117" i="44"/>
  <c r="L117" i="44"/>
  <c r="K118" i="44"/>
  <c r="L118" i="44"/>
  <c r="K120" i="44"/>
  <c r="L120" i="44"/>
  <c r="K124" i="44"/>
  <c r="L124" i="44"/>
  <c r="L125" i="44"/>
  <c r="K126" i="44"/>
  <c r="L126" i="44"/>
  <c r="K127" i="44"/>
  <c r="L127" i="44"/>
  <c r="K14" i="43"/>
  <c r="L14" i="43"/>
  <c r="K15" i="43"/>
  <c r="L15" i="43"/>
  <c r="K16" i="43"/>
  <c r="L16" i="43"/>
  <c r="K19" i="43"/>
  <c r="L19" i="43"/>
  <c r="K20" i="43"/>
  <c r="L20" i="43"/>
  <c r="K24" i="43"/>
  <c r="L24" i="43"/>
  <c r="K25" i="43"/>
  <c r="L25" i="43"/>
  <c r="K28" i="43"/>
  <c r="L28" i="43"/>
  <c r="K31" i="43"/>
  <c r="L31" i="43"/>
  <c r="K32" i="43"/>
  <c r="L32" i="43"/>
  <c r="K35" i="43"/>
  <c r="L35" i="43"/>
  <c r="K36" i="43"/>
  <c r="L36" i="43"/>
  <c r="K39" i="43"/>
  <c r="L39" i="43"/>
  <c r="K42" i="43"/>
  <c r="L42" i="43"/>
  <c r="K43" i="43"/>
  <c r="L43" i="43"/>
  <c r="K46" i="43"/>
  <c r="L46" i="43"/>
  <c r="K49" i="43"/>
  <c r="L49" i="43"/>
  <c r="K52" i="43"/>
  <c r="L52" i="43"/>
  <c r="K55" i="43"/>
  <c r="L55" i="43"/>
  <c r="K56" i="43"/>
  <c r="L56" i="43"/>
  <c r="K59" i="43"/>
  <c r="L59" i="43"/>
  <c r="K60" i="43"/>
  <c r="L60" i="43"/>
  <c r="K63" i="43"/>
  <c r="L63" i="43"/>
  <c r="K64" i="43"/>
  <c r="L64" i="43"/>
  <c r="K67" i="43"/>
  <c r="L67" i="43"/>
  <c r="L70" i="43"/>
  <c r="K71" i="43"/>
  <c r="L71" i="43"/>
  <c r="K72" i="43"/>
  <c r="L72" i="43"/>
  <c r="K75" i="43"/>
  <c r="L75" i="43"/>
  <c r="K76" i="43"/>
  <c r="L76" i="43"/>
  <c r="K79" i="43"/>
  <c r="L79" i="43"/>
  <c r="K82" i="43"/>
  <c r="L82" i="43"/>
  <c r="K83" i="43"/>
  <c r="L83" i="43"/>
  <c r="K86" i="43"/>
  <c r="L86" i="43"/>
  <c r="K87" i="43"/>
  <c r="L87" i="43"/>
  <c r="K90" i="43"/>
  <c r="L90" i="43"/>
  <c r="K93" i="43"/>
  <c r="L93" i="43"/>
  <c r="K94" i="43"/>
  <c r="L94" i="43"/>
  <c r="K97" i="43"/>
  <c r="L97" i="43"/>
  <c r="K98" i="43"/>
  <c r="L98" i="43"/>
  <c r="K101" i="43"/>
  <c r="L101" i="43"/>
  <c r="K104" i="43"/>
  <c r="L104" i="43"/>
  <c r="K105" i="43"/>
  <c r="L105" i="43"/>
  <c r="K108" i="43"/>
  <c r="L108" i="43"/>
  <c r="K109" i="43"/>
  <c r="L109" i="43"/>
  <c r="K112" i="43"/>
  <c r="L112" i="43"/>
  <c r="K115" i="43"/>
  <c r="L115" i="43"/>
  <c r="L118" i="43"/>
  <c r="K119" i="43"/>
  <c r="L119" i="43"/>
  <c r="K120" i="43"/>
  <c r="L120" i="43"/>
  <c r="K123" i="43"/>
  <c r="L123" i="43"/>
  <c r="K124" i="43"/>
  <c r="L124" i="43"/>
  <c r="K125" i="43"/>
  <c r="L125" i="43"/>
  <c r="K127" i="43"/>
  <c r="L127" i="43"/>
  <c r="K130" i="43"/>
  <c r="L130" i="43"/>
  <c r="K131" i="43"/>
  <c r="L131" i="43"/>
  <c r="K133" i="43"/>
  <c r="L133" i="43"/>
  <c r="K135" i="43"/>
  <c r="L135" i="43"/>
  <c r="K137" i="43"/>
  <c r="K138" i="43"/>
  <c r="L138" i="43"/>
  <c r="K140" i="43"/>
  <c r="L140" i="43"/>
  <c r="K144" i="43"/>
  <c r="L144" i="43"/>
  <c r="K146" i="43"/>
  <c r="L146" i="43"/>
  <c r="K149" i="43"/>
  <c r="K150" i="43"/>
  <c r="L150" i="43"/>
  <c r="K152" i="43"/>
  <c r="L152" i="43"/>
  <c r="K155" i="43"/>
  <c r="K156" i="43"/>
  <c r="L156" i="43"/>
  <c r="K157" i="43"/>
  <c r="L157" i="43"/>
  <c r="K160" i="43"/>
  <c r="L160" i="43"/>
  <c r="K161" i="43"/>
  <c r="L161" i="43"/>
  <c r="K163" i="43"/>
  <c r="L163" i="43"/>
  <c r="L166" i="43"/>
  <c r="K167" i="43"/>
  <c r="L167" i="43"/>
  <c r="K168" i="43"/>
  <c r="L168" i="43"/>
  <c r="K172" i="43"/>
  <c r="L172" i="43"/>
  <c r="K173" i="43"/>
  <c r="L173" i="43"/>
  <c r="K175" i="43"/>
  <c r="L175" i="43"/>
  <c r="K178" i="43"/>
  <c r="L178" i="43"/>
  <c r="K179" i="43"/>
  <c r="K180" i="43"/>
  <c r="L180" i="43"/>
  <c r="K182" i="43"/>
  <c r="L182" i="43"/>
  <c r="K185" i="43"/>
  <c r="K186" i="43"/>
  <c r="L186" i="43"/>
  <c r="K188" i="43"/>
  <c r="L188" i="43"/>
  <c r="K192" i="43"/>
  <c r="L192" i="43"/>
  <c r="K193" i="43"/>
  <c r="L193" i="43"/>
  <c r="K195" i="43"/>
  <c r="L195" i="43"/>
  <c r="K199" i="43"/>
  <c r="L199" i="43"/>
  <c r="K201" i="43"/>
  <c r="L201" i="43"/>
  <c r="K204" i="43"/>
  <c r="L204" i="43"/>
  <c r="K205" i="43"/>
  <c r="L205" i="43"/>
  <c r="K207" i="43"/>
  <c r="L207" i="43"/>
  <c r="K209" i="43"/>
  <c r="L209" i="43"/>
  <c r="K211" i="43"/>
  <c r="L211" i="43"/>
  <c r="K212" i="43"/>
  <c r="L212" i="43"/>
  <c r="K214" i="43"/>
  <c r="L214" i="43"/>
  <c r="K217" i="43"/>
  <c r="L217" i="43"/>
  <c r="K218" i="43"/>
  <c r="L218" i="43"/>
  <c r="K220" i="43"/>
  <c r="L220" i="43"/>
  <c r="K223" i="43"/>
  <c r="L223" i="43"/>
  <c r="K224" i="43"/>
  <c r="L224" i="43"/>
  <c r="K226" i="43"/>
  <c r="L226" i="43"/>
  <c r="K229" i="43"/>
  <c r="L229" i="43"/>
  <c r="K230" i="43"/>
  <c r="L230" i="43"/>
  <c r="K232" i="43"/>
  <c r="L232" i="43"/>
  <c r="K235" i="43"/>
  <c r="L235" i="43"/>
  <c r="K236" i="43"/>
  <c r="L236" i="43"/>
  <c r="K238" i="43"/>
  <c r="L238" i="43"/>
  <c r="L241" i="43"/>
  <c r="K242" i="43"/>
  <c r="L242" i="43"/>
  <c r="K244" i="43"/>
  <c r="L244" i="43"/>
  <c r="K247" i="43"/>
  <c r="L247" i="43"/>
  <c r="K248" i="43"/>
  <c r="L248" i="43"/>
  <c r="K249" i="43"/>
  <c r="L249" i="43"/>
  <c r="K251" i="43"/>
  <c r="L251" i="43"/>
  <c r="K254" i="43"/>
  <c r="L254" i="43"/>
  <c r="K256" i="43"/>
  <c r="L256" i="43"/>
  <c r="K257" i="43"/>
  <c r="L257" i="43"/>
  <c r="K260" i="43"/>
  <c r="L260" i="43"/>
  <c r="K261" i="43"/>
  <c r="L261" i="43"/>
  <c r="K264" i="43"/>
  <c r="L264" i="43"/>
  <c r="K265" i="43"/>
  <c r="L265" i="43"/>
  <c r="K267" i="43"/>
  <c r="L267" i="43"/>
  <c r="K270" i="43"/>
  <c r="L270" i="43"/>
  <c r="K271" i="43"/>
  <c r="L271" i="43"/>
  <c r="K274" i="43"/>
  <c r="L274" i="43"/>
  <c r="K275" i="43"/>
  <c r="L275" i="43"/>
  <c r="K276" i="43"/>
  <c r="L276" i="43"/>
  <c r="K278" i="43"/>
  <c r="L278" i="43"/>
  <c r="K281" i="43"/>
  <c r="K282" i="43"/>
  <c r="L282" i="43"/>
  <c r="K283" i="43"/>
  <c r="L283" i="43"/>
  <c r="K286" i="43"/>
  <c r="L286" i="43"/>
  <c r="K287" i="43"/>
  <c r="L287" i="43"/>
  <c r="K288" i="43"/>
  <c r="L288" i="43"/>
  <c r="K290" i="43"/>
  <c r="L290" i="43"/>
  <c r="K294" i="43"/>
  <c r="L294" i="43"/>
  <c r="K296" i="43"/>
  <c r="L296" i="43"/>
  <c r="L297" i="43"/>
  <c r="K298" i="43"/>
  <c r="L298" i="43"/>
  <c r="K300" i="43"/>
  <c r="L300" i="43"/>
  <c r="K303" i="43"/>
  <c r="L303" i="43"/>
  <c r="K304" i="43"/>
  <c r="K305" i="43"/>
  <c r="L305" i="43"/>
  <c r="K307" i="43"/>
  <c r="L307" i="43"/>
  <c r="K310" i="43"/>
  <c r="L310" i="43"/>
  <c r="K311" i="43"/>
  <c r="L311" i="43"/>
  <c r="K314" i="43"/>
  <c r="L314" i="43"/>
  <c r="K315" i="43"/>
  <c r="L315" i="43"/>
  <c r="K317" i="43"/>
  <c r="L317" i="43"/>
  <c r="K320" i="43"/>
  <c r="L320" i="43"/>
  <c r="K322" i="43"/>
  <c r="L322" i="43"/>
  <c r="K325" i="43"/>
  <c r="L325" i="43"/>
  <c r="K326" i="43"/>
  <c r="L326" i="43"/>
  <c r="K329" i="43"/>
  <c r="L329" i="43"/>
  <c r="K332" i="43"/>
  <c r="L332" i="43"/>
  <c r="L333" i="43"/>
  <c r="K334" i="43"/>
  <c r="L334" i="43"/>
  <c r="K335" i="43"/>
  <c r="L335" i="43"/>
  <c r="K337" i="43"/>
  <c r="L337" i="43"/>
  <c r="K340" i="43"/>
  <c r="L340" i="43"/>
  <c r="K341" i="43"/>
  <c r="L341" i="43"/>
  <c r="K343" i="43"/>
  <c r="L343" i="43"/>
  <c r="L346" i="43"/>
  <c r="K347" i="43"/>
  <c r="L347" i="43"/>
  <c r="K349" i="43"/>
  <c r="L349" i="43"/>
  <c r="K351" i="43"/>
  <c r="L351" i="43"/>
  <c r="L353" i="43"/>
  <c r="K354" i="43"/>
  <c r="L354" i="43"/>
  <c r="K355" i="43"/>
  <c r="L355" i="43"/>
  <c r="K358" i="43"/>
  <c r="L358" i="43"/>
  <c r="L359" i="43"/>
  <c r="K360" i="43"/>
  <c r="L360" i="43"/>
  <c r="K362" i="43"/>
  <c r="L362" i="43"/>
  <c r="K365" i="43"/>
  <c r="L365" i="43"/>
  <c r="K366" i="43"/>
  <c r="L366" i="43"/>
  <c r="K371" i="43"/>
  <c r="L371" i="43"/>
  <c r="K372" i="43"/>
  <c r="L372" i="43"/>
  <c r="K373" i="43"/>
  <c r="L373" i="43"/>
  <c r="K375" i="43"/>
  <c r="L375" i="43"/>
  <c r="L378" i="43"/>
  <c r="K379" i="43"/>
  <c r="L379" i="43"/>
  <c r="K380" i="43"/>
  <c r="L380" i="43"/>
  <c r="K381" i="43"/>
  <c r="L381" i="43"/>
  <c r="K384" i="43"/>
  <c r="L384" i="43"/>
  <c r="K385" i="43"/>
  <c r="L385" i="43"/>
  <c r="K388" i="43"/>
  <c r="L388" i="43"/>
  <c r="K389" i="43"/>
  <c r="L389" i="43"/>
  <c r="K391" i="43"/>
  <c r="L391" i="43"/>
  <c r="K393" i="43"/>
  <c r="L393" i="43"/>
  <c r="K395" i="43"/>
  <c r="L395" i="43"/>
  <c r="K396" i="43"/>
  <c r="L396" i="43"/>
  <c r="K397" i="43"/>
  <c r="L397" i="43"/>
  <c r="K399" i="43"/>
  <c r="L399" i="43"/>
  <c r="K402" i="43"/>
  <c r="L402" i="43"/>
  <c r="K405" i="43"/>
  <c r="L405" i="43"/>
  <c r="K406" i="43"/>
  <c r="L406" i="43"/>
  <c r="K408" i="43"/>
  <c r="L408" i="43"/>
  <c r="K411" i="43"/>
  <c r="L411" i="43"/>
  <c r="K412" i="43"/>
  <c r="L412" i="43"/>
  <c r="K413" i="43"/>
  <c r="L413" i="43"/>
  <c r="K415" i="43"/>
  <c r="L415" i="43"/>
  <c r="K418" i="43"/>
  <c r="L418" i="43"/>
  <c r="L419" i="43"/>
  <c r="K420" i="43"/>
  <c r="L420" i="43"/>
  <c r="K422" i="43"/>
  <c r="L422" i="43"/>
  <c r="K425" i="43"/>
  <c r="L425" i="43"/>
  <c r="K426" i="43"/>
  <c r="K427" i="43"/>
  <c r="L427" i="43"/>
  <c r="K429" i="43"/>
  <c r="L429" i="43"/>
  <c r="K432" i="43"/>
  <c r="L432" i="43"/>
  <c r="K433" i="43"/>
  <c r="L433" i="43"/>
  <c r="K434" i="43"/>
  <c r="L434" i="43"/>
  <c r="K436" i="43"/>
  <c r="L436" i="43"/>
  <c r="K439" i="43"/>
  <c r="L439" i="43"/>
  <c r="K440" i="43"/>
  <c r="L440" i="43"/>
  <c r="K441" i="43"/>
  <c r="L441" i="43"/>
  <c r="K443" i="43"/>
  <c r="L443" i="43"/>
  <c r="K446" i="43"/>
  <c r="L446" i="43"/>
  <c r="K448" i="43"/>
  <c r="L448" i="43"/>
  <c r="K450" i="43"/>
  <c r="L450" i="43"/>
  <c r="K453" i="43"/>
  <c r="L453" i="43"/>
  <c r="K456" i="43"/>
  <c r="L456" i="43"/>
  <c r="L12" i="43"/>
  <c r="L13" i="43" s="1"/>
  <c r="K12" i="43"/>
  <c r="K13" i="43" s="1"/>
  <c r="P458" i="43"/>
  <c r="O458" i="43"/>
  <c r="M458" i="43"/>
  <c r="J458" i="43"/>
  <c r="P455" i="43"/>
  <c r="O455" i="43"/>
  <c r="M455" i="43"/>
  <c r="J455" i="43"/>
  <c r="P452" i="43"/>
  <c r="O452" i="43"/>
  <c r="M452" i="43"/>
  <c r="J452" i="43"/>
  <c r="P445" i="43"/>
  <c r="O445" i="43"/>
  <c r="M445" i="43"/>
  <c r="J445" i="43"/>
  <c r="P438" i="43"/>
  <c r="O438" i="43"/>
  <c r="M438" i="43"/>
  <c r="J438" i="43"/>
  <c r="P431" i="43"/>
  <c r="O431" i="43"/>
  <c r="M431" i="43"/>
  <c r="J431" i="43"/>
  <c r="P424" i="43"/>
  <c r="O424" i="43"/>
  <c r="M424" i="43"/>
  <c r="J424" i="43"/>
  <c r="P417" i="43"/>
  <c r="O417" i="43"/>
  <c r="M417" i="43"/>
  <c r="J417" i="43"/>
  <c r="P410" i="43"/>
  <c r="O410" i="43"/>
  <c r="M410" i="43"/>
  <c r="J410" i="43"/>
  <c r="P404" i="43"/>
  <c r="O404" i="43"/>
  <c r="M404" i="43"/>
  <c r="J404" i="43"/>
  <c r="P401" i="43"/>
  <c r="O401" i="43"/>
  <c r="M401" i="43"/>
  <c r="J401" i="43"/>
  <c r="P394" i="43"/>
  <c r="O394" i="43"/>
  <c r="M394" i="43"/>
  <c r="J394" i="43"/>
  <c r="P387" i="43"/>
  <c r="O387" i="43"/>
  <c r="M387" i="43"/>
  <c r="J387" i="43"/>
  <c r="P383" i="43"/>
  <c r="O383" i="43"/>
  <c r="M383" i="43"/>
  <c r="J383" i="43"/>
  <c r="P377" i="43"/>
  <c r="O377" i="43"/>
  <c r="M377" i="43"/>
  <c r="J377" i="43"/>
  <c r="P368" i="43"/>
  <c r="O368" i="43"/>
  <c r="M368" i="43"/>
  <c r="J368" i="43"/>
  <c r="P364" i="43"/>
  <c r="O364" i="43"/>
  <c r="M364" i="43"/>
  <c r="J364" i="43"/>
  <c r="P357" i="43"/>
  <c r="O357" i="43"/>
  <c r="M357" i="43"/>
  <c r="J357" i="43"/>
  <c r="P352" i="43"/>
  <c r="O352" i="43"/>
  <c r="M352" i="43"/>
  <c r="J352" i="43"/>
  <c r="P345" i="43"/>
  <c r="O345" i="43"/>
  <c r="M345" i="43"/>
  <c r="J345" i="43"/>
  <c r="P339" i="43"/>
  <c r="O339" i="43"/>
  <c r="M339" i="43"/>
  <c r="J339" i="43"/>
  <c r="P331" i="43"/>
  <c r="O331" i="43"/>
  <c r="M331" i="43"/>
  <c r="J331" i="43"/>
  <c r="P328" i="43"/>
  <c r="O328" i="43"/>
  <c r="M328" i="43"/>
  <c r="J328" i="43"/>
  <c r="P324" i="43"/>
  <c r="O324" i="43"/>
  <c r="M324" i="43"/>
  <c r="J324" i="43"/>
  <c r="P321" i="43"/>
  <c r="O321" i="43"/>
  <c r="M321" i="43"/>
  <c r="J321" i="43"/>
  <c r="P319" i="43"/>
  <c r="O319" i="43"/>
  <c r="M319" i="43"/>
  <c r="J319" i="43"/>
  <c r="P313" i="43"/>
  <c r="O313" i="43"/>
  <c r="M313" i="43"/>
  <c r="J313" i="43"/>
  <c r="P309" i="43"/>
  <c r="O309" i="43"/>
  <c r="M309" i="43"/>
  <c r="J309" i="43"/>
  <c r="P302" i="43"/>
  <c r="O302" i="43"/>
  <c r="M302" i="43"/>
  <c r="J302" i="43"/>
  <c r="P295" i="43"/>
  <c r="O295" i="43"/>
  <c r="M295" i="43"/>
  <c r="J295" i="43"/>
  <c r="P293" i="43"/>
  <c r="O293" i="43"/>
  <c r="M293" i="43"/>
  <c r="J293" i="43"/>
  <c r="P285" i="43"/>
  <c r="O285" i="43"/>
  <c r="M285" i="43"/>
  <c r="J285" i="43"/>
  <c r="P280" i="43"/>
  <c r="O280" i="43"/>
  <c r="M280" i="43"/>
  <c r="J280" i="43"/>
  <c r="P273" i="43"/>
  <c r="O273" i="43"/>
  <c r="M273" i="43"/>
  <c r="J273" i="43"/>
  <c r="P269" i="43"/>
  <c r="O269" i="43"/>
  <c r="M269" i="43"/>
  <c r="J269" i="43"/>
  <c r="P263" i="43"/>
  <c r="O263" i="43"/>
  <c r="M263" i="43"/>
  <c r="J263" i="43"/>
  <c r="P259" i="43"/>
  <c r="O259" i="43"/>
  <c r="M259" i="43"/>
  <c r="J259" i="43"/>
  <c r="P255" i="43"/>
  <c r="O255" i="43"/>
  <c r="M255" i="43"/>
  <c r="J255" i="43"/>
  <c r="P253" i="43"/>
  <c r="O253" i="43"/>
  <c r="M253" i="43"/>
  <c r="J253" i="43"/>
  <c r="P246" i="43"/>
  <c r="O246" i="43"/>
  <c r="M246" i="43"/>
  <c r="J246" i="43"/>
  <c r="P240" i="43"/>
  <c r="O240" i="43"/>
  <c r="M240" i="43"/>
  <c r="J240" i="43"/>
  <c r="P234" i="43"/>
  <c r="O234" i="43"/>
  <c r="M234" i="43"/>
  <c r="J234" i="43"/>
  <c r="P228" i="43"/>
  <c r="O228" i="43"/>
  <c r="M228" i="43"/>
  <c r="J228" i="43"/>
  <c r="P222" i="43"/>
  <c r="O222" i="43"/>
  <c r="M222" i="43"/>
  <c r="J222" i="43"/>
  <c r="P216" i="43"/>
  <c r="O216" i="43"/>
  <c r="M216" i="43"/>
  <c r="J216" i="43"/>
  <c r="P210" i="43"/>
  <c r="O210" i="43"/>
  <c r="M210" i="43"/>
  <c r="J210" i="43"/>
  <c r="P203" i="43"/>
  <c r="O203" i="43"/>
  <c r="M203" i="43"/>
  <c r="J203" i="43"/>
  <c r="P197" i="43"/>
  <c r="O197" i="43"/>
  <c r="M197" i="43"/>
  <c r="J197" i="43"/>
  <c r="P191" i="43"/>
  <c r="O191" i="43"/>
  <c r="M191" i="43"/>
  <c r="J191" i="43"/>
  <c r="P184" i="43"/>
  <c r="O184" i="43"/>
  <c r="M184" i="43"/>
  <c r="J184" i="43"/>
  <c r="P177" i="43"/>
  <c r="O177" i="43"/>
  <c r="M177" i="43"/>
  <c r="J177" i="43"/>
  <c r="P171" i="43"/>
  <c r="O171" i="43"/>
  <c r="M171" i="43"/>
  <c r="J171" i="43"/>
  <c r="P165" i="43"/>
  <c r="O165" i="43"/>
  <c r="M165" i="43"/>
  <c r="J165" i="43"/>
  <c r="P159" i="43"/>
  <c r="O159" i="43"/>
  <c r="M159" i="43"/>
  <c r="J159" i="43"/>
  <c r="P154" i="43"/>
  <c r="O154" i="43"/>
  <c r="M154" i="43"/>
  <c r="J154" i="43"/>
  <c r="P148" i="43"/>
  <c r="O148" i="43"/>
  <c r="M148" i="43"/>
  <c r="J148" i="43"/>
  <c r="P142" i="43"/>
  <c r="O142" i="43"/>
  <c r="M142" i="43"/>
  <c r="J142" i="43"/>
  <c r="P136" i="43"/>
  <c r="O136" i="43"/>
  <c r="M136" i="43"/>
  <c r="J136" i="43"/>
  <c r="P129" i="43"/>
  <c r="O129" i="43"/>
  <c r="M129" i="43"/>
  <c r="J129" i="43"/>
  <c r="P122" i="43"/>
  <c r="O122" i="43"/>
  <c r="M122" i="43"/>
  <c r="J122" i="43"/>
  <c r="P117" i="43"/>
  <c r="O117" i="43"/>
  <c r="M117" i="43"/>
  <c r="J117" i="43"/>
  <c r="P114" i="43"/>
  <c r="O114" i="43"/>
  <c r="M114" i="43"/>
  <c r="J114" i="43"/>
  <c r="P111" i="43"/>
  <c r="O111" i="43"/>
  <c r="M111" i="43"/>
  <c r="J111" i="43"/>
  <c r="P107" i="43"/>
  <c r="O107" i="43"/>
  <c r="M107" i="43"/>
  <c r="J107" i="43"/>
  <c r="P103" i="43"/>
  <c r="O103" i="43"/>
  <c r="M103" i="43"/>
  <c r="J103" i="43"/>
  <c r="P100" i="43"/>
  <c r="O100" i="43"/>
  <c r="M100" i="43"/>
  <c r="J100" i="43"/>
  <c r="P96" i="43"/>
  <c r="O96" i="43"/>
  <c r="M96" i="43"/>
  <c r="J96" i="43"/>
  <c r="P92" i="43"/>
  <c r="O92" i="43"/>
  <c r="M92" i="43"/>
  <c r="J92" i="43"/>
  <c r="P89" i="43"/>
  <c r="O89" i="43"/>
  <c r="M89" i="43"/>
  <c r="J89" i="43"/>
  <c r="P85" i="43"/>
  <c r="O85" i="43"/>
  <c r="M85" i="43"/>
  <c r="J85" i="43"/>
  <c r="P81" i="43"/>
  <c r="O81" i="43"/>
  <c r="M81" i="43"/>
  <c r="J81" i="43"/>
  <c r="P78" i="43"/>
  <c r="O78" i="43"/>
  <c r="M78" i="43"/>
  <c r="J78" i="43"/>
  <c r="P74" i="43"/>
  <c r="O74" i="43"/>
  <c r="M74" i="43"/>
  <c r="J74" i="43"/>
  <c r="P69" i="43"/>
  <c r="O69" i="43"/>
  <c r="M69" i="43"/>
  <c r="J69" i="43"/>
  <c r="P66" i="43"/>
  <c r="O66" i="43"/>
  <c r="M66" i="43"/>
  <c r="J66" i="43"/>
  <c r="P62" i="43"/>
  <c r="O62" i="43"/>
  <c r="M62" i="43"/>
  <c r="J62" i="43"/>
  <c r="P58" i="43"/>
  <c r="O58" i="43"/>
  <c r="M58" i="43"/>
  <c r="J58" i="43"/>
  <c r="P54" i="43"/>
  <c r="O54" i="43"/>
  <c r="M54" i="43"/>
  <c r="J54" i="43"/>
  <c r="P51" i="43"/>
  <c r="O51" i="43"/>
  <c r="M51" i="43"/>
  <c r="J51" i="43"/>
  <c r="P48" i="43"/>
  <c r="O48" i="43"/>
  <c r="M48" i="43"/>
  <c r="J48" i="43"/>
  <c r="P45" i="43"/>
  <c r="O45" i="43"/>
  <c r="M45" i="43"/>
  <c r="J45" i="43"/>
  <c r="P41" i="43"/>
  <c r="O41" i="43"/>
  <c r="M41" i="43"/>
  <c r="J41" i="43"/>
  <c r="P38" i="43"/>
  <c r="O38" i="43"/>
  <c r="M38" i="43"/>
  <c r="J38" i="43"/>
  <c r="P34" i="43"/>
  <c r="O34" i="43"/>
  <c r="M34" i="43"/>
  <c r="J34" i="43"/>
  <c r="P30" i="43"/>
  <c r="O30" i="43"/>
  <c r="M30" i="43"/>
  <c r="J30" i="43"/>
  <c r="P27" i="43"/>
  <c r="O27" i="43"/>
  <c r="M27" i="43"/>
  <c r="J27" i="43"/>
  <c r="P22" i="43"/>
  <c r="O22" i="43"/>
  <c r="M22" i="43"/>
  <c r="J22" i="43"/>
  <c r="P18" i="43"/>
  <c r="O18" i="43"/>
  <c r="M18" i="43"/>
  <c r="J18" i="43"/>
  <c r="P13" i="43"/>
  <c r="O13" i="43"/>
  <c r="M13" i="43"/>
  <c r="J13" i="43"/>
  <c r="N14" i="44"/>
  <c r="N15" i="44"/>
  <c r="N16" i="44"/>
  <c r="N19" i="44"/>
  <c r="N20" i="44"/>
  <c r="N21" i="44"/>
  <c r="N23" i="44"/>
  <c r="N25" i="44"/>
  <c r="N26" i="44"/>
  <c r="N28" i="44"/>
  <c r="N29" i="44"/>
  <c r="N30" i="44"/>
  <c r="N32" i="44"/>
  <c r="N35" i="44"/>
  <c r="N36" i="44"/>
  <c r="N37" i="44"/>
  <c r="N39" i="44"/>
  <c r="N42" i="44"/>
  <c r="N43" i="44"/>
  <c r="N44" i="44"/>
  <c r="N46" i="44"/>
  <c r="N49" i="44"/>
  <c r="N50" i="44"/>
  <c r="N51" i="44"/>
  <c r="N53" i="44"/>
  <c r="N56" i="44"/>
  <c r="N57" i="44"/>
  <c r="N58" i="44"/>
  <c r="N60" i="44"/>
  <c r="N63" i="44"/>
  <c r="N64" i="44"/>
  <c r="N65" i="44"/>
  <c r="N67" i="44"/>
  <c r="N70" i="44"/>
  <c r="N71" i="44"/>
  <c r="N72" i="44"/>
  <c r="N74" i="44"/>
  <c r="N77" i="44"/>
  <c r="N78" i="44"/>
  <c r="N79" i="44"/>
  <c r="N81" i="44"/>
  <c r="N84" i="44"/>
  <c r="N85" i="44"/>
  <c r="N86" i="44"/>
  <c r="N88" i="44"/>
  <c r="N91" i="44"/>
  <c r="N92" i="44"/>
  <c r="N95" i="44"/>
  <c r="N96" i="44"/>
  <c r="N97" i="44"/>
  <c r="N98" i="44"/>
  <c r="N101" i="44"/>
  <c r="N102" i="44"/>
  <c r="N105" i="44"/>
  <c r="N107" i="44"/>
  <c r="N108" i="44"/>
  <c r="N109" i="44"/>
  <c r="N110" i="44"/>
  <c r="N115" i="44"/>
  <c r="N116" i="44"/>
  <c r="N117" i="44"/>
  <c r="N118" i="44"/>
  <c r="N120" i="44"/>
  <c r="N124" i="44"/>
  <c r="N125" i="44"/>
  <c r="N126" i="44"/>
  <c r="N127" i="44"/>
  <c r="I467" i="43"/>
  <c r="I468" i="43"/>
  <c r="N14" i="43"/>
  <c r="N15" i="43"/>
  <c r="N16" i="43"/>
  <c r="N19" i="43"/>
  <c r="N20" i="43"/>
  <c r="N23" i="43"/>
  <c r="N24" i="43"/>
  <c r="N25" i="43"/>
  <c r="N28" i="43"/>
  <c r="N31" i="43"/>
  <c r="N32" i="43"/>
  <c r="N35" i="43"/>
  <c r="N36" i="43"/>
  <c r="N39" i="43"/>
  <c r="N42" i="43"/>
  <c r="N43" i="43"/>
  <c r="N46" i="43"/>
  <c r="N49" i="43"/>
  <c r="N52" i="43"/>
  <c r="N55" i="43"/>
  <c r="N56" i="43"/>
  <c r="N59" i="43"/>
  <c r="N60" i="43"/>
  <c r="N63" i="43"/>
  <c r="N64" i="43"/>
  <c r="N67" i="43"/>
  <c r="N70" i="43"/>
  <c r="N71" i="43"/>
  <c r="N72" i="43"/>
  <c r="N75" i="43"/>
  <c r="N76" i="43"/>
  <c r="N79" i="43"/>
  <c r="N82" i="43"/>
  <c r="N83" i="43"/>
  <c r="N86" i="43"/>
  <c r="N87" i="43"/>
  <c r="N90" i="43"/>
  <c r="N93" i="43"/>
  <c r="N94" i="43"/>
  <c r="N97" i="43"/>
  <c r="N98" i="43"/>
  <c r="N101" i="43"/>
  <c r="N104" i="43"/>
  <c r="N105" i="43"/>
  <c r="N108" i="43"/>
  <c r="N109" i="43"/>
  <c r="N112" i="43"/>
  <c r="N115" i="43"/>
  <c r="N118" i="43"/>
  <c r="N119" i="43"/>
  <c r="N120" i="43"/>
  <c r="N123" i="43"/>
  <c r="N124" i="43"/>
  <c r="N125" i="43"/>
  <c r="N127" i="43"/>
  <c r="N130" i="43"/>
  <c r="N131" i="43"/>
  <c r="N133" i="43"/>
  <c r="N135" i="43"/>
  <c r="N137" i="43"/>
  <c r="N138" i="43"/>
  <c r="N140" i="43"/>
  <c r="N143" i="43"/>
  <c r="N144" i="43"/>
  <c r="N146" i="43"/>
  <c r="N149" i="43"/>
  <c r="N150" i="43"/>
  <c r="N152" i="43"/>
  <c r="N155" i="43"/>
  <c r="N156" i="43"/>
  <c r="N157" i="43"/>
  <c r="N160" i="43"/>
  <c r="N161" i="43"/>
  <c r="N163" i="43"/>
  <c r="N166" i="43"/>
  <c r="N167" i="43"/>
  <c r="N168" i="43"/>
  <c r="N172" i="43"/>
  <c r="N173" i="43"/>
  <c r="N175" i="43"/>
  <c r="N178" i="43"/>
  <c r="N179" i="43"/>
  <c r="N180" i="43"/>
  <c r="N182" i="43"/>
  <c r="N185" i="43"/>
  <c r="N186" i="43"/>
  <c r="N188" i="43"/>
  <c r="N192" i="43"/>
  <c r="N193" i="43"/>
  <c r="N195" i="43"/>
  <c r="N198" i="43"/>
  <c r="N199" i="43"/>
  <c r="N201" i="43"/>
  <c r="N204" i="43"/>
  <c r="N205" i="43"/>
  <c r="N207" i="43"/>
  <c r="N209" i="43"/>
  <c r="N211" i="43"/>
  <c r="N212" i="43"/>
  <c r="N214" i="43"/>
  <c r="N217" i="43"/>
  <c r="N218" i="43"/>
  <c r="N220" i="43"/>
  <c r="N223" i="43"/>
  <c r="N224" i="43"/>
  <c r="N226" i="43"/>
  <c r="N229" i="43"/>
  <c r="N230" i="43"/>
  <c r="N232" i="43"/>
  <c r="N235" i="43"/>
  <c r="N236" i="43"/>
  <c r="N238" i="43"/>
  <c r="N241" i="43"/>
  <c r="N242" i="43"/>
  <c r="N244" i="43"/>
  <c r="N247" i="43"/>
  <c r="N248" i="43"/>
  <c r="N249" i="43"/>
  <c r="N251" i="43"/>
  <c r="N255" i="43"/>
  <c r="N256" i="43"/>
  <c r="N257" i="43"/>
  <c r="N260" i="43"/>
  <c r="N261" i="43"/>
  <c r="N264" i="43"/>
  <c r="N265" i="43"/>
  <c r="N267" i="43"/>
  <c r="N270" i="43"/>
  <c r="N271" i="43"/>
  <c r="N274" i="43"/>
  <c r="N275" i="43"/>
  <c r="N276" i="43"/>
  <c r="N278" i="43"/>
  <c r="N281" i="43"/>
  <c r="N282" i="43"/>
  <c r="N283" i="43"/>
  <c r="N286" i="43"/>
  <c r="N287" i="43"/>
  <c r="N288" i="43"/>
  <c r="N290" i="43"/>
  <c r="N295" i="43"/>
  <c r="N296" i="43"/>
  <c r="N297" i="43"/>
  <c r="N298" i="43"/>
  <c r="N300" i="43"/>
  <c r="N303" i="43"/>
  <c r="N304" i="43"/>
  <c r="N305" i="43"/>
  <c r="N307" i="43"/>
  <c r="N310" i="43"/>
  <c r="N311" i="43"/>
  <c r="N314" i="43"/>
  <c r="N315" i="43"/>
  <c r="N317" i="43"/>
  <c r="N320" i="43"/>
  <c r="N322" i="43"/>
  <c r="N325" i="43"/>
  <c r="N326" i="43"/>
  <c r="N329" i="43"/>
  <c r="N332" i="43"/>
  <c r="N333" i="43"/>
  <c r="N334" i="43"/>
  <c r="N335" i="43"/>
  <c r="N337" i="43"/>
  <c r="N340" i="43"/>
  <c r="N341" i="43"/>
  <c r="N343" i="43"/>
  <c r="N346" i="43"/>
  <c r="N347" i="43"/>
  <c r="N349" i="43"/>
  <c r="N353" i="43"/>
  <c r="N354" i="43"/>
  <c r="N355" i="43"/>
  <c r="N358" i="43"/>
  <c r="N359" i="43"/>
  <c r="N360" i="43"/>
  <c r="N362" i="43"/>
  <c r="N365" i="43"/>
  <c r="N366" i="43"/>
  <c r="N371" i="43"/>
  <c r="N372" i="43"/>
  <c r="N373" i="43"/>
  <c r="N375" i="43"/>
  <c r="N378" i="43"/>
  <c r="N379" i="43"/>
  <c r="N380" i="43"/>
  <c r="N381" i="43"/>
  <c r="N384" i="43"/>
  <c r="N385" i="43"/>
  <c r="N388" i="43"/>
  <c r="N389" i="43"/>
  <c r="N391" i="43"/>
  <c r="N395" i="43"/>
  <c r="N396" i="43"/>
  <c r="N397" i="43"/>
  <c r="N399" i="43"/>
  <c r="N402" i="43"/>
  <c r="N405" i="43"/>
  <c r="N406" i="43"/>
  <c r="N408" i="43"/>
  <c r="N411" i="43"/>
  <c r="N412" i="43"/>
  <c r="N413" i="43"/>
  <c r="N415" i="43"/>
  <c r="N418" i="43"/>
  <c r="N419" i="43"/>
  <c r="N420" i="43"/>
  <c r="N422" i="43"/>
  <c r="N425" i="43"/>
  <c r="N426" i="43"/>
  <c r="N427" i="43"/>
  <c r="N429" i="43"/>
  <c r="N432" i="43"/>
  <c r="N433" i="43"/>
  <c r="N434" i="43"/>
  <c r="N436" i="43"/>
  <c r="N439" i="43"/>
  <c r="N440" i="43"/>
  <c r="N441" i="43"/>
  <c r="N443" i="43"/>
  <c r="N446" i="43"/>
  <c r="N447" i="43"/>
  <c r="N448" i="43"/>
  <c r="N450" i="43"/>
  <c r="N453" i="43"/>
  <c r="N456" i="43"/>
  <c r="AI406" i="43"/>
  <c r="R406" i="43"/>
  <c r="AI420" i="43"/>
  <c r="R420" i="43"/>
  <c r="AC389" i="43"/>
  <c r="AI380" i="43"/>
  <c r="R380" i="43"/>
  <c r="AI335" i="43"/>
  <c r="R335" i="43"/>
  <c r="AI224" i="43"/>
  <c r="R224" i="43"/>
  <c r="AI218" i="43"/>
  <c r="R218" i="43"/>
  <c r="AI173" i="43"/>
  <c r="R173" i="43"/>
  <c r="R150" i="43"/>
  <c r="AC144" i="43"/>
  <c r="N321" i="43" l="1"/>
  <c r="I419" i="43"/>
  <c r="I346" i="43"/>
  <c r="L321" i="43"/>
  <c r="I304" i="43"/>
  <c r="I281" i="43"/>
  <c r="I166" i="43"/>
  <c r="I149" i="43"/>
  <c r="I426" i="43"/>
  <c r="I422" i="43"/>
  <c r="I378" i="43"/>
  <c r="I373" i="43"/>
  <c r="I371" i="43"/>
  <c r="I365" i="43"/>
  <c r="I360" i="43"/>
  <c r="I353" i="43"/>
  <c r="I349" i="43"/>
  <c r="I333" i="43"/>
  <c r="I329" i="43"/>
  <c r="I325" i="43"/>
  <c r="I315" i="43"/>
  <c r="I311" i="43"/>
  <c r="I307" i="43"/>
  <c r="I296" i="43"/>
  <c r="I290" i="43"/>
  <c r="I287" i="43"/>
  <c r="I283" i="43"/>
  <c r="I241" i="43"/>
  <c r="I236" i="43"/>
  <c r="I232" i="43"/>
  <c r="I229" i="43"/>
  <c r="I224" i="43"/>
  <c r="I220" i="43"/>
  <c r="I217" i="43"/>
  <c r="I212" i="43"/>
  <c r="I209" i="43"/>
  <c r="I205" i="43"/>
  <c r="I201" i="43"/>
  <c r="I195" i="43"/>
  <c r="I192" i="43"/>
  <c r="I186" i="43"/>
  <c r="I178" i="43"/>
  <c r="I173" i="43"/>
  <c r="I168" i="43"/>
  <c r="I152" i="43"/>
  <c r="I137" i="43"/>
  <c r="I133" i="43"/>
  <c r="I130" i="43"/>
  <c r="I125" i="43"/>
  <c r="I123" i="43"/>
  <c r="I119" i="43"/>
  <c r="I70" i="43"/>
  <c r="I64" i="43"/>
  <c r="I60" i="43"/>
  <c r="I56" i="43"/>
  <c r="I52" i="43"/>
  <c r="I46" i="43"/>
  <c r="I42" i="43"/>
  <c r="I36" i="43"/>
  <c r="I32" i="43"/>
  <c r="I28" i="43"/>
  <c r="I24" i="43"/>
  <c r="I19" i="43"/>
  <c r="I15" i="43"/>
  <c r="I359" i="43"/>
  <c r="L295" i="43"/>
  <c r="I185" i="43"/>
  <c r="I118" i="43"/>
  <c r="I425" i="43"/>
  <c r="I420" i="43"/>
  <c r="I375" i="43"/>
  <c r="I372" i="43"/>
  <c r="I366" i="43"/>
  <c r="I362" i="43"/>
  <c r="I351" i="43"/>
  <c r="I347" i="43"/>
  <c r="I332" i="43"/>
  <c r="I326" i="43"/>
  <c r="I322" i="43"/>
  <c r="I317" i="43"/>
  <c r="I314" i="43"/>
  <c r="I310" i="43"/>
  <c r="I305" i="43"/>
  <c r="I297" i="43"/>
  <c r="I288" i="43"/>
  <c r="I286" i="43"/>
  <c r="I282" i="43"/>
  <c r="L255" i="43"/>
  <c r="I238" i="43"/>
  <c r="I235" i="43"/>
  <c r="I230" i="43"/>
  <c r="I226" i="43"/>
  <c r="I223" i="43"/>
  <c r="I218" i="43"/>
  <c r="I214" i="43"/>
  <c r="I211" i="43"/>
  <c r="I207" i="43"/>
  <c r="I204" i="43"/>
  <c r="I199" i="43"/>
  <c r="I193" i="43"/>
  <c r="I188" i="43"/>
  <c r="I179" i="43"/>
  <c r="I175" i="43"/>
  <c r="I172" i="43"/>
  <c r="I167" i="43"/>
  <c r="I155" i="43"/>
  <c r="I150" i="43"/>
  <c r="I135" i="43"/>
  <c r="I131" i="43"/>
  <c r="I127" i="43"/>
  <c r="I124" i="43"/>
  <c r="I120" i="43"/>
  <c r="I67" i="43"/>
  <c r="I63" i="43"/>
  <c r="I59" i="43"/>
  <c r="I55" i="43"/>
  <c r="I49" i="43"/>
  <c r="I43" i="43"/>
  <c r="I39" i="43"/>
  <c r="I35" i="43"/>
  <c r="I31" i="43"/>
  <c r="I25" i="43"/>
  <c r="I20" i="43"/>
  <c r="I16" i="43"/>
  <c r="I14" i="43"/>
  <c r="I313" i="43"/>
  <c r="I285" i="43"/>
  <c r="K321" i="43"/>
  <c r="I320" i="43"/>
  <c r="I456" i="43"/>
  <c r="I450" i="43"/>
  <c r="I446" i="43"/>
  <c r="I441" i="43"/>
  <c r="I439" i="43"/>
  <c r="I434" i="43"/>
  <c r="I432" i="43"/>
  <c r="I427" i="43"/>
  <c r="I415" i="43"/>
  <c r="I412" i="43"/>
  <c r="I408" i="43"/>
  <c r="I405" i="43"/>
  <c r="I399" i="43"/>
  <c r="I396" i="43"/>
  <c r="I393" i="43"/>
  <c r="I389" i="43"/>
  <c r="I385" i="43"/>
  <c r="I381" i="43"/>
  <c r="I379" i="43"/>
  <c r="I355" i="43"/>
  <c r="I343" i="43"/>
  <c r="I340" i="43"/>
  <c r="I335" i="43"/>
  <c r="I303" i="43"/>
  <c r="I298" i="43"/>
  <c r="I278" i="43"/>
  <c r="I275" i="43"/>
  <c r="I271" i="43"/>
  <c r="I267" i="43"/>
  <c r="I264" i="43"/>
  <c r="I260" i="43"/>
  <c r="I256" i="43"/>
  <c r="I251" i="43"/>
  <c r="I248" i="43"/>
  <c r="I244" i="43"/>
  <c r="I180" i="43"/>
  <c r="I163" i="43"/>
  <c r="I160" i="43"/>
  <c r="I156" i="43"/>
  <c r="I146" i="43"/>
  <c r="I140" i="43"/>
  <c r="I112" i="43"/>
  <c r="I108" i="43"/>
  <c r="I104" i="43"/>
  <c r="I98" i="43"/>
  <c r="I94" i="43"/>
  <c r="I90" i="43"/>
  <c r="I86" i="43"/>
  <c r="I82" i="43"/>
  <c r="I76" i="43"/>
  <c r="I72" i="43"/>
  <c r="K295" i="43"/>
  <c r="I294" i="43"/>
  <c r="I453" i="43"/>
  <c r="I448" i="43"/>
  <c r="I443" i="43"/>
  <c r="I440" i="43"/>
  <c r="I436" i="43"/>
  <c r="I433" i="43"/>
  <c r="I429" i="43"/>
  <c r="I418" i="43"/>
  <c r="I413" i="43"/>
  <c r="I411" i="43"/>
  <c r="I406" i="43"/>
  <c r="I402" i="43"/>
  <c r="I397" i="43"/>
  <c r="I395" i="43"/>
  <c r="I391" i="43"/>
  <c r="I388" i="43"/>
  <c r="I384" i="43"/>
  <c r="I380" i="43"/>
  <c r="I358" i="43"/>
  <c r="I354" i="43"/>
  <c r="I341" i="43"/>
  <c r="I337" i="43"/>
  <c r="I334" i="43"/>
  <c r="I300" i="43"/>
  <c r="I276" i="43"/>
  <c r="I274" i="43"/>
  <c r="I270" i="43"/>
  <c r="I265" i="43"/>
  <c r="I261" i="43"/>
  <c r="I257" i="43"/>
  <c r="I254" i="43"/>
  <c r="I249" i="43"/>
  <c r="I247" i="43"/>
  <c r="I242" i="43"/>
  <c r="I182" i="43"/>
  <c r="I161" i="43"/>
  <c r="I157" i="43"/>
  <c r="I144" i="43"/>
  <c r="I138" i="43"/>
  <c r="I115" i="43"/>
  <c r="I109" i="43"/>
  <c r="I105" i="43"/>
  <c r="I101" i="43"/>
  <c r="I97" i="43"/>
  <c r="I93" i="43"/>
  <c r="I87" i="43"/>
  <c r="I83" i="43"/>
  <c r="I79" i="43"/>
  <c r="I75" i="43"/>
  <c r="I71" i="43"/>
  <c r="N106" i="44"/>
  <c r="N90" i="44"/>
  <c r="N69" i="44"/>
  <c r="N48" i="44"/>
  <c r="I127" i="44"/>
  <c r="L106" i="44"/>
  <c r="N94" i="44"/>
  <c r="N76" i="44"/>
  <c r="N55" i="44"/>
  <c r="N41" i="44"/>
  <c r="I116" i="44"/>
  <c r="I102" i="44"/>
  <c r="I96" i="44"/>
  <c r="I92" i="44"/>
  <c r="L90" i="44"/>
  <c r="I53" i="44"/>
  <c r="L55" i="44"/>
  <c r="I37" i="44"/>
  <c r="I29" i="44"/>
  <c r="I23" i="44"/>
  <c r="I64" i="44"/>
  <c r="I36" i="44"/>
  <c r="K106" i="44"/>
  <c r="I71" i="44"/>
  <c r="I43" i="44"/>
  <c r="N83" i="44"/>
  <c r="N62" i="44"/>
  <c r="N34" i="44"/>
  <c r="L129" i="44"/>
  <c r="K114" i="44"/>
  <c r="I109" i="44"/>
  <c r="I98" i="44"/>
  <c r="I88" i="44"/>
  <c r="I65" i="44"/>
  <c r="I57" i="44"/>
  <c r="I26" i="44"/>
  <c r="I125" i="44"/>
  <c r="L114" i="44"/>
  <c r="I85" i="44"/>
  <c r="I50" i="44"/>
  <c r="L83" i="44"/>
  <c r="L104" i="44"/>
  <c r="N104" i="44"/>
  <c r="I107" i="44"/>
  <c r="K112" i="44"/>
  <c r="I70" i="44"/>
  <c r="K76" i="44"/>
  <c r="I42" i="44"/>
  <c r="K48" i="44"/>
  <c r="I19" i="44"/>
  <c r="K27" i="44"/>
  <c r="N18" i="44"/>
  <c r="K129" i="44"/>
  <c r="L123" i="44"/>
  <c r="L100" i="44"/>
  <c r="L94" i="44"/>
  <c r="K90" i="44"/>
  <c r="K83" i="44"/>
  <c r="L62" i="44"/>
  <c r="K55" i="44"/>
  <c r="L34" i="44"/>
  <c r="I14" i="44"/>
  <c r="L18" i="44"/>
  <c r="N129" i="44"/>
  <c r="N100" i="44"/>
  <c r="N27" i="44"/>
  <c r="K123" i="44"/>
  <c r="K104" i="44"/>
  <c r="K100" i="44"/>
  <c r="K94" i="44"/>
  <c r="L69" i="44"/>
  <c r="K62" i="44"/>
  <c r="L41" i="44"/>
  <c r="K34" i="44"/>
  <c r="I15" i="44"/>
  <c r="K18" i="44"/>
  <c r="N123" i="44"/>
  <c r="N112" i="44"/>
  <c r="L112" i="44"/>
  <c r="I81" i="44"/>
  <c r="L76" i="44"/>
  <c r="K69" i="44"/>
  <c r="L48" i="44"/>
  <c r="K41" i="44"/>
  <c r="L27" i="44"/>
  <c r="I113" i="44"/>
  <c r="I124" i="44"/>
  <c r="I118" i="44"/>
  <c r="I84" i="44"/>
  <c r="I79" i="44"/>
  <c r="I77" i="44"/>
  <c r="I72" i="44"/>
  <c r="I60" i="44"/>
  <c r="I49" i="44"/>
  <c r="I44" i="44"/>
  <c r="I32" i="44"/>
  <c r="I126" i="44"/>
  <c r="I115" i="44"/>
  <c r="I110" i="44"/>
  <c r="I108" i="44"/>
  <c r="I105" i="44"/>
  <c r="I101" i="44"/>
  <c r="I97" i="44"/>
  <c r="I95" i="44"/>
  <c r="I91" i="44"/>
  <c r="I86" i="44"/>
  <c r="I67" i="44"/>
  <c r="I56" i="44"/>
  <c r="I51" i="44"/>
  <c r="I39" i="44"/>
  <c r="I28" i="44"/>
  <c r="I25" i="44"/>
  <c r="I21" i="44"/>
  <c r="I16" i="44"/>
  <c r="I120" i="44"/>
  <c r="I117" i="44"/>
  <c r="I78" i="44"/>
  <c r="I74" i="44"/>
  <c r="I63" i="44"/>
  <c r="I58" i="44"/>
  <c r="I46" i="44"/>
  <c r="I35" i="44"/>
  <c r="I30" i="44"/>
  <c r="L404" i="43"/>
  <c r="L331" i="43"/>
  <c r="L30" i="43"/>
  <c r="K269" i="43"/>
  <c r="K394" i="43"/>
  <c r="K458" i="43"/>
  <c r="K455" i="43"/>
  <c r="K96" i="43"/>
  <c r="K404" i="43"/>
  <c r="K313" i="43"/>
  <c r="K117" i="43"/>
  <c r="K114" i="43"/>
  <c r="K92" i="43"/>
  <c r="K81" i="43"/>
  <c r="K54" i="43"/>
  <c r="K51" i="43"/>
  <c r="K48" i="43"/>
  <c r="K45" i="43"/>
  <c r="L41" i="43"/>
  <c r="K445" i="43"/>
  <c r="K352" i="43"/>
  <c r="K328" i="43"/>
  <c r="K273" i="43"/>
  <c r="K263" i="43"/>
  <c r="K228" i="43"/>
  <c r="K177" i="43"/>
  <c r="K122" i="43"/>
  <c r="K107" i="43"/>
  <c r="K66" i="43"/>
  <c r="K38" i="43"/>
  <c r="N30" i="43"/>
  <c r="K431" i="43"/>
  <c r="K424" i="43"/>
  <c r="K387" i="43"/>
  <c r="K324" i="43"/>
  <c r="K319" i="43"/>
  <c r="K280" i="43"/>
  <c r="K240" i="43"/>
  <c r="K210" i="43"/>
  <c r="K197" i="43"/>
  <c r="K191" i="43"/>
  <c r="K184" i="43"/>
  <c r="K136" i="43"/>
  <c r="K103" i="43"/>
  <c r="K85" i="43"/>
  <c r="K74" i="43"/>
  <c r="K58" i="43"/>
  <c r="K22" i="43"/>
  <c r="K18" i="43"/>
  <c r="K129" i="43"/>
  <c r="L410" i="43"/>
  <c r="L401" i="43"/>
  <c r="L394" i="43"/>
  <c r="L377" i="43"/>
  <c r="L368" i="43"/>
  <c r="L352" i="43"/>
  <c r="L339" i="43"/>
  <c r="L309" i="43"/>
  <c r="L302" i="43"/>
  <c r="N69" i="43"/>
  <c r="N41" i="43"/>
  <c r="K452" i="43"/>
  <c r="K438" i="43"/>
  <c r="K417" i="43"/>
  <c r="K364" i="43"/>
  <c r="K345" i="43"/>
  <c r="K255" i="43"/>
  <c r="K253" i="43"/>
  <c r="K216" i="43"/>
  <c r="K171" i="43"/>
  <c r="K154" i="43"/>
  <c r="K142" i="43"/>
  <c r="K383" i="43"/>
  <c r="K339" i="43"/>
  <c r="K302" i="43"/>
  <c r="K293" i="43"/>
  <c r="K259" i="43"/>
  <c r="K203" i="43"/>
  <c r="K165" i="43"/>
  <c r="K111" i="43"/>
  <c r="K89" i="43"/>
  <c r="K30" i="43"/>
  <c r="L285" i="43"/>
  <c r="L280" i="43"/>
  <c r="L246" i="43"/>
  <c r="L234" i="43"/>
  <c r="L222" i="43"/>
  <c r="L177" i="43"/>
  <c r="L159" i="43"/>
  <c r="L111" i="43"/>
  <c r="L100" i="43"/>
  <c r="L89" i="43"/>
  <c r="L74" i="43"/>
  <c r="L62" i="43"/>
  <c r="L45" i="43"/>
  <c r="K410" i="43"/>
  <c r="K401" i="43"/>
  <c r="K377" i="43"/>
  <c r="K368" i="43"/>
  <c r="K357" i="43"/>
  <c r="K331" i="43"/>
  <c r="K309" i="43"/>
  <c r="K285" i="43"/>
  <c r="K246" i="43"/>
  <c r="K234" i="43"/>
  <c r="K222" i="43"/>
  <c r="K159" i="43"/>
  <c r="K148" i="43"/>
  <c r="K100" i="43"/>
  <c r="K78" i="43"/>
  <c r="K69" i="43"/>
  <c r="K62" i="43"/>
  <c r="K41" i="43"/>
  <c r="K34" i="43"/>
  <c r="K27" i="43"/>
  <c r="L458" i="43"/>
  <c r="L455" i="43"/>
  <c r="L452" i="43"/>
  <c r="L445" i="43"/>
  <c r="L438" i="43"/>
  <c r="L431" i="43"/>
  <c r="L424" i="43"/>
  <c r="L417" i="43"/>
  <c r="L387" i="43"/>
  <c r="L345" i="43"/>
  <c r="L324" i="43"/>
  <c r="L319" i="43"/>
  <c r="L273" i="43"/>
  <c r="L263" i="43"/>
  <c r="L240" i="43"/>
  <c r="L228" i="43"/>
  <c r="L216" i="43"/>
  <c r="L210" i="43"/>
  <c r="L197" i="43"/>
  <c r="L184" i="43"/>
  <c r="L171" i="43"/>
  <c r="L136" i="43"/>
  <c r="L129" i="43"/>
  <c r="L122" i="43"/>
  <c r="L117" i="43"/>
  <c r="L114" i="43"/>
  <c r="L107" i="43"/>
  <c r="L103" i="43"/>
  <c r="L92" i="43"/>
  <c r="L85" i="43"/>
  <c r="L81" i="43"/>
  <c r="L66" i="43"/>
  <c r="L54" i="43"/>
  <c r="L48" i="43"/>
  <c r="L38" i="43"/>
  <c r="L18" i="43"/>
  <c r="L22" i="43"/>
  <c r="L51" i="43"/>
  <c r="L58" i="43"/>
  <c r="L96" i="43"/>
  <c r="L142" i="43"/>
  <c r="L154" i="43"/>
  <c r="L165" i="43"/>
  <c r="L191" i="43"/>
  <c r="L203" i="43"/>
  <c r="L253" i="43"/>
  <c r="L259" i="43"/>
  <c r="L269" i="43"/>
  <c r="L293" i="43"/>
  <c r="L313" i="43"/>
  <c r="L328" i="43"/>
  <c r="L364" i="43"/>
  <c r="L383" i="43"/>
  <c r="I12" i="43"/>
  <c r="I13" i="43" s="1"/>
  <c r="L27" i="43"/>
  <c r="L34" i="43"/>
  <c r="L69" i="43"/>
  <c r="L78" i="43"/>
  <c r="L148" i="43"/>
  <c r="L357" i="43"/>
  <c r="N368" i="43"/>
  <c r="N313" i="43"/>
  <c r="N285" i="43"/>
  <c r="N259" i="43"/>
  <c r="N159" i="43"/>
  <c r="N27" i="43"/>
  <c r="N18" i="43"/>
  <c r="N410" i="43"/>
  <c r="N377" i="43"/>
  <c r="N339" i="43"/>
  <c r="N302" i="43"/>
  <c r="N246" i="43"/>
  <c r="N222" i="43"/>
  <c r="N165" i="43"/>
  <c r="N22" i="43"/>
  <c r="N401" i="43"/>
  <c r="N293" i="43"/>
  <c r="N203" i="43"/>
  <c r="N352" i="43"/>
  <c r="N458" i="43"/>
  <c r="N452" i="43"/>
  <c r="N438" i="43"/>
  <c r="N424" i="43"/>
  <c r="N387" i="43"/>
  <c r="N345" i="43"/>
  <c r="N328" i="43"/>
  <c r="N319" i="43"/>
  <c r="N273" i="43"/>
  <c r="N263" i="43"/>
  <c r="N240" i="43"/>
  <c r="N216" i="43"/>
  <c r="N197" i="43"/>
  <c r="N184" i="43"/>
  <c r="N154" i="43"/>
  <c r="N136" i="43"/>
  <c r="N117" i="43"/>
  <c r="N107" i="43"/>
  <c r="N96" i="43"/>
  <c r="N85" i="43"/>
  <c r="N58" i="43"/>
  <c r="N51" i="43"/>
  <c r="N404" i="43"/>
  <c r="N394" i="43"/>
  <c r="N383" i="43"/>
  <c r="N364" i="43"/>
  <c r="N357" i="43"/>
  <c r="N331" i="43"/>
  <c r="N309" i="43"/>
  <c r="N280" i="43"/>
  <c r="N269" i="43"/>
  <c r="N234" i="43"/>
  <c r="N177" i="43"/>
  <c r="N148" i="43"/>
  <c r="N111" i="43"/>
  <c r="N100" i="43"/>
  <c r="N89" i="43"/>
  <c r="N78" i="43"/>
  <c r="N74" i="43"/>
  <c r="N62" i="43"/>
  <c r="N45" i="43"/>
  <c r="N34" i="43"/>
  <c r="N455" i="43"/>
  <c r="N445" i="43"/>
  <c r="N431" i="43"/>
  <c r="N417" i="43"/>
  <c r="N324" i="43"/>
  <c r="N253" i="43"/>
  <c r="N228" i="43"/>
  <c r="N210" i="43"/>
  <c r="N191" i="43"/>
  <c r="N171" i="43"/>
  <c r="N142" i="43"/>
  <c r="N129" i="43"/>
  <c r="N122" i="43"/>
  <c r="N114" i="43"/>
  <c r="N103" i="43"/>
  <c r="N92" i="43"/>
  <c r="N81" i="43"/>
  <c r="N66" i="43"/>
  <c r="N54" i="43"/>
  <c r="N48" i="43"/>
  <c r="N38" i="43"/>
  <c r="I216" i="43" l="1"/>
  <c r="I66" i="43"/>
  <c r="I293" i="43"/>
  <c r="I34" i="43"/>
  <c r="I171" i="43"/>
  <c r="I210" i="43"/>
  <c r="I154" i="43"/>
  <c r="I62" i="43"/>
  <c r="I222" i="43"/>
  <c r="I122" i="43"/>
  <c r="I18" i="43"/>
  <c r="I38" i="43"/>
  <c r="I58" i="43"/>
  <c r="I197" i="43"/>
  <c r="I203" i="43"/>
  <c r="I319" i="43"/>
  <c r="I81" i="43"/>
  <c r="I100" i="43"/>
  <c r="I117" i="43"/>
  <c r="I357" i="43"/>
  <c r="I404" i="43"/>
  <c r="I424" i="43"/>
  <c r="I295" i="43"/>
  <c r="I302" i="43"/>
  <c r="I458" i="43"/>
  <c r="I51" i="43"/>
  <c r="I177" i="43"/>
  <c r="I228" i="43"/>
  <c r="I352" i="43"/>
  <c r="I103" i="43"/>
  <c r="I142" i="43"/>
  <c r="I255" i="43"/>
  <c r="I273" i="43"/>
  <c r="I339" i="43"/>
  <c r="I364" i="43"/>
  <c r="I184" i="43"/>
  <c r="I309" i="43"/>
  <c r="I431" i="43"/>
  <c r="I321" i="43"/>
  <c r="I41" i="43"/>
  <c r="I129" i="43"/>
  <c r="I69" i="43"/>
  <c r="I324" i="43"/>
  <c r="I191" i="43"/>
  <c r="I240" i="43"/>
  <c r="I377" i="43"/>
  <c r="I74" i="43"/>
  <c r="I148" i="43"/>
  <c r="I246" i="43"/>
  <c r="I280" i="43"/>
  <c r="I401" i="43"/>
  <c r="I417" i="43"/>
  <c r="I92" i="43"/>
  <c r="I111" i="43"/>
  <c r="I159" i="43"/>
  <c r="I263" i="43"/>
  <c r="I383" i="43"/>
  <c r="I27" i="43"/>
  <c r="I45" i="43"/>
  <c r="I54" i="43"/>
  <c r="I78" i="43"/>
  <c r="I96" i="43"/>
  <c r="I387" i="43"/>
  <c r="I455" i="43"/>
  <c r="I114" i="43"/>
  <c r="I328" i="43"/>
  <c r="I368" i="43"/>
  <c r="I22" i="43"/>
  <c r="I30" i="43"/>
  <c r="I48" i="43"/>
  <c r="I136" i="43"/>
  <c r="I234" i="43"/>
  <c r="I331" i="43"/>
  <c r="I438" i="43"/>
  <c r="I253" i="43"/>
  <c r="I165" i="43"/>
  <c r="I269" i="43"/>
  <c r="I345" i="43"/>
  <c r="I394" i="43"/>
  <c r="I85" i="43"/>
  <c r="I445" i="43"/>
  <c r="I452" i="43"/>
  <c r="I89" i="43"/>
  <c r="I107" i="43"/>
  <c r="I259" i="43"/>
  <c r="I410" i="43"/>
  <c r="I104" i="44"/>
  <c r="I114" i="44"/>
  <c r="I41" i="44"/>
  <c r="I94" i="44"/>
  <c r="I106" i="44"/>
  <c r="I69" i="44"/>
  <c r="I83" i="44"/>
  <c r="I129" i="44"/>
  <c r="I123" i="44"/>
  <c r="I55" i="44"/>
  <c r="I18" i="44"/>
  <c r="I27" i="44"/>
  <c r="I76" i="44"/>
  <c r="I90" i="44"/>
  <c r="I34" i="44"/>
  <c r="I62" i="44"/>
  <c r="I100" i="44"/>
  <c r="I48" i="44"/>
  <c r="I112" i="44"/>
  <c r="I466" i="43"/>
  <c r="I463" i="43"/>
  <c r="Q14" i="43"/>
  <c r="Q15" i="43"/>
  <c r="Q16" i="43"/>
  <c r="Q17" i="43"/>
  <c r="Q19" i="43"/>
  <c r="Q20" i="43"/>
  <c r="Q21" i="43"/>
  <c r="Q23" i="43"/>
  <c r="Q24" i="43"/>
  <c r="Q25" i="43"/>
  <c r="Q26" i="43"/>
  <c r="Q28" i="43"/>
  <c r="Q29" i="43"/>
  <c r="Q31" i="43"/>
  <c r="Q32" i="43"/>
  <c r="Q33" i="43"/>
  <c r="Q35" i="43"/>
  <c r="Q36" i="43"/>
  <c r="Q37" i="43"/>
  <c r="Q39" i="43"/>
  <c r="Q40" i="43"/>
  <c r="Q42" i="43"/>
  <c r="Q43" i="43"/>
  <c r="Q44" i="43"/>
  <c r="Q46" i="43"/>
  <c r="Q47" i="43"/>
  <c r="Q49" i="43"/>
  <c r="Q50" i="43"/>
  <c r="Q52" i="43"/>
  <c r="Q53" i="43"/>
  <c r="Q55" i="43"/>
  <c r="Q56" i="43"/>
  <c r="Q57" i="43"/>
  <c r="Q59" i="43"/>
  <c r="Q60" i="43"/>
  <c r="Q61" i="43"/>
  <c r="Q63" i="43"/>
  <c r="Q64" i="43"/>
  <c r="Q65" i="43"/>
  <c r="Q67" i="43"/>
  <c r="Q68" i="43"/>
  <c r="Q70" i="43"/>
  <c r="Q71" i="43"/>
  <c r="Q72" i="43"/>
  <c r="Q73" i="43"/>
  <c r="Q75" i="43"/>
  <c r="Q76" i="43"/>
  <c r="Q77" i="43"/>
  <c r="Q79" i="43"/>
  <c r="Q80" i="43"/>
  <c r="Q82" i="43"/>
  <c r="Q83" i="43"/>
  <c r="Q84" i="43"/>
  <c r="Q86" i="43"/>
  <c r="Q87" i="43"/>
  <c r="Q88" i="43"/>
  <c r="Q90" i="43"/>
  <c r="Q91" i="43"/>
  <c r="Q93" i="43"/>
  <c r="Q94" i="43"/>
  <c r="Q95" i="43"/>
  <c r="Q97" i="43"/>
  <c r="Q98" i="43"/>
  <c r="Q99" i="43"/>
  <c r="Q101" i="43"/>
  <c r="Q102" i="43"/>
  <c r="Q104" i="43"/>
  <c r="Q105" i="43"/>
  <c r="Q106" i="43"/>
  <c r="Q108" i="43"/>
  <c r="Q109" i="43"/>
  <c r="Q110" i="43"/>
  <c r="Q112" i="43"/>
  <c r="Q113" i="43"/>
  <c r="Q115" i="43"/>
  <c r="Q116" i="43"/>
  <c r="Q118" i="43"/>
  <c r="Q119" i="43"/>
  <c r="Q120" i="43"/>
  <c r="Q121" i="43"/>
  <c r="Q123" i="43"/>
  <c r="Q124" i="43"/>
  <c r="Q125" i="43"/>
  <c r="Q126" i="43"/>
  <c r="Q127" i="43"/>
  <c r="Q128" i="43"/>
  <c r="Q130" i="43"/>
  <c r="Q131" i="43"/>
  <c r="Q132" i="43"/>
  <c r="Q133" i="43"/>
  <c r="Q134" i="43"/>
  <c r="Q135" i="43"/>
  <c r="Q137" i="43"/>
  <c r="Q138" i="43"/>
  <c r="Q139" i="43"/>
  <c r="Q140" i="43"/>
  <c r="Q141" i="43"/>
  <c r="Q143" i="43"/>
  <c r="Q144" i="43"/>
  <c r="Q145" i="43"/>
  <c r="Q146" i="43"/>
  <c r="Q147" i="43"/>
  <c r="Q149" i="43"/>
  <c r="Q150" i="43"/>
  <c r="Q151" i="43"/>
  <c r="Q152" i="43"/>
  <c r="Q153" i="43"/>
  <c r="Q155" i="43"/>
  <c r="Q156" i="43"/>
  <c r="Q157" i="43"/>
  <c r="Q158" i="43"/>
  <c r="Q160" i="43"/>
  <c r="Q161" i="43"/>
  <c r="Q162" i="43"/>
  <c r="Q163" i="43"/>
  <c r="Q164" i="43"/>
  <c r="Q166" i="43"/>
  <c r="Q167" i="43"/>
  <c r="Q168" i="43"/>
  <c r="Q169" i="43"/>
  <c r="Q170" i="43"/>
  <c r="Q172" i="43"/>
  <c r="Q173" i="43"/>
  <c r="Q174" i="43"/>
  <c r="Q175" i="43"/>
  <c r="Q176" i="43"/>
  <c r="Q178" i="43"/>
  <c r="Q179" i="43"/>
  <c r="Q180" i="43"/>
  <c r="Q181" i="43"/>
  <c r="Q182" i="43"/>
  <c r="Q183" i="43"/>
  <c r="Q185" i="43"/>
  <c r="Q186" i="43"/>
  <c r="Q187" i="43"/>
  <c r="Q188" i="43"/>
  <c r="Q189" i="43"/>
  <c r="Q190" i="43"/>
  <c r="Q192" i="43"/>
  <c r="Q193" i="43"/>
  <c r="Q194" i="43"/>
  <c r="Q195" i="43"/>
  <c r="Q196" i="43"/>
  <c r="Q198" i="43"/>
  <c r="Q199" i="43"/>
  <c r="Q200" i="43"/>
  <c r="Q201" i="43"/>
  <c r="Q202" i="43"/>
  <c r="Q204" i="43"/>
  <c r="Q205" i="43"/>
  <c r="Q206" i="43"/>
  <c r="Q207" i="43"/>
  <c r="Q208" i="43"/>
  <c r="Q209" i="43"/>
  <c r="Q211" i="43"/>
  <c r="Q212" i="43"/>
  <c r="Q213" i="43"/>
  <c r="Q214" i="43"/>
  <c r="Q215" i="43"/>
  <c r="Q217" i="43"/>
  <c r="Q218" i="43"/>
  <c r="Q219" i="43"/>
  <c r="Q220" i="43"/>
  <c r="Q221" i="43"/>
  <c r="Q223" i="43"/>
  <c r="Q224" i="43"/>
  <c r="Q225" i="43"/>
  <c r="Q226" i="43"/>
  <c r="Q227" i="43"/>
  <c r="Q229" i="43"/>
  <c r="Q230" i="43"/>
  <c r="Q231" i="43"/>
  <c r="Q232" i="43"/>
  <c r="Q233" i="43"/>
  <c r="Q235" i="43"/>
  <c r="Q236" i="43"/>
  <c r="Q237" i="43"/>
  <c r="Q238" i="43"/>
  <c r="Q239" i="43"/>
  <c r="Q241" i="43"/>
  <c r="Q242" i="43"/>
  <c r="Q243" i="43"/>
  <c r="Q244" i="43"/>
  <c r="Q245" i="43"/>
  <c r="Q247" i="43"/>
  <c r="Q248" i="43"/>
  <c r="Q249" i="43"/>
  <c r="Q250" i="43"/>
  <c r="Q251" i="43"/>
  <c r="Q252" i="43"/>
  <c r="Q254" i="43"/>
  <c r="Q255" i="43" s="1"/>
  <c r="Q256" i="43"/>
  <c r="Q257" i="43"/>
  <c r="Q258" i="43"/>
  <c r="Q260" i="43"/>
  <c r="Q261" i="43"/>
  <c r="Q262" i="43"/>
  <c r="Q264" i="43"/>
  <c r="Q265" i="43"/>
  <c r="Q266" i="43"/>
  <c r="Q267" i="43"/>
  <c r="Q268" i="43"/>
  <c r="Q270" i="43"/>
  <c r="Q271" i="43"/>
  <c r="Q272" i="43"/>
  <c r="Q274" i="43"/>
  <c r="Q275" i="43"/>
  <c r="Q276" i="43"/>
  <c r="Q277" i="43"/>
  <c r="Q278" i="43"/>
  <c r="Q279" i="43"/>
  <c r="Q281" i="43"/>
  <c r="Q282" i="43"/>
  <c r="Q283" i="43"/>
  <c r="Q284" i="43"/>
  <c r="Q286" i="43"/>
  <c r="Q287" i="43"/>
  <c r="Q288" i="43"/>
  <c r="Q289" i="43"/>
  <c r="Q290" i="43"/>
  <c r="Q291" i="43"/>
  <c r="Q292" i="43"/>
  <c r="Q294" i="43"/>
  <c r="Q295" i="43" s="1"/>
  <c r="Q296" i="43"/>
  <c r="Q297" i="43"/>
  <c r="Q298" i="43"/>
  <c r="Q299" i="43"/>
  <c r="Q300" i="43"/>
  <c r="Q301" i="43"/>
  <c r="Q303" i="43"/>
  <c r="Q304" i="43"/>
  <c r="Q305" i="43"/>
  <c r="Q306" i="43"/>
  <c r="Q307" i="43"/>
  <c r="Q308" i="43"/>
  <c r="Q310" i="43"/>
  <c r="Q311" i="43"/>
  <c r="Q312" i="43"/>
  <c r="Q314" i="43"/>
  <c r="Q315" i="43"/>
  <c r="Q316" i="43"/>
  <c r="Q317" i="43"/>
  <c r="Q318" i="43"/>
  <c r="Q320" i="43"/>
  <c r="Q321" i="43" s="1"/>
  <c r="Q322" i="43"/>
  <c r="Q323" i="43"/>
  <c r="Q325" i="43"/>
  <c r="Q326" i="43"/>
  <c r="Q327" i="43"/>
  <c r="Q329" i="43"/>
  <c r="Q330" i="43"/>
  <c r="Q332" i="43"/>
  <c r="Q333" i="43"/>
  <c r="Q334" i="43"/>
  <c r="Q335" i="43"/>
  <c r="Q336" i="43"/>
  <c r="Q337" i="43"/>
  <c r="Q338" i="43"/>
  <c r="Q340" i="43"/>
  <c r="Q341" i="43"/>
  <c r="Q342" i="43"/>
  <c r="Q343" i="43"/>
  <c r="Q344" i="43"/>
  <c r="Q346" i="43"/>
  <c r="Q347" i="43"/>
  <c r="Q348" i="43"/>
  <c r="Q349" i="43"/>
  <c r="Q350" i="43"/>
  <c r="Q351" i="43"/>
  <c r="Q353" i="43"/>
  <c r="Q354" i="43"/>
  <c r="Q355" i="43"/>
  <c r="Q356" i="43"/>
  <c r="Q358" i="43"/>
  <c r="Q359" i="43"/>
  <c r="Q360" i="43"/>
  <c r="Q361" i="43"/>
  <c r="Q362" i="43"/>
  <c r="Q363" i="43"/>
  <c r="Q365" i="43"/>
  <c r="Q366" i="43"/>
  <c r="Q367" i="43"/>
  <c r="Q369" i="43"/>
  <c r="Q370" i="43" s="1"/>
  <c r="Q371" i="43"/>
  <c r="Q372" i="43"/>
  <c r="Q373" i="43"/>
  <c r="Q374" i="43"/>
  <c r="Q375" i="43"/>
  <c r="Q376" i="43"/>
  <c r="Q378" i="43"/>
  <c r="Q379" i="43"/>
  <c r="Q380" i="43"/>
  <c r="Q381" i="43"/>
  <c r="Q382" i="43"/>
  <c r="Q384" i="43"/>
  <c r="Q385" i="43"/>
  <c r="Q386" i="43"/>
  <c r="Q388" i="43"/>
  <c r="Q389" i="43"/>
  <c r="Q390" i="43"/>
  <c r="Q391" i="43"/>
  <c r="Q392" i="43"/>
  <c r="Q393" i="43"/>
  <c r="Q395" i="43"/>
  <c r="Q396" i="43"/>
  <c r="Q397" i="43"/>
  <c r="Q398" i="43"/>
  <c r="Q399" i="43"/>
  <c r="Q400" i="43"/>
  <c r="Q402" i="43"/>
  <c r="Q403" i="43"/>
  <c r="Q405" i="43"/>
  <c r="Q406" i="43"/>
  <c r="Q407" i="43"/>
  <c r="Q408" i="43"/>
  <c r="Q409" i="43"/>
  <c r="Q412" i="43"/>
  <c r="Q413" i="43"/>
  <c r="Q414" i="43"/>
  <c r="Q415" i="43"/>
  <c r="Q416" i="43"/>
  <c r="Q418" i="43"/>
  <c r="Q419" i="43"/>
  <c r="Q420" i="43"/>
  <c r="Q421" i="43"/>
  <c r="Q422" i="43"/>
  <c r="Q423" i="43"/>
  <c r="Q425" i="43"/>
  <c r="Q426" i="43"/>
  <c r="Q427" i="43"/>
  <c r="Q428" i="43"/>
  <c r="Q429" i="43"/>
  <c r="Q430" i="43"/>
  <c r="Q432" i="43"/>
  <c r="Q433" i="43"/>
  <c r="Q434" i="43"/>
  <c r="Q435" i="43"/>
  <c r="Q436" i="43"/>
  <c r="Q437" i="43"/>
  <c r="Q439" i="43"/>
  <c r="Q440" i="43"/>
  <c r="Q441" i="43"/>
  <c r="Q442" i="43"/>
  <c r="Q443" i="43"/>
  <c r="Q444" i="43"/>
  <c r="Q446" i="43"/>
  <c r="Q447" i="43"/>
  <c r="Q448" i="43"/>
  <c r="Q449" i="43"/>
  <c r="Q450" i="43"/>
  <c r="Q451" i="43"/>
  <c r="Q453" i="43"/>
  <c r="Q454" i="43"/>
  <c r="Q456" i="43"/>
  <c r="Q457" i="43"/>
  <c r="Q12" i="43"/>
  <c r="Q13" i="43" s="1"/>
  <c r="AC118" i="44"/>
  <c r="AI109" i="44"/>
  <c r="R109" i="44"/>
  <c r="Q41" i="43" l="1"/>
  <c r="Q259" i="43"/>
  <c r="Q69" i="43"/>
  <c r="Q30" i="43"/>
  <c r="Q92" i="43"/>
  <c r="Q81" i="43"/>
  <c r="Q48" i="43"/>
  <c r="Q96" i="43"/>
  <c r="Q404" i="43"/>
  <c r="Q331" i="43"/>
  <c r="Q100" i="43"/>
  <c r="Q89" i="43"/>
  <c r="Q78" i="43"/>
  <c r="Q74" i="43"/>
  <c r="Q66" i="43"/>
  <c r="Q62" i="43"/>
  <c r="Q18" i="43"/>
  <c r="Q455" i="43"/>
  <c r="Q27" i="43"/>
  <c r="Q285" i="43"/>
  <c r="Q458" i="43"/>
  <c r="Q387" i="43"/>
  <c r="Q328" i="43"/>
  <c r="Q273" i="43"/>
  <c r="Q263" i="43"/>
  <c r="Q117" i="43"/>
  <c r="Q85" i="43"/>
  <c r="Q51" i="43"/>
  <c r="Q357" i="43"/>
  <c r="Q352" i="43"/>
  <c r="Q313" i="43"/>
  <c r="Q228" i="43"/>
  <c r="Q203" i="43"/>
  <c r="Q171" i="43"/>
  <c r="Q154" i="43"/>
  <c r="Q122" i="43"/>
  <c r="Q111" i="43"/>
  <c r="Q38" i="43"/>
  <c r="Q22" i="43"/>
  <c r="Q410" i="43"/>
  <c r="Q401" i="43"/>
  <c r="Q377" i="43"/>
  <c r="Q368" i="43"/>
  <c r="Q339" i="43"/>
  <c r="Q302" i="43"/>
  <c r="Q246" i="43"/>
  <c r="Q222" i="43"/>
  <c r="Q165" i="43"/>
  <c r="Q159" i="43"/>
  <c r="Q452" i="43"/>
  <c r="Q438" i="43"/>
  <c r="Q424" i="43"/>
  <c r="Q345" i="43"/>
  <c r="Q319" i="43"/>
  <c r="Q240" i="43"/>
  <c r="Q216" i="43"/>
  <c r="Q197" i="43"/>
  <c r="Q184" i="43"/>
  <c r="Q136" i="43"/>
  <c r="Q107" i="43"/>
  <c r="Q58" i="43"/>
  <c r="Q445" i="43"/>
  <c r="Q417" i="43"/>
  <c r="Q394" i="43"/>
  <c r="Q383" i="43"/>
  <c r="Q364" i="43"/>
  <c r="Q309" i="43"/>
  <c r="Q293" i="43"/>
  <c r="Q280" i="43"/>
  <c r="Q269" i="43"/>
  <c r="Q253" i="43"/>
  <c r="Q234" i="43"/>
  <c r="Q177" i="43"/>
  <c r="Q148" i="43"/>
  <c r="Q129" i="43"/>
  <c r="Q45" i="43"/>
  <c r="Q34" i="43"/>
  <c r="Q431" i="43"/>
  <c r="Q324" i="43"/>
  <c r="Q210" i="43"/>
  <c r="Q191" i="43"/>
  <c r="Q142" i="43"/>
  <c r="Q114" i="43"/>
  <c r="Q103" i="43"/>
  <c r="Q54" i="43"/>
  <c r="AC441" i="43" l="1"/>
  <c r="R413" i="43"/>
  <c r="R360" i="43"/>
  <c r="R265" i="43"/>
  <c r="R236" i="43"/>
  <c r="R199" i="43"/>
  <c r="R193" i="43"/>
  <c r="AC173" i="43"/>
  <c r="R167" i="43"/>
  <c r="R144" i="43"/>
  <c r="AC138" i="43"/>
  <c r="R138" i="43"/>
  <c r="R125" i="43"/>
  <c r="R64" i="43"/>
  <c r="R126" i="44"/>
  <c r="AC21" i="44"/>
  <c r="R21" i="44"/>
  <c r="AC129" i="44" l="1"/>
  <c r="AC123" i="44"/>
  <c r="AC114" i="44"/>
  <c r="AC112" i="44"/>
  <c r="AC106" i="44"/>
  <c r="AC104" i="44"/>
  <c r="AC100" i="44"/>
  <c r="AC94" i="44"/>
  <c r="AC90" i="44"/>
  <c r="AC83" i="44"/>
  <c r="AC76" i="44"/>
  <c r="AC69" i="44"/>
  <c r="AC62" i="44"/>
  <c r="AC55" i="44"/>
  <c r="AC48" i="44"/>
  <c r="AC41" i="44"/>
  <c r="AC34" i="44"/>
  <c r="AC27" i="44"/>
  <c r="AC18" i="44"/>
  <c r="AC13" i="44"/>
  <c r="R129" i="44"/>
  <c r="R123" i="44"/>
  <c r="R114" i="44"/>
  <c r="R112" i="44"/>
  <c r="R106" i="44"/>
  <c r="R104" i="44"/>
  <c r="R100" i="44"/>
  <c r="R94" i="44"/>
  <c r="R90" i="44"/>
  <c r="R83" i="44"/>
  <c r="R76" i="44"/>
  <c r="R69" i="44"/>
  <c r="R62" i="44"/>
  <c r="R55" i="44"/>
  <c r="R48" i="44"/>
  <c r="R41" i="44"/>
  <c r="R34" i="44"/>
  <c r="R27" i="44"/>
  <c r="R18" i="44"/>
  <c r="R13" i="44"/>
  <c r="U14" i="43" l="1"/>
  <c r="AP14" i="43" s="1"/>
  <c r="U15" i="43"/>
  <c r="AP15" i="43" s="1"/>
  <c r="U16" i="43"/>
  <c r="AP16" i="43" s="1"/>
  <c r="U17" i="43"/>
  <c r="AP17" i="43" s="1"/>
  <c r="U19" i="43"/>
  <c r="AP19" i="43" s="1"/>
  <c r="U20" i="43"/>
  <c r="AP20" i="43" s="1"/>
  <c r="U21" i="43"/>
  <c r="AP21" i="43" s="1"/>
  <c r="U23" i="43"/>
  <c r="AP23" i="43" s="1"/>
  <c r="U24" i="43"/>
  <c r="AP24" i="43" s="1"/>
  <c r="U25" i="43"/>
  <c r="AP25" i="43" s="1"/>
  <c r="U26" i="43"/>
  <c r="AP26" i="43" s="1"/>
  <c r="U28" i="43"/>
  <c r="AP28" i="43" s="1"/>
  <c r="U29" i="43"/>
  <c r="AP29" i="43" s="1"/>
  <c r="U31" i="43"/>
  <c r="AP31" i="43" s="1"/>
  <c r="U32" i="43"/>
  <c r="AP32" i="43" s="1"/>
  <c r="U33" i="43"/>
  <c r="AP33" i="43" s="1"/>
  <c r="U35" i="43"/>
  <c r="AP35" i="43" s="1"/>
  <c r="U36" i="43"/>
  <c r="AP36" i="43" s="1"/>
  <c r="U37" i="43"/>
  <c r="AP37" i="43" s="1"/>
  <c r="U39" i="43"/>
  <c r="AP39" i="43" s="1"/>
  <c r="U40" i="43"/>
  <c r="AP40" i="43" s="1"/>
  <c r="U42" i="43"/>
  <c r="AP42" i="43" s="1"/>
  <c r="U43" i="43"/>
  <c r="AP43" i="43" s="1"/>
  <c r="U44" i="43"/>
  <c r="AP44" i="43" s="1"/>
  <c r="U46" i="43"/>
  <c r="AP46" i="43" s="1"/>
  <c r="U47" i="43"/>
  <c r="AP47" i="43" s="1"/>
  <c r="U49" i="43"/>
  <c r="AP49" i="43" s="1"/>
  <c r="U50" i="43"/>
  <c r="AP50" i="43" s="1"/>
  <c r="U52" i="43"/>
  <c r="AP52" i="43" s="1"/>
  <c r="U53" i="43"/>
  <c r="AP53" i="43" s="1"/>
  <c r="U55" i="43"/>
  <c r="AP55" i="43" s="1"/>
  <c r="U56" i="43"/>
  <c r="AP56" i="43" s="1"/>
  <c r="U57" i="43"/>
  <c r="AP57" i="43" s="1"/>
  <c r="U59" i="43"/>
  <c r="AP59" i="43" s="1"/>
  <c r="U60" i="43"/>
  <c r="AP60" i="43" s="1"/>
  <c r="U61" i="43"/>
  <c r="AP61" i="43" s="1"/>
  <c r="U63" i="43"/>
  <c r="AP63" i="43" s="1"/>
  <c r="U64" i="43"/>
  <c r="AP64" i="43" s="1"/>
  <c r="U65" i="43"/>
  <c r="AP65" i="43" s="1"/>
  <c r="U67" i="43"/>
  <c r="AP67" i="43" s="1"/>
  <c r="U68" i="43"/>
  <c r="AP68" i="43" s="1"/>
  <c r="U70" i="43"/>
  <c r="AP70" i="43" s="1"/>
  <c r="U71" i="43"/>
  <c r="AP71" i="43" s="1"/>
  <c r="U72" i="43"/>
  <c r="AP72" i="43" s="1"/>
  <c r="U73" i="43"/>
  <c r="AP73" i="43" s="1"/>
  <c r="U75" i="43"/>
  <c r="AP75" i="43" s="1"/>
  <c r="U76" i="43"/>
  <c r="AP76" i="43" s="1"/>
  <c r="U77" i="43"/>
  <c r="AP77" i="43" s="1"/>
  <c r="U79" i="43"/>
  <c r="AP79" i="43" s="1"/>
  <c r="U80" i="43"/>
  <c r="AP80" i="43" s="1"/>
  <c r="U82" i="43"/>
  <c r="AP82" i="43" s="1"/>
  <c r="U83" i="43"/>
  <c r="AP83" i="43" s="1"/>
  <c r="U84" i="43"/>
  <c r="AP84" i="43" s="1"/>
  <c r="U86" i="43"/>
  <c r="AP86" i="43" s="1"/>
  <c r="U87" i="43"/>
  <c r="AP87" i="43" s="1"/>
  <c r="U88" i="43"/>
  <c r="AP88" i="43" s="1"/>
  <c r="U90" i="43"/>
  <c r="AP90" i="43" s="1"/>
  <c r="U91" i="43"/>
  <c r="AP91" i="43" s="1"/>
  <c r="U93" i="43"/>
  <c r="AP93" i="43" s="1"/>
  <c r="U94" i="43"/>
  <c r="AP94" i="43" s="1"/>
  <c r="U95" i="43"/>
  <c r="AP95" i="43" s="1"/>
  <c r="U97" i="43"/>
  <c r="AP97" i="43" s="1"/>
  <c r="U98" i="43"/>
  <c r="AP98" i="43" s="1"/>
  <c r="U99" i="43"/>
  <c r="AP99" i="43" s="1"/>
  <c r="U101" i="43"/>
  <c r="AP101" i="43" s="1"/>
  <c r="U102" i="43"/>
  <c r="AP102" i="43" s="1"/>
  <c r="U104" i="43"/>
  <c r="AP104" i="43" s="1"/>
  <c r="U105" i="43"/>
  <c r="AP105" i="43" s="1"/>
  <c r="U106" i="43"/>
  <c r="AP106" i="43" s="1"/>
  <c r="U108" i="43"/>
  <c r="AP108" i="43" s="1"/>
  <c r="U109" i="43"/>
  <c r="AP109" i="43" s="1"/>
  <c r="U110" i="43"/>
  <c r="AP110" i="43" s="1"/>
  <c r="U112" i="43"/>
  <c r="AP112" i="43" s="1"/>
  <c r="U113" i="43"/>
  <c r="AP113" i="43" s="1"/>
  <c r="U115" i="43"/>
  <c r="AP115" i="43" s="1"/>
  <c r="U116" i="43"/>
  <c r="AP116" i="43" s="1"/>
  <c r="U118" i="43"/>
  <c r="AP118" i="43" s="1"/>
  <c r="U119" i="43"/>
  <c r="AP119" i="43" s="1"/>
  <c r="U120" i="43"/>
  <c r="AP120" i="43" s="1"/>
  <c r="U121" i="43"/>
  <c r="AP121" i="43" s="1"/>
  <c r="U123" i="43"/>
  <c r="AP123" i="43" s="1"/>
  <c r="U124" i="43"/>
  <c r="AP124" i="43" s="1"/>
  <c r="U125" i="43"/>
  <c r="AP125" i="43" s="1"/>
  <c r="U126" i="43"/>
  <c r="AP126" i="43" s="1"/>
  <c r="U127" i="43"/>
  <c r="AP127" i="43" s="1"/>
  <c r="U128" i="43"/>
  <c r="AP128" i="43" s="1"/>
  <c r="U130" i="43"/>
  <c r="AP130" i="43" s="1"/>
  <c r="U131" i="43"/>
  <c r="AP131" i="43" s="1"/>
  <c r="U132" i="43"/>
  <c r="AP132" i="43" s="1"/>
  <c r="U133" i="43"/>
  <c r="AP133" i="43" s="1"/>
  <c r="U134" i="43"/>
  <c r="AP134" i="43" s="1"/>
  <c r="U135" i="43"/>
  <c r="AP135" i="43" s="1"/>
  <c r="U137" i="43"/>
  <c r="AP137" i="43" s="1"/>
  <c r="U138" i="43"/>
  <c r="AP138" i="43" s="1"/>
  <c r="U139" i="43"/>
  <c r="AP139" i="43" s="1"/>
  <c r="U140" i="43"/>
  <c r="AP140" i="43" s="1"/>
  <c r="U141" i="43"/>
  <c r="AP141" i="43" s="1"/>
  <c r="U143" i="43"/>
  <c r="AP143" i="43" s="1"/>
  <c r="U144" i="43"/>
  <c r="AP144" i="43" s="1"/>
  <c r="U145" i="43"/>
  <c r="AP145" i="43" s="1"/>
  <c r="U146" i="43"/>
  <c r="AP146" i="43" s="1"/>
  <c r="U147" i="43"/>
  <c r="AP147" i="43" s="1"/>
  <c r="U149" i="43"/>
  <c r="AP149" i="43" s="1"/>
  <c r="U150" i="43"/>
  <c r="AP150" i="43" s="1"/>
  <c r="U151" i="43"/>
  <c r="AP151" i="43" s="1"/>
  <c r="U152" i="43"/>
  <c r="AP152" i="43" s="1"/>
  <c r="U153" i="43"/>
  <c r="AP153" i="43" s="1"/>
  <c r="U155" i="43"/>
  <c r="AP155" i="43" s="1"/>
  <c r="U156" i="43"/>
  <c r="AP156" i="43" s="1"/>
  <c r="U157" i="43"/>
  <c r="AP157" i="43" s="1"/>
  <c r="U158" i="43"/>
  <c r="AP158" i="43" s="1"/>
  <c r="U160" i="43"/>
  <c r="AP160" i="43" s="1"/>
  <c r="U161" i="43"/>
  <c r="AP161" i="43" s="1"/>
  <c r="U162" i="43"/>
  <c r="AP162" i="43" s="1"/>
  <c r="U163" i="43"/>
  <c r="AP163" i="43" s="1"/>
  <c r="U164" i="43"/>
  <c r="AP164" i="43" s="1"/>
  <c r="U166" i="43"/>
  <c r="AP166" i="43" s="1"/>
  <c r="U167" i="43"/>
  <c r="AP167" i="43" s="1"/>
  <c r="U168" i="43"/>
  <c r="AP168" i="43" s="1"/>
  <c r="U169" i="43"/>
  <c r="AP169" i="43" s="1"/>
  <c r="U170" i="43"/>
  <c r="AP170" i="43" s="1"/>
  <c r="U172" i="43"/>
  <c r="AP172" i="43" s="1"/>
  <c r="U173" i="43"/>
  <c r="AP173" i="43" s="1"/>
  <c r="U174" i="43"/>
  <c r="AP174" i="43" s="1"/>
  <c r="U175" i="43"/>
  <c r="AP175" i="43" s="1"/>
  <c r="U176" i="43"/>
  <c r="AP176" i="43" s="1"/>
  <c r="U178" i="43"/>
  <c r="AP178" i="43" s="1"/>
  <c r="U179" i="43"/>
  <c r="AP179" i="43" s="1"/>
  <c r="U180" i="43"/>
  <c r="AP180" i="43" s="1"/>
  <c r="U181" i="43"/>
  <c r="AP181" i="43" s="1"/>
  <c r="U182" i="43"/>
  <c r="AP182" i="43" s="1"/>
  <c r="U183" i="43"/>
  <c r="AP183" i="43" s="1"/>
  <c r="U185" i="43"/>
  <c r="AP185" i="43" s="1"/>
  <c r="U186" i="43"/>
  <c r="AP186" i="43" s="1"/>
  <c r="U187" i="43"/>
  <c r="AP187" i="43" s="1"/>
  <c r="U188" i="43"/>
  <c r="AP188" i="43" s="1"/>
  <c r="U189" i="43"/>
  <c r="AP189" i="43" s="1"/>
  <c r="U190" i="43"/>
  <c r="AP190" i="43" s="1"/>
  <c r="U192" i="43"/>
  <c r="AP192" i="43" s="1"/>
  <c r="U193" i="43"/>
  <c r="AP193" i="43" s="1"/>
  <c r="U194" i="43"/>
  <c r="AP194" i="43" s="1"/>
  <c r="U195" i="43"/>
  <c r="AP195" i="43" s="1"/>
  <c r="U196" i="43"/>
  <c r="AP196" i="43" s="1"/>
  <c r="U198" i="43"/>
  <c r="AP198" i="43" s="1"/>
  <c r="U199" i="43"/>
  <c r="AP199" i="43" s="1"/>
  <c r="U200" i="43"/>
  <c r="AP200" i="43" s="1"/>
  <c r="U201" i="43"/>
  <c r="AP201" i="43" s="1"/>
  <c r="U202" i="43"/>
  <c r="AP202" i="43" s="1"/>
  <c r="U204" i="43"/>
  <c r="AP204" i="43" s="1"/>
  <c r="U205" i="43"/>
  <c r="AP205" i="43" s="1"/>
  <c r="U206" i="43"/>
  <c r="AP206" i="43" s="1"/>
  <c r="U207" i="43"/>
  <c r="AP207" i="43" s="1"/>
  <c r="U208" i="43"/>
  <c r="AP208" i="43" s="1"/>
  <c r="U209" i="43"/>
  <c r="AP209" i="43" s="1"/>
  <c r="U211" i="43"/>
  <c r="AP211" i="43" s="1"/>
  <c r="U212" i="43"/>
  <c r="AP212" i="43" s="1"/>
  <c r="U213" i="43"/>
  <c r="AP213" i="43" s="1"/>
  <c r="U214" i="43"/>
  <c r="AP214" i="43" s="1"/>
  <c r="U215" i="43"/>
  <c r="AP215" i="43" s="1"/>
  <c r="U217" i="43"/>
  <c r="AP217" i="43" s="1"/>
  <c r="U218" i="43"/>
  <c r="AP218" i="43" s="1"/>
  <c r="U219" i="43"/>
  <c r="AP219" i="43" s="1"/>
  <c r="U220" i="43"/>
  <c r="AP220" i="43" s="1"/>
  <c r="U221" i="43"/>
  <c r="AP221" i="43" s="1"/>
  <c r="U223" i="43"/>
  <c r="AP223" i="43" s="1"/>
  <c r="U224" i="43"/>
  <c r="AP224" i="43" s="1"/>
  <c r="U225" i="43"/>
  <c r="AP225" i="43" s="1"/>
  <c r="U226" i="43"/>
  <c r="AP226" i="43" s="1"/>
  <c r="U227" i="43"/>
  <c r="AP227" i="43" s="1"/>
  <c r="U229" i="43"/>
  <c r="AP229" i="43" s="1"/>
  <c r="U230" i="43"/>
  <c r="AP230" i="43" s="1"/>
  <c r="U231" i="43"/>
  <c r="AP231" i="43" s="1"/>
  <c r="U232" i="43"/>
  <c r="AP232" i="43" s="1"/>
  <c r="U233" i="43"/>
  <c r="AP233" i="43" s="1"/>
  <c r="U235" i="43"/>
  <c r="AP235" i="43" s="1"/>
  <c r="U236" i="43"/>
  <c r="AP236" i="43" s="1"/>
  <c r="U237" i="43"/>
  <c r="AP237" i="43" s="1"/>
  <c r="U238" i="43"/>
  <c r="AP238" i="43" s="1"/>
  <c r="U239" i="43"/>
  <c r="AP239" i="43" s="1"/>
  <c r="U241" i="43"/>
  <c r="AP241" i="43" s="1"/>
  <c r="U242" i="43"/>
  <c r="AP242" i="43" s="1"/>
  <c r="U243" i="43"/>
  <c r="AP243" i="43" s="1"/>
  <c r="U244" i="43"/>
  <c r="AP244" i="43" s="1"/>
  <c r="U245" i="43"/>
  <c r="AP245" i="43" s="1"/>
  <c r="U247" i="43"/>
  <c r="AP247" i="43" s="1"/>
  <c r="U248" i="43"/>
  <c r="AP248" i="43" s="1"/>
  <c r="U249" i="43"/>
  <c r="AP249" i="43" s="1"/>
  <c r="U250" i="43"/>
  <c r="AP250" i="43" s="1"/>
  <c r="U251" i="43"/>
  <c r="AP251" i="43" s="1"/>
  <c r="U252" i="43"/>
  <c r="AP252" i="43" s="1"/>
  <c r="U254" i="43"/>
  <c r="AP254" i="43" s="1"/>
  <c r="AP255" i="43" s="1"/>
  <c r="U256" i="43"/>
  <c r="AP256" i="43" s="1"/>
  <c r="U257" i="43"/>
  <c r="AP257" i="43" s="1"/>
  <c r="U258" i="43"/>
  <c r="AP258" i="43" s="1"/>
  <c r="U260" i="43"/>
  <c r="AP260" i="43" s="1"/>
  <c r="U261" i="43"/>
  <c r="AP261" i="43" s="1"/>
  <c r="U262" i="43"/>
  <c r="AP262" i="43" s="1"/>
  <c r="U264" i="43"/>
  <c r="AP264" i="43" s="1"/>
  <c r="U265" i="43"/>
  <c r="AP265" i="43" s="1"/>
  <c r="U266" i="43"/>
  <c r="AP266" i="43" s="1"/>
  <c r="U267" i="43"/>
  <c r="AP267" i="43" s="1"/>
  <c r="U268" i="43"/>
  <c r="AP268" i="43" s="1"/>
  <c r="U270" i="43"/>
  <c r="AP270" i="43" s="1"/>
  <c r="U271" i="43"/>
  <c r="AP271" i="43" s="1"/>
  <c r="U272" i="43"/>
  <c r="AP272" i="43" s="1"/>
  <c r="U274" i="43"/>
  <c r="AP274" i="43" s="1"/>
  <c r="U275" i="43"/>
  <c r="AP275" i="43" s="1"/>
  <c r="U276" i="43"/>
  <c r="AP276" i="43" s="1"/>
  <c r="U277" i="43"/>
  <c r="AP277" i="43" s="1"/>
  <c r="U278" i="43"/>
  <c r="AP278" i="43" s="1"/>
  <c r="U279" i="43"/>
  <c r="AP279" i="43" s="1"/>
  <c r="U281" i="43"/>
  <c r="AP281" i="43" s="1"/>
  <c r="U282" i="43"/>
  <c r="AP282" i="43" s="1"/>
  <c r="U283" i="43"/>
  <c r="AP283" i="43" s="1"/>
  <c r="U284" i="43"/>
  <c r="AP284" i="43" s="1"/>
  <c r="U286" i="43"/>
  <c r="AP286" i="43" s="1"/>
  <c r="U287" i="43"/>
  <c r="AP287" i="43" s="1"/>
  <c r="U288" i="43"/>
  <c r="AP288" i="43" s="1"/>
  <c r="U289" i="43"/>
  <c r="AP289" i="43" s="1"/>
  <c r="U290" i="43"/>
  <c r="AP290" i="43" s="1"/>
  <c r="U291" i="43"/>
  <c r="AP291" i="43" s="1"/>
  <c r="U292" i="43"/>
  <c r="AP292" i="43" s="1"/>
  <c r="U294" i="43"/>
  <c r="AP294" i="43" s="1"/>
  <c r="AP295" i="43" s="1"/>
  <c r="U296" i="43"/>
  <c r="AP296" i="43" s="1"/>
  <c r="U297" i="43"/>
  <c r="AP297" i="43" s="1"/>
  <c r="U298" i="43"/>
  <c r="AP298" i="43" s="1"/>
  <c r="U299" i="43"/>
  <c r="AP299" i="43" s="1"/>
  <c r="U300" i="43"/>
  <c r="AP300" i="43" s="1"/>
  <c r="U301" i="43"/>
  <c r="AP301" i="43" s="1"/>
  <c r="U303" i="43"/>
  <c r="AP303" i="43" s="1"/>
  <c r="U304" i="43"/>
  <c r="AP304" i="43" s="1"/>
  <c r="U305" i="43"/>
  <c r="AP305" i="43" s="1"/>
  <c r="U306" i="43"/>
  <c r="AP306" i="43" s="1"/>
  <c r="U307" i="43"/>
  <c r="AP307" i="43" s="1"/>
  <c r="U308" i="43"/>
  <c r="AP308" i="43" s="1"/>
  <c r="U310" i="43"/>
  <c r="AP310" i="43" s="1"/>
  <c r="U311" i="43"/>
  <c r="AP311" i="43" s="1"/>
  <c r="U312" i="43"/>
  <c r="AP312" i="43" s="1"/>
  <c r="U314" i="43"/>
  <c r="AP314" i="43" s="1"/>
  <c r="U315" i="43"/>
  <c r="AP315" i="43" s="1"/>
  <c r="U316" i="43"/>
  <c r="AP316" i="43" s="1"/>
  <c r="U317" i="43"/>
  <c r="AP317" i="43" s="1"/>
  <c r="U318" i="43"/>
  <c r="AP318" i="43" s="1"/>
  <c r="U320" i="43"/>
  <c r="AP320" i="43" s="1"/>
  <c r="AP321" i="43" s="1"/>
  <c r="U322" i="43"/>
  <c r="AP322" i="43" s="1"/>
  <c r="U323" i="43"/>
  <c r="AP323" i="43" s="1"/>
  <c r="U325" i="43"/>
  <c r="AP325" i="43" s="1"/>
  <c r="U326" i="43"/>
  <c r="AP326" i="43" s="1"/>
  <c r="U327" i="43"/>
  <c r="AP327" i="43" s="1"/>
  <c r="U329" i="43"/>
  <c r="AP329" i="43" s="1"/>
  <c r="U330" i="43"/>
  <c r="AP330" i="43" s="1"/>
  <c r="U332" i="43"/>
  <c r="AP332" i="43" s="1"/>
  <c r="U333" i="43"/>
  <c r="AP333" i="43" s="1"/>
  <c r="U334" i="43"/>
  <c r="AP334" i="43" s="1"/>
  <c r="U335" i="43"/>
  <c r="AP335" i="43" s="1"/>
  <c r="U336" i="43"/>
  <c r="AP336" i="43" s="1"/>
  <c r="U337" i="43"/>
  <c r="AP337" i="43" s="1"/>
  <c r="U338" i="43"/>
  <c r="AP338" i="43" s="1"/>
  <c r="U340" i="43"/>
  <c r="AP340" i="43" s="1"/>
  <c r="U341" i="43"/>
  <c r="AP341" i="43" s="1"/>
  <c r="U342" i="43"/>
  <c r="AP342" i="43" s="1"/>
  <c r="U343" i="43"/>
  <c r="AP343" i="43" s="1"/>
  <c r="U344" i="43"/>
  <c r="AP344" i="43" s="1"/>
  <c r="U346" i="43"/>
  <c r="AP346" i="43" s="1"/>
  <c r="U347" i="43"/>
  <c r="AP347" i="43" s="1"/>
  <c r="U348" i="43"/>
  <c r="AP348" i="43" s="1"/>
  <c r="U349" i="43"/>
  <c r="AP349" i="43" s="1"/>
  <c r="U350" i="43"/>
  <c r="AP350" i="43" s="1"/>
  <c r="U351" i="43"/>
  <c r="AP351" i="43" s="1"/>
  <c r="U353" i="43"/>
  <c r="AP353" i="43" s="1"/>
  <c r="U354" i="43"/>
  <c r="AP354" i="43" s="1"/>
  <c r="U355" i="43"/>
  <c r="AP355" i="43" s="1"/>
  <c r="U356" i="43"/>
  <c r="AP356" i="43" s="1"/>
  <c r="U358" i="43"/>
  <c r="AP358" i="43" s="1"/>
  <c r="U359" i="43"/>
  <c r="AP359" i="43" s="1"/>
  <c r="U360" i="43"/>
  <c r="AP360" i="43" s="1"/>
  <c r="U361" i="43"/>
  <c r="AP361" i="43" s="1"/>
  <c r="U362" i="43"/>
  <c r="AP362" i="43" s="1"/>
  <c r="U363" i="43"/>
  <c r="AP363" i="43" s="1"/>
  <c r="U365" i="43"/>
  <c r="AP365" i="43" s="1"/>
  <c r="U366" i="43"/>
  <c r="AP366" i="43" s="1"/>
  <c r="U367" i="43"/>
  <c r="AP367" i="43" s="1"/>
  <c r="U369" i="43"/>
  <c r="AP369" i="43" s="1"/>
  <c r="AP370" i="43" s="1"/>
  <c r="U371" i="43"/>
  <c r="AP371" i="43" s="1"/>
  <c r="U372" i="43"/>
  <c r="AP372" i="43" s="1"/>
  <c r="U373" i="43"/>
  <c r="AP373" i="43" s="1"/>
  <c r="U374" i="43"/>
  <c r="AP374" i="43" s="1"/>
  <c r="U375" i="43"/>
  <c r="AP375" i="43" s="1"/>
  <c r="U376" i="43"/>
  <c r="AP376" i="43" s="1"/>
  <c r="U378" i="43"/>
  <c r="AP378" i="43" s="1"/>
  <c r="U379" i="43"/>
  <c r="AP379" i="43" s="1"/>
  <c r="U380" i="43"/>
  <c r="AP380" i="43" s="1"/>
  <c r="U381" i="43"/>
  <c r="AP381" i="43" s="1"/>
  <c r="U382" i="43"/>
  <c r="AP382" i="43" s="1"/>
  <c r="U384" i="43"/>
  <c r="AP384" i="43" s="1"/>
  <c r="U385" i="43"/>
  <c r="AP385" i="43" s="1"/>
  <c r="U386" i="43"/>
  <c r="AP386" i="43" s="1"/>
  <c r="U388" i="43"/>
  <c r="AP388" i="43" s="1"/>
  <c r="U389" i="43"/>
  <c r="AP389" i="43" s="1"/>
  <c r="U390" i="43"/>
  <c r="AP390" i="43" s="1"/>
  <c r="U391" i="43"/>
  <c r="AP391" i="43" s="1"/>
  <c r="U392" i="43"/>
  <c r="AP392" i="43" s="1"/>
  <c r="U393" i="43"/>
  <c r="AP393" i="43" s="1"/>
  <c r="U395" i="43"/>
  <c r="AP395" i="43" s="1"/>
  <c r="U396" i="43"/>
  <c r="AP396" i="43" s="1"/>
  <c r="U397" i="43"/>
  <c r="AP397" i="43" s="1"/>
  <c r="U398" i="43"/>
  <c r="AP398" i="43" s="1"/>
  <c r="U399" i="43"/>
  <c r="AP399" i="43" s="1"/>
  <c r="U400" i="43"/>
  <c r="AP400" i="43" s="1"/>
  <c r="U402" i="43"/>
  <c r="AP402" i="43" s="1"/>
  <c r="U403" i="43"/>
  <c r="AP403" i="43" s="1"/>
  <c r="U405" i="43"/>
  <c r="AP405" i="43" s="1"/>
  <c r="U406" i="43"/>
  <c r="AP406" i="43" s="1"/>
  <c r="U407" i="43"/>
  <c r="AP407" i="43" s="1"/>
  <c r="U408" i="43"/>
  <c r="AP408" i="43" s="1"/>
  <c r="U409" i="43"/>
  <c r="AP409" i="43" s="1"/>
  <c r="U411" i="43"/>
  <c r="AP411" i="43" s="1"/>
  <c r="U412" i="43"/>
  <c r="AP412" i="43" s="1"/>
  <c r="U413" i="43"/>
  <c r="AP413" i="43" s="1"/>
  <c r="U414" i="43"/>
  <c r="AP414" i="43" s="1"/>
  <c r="U415" i="43"/>
  <c r="AP415" i="43" s="1"/>
  <c r="U416" i="43"/>
  <c r="AP416" i="43" s="1"/>
  <c r="U418" i="43"/>
  <c r="AP418" i="43" s="1"/>
  <c r="U419" i="43"/>
  <c r="AP419" i="43" s="1"/>
  <c r="U420" i="43"/>
  <c r="AP420" i="43" s="1"/>
  <c r="U421" i="43"/>
  <c r="AP421" i="43" s="1"/>
  <c r="U422" i="43"/>
  <c r="AP422" i="43" s="1"/>
  <c r="U423" i="43"/>
  <c r="AP423" i="43" s="1"/>
  <c r="U425" i="43"/>
  <c r="AP425" i="43" s="1"/>
  <c r="U426" i="43"/>
  <c r="AP426" i="43" s="1"/>
  <c r="U427" i="43"/>
  <c r="AP427" i="43" s="1"/>
  <c r="U428" i="43"/>
  <c r="AP428" i="43" s="1"/>
  <c r="U429" i="43"/>
  <c r="AP429" i="43" s="1"/>
  <c r="U430" i="43"/>
  <c r="AP430" i="43" s="1"/>
  <c r="U432" i="43"/>
  <c r="AP432" i="43" s="1"/>
  <c r="U433" i="43"/>
  <c r="AP433" i="43" s="1"/>
  <c r="U434" i="43"/>
  <c r="AP434" i="43" s="1"/>
  <c r="U435" i="43"/>
  <c r="AP435" i="43" s="1"/>
  <c r="U436" i="43"/>
  <c r="AP436" i="43" s="1"/>
  <c r="U437" i="43"/>
  <c r="AP437" i="43" s="1"/>
  <c r="U439" i="43"/>
  <c r="AP439" i="43" s="1"/>
  <c r="U440" i="43"/>
  <c r="AP440" i="43" s="1"/>
  <c r="U441" i="43"/>
  <c r="AP441" i="43" s="1"/>
  <c r="U442" i="43"/>
  <c r="AP442" i="43" s="1"/>
  <c r="U443" i="43"/>
  <c r="AP443" i="43" s="1"/>
  <c r="U444" i="43"/>
  <c r="AP444" i="43" s="1"/>
  <c r="U446" i="43"/>
  <c r="AP446" i="43" s="1"/>
  <c r="U447" i="43"/>
  <c r="AP447" i="43" s="1"/>
  <c r="U448" i="43"/>
  <c r="AP448" i="43" s="1"/>
  <c r="U449" i="43"/>
  <c r="AP449" i="43" s="1"/>
  <c r="U450" i="43"/>
  <c r="AP450" i="43" s="1"/>
  <c r="U451" i="43"/>
  <c r="AP451" i="43" s="1"/>
  <c r="U453" i="43"/>
  <c r="AP453" i="43" s="1"/>
  <c r="U454" i="43"/>
  <c r="AP454" i="43" s="1"/>
  <c r="U456" i="43"/>
  <c r="AP456" i="43" s="1"/>
  <c r="U457" i="43"/>
  <c r="AP457" i="43" s="1"/>
  <c r="AC458" i="43"/>
  <c r="AC455" i="43"/>
  <c r="AC452" i="43"/>
  <c r="AC445" i="43"/>
  <c r="AC438" i="43"/>
  <c r="AC431" i="43"/>
  <c r="AC424" i="43"/>
  <c r="AC417" i="43"/>
  <c r="AC410" i="43"/>
  <c r="AC404" i="43"/>
  <c r="AC401" i="43"/>
  <c r="AC394" i="43"/>
  <c r="AC387" i="43"/>
  <c r="AC383" i="43"/>
  <c r="AC377" i="43"/>
  <c r="AC370" i="43"/>
  <c r="AC368" i="43"/>
  <c r="AC364" i="43"/>
  <c r="AC357" i="43"/>
  <c r="AC352" i="43"/>
  <c r="AC345" i="43"/>
  <c r="AC339" i="43"/>
  <c r="AC331" i="43"/>
  <c r="AC328" i="43"/>
  <c r="AC324" i="43"/>
  <c r="AC321" i="43"/>
  <c r="AC319" i="43"/>
  <c r="AC313" i="43"/>
  <c r="AC309" i="43"/>
  <c r="AC302" i="43"/>
  <c r="AC295" i="43"/>
  <c r="AC293" i="43"/>
  <c r="AC285" i="43"/>
  <c r="AC280" i="43"/>
  <c r="AC273" i="43"/>
  <c r="AC269" i="43"/>
  <c r="AC263" i="43"/>
  <c r="AC259" i="43"/>
  <c r="AC255" i="43"/>
  <c r="AC253" i="43"/>
  <c r="AC246" i="43"/>
  <c r="AC240" i="43"/>
  <c r="AC234" i="43"/>
  <c r="AC228" i="43"/>
  <c r="AC222" i="43"/>
  <c r="AC216" i="43"/>
  <c r="AC210" i="43"/>
  <c r="AC203" i="43"/>
  <c r="AC197" i="43"/>
  <c r="AC191" i="43"/>
  <c r="AC184" i="43"/>
  <c r="AC177" i="43"/>
  <c r="AC171" i="43"/>
  <c r="AC165" i="43"/>
  <c r="AC159" i="43"/>
  <c r="AC154" i="43"/>
  <c r="AC148" i="43"/>
  <c r="AC142" i="43"/>
  <c r="AC136" i="43"/>
  <c r="AC129" i="43"/>
  <c r="AC122" i="43"/>
  <c r="AC117" i="43"/>
  <c r="AC114" i="43"/>
  <c r="AC111" i="43"/>
  <c r="AC107" i="43"/>
  <c r="AC103" i="43"/>
  <c r="AC100" i="43"/>
  <c r="AC96" i="43"/>
  <c r="AC92" i="43"/>
  <c r="AC89" i="43"/>
  <c r="AC85" i="43"/>
  <c r="AC81" i="43"/>
  <c r="AC78" i="43"/>
  <c r="AC74" i="43"/>
  <c r="AC69" i="43"/>
  <c r="AC66" i="43"/>
  <c r="AC62" i="43"/>
  <c r="AC58" i="43"/>
  <c r="AC54" i="43"/>
  <c r="AC51" i="43"/>
  <c r="AC48" i="43"/>
  <c r="AC45" i="43"/>
  <c r="AC41" i="43"/>
  <c r="AC38" i="43"/>
  <c r="AC34" i="43"/>
  <c r="AC30" i="43"/>
  <c r="AC27" i="43"/>
  <c r="AC22" i="43"/>
  <c r="AC18" i="43"/>
  <c r="AC13" i="43"/>
  <c r="R458" i="43"/>
  <c r="R455" i="43"/>
  <c r="R452" i="43"/>
  <c r="R445" i="43"/>
  <c r="R438" i="43"/>
  <c r="R431" i="43"/>
  <c r="R424" i="43"/>
  <c r="R417" i="43"/>
  <c r="R410" i="43"/>
  <c r="R404" i="43"/>
  <c r="R401" i="43"/>
  <c r="R394" i="43"/>
  <c r="R387" i="43"/>
  <c r="R383" i="43"/>
  <c r="R377" i="43"/>
  <c r="R370" i="43"/>
  <c r="R368" i="43"/>
  <c r="R364" i="43"/>
  <c r="R357" i="43"/>
  <c r="R352" i="43"/>
  <c r="R345" i="43"/>
  <c r="R339" i="43"/>
  <c r="R331" i="43"/>
  <c r="R328" i="43"/>
  <c r="R324" i="43"/>
  <c r="R321" i="43"/>
  <c r="R319" i="43"/>
  <c r="R313" i="43"/>
  <c r="R309" i="43"/>
  <c r="R302" i="43"/>
  <c r="R295" i="43"/>
  <c r="R293" i="43"/>
  <c r="R285" i="43"/>
  <c r="R280" i="43"/>
  <c r="R273" i="43"/>
  <c r="R269" i="43"/>
  <c r="R263" i="43"/>
  <c r="R259" i="43"/>
  <c r="R255" i="43"/>
  <c r="R253" i="43"/>
  <c r="R246" i="43"/>
  <c r="R240" i="43"/>
  <c r="R234" i="43"/>
  <c r="R228" i="43"/>
  <c r="R222" i="43"/>
  <c r="R216" i="43"/>
  <c r="R210" i="43"/>
  <c r="R203" i="43"/>
  <c r="R197" i="43"/>
  <c r="R191" i="43"/>
  <c r="R184" i="43"/>
  <c r="R177" i="43"/>
  <c r="R171" i="43"/>
  <c r="R165" i="43"/>
  <c r="R159" i="43"/>
  <c r="R154" i="43"/>
  <c r="R148" i="43"/>
  <c r="R142" i="43"/>
  <c r="R136" i="43"/>
  <c r="R129" i="43"/>
  <c r="R122" i="43"/>
  <c r="R117" i="43"/>
  <c r="R114" i="43"/>
  <c r="R111" i="43"/>
  <c r="R107" i="43"/>
  <c r="R103" i="43"/>
  <c r="R100" i="43"/>
  <c r="R96" i="43"/>
  <c r="R92" i="43"/>
  <c r="R89" i="43"/>
  <c r="R85" i="43"/>
  <c r="R81" i="43"/>
  <c r="R78" i="43"/>
  <c r="R74" i="43"/>
  <c r="R69" i="43"/>
  <c r="R66" i="43"/>
  <c r="R62" i="43"/>
  <c r="R58" i="43"/>
  <c r="R54" i="43"/>
  <c r="R51" i="43"/>
  <c r="R48" i="43"/>
  <c r="R45" i="43"/>
  <c r="R41" i="43"/>
  <c r="R38" i="43"/>
  <c r="R34" i="43"/>
  <c r="R30" i="43"/>
  <c r="R27" i="43"/>
  <c r="R22" i="43"/>
  <c r="R18" i="43"/>
  <c r="R13" i="43"/>
  <c r="AP368" i="43" l="1"/>
  <c r="AP313" i="43"/>
  <c r="AP259" i="43"/>
  <c r="AP352" i="43"/>
  <c r="AP293" i="43"/>
  <c r="AP285" i="43"/>
  <c r="AP203" i="43"/>
  <c r="AP159" i="43"/>
  <c r="AP69" i="43"/>
  <c r="AP41" i="43"/>
  <c r="AP30" i="43"/>
  <c r="AP27" i="43"/>
  <c r="AP404" i="43"/>
  <c r="AP331" i="43"/>
  <c r="AP410" i="43"/>
  <c r="AP377" i="43"/>
  <c r="AP339" i="43"/>
  <c r="AP302" i="43"/>
  <c r="AP222" i="43"/>
  <c r="AP165" i="43"/>
  <c r="AP401" i="43"/>
  <c r="AP22" i="43"/>
  <c r="AP458" i="43"/>
  <c r="AP452" i="43"/>
  <c r="AP438" i="43"/>
  <c r="AP424" i="43"/>
  <c r="AP387" i="43"/>
  <c r="AP345" i="43"/>
  <c r="AP328" i="43"/>
  <c r="AP319" i="43"/>
  <c r="AP273" i="43"/>
  <c r="AP263" i="43"/>
  <c r="AP240" i="43"/>
  <c r="AP216" i="43"/>
  <c r="AP197" i="43"/>
  <c r="AP184" i="43"/>
  <c r="AP154" i="43"/>
  <c r="AP136" i="43"/>
  <c r="AP117" i="43"/>
  <c r="AP107" i="43"/>
  <c r="AP96" i="43"/>
  <c r="AP85" i="43"/>
  <c r="AP58" i="43"/>
  <c r="AP51" i="43"/>
  <c r="AP394" i="43"/>
  <c r="AP383" i="43"/>
  <c r="AP364" i="43"/>
  <c r="AP357" i="43"/>
  <c r="AP309" i="43"/>
  <c r="AP280" i="43"/>
  <c r="AP269" i="43"/>
  <c r="AP234" i="43"/>
  <c r="AP177" i="43"/>
  <c r="AP148" i="43"/>
  <c r="AP111" i="43"/>
  <c r="AP100" i="43"/>
  <c r="AP89" i="43"/>
  <c r="AP78" i="43"/>
  <c r="AP74" i="43"/>
  <c r="AP62" i="43"/>
  <c r="AP45" i="43"/>
  <c r="AP34" i="43"/>
  <c r="AP246" i="43"/>
  <c r="AP455" i="43"/>
  <c r="AP445" i="43"/>
  <c r="AP431" i="43"/>
  <c r="AP417" i="43"/>
  <c r="AP324" i="43"/>
  <c r="AP253" i="43"/>
  <c r="AP228" i="43"/>
  <c r="AP210" i="43"/>
  <c r="AP191" i="43"/>
  <c r="AP171" i="43"/>
  <c r="AP142" i="43"/>
  <c r="AP129" i="43"/>
  <c r="AP122" i="43"/>
  <c r="AP114" i="43"/>
  <c r="AP103" i="43"/>
  <c r="AP92" i="43"/>
  <c r="AP81" i="43"/>
  <c r="AP66" i="43"/>
  <c r="AP54" i="43"/>
  <c r="AP48" i="43"/>
  <c r="AP38" i="43"/>
  <c r="AP18" i="43"/>
  <c r="U321" i="43"/>
  <c r="U370" i="43"/>
  <c r="U295" i="43"/>
  <c r="U255" i="43"/>
  <c r="U51" i="43"/>
  <c r="U401" i="43"/>
  <c r="U368" i="43"/>
  <c r="U339" i="43"/>
  <c r="U222" i="43"/>
  <c r="U41" i="43"/>
  <c r="U30" i="43"/>
  <c r="U328" i="43"/>
  <c r="U96" i="43"/>
  <c r="U410" i="43"/>
  <c r="U302" i="43"/>
  <c r="U285" i="43"/>
  <c r="U259" i="43"/>
  <c r="U159" i="43"/>
  <c r="U69" i="43"/>
  <c r="U27" i="43"/>
  <c r="U81" i="43"/>
  <c r="U184" i="43"/>
  <c r="U136" i="43"/>
  <c r="U107" i="43"/>
  <c r="U85" i="43"/>
  <c r="U58" i="43"/>
  <c r="U452" i="43"/>
  <c r="U345" i="43"/>
  <c r="U319" i="43"/>
  <c r="U263" i="43"/>
  <c r="U216" i="43"/>
  <c r="U445" i="43"/>
  <c r="U404" i="43"/>
  <c r="U394" i="43"/>
  <c r="U383" i="43"/>
  <c r="U357" i="43"/>
  <c r="U352" i="43"/>
  <c r="U331" i="43"/>
  <c r="U313" i="43"/>
  <c r="U309" i="43"/>
  <c r="U293" i="43"/>
  <c r="U280" i="43"/>
  <c r="U253" i="43"/>
  <c r="U234" i="43"/>
  <c r="U228" i="43"/>
  <c r="U154" i="43"/>
  <c r="U111" i="43"/>
  <c r="U100" i="43"/>
  <c r="U89" i="43"/>
  <c r="U78" i="43"/>
  <c r="U74" i="43"/>
  <c r="U66" i="43"/>
  <c r="U62" i="43"/>
  <c r="U45" i="43"/>
  <c r="U38" i="43"/>
  <c r="U34" i="43"/>
  <c r="U22" i="43"/>
  <c r="U377" i="43"/>
  <c r="U246" i="43"/>
  <c r="U165" i="43"/>
  <c r="U458" i="43"/>
  <c r="U438" i="43"/>
  <c r="U424" i="43"/>
  <c r="U387" i="43"/>
  <c r="U273" i="43"/>
  <c r="U117" i="43"/>
  <c r="U455" i="43"/>
  <c r="U431" i="43"/>
  <c r="U324" i="43"/>
  <c r="U210" i="43"/>
  <c r="U191" i="43"/>
  <c r="U122" i="43"/>
  <c r="U114" i="43"/>
  <c r="U103" i="43"/>
  <c r="U92" i="43"/>
  <c r="U54" i="43"/>
  <c r="U48" i="43"/>
  <c r="U18" i="43"/>
  <c r="U417" i="43"/>
  <c r="U364" i="43"/>
  <c r="U269" i="43"/>
  <c r="U240" i="43"/>
  <c r="U203" i="43"/>
  <c r="U197" i="43"/>
  <c r="U177" i="43"/>
  <c r="U171" i="43"/>
  <c r="U148" i="43"/>
  <c r="U142" i="43"/>
  <c r="U129" i="43"/>
  <c r="AM448" i="43" l="1"/>
  <c r="AW448" i="43" s="1"/>
  <c r="AL448" i="43"/>
  <c r="AV448" i="43" s="1"/>
  <c r="AE448" i="43"/>
  <c r="AT448" i="43" s="1"/>
  <c r="Y448" i="43"/>
  <c r="AQ448" i="43" s="1"/>
  <c r="Z448" i="43" l="1"/>
  <c r="AA448" i="43"/>
  <c r="AR448" i="43" s="1"/>
  <c r="AB448" i="43"/>
  <c r="AS448" i="43" s="1"/>
  <c r="AN448" i="43"/>
  <c r="AU448" i="43" s="1"/>
  <c r="AM83" i="43"/>
  <c r="AW83" i="43" s="1"/>
  <c r="AL83" i="43"/>
  <c r="AV83" i="43" s="1"/>
  <c r="AE83" i="43"/>
  <c r="AT83" i="43" s="1"/>
  <c r="Y83" i="43"/>
  <c r="AQ83" i="43" s="1"/>
  <c r="AM36" i="43"/>
  <c r="AW36" i="43" s="1"/>
  <c r="AL36" i="43"/>
  <c r="AV36" i="43" s="1"/>
  <c r="AE36" i="43"/>
  <c r="AT36" i="43" s="1"/>
  <c r="Y36" i="43"/>
  <c r="AQ36" i="43" s="1"/>
  <c r="N12" i="43"/>
  <c r="N13" i="43" s="1"/>
  <c r="Z36" i="43" l="1"/>
  <c r="AF448" i="43"/>
  <c r="AO448" i="43" s="1"/>
  <c r="Z83" i="43"/>
  <c r="AA36" i="43"/>
  <c r="AR36" i="43" s="1"/>
  <c r="AA83" i="43"/>
  <c r="AR83" i="43" s="1"/>
  <c r="AN83" i="43"/>
  <c r="AU83" i="43" s="1"/>
  <c r="AB83" i="43"/>
  <c r="AS83" i="43" s="1"/>
  <c r="AB36" i="43"/>
  <c r="AS36" i="43" s="1"/>
  <c r="AN36" i="43"/>
  <c r="AU36" i="43" s="1"/>
  <c r="AF36" i="43" l="1"/>
  <c r="AO36" i="43" s="1"/>
  <c r="AF83" i="43"/>
  <c r="AO83" i="43" s="1"/>
  <c r="AB457" i="43"/>
  <c r="AS457" i="43" s="1"/>
  <c r="AA457" i="43"/>
  <c r="AR457" i="43" s="1"/>
  <c r="Y457" i="43"/>
  <c r="AQ457" i="43" s="1"/>
  <c r="AB456" i="43"/>
  <c r="AS456" i="43" s="1"/>
  <c r="AA456" i="43"/>
  <c r="AR456" i="43" s="1"/>
  <c r="Y456" i="43"/>
  <c r="AQ456" i="43" s="1"/>
  <c r="Y454" i="43"/>
  <c r="AQ454" i="43" s="1"/>
  <c r="Y453" i="43"/>
  <c r="AQ453" i="43" s="1"/>
  <c r="Y451" i="43"/>
  <c r="AQ451" i="43" s="1"/>
  <c r="Y450" i="43"/>
  <c r="AQ450" i="43" s="1"/>
  <c r="Y449" i="43"/>
  <c r="AQ449" i="43" s="1"/>
  <c r="Y447" i="43"/>
  <c r="AQ447" i="43" s="1"/>
  <c r="Y446" i="43"/>
  <c r="AQ446" i="43" s="1"/>
  <c r="Y444" i="43"/>
  <c r="AQ444" i="43" s="1"/>
  <c r="Y443" i="43"/>
  <c r="AQ443" i="43" s="1"/>
  <c r="Y442" i="43"/>
  <c r="AQ442" i="43" s="1"/>
  <c r="Y441" i="43"/>
  <c r="AQ441" i="43" s="1"/>
  <c r="Y440" i="43"/>
  <c r="AQ440" i="43" s="1"/>
  <c r="Y439" i="43"/>
  <c r="AQ439" i="43" s="1"/>
  <c r="Y437" i="43"/>
  <c r="AQ437" i="43" s="1"/>
  <c r="Y436" i="43"/>
  <c r="AQ436" i="43" s="1"/>
  <c r="Y435" i="43"/>
  <c r="AQ435" i="43" s="1"/>
  <c r="Y434" i="43"/>
  <c r="AQ434" i="43" s="1"/>
  <c r="Y433" i="43"/>
  <c r="AQ433" i="43" s="1"/>
  <c r="Y432" i="43"/>
  <c r="AQ432" i="43" s="1"/>
  <c r="Y430" i="43"/>
  <c r="AQ430" i="43" s="1"/>
  <c r="Y429" i="43"/>
  <c r="AQ429" i="43" s="1"/>
  <c r="Y428" i="43"/>
  <c r="AQ428" i="43" s="1"/>
  <c r="Y427" i="43"/>
  <c r="AQ427" i="43" s="1"/>
  <c r="Y426" i="43"/>
  <c r="AQ426" i="43" s="1"/>
  <c r="Y425" i="43"/>
  <c r="AQ425" i="43" s="1"/>
  <c r="Y423" i="43"/>
  <c r="AQ423" i="43" s="1"/>
  <c r="Y422" i="43"/>
  <c r="AQ422" i="43" s="1"/>
  <c r="Y421" i="43"/>
  <c r="AQ421" i="43" s="1"/>
  <c r="Y420" i="43"/>
  <c r="AQ420" i="43" s="1"/>
  <c r="Y419" i="43"/>
  <c r="AQ419" i="43" s="1"/>
  <c r="Y418" i="43"/>
  <c r="AQ418" i="43" s="1"/>
  <c r="Y416" i="43"/>
  <c r="AQ416" i="43" s="1"/>
  <c r="Y415" i="43"/>
  <c r="AQ415" i="43" s="1"/>
  <c r="Y414" i="43"/>
  <c r="AQ414" i="43" s="1"/>
  <c r="Y413" i="43"/>
  <c r="AQ413" i="43" s="1"/>
  <c r="Y412" i="43"/>
  <c r="AQ412" i="43" s="1"/>
  <c r="Y411" i="43"/>
  <c r="AQ411" i="43" s="1"/>
  <c r="Y409" i="43"/>
  <c r="AQ409" i="43" s="1"/>
  <c r="Y408" i="43"/>
  <c r="AQ408" i="43" s="1"/>
  <c r="Y407" i="43"/>
  <c r="AQ407" i="43" s="1"/>
  <c r="Y406" i="43"/>
  <c r="AQ406" i="43" s="1"/>
  <c r="Y405" i="43"/>
  <c r="AQ405" i="43" s="1"/>
  <c r="Y403" i="43"/>
  <c r="AQ403" i="43" s="1"/>
  <c r="Y402" i="43"/>
  <c r="AQ402" i="43" s="1"/>
  <c r="Y400" i="43"/>
  <c r="AQ400" i="43" s="1"/>
  <c r="Y399" i="43"/>
  <c r="AQ399" i="43" s="1"/>
  <c r="Y398" i="43"/>
  <c r="AQ398" i="43" s="1"/>
  <c r="Y397" i="43"/>
  <c r="AQ397" i="43" s="1"/>
  <c r="Y396" i="43"/>
  <c r="AQ396" i="43" s="1"/>
  <c r="Y395" i="43"/>
  <c r="AQ395" i="43" s="1"/>
  <c r="Y393" i="43"/>
  <c r="AQ393" i="43" s="1"/>
  <c r="Y392" i="43"/>
  <c r="AQ392" i="43" s="1"/>
  <c r="Y391" i="43"/>
  <c r="AQ391" i="43" s="1"/>
  <c r="Y390" i="43"/>
  <c r="AQ390" i="43" s="1"/>
  <c r="Y389" i="43"/>
  <c r="AQ389" i="43" s="1"/>
  <c r="Y388" i="43"/>
  <c r="AQ388" i="43" s="1"/>
  <c r="Y386" i="43"/>
  <c r="AQ386" i="43" s="1"/>
  <c r="Y385" i="43"/>
  <c r="AQ385" i="43" s="1"/>
  <c r="Y384" i="43"/>
  <c r="AQ384" i="43" s="1"/>
  <c r="Y382" i="43"/>
  <c r="AQ382" i="43" s="1"/>
  <c r="Y381" i="43"/>
  <c r="AQ381" i="43" s="1"/>
  <c r="Y380" i="43"/>
  <c r="AQ380" i="43" s="1"/>
  <c r="Y379" i="43"/>
  <c r="AQ379" i="43" s="1"/>
  <c r="Y378" i="43"/>
  <c r="AQ378" i="43" s="1"/>
  <c r="Y376" i="43"/>
  <c r="AQ376" i="43" s="1"/>
  <c r="Y375" i="43"/>
  <c r="AQ375" i="43" s="1"/>
  <c r="Y374" i="43"/>
  <c r="AQ374" i="43" s="1"/>
  <c r="Y373" i="43"/>
  <c r="AQ373" i="43" s="1"/>
  <c r="Y372" i="43"/>
  <c r="AQ372" i="43" s="1"/>
  <c r="Y371" i="43"/>
  <c r="AQ371" i="43" s="1"/>
  <c r="Y369" i="43"/>
  <c r="AQ369" i="43" s="1"/>
  <c r="AQ370" i="43" s="1"/>
  <c r="Y367" i="43"/>
  <c r="AQ367" i="43" s="1"/>
  <c r="Y366" i="43"/>
  <c r="AQ366" i="43" s="1"/>
  <c r="Y365" i="43"/>
  <c r="AQ365" i="43" s="1"/>
  <c r="Y363" i="43"/>
  <c r="AQ363" i="43" s="1"/>
  <c r="Y362" i="43"/>
  <c r="AQ362" i="43" s="1"/>
  <c r="Y361" i="43"/>
  <c r="AQ361" i="43" s="1"/>
  <c r="Y360" i="43"/>
  <c r="AQ360" i="43" s="1"/>
  <c r="Y359" i="43"/>
  <c r="AQ359" i="43" s="1"/>
  <c r="Y358" i="43"/>
  <c r="AQ358" i="43" s="1"/>
  <c r="Y356" i="43"/>
  <c r="AQ356" i="43" s="1"/>
  <c r="Y355" i="43"/>
  <c r="AQ355" i="43" s="1"/>
  <c r="Y354" i="43"/>
  <c r="AQ354" i="43" s="1"/>
  <c r="Y353" i="43"/>
  <c r="AQ353" i="43" s="1"/>
  <c r="Y351" i="43"/>
  <c r="AQ351" i="43" s="1"/>
  <c r="Y350" i="43"/>
  <c r="AQ350" i="43" s="1"/>
  <c r="Y349" i="43"/>
  <c r="AQ349" i="43" s="1"/>
  <c r="Y348" i="43"/>
  <c r="AQ348" i="43" s="1"/>
  <c r="Y347" i="43"/>
  <c r="AQ347" i="43" s="1"/>
  <c r="Y346" i="43"/>
  <c r="AQ346" i="43" s="1"/>
  <c r="Y344" i="43"/>
  <c r="AQ344" i="43" s="1"/>
  <c r="Y343" i="43"/>
  <c r="AQ343" i="43" s="1"/>
  <c r="Y342" i="43"/>
  <c r="AQ342" i="43" s="1"/>
  <c r="Y341" i="43"/>
  <c r="AQ341" i="43" s="1"/>
  <c r="Y340" i="43"/>
  <c r="AQ340" i="43" s="1"/>
  <c r="Y338" i="43"/>
  <c r="AQ338" i="43" s="1"/>
  <c r="Y337" i="43"/>
  <c r="AQ337" i="43" s="1"/>
  <c r="Y336" i="43"/>
  <c r="AQ336" i="43" s="1"/>
  <c r="Y335" i="43"/>
  <c r="AQ335" i="43" s="1"/>
  <c r="Y334" i="43"/>
  <c r="AQ334" i="43" s="1"/>
  <c r="Y333" i="43"/>
  <c r="AQ333" i="43" s="1"/>
  <c r="Y332" i="43"/>
  <c r="AQ332" i="43" s="1"/>
  <c r="Y330" i="43"/>
  <c r="AQ330" i="43" s="1"/>
  <c r="Y329" i="43"/>
  <c r="AQ329" i="43" s="1"/>
  <c r="Y327" i="43"/>
  <c r="AQ327" i="43" s="1"/>
  <c r="Y326" i="43"/>
  <c r="AQ326" i="43" s="1"/>
  <c r="Y325" i="43"/>
  <c r="AQ325" i="43" s="1"/>
  <c r="Y323" i="43"/>
  <c r="AQ323" i="43" s="1"/>
  <c r="Y322" i="43"/>
  <c r="AQ322" i="43" s="1"/>
  <c r="Y320" i="43"/>
  <c r="AQ320" i="43" s="1"/>
  <c r="AQ321" i="43" s="1"/>
  <c r="Y318" i="43"/>
  <c r="AQ318" i="43" s="1"/>
  <c r="Y317" i="43"/>
  <c r="AQ317" i="43" s="1"/>
  <c r="Y316" i="43"/>
  <c r="AQ316" i="43" s="1"/>
  <c r="Y315" i="43"/>
  <c r="AQ315" i="43" s="1"/>
  <c r="Y314" i="43"/>
  <c r="AQ314" i="43" s="1"/>
  <c r="Y312" i="43"/>
  <c r="AQ312" i="43" s="1"/>
  <c r="Y311" i="43"/>
  <c r="AQ311" i="43" s="1"/>
  <c r="Y310" i="43"/>
  <c r="AQ310" i="43" s="1"/>
  <c r="Y308" i="43"/>
  <c r="AQ308" i="43" s="1"/>
  <c r="Y307" i="43"/>
  <c r="AQ307" i="43" s="1"/>
  <c r="Y306" i="43"/>
  <c r="AQ306" i="43" s="1"/>
  <c r="Y305" i="43"/>
  <c r="AQ305" i="43" s="1"/>
  <c r="Y304" i="43"/>
  <c r="AQ304" i="43" s="1"/>
  <c r="Y303" i="43"/>
  <c r="AQ303" i="43" s="1"/>
  <c r="Y301" i="43"/>
  <c r="AQ301" i="43" s="1"/>
  <c r="Y300" i="43"/>
  <c r="AQ300" i="43" s="1"/>
  <c r="Y299" i="43"/>
  <c r="AQ299" i="43" s="1"/>
  <c r="Y298" i="43"/>
  <c r="AQ298" i="43" s="1"/>
  <c r="Y297" i="43"/>
  <c r="AQ297" i="43" s="1"/>
  <c r="Y296" i="43"/>
  <c r="AQ296" i="43" s="1"/>
  <c r="Y294" i="43"/>
  <c r="AQ294" i="43" s="1"/>
  <c r="AQ295" i="43" s="1"/>
  <c r="Y292" i="43"/>
  <c r="AQ292" i="43" s="1"/>
  <c r="Y291" i="43"/>
  <c r="AQ291" i="43" s="1"/>
  <c r="Y290" i="43"/>
  <c r="AQ290" i="43" s="1"/>
  <c r="Y289" i="43"/>
  <c r="AQ289" i="43" s="1"/>
  <c r="Y288" i="43"/>
  <c r="AQ288" i="43" s="1"/>
  <c r="Y287" i="43"/>
  <c r="AQ287" i="43" s="1"/>
  <c r="Y286" i="43"/>
  <c r="AQ286" i="43" s="1"/>
  <c r="Y284" i="43"/>
  <c r="AQ284" i="43" s="1"/>
  <c r="Y283" i="43"/>
  <c r="AQ283" i="43" s="1"/>
  <c r="Y282" i="43"/>
  <c r="AQ282" i="43" s="1"/>
  <c r="Y281" i="43"/>
  <c r="AQ281" i="43" s="1"/>
  <c r="Y279" i="43"/>
  <c r="AQ279" i="43" s="1"/>
  <c r="Y278" i="43"/>
  <c r="AQ278" i="43" s="1"/>
  <c r="Y277" i="43"/>
  <c r="AQ277" i="43" s="1"/>
  <c r="Y276" i="43"/>
  <c r="AQ276" i="43" s="1"/>
  <c r="Y275" i="43"/>
  <c r="AQ275" i="43" s="1"/>
  <c r="Y274" i="43"/>
  <c r="AQ274" i="43" s="1"/>
  <c r="Y272" i="43"/>
  <c r="AQ272" i="43" s="1"/>
  <c r="Y271" i="43"/>
  <c r="AQ271" i="43" s="1"/>
  <c r="Y270" i="43"/>
  <c r="AQ270" i="43" s="1"/>
  <c r="Y268" i="43"/>
  <c r="AQ268" i="43" s="1"/>
  <c r="Y267" i="43"/>
  <c r="AQ267" i="43" s="1"/>
  <c r="Y266" i="43"/>
  <c r="AQ266" i="43" s="1"/>
  <c r="Y265" i="43"/>
  <c r="AQ265" i="43" s="1"/>
  <c r="Y264" i="43"/>
  <c r="AQ264" i="43" s="1"/>
  <c r="Y262" i="43"/>
  <c r="AQ262" i="43" s="1"/>
  <c r="Y261" i="43"/>
  <c r="AQ261" i="43" s="1"/>
  <c r="Y260" i="43"/>
  <c r="AQ260" i="43" s="1"/>
  <c r="Y258" i="43"/>
  <c r="AQ258" i="43" s="1"/>
  <c r="Y257" i="43"/>
  <c r="AQ257" i="43" s="1"/>
  <c r="Y256" i="43"/>
  <c r="AQ256" i="43" s="1"/>
  <c r="Y254" i="43"/>
  <c r="AQ254" i="43" s="1"/>
  <c r="AQ255" i="43" s="1"/>
  <c r="Y252" i="43"/>
  <c r="AQ252" i="43" s="1"/>
  <c r="Y251" i="43"/>
  <c r="AQ251" i="43" s="1"/>
  <c r="Y250" i="43"/>
  <c r="AQ250" i="43" s="1"/>
  <c r="Y249" i="43"/>
  <c r="AQ249" i="43" s="1"/>
  <c r="Y248" i="43"/>
  <c r="AQ248" i="43" s="1"/>
  <c r="Y247" i="43"/>
  <c r="AQ247" i="43" s="1"/>
  <c r="Y245" i="43"/>
  <c r="AQ245" i="43" s="1"/>
  <c r="Y244" i="43"/>
  <c r="AQ244" i="43" s="1"/>
  <c r="Y243" i="43"/>
  <c r="AQ243" i="43" s="1"/>
  <c r="Y242" i="43"/>
  <c r="AQ242" i="43" s="1"/>
  <c r="Y241" i="43"/>
  <c r="AQ241" i="43" s="1"/>
  <c r="Y239" i="43"/>
  <c r="AQ239" i="43" s="1"/>
  <c r="Y238" i="43"/>
  <c r="AQ238" i="43" s="1"/>
  <c r="Y237" i="43"/>
  <c r="AQ237" i="43" s="1"/>
  <c r="Y236" i="43"/>
  <c r="AQ236" i="43" s="1"/>
  <c r="Y235" i="43"/>
  <c r="AQ235" i="43" s="1"/>
  <c r="Y233" i="43"/>
  <c r="AQ233" i="43" s="1"/>
  <c r="Y232" i="43"/>
  <c r="AQ232" i="43" s="1"/>
  <c r="Y231" i="43"/>
  <c r="AQ231" i="43" s="1"/>
  <c r="Y230" i="43"/>
  <c r="AQ230" i="43" s="1"/>
  <c r="Y229" i="43"/>
  <c r="AQ229" i="43" s="1"/>
  <c r="Y227" i="43"/>
  <c r="AQ227" i="43" s="1"/>
  <c r="Y226" i="43"/>
  <c r="AQ226" i="43" s="1"/>
  <c r="Y225" i="43"/>
  <c r="AQ225" i="43" s="1"/>
  <c r="Y224" i="43"/>
  <c r="AQ224" i="43" s="1"/>
  <c r="Y223" i="43"/>
  <c r="AQ223" i="43" s="1"/>
  <c r="Y221" i="43"/>
  <c r="AQ221" i="43" s="1"/>
  <c r="Y220" i="43"/>
  <c r="AQ220" i="43" s="1"/>
  <c r="Y219" i="43"/>
  <c r="AQ219" i="43" s="1"/>
  <c r="Y218" i="43"/>
  <c r="AQ218" i="43" s="1"/>
  <c r="Y217" i="43"/>
  <c r="AQ217" i="43" s="1"/>
  <c r="Y215" i="43"/>
  <c r="AQ215" i="43" s="1"/>
  <c r="Y214" i="43"/>
  <c r="AQ214" i="43" s="1"/>
  <c r="Y213" i="43"/>
  <c r="AQ213" i="43" s="1"/>
  <c r="Y212" i="43"/>
  <c r="AQ212" i="43" s="1"/>
  <c r="Y211" i="43"/>
  <c r="AQ211" i="43" s="1"/>
  <c r="Y209" i="43"/>
  <c r="AQ209" i="43" s="1"/>
  <c r="Y208" i="43"/>
  <c r="AQ208" i="43" s="1"/>
  <c r="Y207" i="43"/>
  <c r="AQ207" i="43" s="1"/>
  <c r="Y206" i="43"/>
  <c r="AQ206" i="43" s="1"/>
  <c r="Y205" i="43"/>
  <c r="AQ205" i="43" s="1"/>
  <c r="Y204" i="43"/>
  <c r="AQ204" i="43" s="1"/>
  <c r="Y202" i="43"/>
  <c r="AQ202" i="43" s="1"/>
  <c r="Y201" i="43"/>
  <c r="AQ201" i="43" s="1"/>
  <c r="Y200" i="43"/>
  <c r="AQ200" i="43" s="1"/>
  <c r="Y199" i="43"/>
  <c r="AQ199" i="43" s="1"/>
  <c r="Y198" i="43"/>
  <c r="AQ198" i="43" s="1"/>
  <c r="Y196" i="43"/>
  <c r="AQ196" i="43" s="1"/>
  <c r="Y195" i="43"/>
  <c r="AQ195" i="43" s="1"/>
  <c r="Y194" i="43"/>
  <c r="AQ194" i="43" s="1"/>
  <c r="Y193" i="43"/>
  <c r="AQ193" i="43" s="1"/>
  <c r="Y192" i="43"/>
  <c r="AQ192" i="43" s="1"/>
  <c r="Y190" i="43"/>
  <c r="AQ190" i="43" s="1"/>
  <c r="Y189" i="43"/>
  <c r="AQ189" i="43" s="1"/>
  <c r="Y188" i="43"/>
  <c r="AQ188" i="43" s="1"/>
  <c r="Y187" i="43"/>
  <c r="AQ187" i="43" s="1"/>
  <c r="Y186" i="43"/>
  <c r="AQ186" i="43" s="1"/>
  <c r="Y185" i="43"/>
  <c r="AQ185" i="43" s="1"/>
  <c r="Y183" i="43"/>
  <c r="AQ183" i="43" s="1"/>
  <c r="Y182" i="43"/>
  <c r="AQ182" i="43" s="1"/>
  <c r="Y181" i="43"/>
  <c r="AQ181" i="43" s="1"/>
  <c r="Y180" i="43"/>
  <c r="AQ180" i="43" s="1"/>
  <c r="Y179" i="43"/>
  <c r="AQ179" i="43" s="1"/>
  <c r="Y178" i="43"/>
  <c r="AQ178" i="43" s="1"/>
  <c r="Y176" i="43"/>
  <c r="AQ176" i="43" s="1"/>
  <c r="Y175" i="43"/>
  <c r="AQ175" i="43" s="1"/>
  <c r="Y174" i="43"/>
  <c r="AQ174" i="43" s="1"/>
  <c r="Y173" i="43"/>
  <c r="AQ173" i="43" s="1"/>
  <c r="Y172" i="43"/>
  <c r="AQ172" i="43" s="1"/>
  <c r="Y170" i="43"/>
  <c r="AQ170" i="43" s="1"/>
  <c r="Y169" i="43"/>
  <c r="AQ169" i="43" s="1"/>
  <c r="Y168" i="43"/>
  <c r="AQ168" i="43" s="1"/>
  <c r="Y167" i="43"/>
  <c r="AQ167" i="43" s="1"/>
  <c r="Y166" i="43"/>
  <c r="AQ166" i="43" s="1"/>
  <c r="Y164" i="43"/>
  <c r="AQ164" i="43" s="1"/>
  <c r="Y163" i="43"/>
  <c r="AQ163" i="43" s="1"/>
  <c r="AB162" i="43"/>
  <c r="AS162" i="43" s="1"/>
  <c r="AA162" i="43"/>
  <c r="AR162" i="43" s="1"/>
  <c r="Y162" i="43"/>
  <c r="AQ162" i="43" s="1"/>
  <c r="Y161" i="43"/>
  <c r="AQ161" i="43" s="1"/>
  <c r="Y160" i="43"/>
  <c r="AQ160" i="43" s="1"/>
  <c r="Y158" i="43"/>
  <c r="AQ158" i="43" s="1"/>
  <c r="Y157" i="43"/>
  <c r="AQ157" i="43" s="1"/>
  <c r="Y156" i="43"/>
  <c r="AQ156" i="43" s="1"/>
  <c r="Y155" i="43"/>
  <c r="AQ155" i="43" s="1"/>
  <c r="Y153" i="43"/>
  <c r="AQ153" i="43" s="1"/>
  <c r="Y152" i="43"/>
  <c r="AQ152" i="43" s="1"/>
  <c r="Y151" i="43"/>
  <c r="AQ151" i="43" s="1"/>
  <c r="Y150" i="43"/>
  <c r="AQ150" i="43" s="1"/>
  <c r="Y149" i="43"/>
  <c r="AQ149" i="43" s="1"/>
  <c r="Y147" i="43"/>
  <c r="AQ147" i="43" s="1"/>
  <c r="Y146" i="43"/>
  <c r="AQ146" i="43" s="1"/>
  <c r="Y145" i="43"/>
  <c r="AQ145" i="43" s="1"/>
  <c r="Y144" i="43"/>
  <c r="AQ144" i="43" s="1"/>
  <c r="Y143" i="43"/>
  <c r="AQ143" i="43" s="1"/>
  <c r="Y141" i="43"/>
  <c r="AQ141" i="43" s="1"/>
  <c r="Y140" i="43"/>
  <c r="AQ140" i="43" s="1"/>
  <c r="Y139" i="43"/>
  <c r="AQ139" i="43" s="1"/>
  <c r="Y138" i="43"/>
  <c r="AQ138" i="43" s="1"/>
  <c r="Y137" i="43"/>
  <c r="AQ137" i="43" s="1"/>
  <c r="Y135" i="43"/>
  <c r="AQ135" i="43" s="1"/>
  <c r="Y134" i="43"/>
  <c r="AQ134" i="43" s="1"/>
  <c r="Y133" i="43"/>
  <c r="AQ133" i="43" s="1"/>
  <c r="Y132" i="43"/>
  <c r="AQ132" i="43" s="1"/>
  <c r="Y131" i="43"/>
  <c r="AQ131" i="43" s="1"/>
  <c r="Y130" i="43"/>
  <c r="AQ130" i="43" s="1"/>
  <c r="Y128" i="43"/>
  <c r="AQ128" i="43" s="1"/>
  <c r="Y127" i="43"/>
  <c r="AQ127" i="43" s="1"/>
  <c r="Y126" i="43"/>
  <c r="AQ126" i="43" s="1"/>
  <c r="Y125" i="43"/>
  <c r="AQ125" i="43" s="1"/>
  <c r="Y124" i="43"/>
  <c r="AQ124" i="43" s="1"/>
  <c r="Y123" i="43"/>
  <c r="AQ123" i="43" s="1"/>
  <c r="Y121" i="43"/>
  <c r="AQ121" i="43" s="1"/>
  <c r="AB120" i="43"/>
  <c r="AS120" i="43" s="1"/>
  <c r="AA120" i="43"/>
  <c r="AR120" i="43" s="1"/>
  <c r="Y120" i="43"/>
  <c r="Y119" i="43"/>
  <c r="AQ119" i="43" s="1"/>
  <c r="Y118" i="43"/>
  <c r="AQ118" i="43" s="1"/>
  <c r="Y116" i="43"/>
  <c r="AQ116" i="43" s="1"/>
  <c r="Y115" i="43"/>
  <c r="AQ115" i="43" s="1"/>
  <c r="Y113" i="43"/>
  <c r="AQ113" i="43" s="1"/>
  <c r="Y112" i="43"/>
  <c r="AQ112" i="43" s="1"/>
  <c r="Y110" i="43"/>
  <c r="AQ110" i="43" s="1"/>
  <c r="Y109" i="43"/>
  <c r="AQ109" i="43" s="1"/>
  <c r="Y108" i="43"/>
  <c r="AQ108" i="43" s="1"/>
  <c r="Y106" i="43"/>
  <c r="AQ106" i="43" s="1"/>
  <c r="Y105" i="43"/>
  <c r="AQ105" i="43" s="1"/>
  <c r="Y104" i="43"/>
  <c r="AQ104" i="43" s="1"/>
  <c r="Y102" i="43"/>
  <c r="AQ102" i="43" s="1"/>
  <c r="Y101" i="43"/>
  <c r="AQ101" i="43" s="1"/>
  <c r="Y99" i="43"/>
  <c r="AQ99" i="43" s="1"/>
  <c r="Y98" i="43"/>
  <c r="AQ98" i="43" s="1"/>
  <c r="Y97" i="43"/>
  <c r="AQ97" i="43" s="1"/>
  <c r="Y95" i="43"/>
  <c r="AQ95" i="43" s="1"/>
  <c r="Y94" i="43"/>
  <c r="AQ94" i="43" s="1"/>
  <c r="Y93" i="43"/>
  <c r="AQ93" i="43" s="1"/>
  <c r="Y91" i="43"/>
  <c r="AQ91" i="43" s="1"/>
  <c r="Y90" i="43"/>
  <c r="AQ90" i="43" s="1"/>
  <c r="Y88" i="43"/>
  <c r="AQ88" i="43" s="1"/>
  <c r="Y87" i="43"/>
  <c r="AQ87" i="43" s="1"/>
  <c r="Y86" i="43"/>
  <c r="AQ86" i="43" s="1"/>
  <c r="Y84" i="43"/>
  <c r="AQ84" i="43" s="1"/>
  <c r="Y82" i="43"/>
  <c r="AQ82" i="43" s="1"/>
  <c r="Y80" i="43"/>
  <c r="AQ80" i="43" s="1"/>
  <c r="Y79" i="43"/>
  <c r="AQ79" i="43" s="1"/>
  <c r="Y77" i="43"/>
  <c r="AQ77" i="43" s="1"/>
  <c r="Y76" i="43"/>
  <c r="AQ76" i="43" s="1"/>
  <c r="Y75" i="43"/>
  <c r="AQ75" i="43" s="1"/>
  <c r="Y73" i="43"/>
  <c r="AQ73" i="43" s="1"/>
  <c r="Y72" i="43"/>
  <c r="AQ72" i="43" s="1"/>
  <c r="Y71" i="43"/>
  <c r="AQ71" i="43" s="1"/>
  <c r="Y70" i="43"/>
  <c r="AQ70" i="43" s="1"/>
  <c r="Y68" i="43"/>
  <c r="AQ68" i="43" s="1"/>
  <c r="Y67" i="43"/>
  <c r="AQ67" i="43" s="1"/>
  <c r="Y65" i="43"/>
  <c r="AQ65" i="43" s="1"/>
  <c r="Y64" i="43"/>
  <c r="AQ64" i="43" s="1"/>
  <c r="Y63" i="43"/>
  <c r="AQ63" i="43" s="1"/>
  <c r="Y61" i="43"/>
  <c r="AQ61" i="43" s="1"/>
  <c r="Y60" i="43"/>
  <c r="AQ60" i="43" s="1"/>
  <c r="Y59" i="43"/>
  <c r="AQ59" i="43" s="1"/>
  <c r="Y57" i="43"/>
  <c r="AQ57" i="43" s="1"/>
  <c r="Y56" i="43"/>
  <c r="AQ56" i="43" s="1"/>
  <c r="Y55" i="43"/>
  <c r="AQ55" i="43" s="1"/>
  <c r="Y53" i="43"/>
  <c r="AQ53" i="43" s="1"/>
  <c r="Y52" i="43"/>
  <c r="AQ52" i="43" s="1"/>
  <c r="Y50" i="43"/>
  <c r="AQ50" i="43" s="1"/>
  <c r="Y49" i="43"/>
  <c r="AQ49" i="43" s="1"/>
  <c r="Y47" i="43"/>
  <c r="AQ47" i="43" s="1"/>
  <c r="Y46" i="43"/>
  <c r="AQ46" i="43" s="1"/>
  <c r="Y44" i="43"/>
  <c r="AQ44" i="43" s="1"/>
  <c r="Y43" i="43"/>
  <c r="AQ43" i="43" s="1"/>
  <c r="Y42" i="43"/>
  <c r="AQ42" i="43" s="1"/>
  <c r="Y40" i="43"/>
  <c r="AQ40" i="43" s="1"/>
  <c r="Y39" i="43"/>
  <c r="AQ39" i="43" s="1"/>
  <c r="Y37" i="43"/>
  <c r="AQ37" i="43" s="1"/>
  <c r="Y35" i="43"/>
  <c r="AQ35" i="43" s="1"/>
  <c r="Y33" i="43"/>
  <c r="AQ33" i="43" s="1"/>
  <c r="Y32" i="43"/>
  <c r="AQ32" i="43" s="1"/>
  <c r="Y31" i="43"/>
  <c r="AQ31" i="43" s="1"/>
  <c r="Y29" i="43"/>
  <c r="AQ29" i="43" s="1"/>
  <c r="Y28" i="43"/>
  <c r="AQ28" i="43" s="1"/>
  <c r="Y26" i="43"/>
  <c r="AQ26" i="43" s="1"/>
  <c r="Y25" i="43"/>
  <c r="AQ25" i="43" s="1"/>
  <c r="Y24" i="43"/>
  <c r="AQ24" i="43" s="1"/>
  <c r="Y23" i="43"/>
  <c r="AQ23" i="43" s="1"/>
  <c r="Y21" i="43"/>
  <c r="AQ21" i="43" s="1"/>
  <c r="Y20" i="43"/>
  <c r="AQ20" i="43" s="1"/>
  <c r="Y19" i="43"/>
  <c r="AQ19" i="43" s="1"/>
  <c r="Y17" i="43"/>
  <c r="AQ17" i="43" s="1"/>
  <c r="AB16" i="43"/>
  <c r="AS16" i="43" s="1"/>
  <c r="AA16" i="43"/>
  <c r="AR16" i="43" s="1"/>
  <c r="Y16" i="43"/>
  <c r="AQ16" i="43" s="1"/>
  <c r="AQ30" i="43" l="1"/>
  <c r="AQ48" i="43"/>
  <c r="AQ54" i="43"/>
  <c r="AQ66" i="43"/>
  <c r="AQ81" i="43"/>
  <c r="AQ89" i="43"/>
  <c r="AQ100" i="43"/>
  <c r="AQ165" i="43"/>
  <c r="AQ331" i="43"/>
  <c r="AQ404" i="43"/>
  <c r="AQ455" i="43"/>
  <c r="AQ38" i="43"/>
  <c r="AQ27" i="43"/>
  <c r="AQ159" i="43"/>
  <c r="AQ234" i="43"/>
  <c r="AQ269" i="43"/>
  <c r="AQ280" i="43"/>
  <c r="AQ309" i="43"/>
  <c r="AQ357" i="43"/>
  <c r="AQ364" i="43"/>
  <c r="AQ383" i="43"/>
  <c r="AQ177" i="43"/>
  <c r="AQ394" i="43"/>
  <c r="AQ458" i="43"/>
  <c r="AQ22" i="43"/>
  <c r="AQ85" i="43"/>
  <c r="AQ45" i="43"/>
  <c r="AQ96" i="43"/>
  <c r="AQ62" i="43"/>
  <c r="AQ107" i="43"/>
  <c r="AQ111" i="43"/>
  <c r="AQ51" i="43"/>
  <c r="AS458" i="43"/>
  <c r="AQ74" i="43"/>
  <c r="AQ78" i="43"/>
  <c r="AQ117" i="43"/>
  <c r="AQ129" i="43"/>
  <c r="AQ142" i="43"/>
  <c r="AQ184" i="43"/>
  <c r="AQ197" i="43"/>
  <c r="AQ216" i="43"/>
  <c r="AQ240" i="43"/>
  <c r="AQ263" i="43"/>
  <c r="AQ273" i="43"/>
  <c r="AQ319" i="43"/>
  <c r="AQ328" i="43"/>
  <c r="AQ345" i="43"/>
  <c r="AQ387" i="43"/>
  <c r="AQ424" i="43"/>
  <c r="AQ438" i="43"/>
  <c r="AQ452" i="43"/>
  <c r="AR458" i="43"/>
  <c r="AQ34" i="43"/>
  <c r="AQ58" i="43"/>
  <c r="AQ148" i="43"/>
  <c r="AQ203" i="43"/>
  <c r="AQ222" i="43"/>
  <c r="AQ246" i="43"/>
  <c r="AQ259" i="43"/>
  <c r="AQ285" i="43"/>
  <c r="AQ293" i="43"/>
  <c r="AQ302" i="43"/>
  <c r="AQ313" i="43"/>
  <c r="AQ339" i="43"/>
  <c r="AQ352" i="43"/>
  <c r="AQ368" i="43"/>
  <c r="AQ377" i="43"/>
  <c r="AQ401" i="43"/>
  <c r="AQ410" i="43"/>
  <c r="AQ41" i="43"/>
  <c r="AQ69" i="43"/>
  <c r="AQ92" i="43"/>
  <c r="AQ103" i="43"/>
  <c r="AQ114" i="43"/>
  <c r="AQ136" i="43"/>
  <c r="AQ154" i="43"/>
  <c r="AQ171" i="43"/>
  <c r="AQ191" i="43"/>
  <c r="AQ210" i="43"/>
  <c r="AQ228" i="43"/>
  <c r="AQ253" i="43"/>
  <c r="AQ324" i="43"/>
  <c r="AQ417" i="43"/>
  <c r="AQ431" i="43"/>
  <c r="AQ445" i="43"/>
  <c r="Z120" i="43"/>
  <c r="AQ120" i="43"/>
  <c r="AQ122" i="43" s="1"/>
  <c r="Z162" i="43"/>
  <c r="Z457" i="43"/>
  <c r="Z16" i="43"/>
  <c r="Z456" i="43"/>
  <c r="X458" i="43"/>
  <c r="W458" i="43"/>
  <c r="X455" i="43"/>
  <c r="W455" i="43"/>
  <c r="X452" i="43"/>
  <c r="W452" i="43"/>
  <c r="X445" i="43"/>
  <c r="W445" i="43"/>
  <c r="X438" i="43"/>
  <c r="W438" i="43"/>
  <c r="X431" i="43"/>
  <c r="W431" i="43"/>
  <c r="X424" i="43"/>
  <c r="W424" i="43"/>
  <c r="X417" i="43"/>
  <c r="W417" i="43"/>
  <c r="X410" i="43"/>
  <c r="W410" i="43"/>
  <c r="X404" i="43"/>
  <c r="W404" i="43"/>
  <c r="X401" i="43"/>
  <c r="W401" i="43"/>
  <c r="X394" i="43"/>
  <c r="W394" i="43"/>
  <c r="X387" i="43"/>
  <c r="W387" i="43"/>
  <c r="X383" i="43"/>
  <c r="W383" i="43"/>
  <c r="X377" i="43"/>
  <c r="W377" i="43"/>
  <c r="X370" i="43"/>
  <c r="W370" i="43"/>
  <c r="X368" i="43"/>
  <c r="W368" i="43"/>
  <c r="X364" i="43"/>
  <c r="W364" i="43"/>
  <c r="X357" i="43"/>
  <c r="W357" i="43"/>
  <c r="X352" i="43"/>
  <c r="W352" i="43"/>
  <c r="X345" i="43"/>
  <c r="W345" i="43"/>
  <c r="X339" i="43"/>
  <c r="W339" i="43"/>
  <c r="X331" i="43"/>
  <c r="W331" i="43"/>
  <c r="X328" i="43"/>
  <c r="W328" i="43"/>
  <c r="X324" i="43"/>
  <c r="W324" i="43"/>
  <c r="X321" i="43"/>
  <c r="W321" i="43"/>
  <c r="X319" i="43"/>
  <c r="W319" i="43"/>
  <c r="X313" i="43"/>
  <c r="W313" i="43"/>
  <c r="X309" i="43"/>
  <c r="W309" i="43"/>
  <c r="X302" i="43"/>
  <c r="W302" i="43"/>
  <c r="X295" i="43"/>
  <c r="W295" i="43"/>
  <c r="X293" i="43"/>
  <c r="W293" i="43"/>
  <c r="X285" i="43"/>
  <c r="W285" i="43"/>
  <c r="X280" i="43"/>
  <c r="W280" i="43"/>
  <c r="X273" i="43"/>
  <c r="W273" i="43"/>
  <c r="X269" i="43"/>
  <c r="W269" i="43"/>
  <c r="X263" i="43"/>
  <c r="W263" i="43"/>
  <c r="X259" i="43"/>
  <c r="W259" i="43"/>
  <c r="X255" i="43"/>
  <c r="W255" i="43"/>
  <c r="X253" i="43"/>
  <c r="W253" i="43"/>
  <c r="X246" i="43"/>
  <c r="W246" i="43"/>
  <c r="X240" i="43"/>
  <c r="W240" i="43"/>
  <c r="X234" i="43"/>
  <c r="W234" i="43"/>
  <c r="X228" i="43"/>
  <c r="W228" i="43"/>
  <c r="X222" i="43"/>
  <c r="W222" i="43"/>
  <c r="X216" i="43"/>
  <c r="W216" i="43"/>
  <c r="X210" i="43"/>
  <c r="W210" i="43"/>
  <c r="X203" i="43"/>
  <c r="W203" i="43"/>
  <c r="X197" i="43"/>
  <c r="W197" i="43"/>
  <c r="X191" i="43"/>
  <c r="W191" i="43"/>
  <c r="X184" i="43"/>
  <c r="W184" i="43"/>
  <c r="X177" i="43"/>
  <c r="W177" i="43"/>
  <c r="X171" i="43"/>
  <c r="W171" i="43"/>
  <c r="X165" i="43"/>
  <c r="W165" i="43"/>
  <c r="X159" i="43"/>
  <c r="W159" i="43"/>
  <c r="X154" i="43"/>
  <c r="W154" i="43"/>
  <c r="X148" i="43"/>
  <c r="W148" i="43"/>
  <c r="X142" i="43"/>
  <c r="W142" i="43"/>
  <c r="X136" i="43"/>
  <c r="W136" i="43"/>
  <c r="X129" i="43"/>
  <c r="W129" i="43"/>
  <c r="X122" i="43"/>
  <c r="W122" i="43"/>
  <c r="X117" i="43"/>
  <c r="W117" i="43"/>
  <c r="X114" i="43"/>
  <c r="W114" i="43"/>
  <c r="X111" i="43"/>
  <c r="W111" i="43"/>
  <c r="X107" i="43"/>
  <c r="W107" i="43"/>
  <c r="X103" i="43"/>
  <c r="W103" i="43"/>
  <c r="X100" i="43"/>
  <c r="W100" i="43"/>
  <c r="X96" i="43"/>
  <c r="W96" i="43"/>
  <c r="X92" i="43"/>
  <c r="W92" i="43"/>
  <c r="X89" i="43"/>
  <c r="W89" i="43"/>
  <c r="X85" i="43"/>
  <c r="W85" i="43"/>
  <c r="X81" i="43"/>
  <c r="W81" i="43"/>
  <c r="X78" i="43"/>
  <c r="W78" i="43"/>
  <c r="X74" i="43"/>
  <c r="W74" i="43"/>
  <c r="X69" i="43"/>
  <c r="W69" i="43"/>
  <c r="X66" i="43"/>
  <c r="W66" i="43"/>
  <c r="X62" i="43"/>
  <c r="W62" i="43"/>
  <c r="X58" i="43"/>
  <c r="W58" i="43"/>
  <c r="X54" i="43"/>
  <c r="W54" i="43"/>
  <c r="X51" i="43"/>
  <c r="W51" i="43"/>
  <c r="X48" i="43"/>
  <c r="W48" i="43"/>
  <c r="X45" i="43"/>
  <c r="W45" i="43"/>
  <c r="X41" i="43"/>
  <c r="W41" i="43"/>
  <c r="X38" i="43"/>
  <c r="W38" i="43"/>
  <c r="X34" i="43"/>
  <c r="W34" i="43"/>
  <c r="X30" i="43"/>
  <c r="W30" i="43"/>
  <c r="X27" i="43"/>
  <c r="W27" i="43"/>
  <c r="X22" i="43"/>
  <c r="W22" i="43"/>
  <c r="X18" i="43"/>
  <c r="W18" i="43"/>
  <c r="X13" i="43"/>
  <c r="W13" i="43"/>
  <c r="Y15" i="43"/>
  <c r="AQ15" i="43" s="1"/>
  <c r="AK458" i="43"/>
  <c r="AJ458" i="43"/>
  <c r="AI458" i="43"/>
  <c r="AD458" i="43"/>
  <c r="T458" i="43"/>
  <c r="S458" i="43"/>
  <c r="AM457" i="43"/>
  <c r="AW457" i="43" s="1"/>
  <c r="AL457" i="43"/>
  <c r="AV457" i="43" s="1"/>
  <c r="AE457" i="43"/>
  <c r="AT457" i="43" s="1"/>
  <c r="AM456" i="43"/>
  <c r="AW456" i="43" s="1"/>
  <c r="AL456" i="43"/>
  <c r="AV456" i="43" s="1"/>
  <c r="AE456" i="43"/>
  <c r="AT456" i="43" s="1"/>
  <c r="AM162" i="43"/>
  <c r="AW162" i="43" s="1"/>
  <c r="AL162" i="43"/>
  <c r="AV162" i="43" s="1"/>
  <c r="AE162" i="43"/>
  <c r="AT162" i="43" s="1"/>
  <c r="AM120" i="43"/>
  <c r="AW120" i="43" s="1"/>
  <c r="AL120" i="43"/>
  <c r="AV120" i="43" s="1"/>
  <c r="AE120" i="43"/>
  <c r="AT120" i="43" s="1"/>
  <c r="AM16" i="43"/>
  <c r="AW16" i="43" s="1"/>
  <c r="AL16" i="43"/>
  <c r="AV16" i="43" s="1"/>
  <c r="AE16" i="43"/>
  <c r="AT16" i="43" s="1"/>
  <c r="AW458" i="43" l="1"/>
  <c r="AV458" i="43"/>
  <c r="AT458" i="43"/>
  <c r="X459" i="43"/>
  <c r="Q13" i="45" s="1"/>
  <c r="AH459" i="43"/>
  <c r="AA13" i="45" s="1"/>
  <c r="Y458" i="43"/>
  <c r="V459" i="43"/>
  <c r="O13" i="45" s="1"/>
  <c r="AG459" i="43"/>
  <c r="Z13" i="45" s="1"/>
  <c r="AL458" i="43"/>
  <c r="AE458" i="43"/>
  <c r="AM458" i="43"/>
  <c r="AN456" i="43"/>
  <c r="AU456" i="43" s="1"/>
  <c r="AN457" i="43"/>
  <c r="AU457" i="43" s="1"/>
  <c r="AN162" i="43"/>
  <c r="AU162" i="43" s="1"/>
  <c r="AN120" i="43"/>
  <c r="AU120" i="43" s="1"/>
  <c r="AN16" i="43"/>
  <c r="AU16" i="43" s="1"/>
  <c r="AU458" i="43" l="1"/>
  <c r="AN458" i="43"/>
  <c r="Z458" i="43"/>
  <c r="AF456" i="43"/>
  <c r="AO456" i="43" s="1"/>
  <c r="AB458" i="43"/>
  <c r="AA458" i="43"/>
  <c r="AF457" i="43"/>
  <c r="AO457" i="43" s="1"/>
  <c r="AF162" i="43"/>
  <c r="AO162" i="43" s="1"/>
  <c r="AF120" i="43"/>
  <c r="AO120" i="43" s="1"/>
  <c r="AF16" i="43"/>
  <c r="AO16" i="43" s="1"/>
  <c r="AO458" i="43" l="1"/>
  <c r="AF458" i="43"/>
  <c r="W13" i="44" l="1"/>
  <c r="K467" i="43" l="1"/>
  <c r="K468" i="43"/>
  <c r="K459" i="43" l="1"/>
  <c r="D13" i="45" s="1"/>
  <c r="K465" i="43"/>
  <c r="K470" i="43"/>
  <c r="K469" i="43"/>
  <c r="K463" i="43"/>
  <c r="K466" i="43"/>
  <c r="K464" i="43"/>
  <c r="W129" i="44" l="1"/>
  <c r="W123" i="44"/>
  <c r="W114" i="44"/>
  <c r="W112" i="44"/>
  <c r="W106" i="44"/>
  <c r="W104" i="44"/>
  <c r="W100" i="44"/>
  <c r="W94" i="44"/>
  <c r="W90" i="44"/>
  <c r="W83" i="44"/>
  <c r="W76" i="44"/>
  <c r="W69" i="44"/>
  <c r="W62" i="44"/>
  <c r="W55" i="44"/>
  <c r="W48" i="44"/>
  <c r="W41" i="44"/>
  <c r="W34" i="44"/>
  <c r="W27" i="44"/>
  <c r="W18" i="44"/>
  <c r="W134" i="44"/>
  <c r="W135" i="44"/>
  <c r="W136" i="44"/>
  <c r="W137" i="44"/>
  <c r="W138" i="44"/>
  <c r="W139" i="44"/>
  <c r="W140" i="44"/>
  <c r="W141" i="44"/>
  <c r="W142" i="44"/>
  <c r="W143" i="44"/>
  <c r="W130" i="44" l="1"/>
  <c r="P14" i="45" s="1"/>
  <c r="W133" i="44"/>
  <c r="W465" i="43"/>
  <c r="P29" i="45" s="1"/>
  <c r="W463" i="43"/>
  <c r="P27" i="45" s="1"/>
  <c r="W464" i="43"/>
  <c r="P28" i="45" s="1"/>
  <c r="W466" i="43"/>
  <c r="P30" i="45" s="1"/>
  <c r="W467" i="43"/>
  <c r="P31" i="45" s="1"/>
  <c r="W468" i="43"/>
  <c r="P32" i="45" s="1"/>
  <c r="W469" i="43"/>
  <c r="P33" i="45" s="1"/>
  <c r="W470" i="43"/>
  <c r="P34" i="45" s="1"/>
  <c r="W471" i="43"/>
  <c r="P35" i="45" s="1"/>
  <c r="W472" i="43"/>
  <c r="P36" i="45" s="1"/>
  <c r="P26" i="45" l="1"/>
  <c r="W462" i="43"/>
  <c r="Q14" i="44"/>
  <c r="Q15" i="44"/>
  <c r="Q16" i="44"/>
  <c r="Q17" i="44"/>
  <c r="Q19" i="44"/>
  <c r="Q20" i="44"/>
  <c r="Q21" i="44"/>
  <c r="Q22" i="44"/>
  <c r="Q23" i="44"/>
  <c r="Q24" i="44"/>
  <c r="Q25" i="44"/>
  <c r="Q26" i="44"/>
  <c r="Q28" i="44"/>
  <c r="Q29" i="44"/>
  <c r="Q30" i="44"/>
  <c r="Q31" i="44"/>
  <c r="Q32" i="44"/>
  <c r="Q33" i="44"/>
  <c r="Q35" i="44"/>
  <c r="Q36" i="44"/>
  <c r="Q37" i="44"/>
  <c r="Q38" i="44"/>
  <c r="Q39" i="44"/>
  <c r="Q40" i="44"/>
  <c r="Q42" i="44"/>
  <c r="Q43" i="44"/>
  <c r="Q44" i="44"/>
  <c r="Q45" i="44"/>
  <c r="Q46" i="44"/>
  <c r="Q47" i="44"/>
  <c r="Q49" i="44"/>
  <c r="Q50" i="44"/>
  <c r="Q51" i="44"/>
  <c r="Q52" i="44"/>
  <c r="Q53" i="44"/>
  <c r="Q54" i="44"/>
  <c r="Q56" i="44"/>
  <c r="Q57" i="44"/>
  <c r="Q58" i="44"/>
  <c r="Q59" i="44"/>
  <c r="Q60" i="44"/>
  <c r="Q61" i="44"/>
  <c r="Q63" i="44"/>
  <c r="Q64" i="44"/>
  <c r="Q65" i="44"/>
  <c r="Q66" i="44"/>
  <c r="Q67" i="44"/>
  <c r="Q68" i="44"/>
  <c r="Q70" i="44"/>
  <c r="Q71" i="44"/>
  <c r="Q72" i="44"/>
  <c r="Q73" i="44"/>
  <c r="Q74" i="44"/>
  <c r="Q75" i="44"/>
  <c r="Q77" i="44"/>
  <c r="Q78" i="44"/>
  <c r="Q79" i="44"/>
  <c r="Q80" i="44"/>
  <c r="Q81" i="44"/>
  <c r="Q82" i="44"/>
  <c r="Q84" i="44"/>
  <c r="Q85" i="44"/>
  <c r="Q86" i="44"/>
  <c r="Q87" i="44"/>
  <c r="Q88" i="44"/>
  <c r="Q89" i="44"/>
  <c r="Q91" i="44"/>
  <c r="Q92" i="44"/>
  <c r="Q93" i="44"/>
  <c r="Q95" i="44"/>
  <c r="Q96" i="44"/>
  <c r="Q97" i="44"/>
  <c r="Q98" i="44"/>
  <c r="Q99" i="44"/>
  <c r="Q101" i="44"/>
  <c r="Q102" i="44"/>
  <c r="Q103" i="44"/>
  <c r="Q105" i="44"/>
  <c r="Q106" i="44" s="1"/>
  <c r="Q107" i="44"/>
  <c r="Q108" i="44"/>
  <c r="Q109" i="44"/>
  <c r="Q110" i="44"/>
  <c r="Q111" i="44"/>
  <c r="Q113" i="44"/>
  <c r="Q114" i="44" s="1"/>
  <c r="Q115" i="44"/>
  <c r="Q116" i="44"/>
  <c r="Q117" i="44"/>
  <c r="Q118" i="44"/>
  <c r="Q119" i="44"/>
  <c r="Q120" i="44"/>
  <c r="Q121" i="44"/>
  <c r="Q122" i="44"/>
  <c r="Q124" i="44"/>
  <c r="Q125" i="44"/>
  <c r="Q126" i="44"/>
  <c r="Q127" i="44"/>
  <c r="Q128" i="44"/>
  <c r="Q12" i="44"/>
  <c r="Q13" i="44" l="1"/>
  <c r="W459" i="43"/>
  <c r="P13" i="45" s="1"/>
  <c r="Q104" i="44"/>
  <c r="Q94" i="44"/>
  <c r="Q100" i="44"/>
  <c r="Q129" i="44"/>
  <c r="Q123" i="44"/>
  <c r="Q90" i="44"/>
  <c r="Q76" i="44"/>
  <c r="Q62" i="44"/>
  <c r="Q48" i="44"/>
  <c r="Q34" i="44"/>
  <c r="Q27" i="44"/>
  <c r="Q18" i="44"/>
  <c r="Q112" i="44"/>
  <c r="Q83" i="44"/>
  <c r="Q69" i="44"/>
  <c r="Q55" i="44"/>
  <c r="Q41" i="44"/>
  <c r="P23" i="45" l="1"/>
  <c r="Q459" i="43"/>
  <c r="J13" i="45" s="1"/>
  <c r="AI463" i="43"/>
  <c r="AI464" i="43"/>
  <c r="AI465" i="43"/>
  <c r="AI466" i="43"/>
  <c r="AI467" i="43"/>
  <c r="AI468" i="43"/>
  <c r="AI469" i="43"/>
  <c r="AI470" i="43"/>
  <c r="AI471" i="43"/>
  <c r="AI472" i="43"/>
  <c r="AL14" i="43"/>
  <c r="AV14" i="43" s="1"/>
  <c r="AL15" i="43"/>
  <c r="AV15" i="43" s="1"/>
  <c r="AL17" i="43"/>
  <c r="AV17" i="43" s="1"/>
  <c r="AL19" i="43"/>
  <c r="AV19" i="43" s="1"/>
  <c r="AL20" i="43"/>
  <c r="AV20" i="43" s="1"/>
  <c r="AL21" i="43"/>
  <c r="AV21" i="43" s="1"/>
  <c r="AL23" i="43"/>
  <c r="AV23" i="43" s="1"/>
  <c r="AL24" i="43"/>
  <c r="AV24" i="43" s="1"/>
  <c r="AL25" i="43"/>
  <c r="AV25" i="43" s="1"/>
  <c r="AL26" i="43"/>
  <c r="AV26" i="43" s="1"/>
  <c r="AL28" i="43"/>
  <c r="AV28" i="43" s="1"/>
  <c r="AL29" i="43"/>
  <c r="AV29" i="43" s="1"/>
  <c r="AL31" i="43"/>
  <c r="AV31" i="43" s="1"/>
  <c r="AL32" i="43"/>
  <c r="AV32" i="43" s="1"/>
  <c r="AL33" i="43"/>
  <c r="AV33" i="43" s="1"/>
  <c r="AL35" i="43"/>
  <c r="AV35" i="43" s="1"/>
  <c r="AL37" i="43"/>
  <c r="AV37" i="43" s="1"/>
  <c r="AL39" i="43"/>
  <c r="AV39" i="43" s="1"/>
  <c r="AL40" i="43"/>
  <c r="AV40" i="43" s="1"/>
  <c r="AL42" i="43"/>
  <c r="AV42" i="43" s="1"/>
  <c r="AL43" i="43"/>
  <c r="AV43" i="43" s="1"/>
  <c r="AL44" i="43"/>
  <c r="AV44" i="43" s="1"/>
  <c r="AL46" i="43"/>
  <c r="AV46" i="43" s="1"/>
  <c r="AL47" i="43"/>
  <c r="AV47" i="43" s="1"/>
  <c r="AL49" i="43"/>
  <c r="AV49" i="43" s="1"/>
  <c r="AL50" i="43"/>
  <c r="AV50" i="43" s="1"/>
  <c r="AL52" i="43"/>
  <c r="AV52" i="43" s="1"/>
  <c r="AL53" i="43"/>
  <c r="AV53" i="43" s="1"/>
  <c r="AL55" i="43"/>
  <c r="AV55" i="43" s="1"/>
  <c r="AL56" i="43"/>
  <c r="AV56" i="43" s="1"/>
  <c r="AL57" i="43"/>
  <c r="AV57" i="43" s="1"/>
  <c r="AL59" i="43"/>
  <c r="AV59" i="43" s="1"/>
  <c r="AL60" i="43"/>
  <c r="AV60" i="43" s="1"/>
  <c r="AL61" i="43"/>
  <c r="AV61" i="43" s="1"/>
  <c r="AL63" i="43"/>
  <c r="AV63" i="43" s="1"/>
  <c r="AL64" i="43"/>
  <c r="AV64" i="43" s="1"/>
  <c r="AL65" i="43"/>
  <c r="AV65" i="43" s="1"/>
  <c r="AL67" i="43"/>
  <c r="AV67" i="43" s="1"/>
  <c r="AL68" i="43"/>
  <c r="AV68" i="43" s="1"/>
  <c r="AL70" i="43"/>
  <c r="AV70" i="43" s="1"/>
  <c r="AL71" i="43"/>
  <c r="AV71" i="43" s="1"/>
  <c r="AL72" i="43"/>
  <c r="AV72" i="43" s="1"/>
  <c r="AL73" i="43"/>
  <c r="AV73" i="43" s="1"/>
  <c r="AL75" i="43"/>
  <c r="AV75" i="43" s="1"/>
  <c r="AL76" i="43"/>
  <c r="AV76" i="43" s="1"/>
  <c r="AL77" i="43"/>
  <c r="AV77" i="43" s="1"/>
  <c r="AL79" i="43"/>
  <c r="AV79" i="43" s="1"/>
  <c r="AL80" i="43"/>
  <c r="AV80" i="43" s="1"/>
  <c r="AL82" i="43"/>
  <c r="AV82" i="43" s="1"/>
  <c r="AL84" i="43"/>
  <c r="AV84" i="43" s="1"/>
  <c r="AL86" i="43"/>
  <c r="AV86" i="43" s="1"/>
  <c r="AL87" i="43"/>
  <c r="AV87" i="43" s="1"/>
  <c r="AL88" i="43"/>
  <c r="AV88" i="43" s="1"/>
  <c r="AL90" i="43"/>
  <c r="AV90" i="43" s="1"/>
  <c r="AL91" i="43"/>
  <c r="AV91" i="43" s="1"/>
  <c r="AL93" i="43"/>
  <c r="AV93" i="43" s="1"/>
  <c r="AL94" i="43"/>
  <c r="AV94" i="43" s="1"/>
  <c r="AL95" i="43"/>
  <c r="AV95" i="43" s="1"/>
  <c r="AL97" i="43"/>
  <c r="AV97" i="43" s="1"/>
  <c r="AL98" i="43"/>
  <c r="AV98" i="43" s="1"/>
  <c r="AL99" i="43"/>
  <c r="AV99" i="43" s="1"/>
  <c r="AL101" i="43"/>
  <c r="AV101" i="43" s="1"/>
  <c r="AL102" i="43"/>
  <c r="AV102" i="43" s="1"/>
  <c r="AL104" i="43"/>
  <c r="AV104" i="43" s="1"/>
  <c r="AL105" i="43"/>
  <c r="AV105" i="43" s="1"/>
  <c r="AL106" i="43"/>
  <c r="AV106" i="43" s="1"/>
  <c r="AL108" i="43"/>
  <c r="AV108" i="43" s="1"/>
  <c r="AL109" i="43"/>
  <c r="AV109" i="43" s="1"/>
  <c r="AL110" i="43"/>
  <c r="AV110" i="43" s="1"/>
  <c r="AL112" i="43"/>
  <c r="AV112" i="43" s="1"/>
  <c r="AL113" i="43"/>
  <c r="AV113" i="43" s="1"/>
  <c r="AL115" i="43"/>
  <c r="AV115" i="43" s="1"/>
  <c r="AL116" i="43"/>
  <c r="AV116" i="43" s="1"/>
  <c r="AL118" i="43"/>
  <c r="AV118" i="43" s="1"/>
  <c r="AL119" i="43"/>
  <c r="AV119" i="43" s="1"/>
  <c r="AL121" i="43"/>
  <c r="AV121" i="43" s="1"/>
  <c r="AL123" i="43"/>
  <c r="AV123" i="43" s="1"/>
  <c r="AL124" i="43"/>
  <c r="AV124" i="43" s="1"/>
  <c r="AL125" i="43"/>
  <c r="AV125" i="43" s="1"/>
  <c r="AL126" i="43"/>
  <c r="AV126" i="43" s="1"/>
  <c r="AL127" i="43"/>
  <c r="AV127" i="43" s="1"/>
  <c r="AL128" i="43"/>
  <c r="AV128" i="43" s="1"/>
  <c r="AL130" i="43"/>
  <c r="AV130" i="43" s="1"/>
  <c r="AL131" i="43"/>
  <c r="AV131" i="43" s="1"/>
  <c r="AL132" i="43"/>
  <c r="AV132" i="43" s="1"/>
  <c r="AL133" i="43"/>
  <c r="AV133" i="43" s="1"/>
  <c r="AL134" i="43"/>
  <c r="AV134" i="43" s="1"/>
  <c r="AL135" i="43"/>
  <c r="AV135" i="43" s="1"/>
  <c r="AL137" i="43"/>
  <c r="AV137" i="43" s="1"/>
  <c r="AL138" i="43"/>
  <c r="AV138" i="43" s="1"/>
  <c r="AL139" i="43"/>
  <c r="AV139" i="43" s="1"/>
  <c r="AL140" i="43"/>
  <c r="AV140" i="43" s="1"/>
  <c r="AL141" i="43"/>
  <c r="AV141" i="43" s="1"/>
  <c r="AL143" i="43"/>
  <c r="AV143" i="43" s="1"/>
  <c r="AL144" i="43"/>
  <c r="AV144" i="43" s="1"/>
  <c r="AL145" i="43"/>
  <c r="AV145" i="43" s="1"/>
  <c r="AL146" i="43"/>
  <c r="AV146" i="43" s="1"/>
  <c r="AL147" i="43"/>
  <c r="AV147" i="43" s="1"/>
  <c r="AL149" i="43"/>
  <c r="AV149" i="43" s="1"/>
  <c r="AL150" i="43"/>
  <c r="AV150" i="43" s="1"/>
  <c r="AL151" i="43"/>
  <c r="AV151" i="43" s="1"/>
  <c r="AL152" i="43"/>
  <c r="AV152" i="43" s="1"/>
  <c r="AL153" i="43"/>
  <c r="AV153" i="43" s="1"/>
  <c r="AL155" i="43"/>
  <c r="AV155" i="43" s="1"/>
  <c r="AL156" i="43"/>
  <c r="AV156" i="43" s="1"/>
  <c r="AL157" i="43"/>
  <c r="AV157" i="43" s="1"/>
  <c r="AL158" i="43"/>
  <c r="AV158" i="43" s="1"/>
  <c r="AL160" i="43"/>
  <c r="AV160" i="43" s="1"/>
  <c r="AL161" i="43"/>
  <c r="AV161" i="43" s="1"/>
  <c r="AL163" i="43"/>
  <c r="AV163" i="43" s="1"/>
  <c r="AL164" i="43"/>
  <c r="AV164" i="43" s="1"/>
  <c r="AL166" i="43"/>
  <c r="AV166" i="43" s="1"/>
  <c r="AL167" i="43"/>
  <c r="AV167" i="43" s="1"/>
  <c r="AL168" i="43"/>
  <c r="AV168" i="43" s="1"/>
  <c r="AL169" i="43"/>
  <c r="AV169" i="43" s="1"/>
  <c r="AL170" i="43"/>
  <c r="AV170" i="43" s="1"/>
  <c r="AL172" i="43"/>
  <c r="AV172" i="43" s="1"/>
  <c r="AL173" i="43"/>
  <c r="AV173" i="43" s="1"/>
  <c r="AL174" i="43"/>
  <c r="AV174" i="43" s="1"/>
  <c r="AL175" i="43"/>
  <c r="AV175" i="43" s="1"/>
  <c r="AL176" i="43"/>
  <c r="AV176" i="43" s="1"/>
  <c r="AL178" i="43"/>
  <c r="AV178" i="43" s="1"/>
  <c r="AL179" i="43"/>
  <c r="AV179" i="43" s="1"/>
  <c r="AL180" i="43"/>
  <c r="AV180" i="43" s="1"/>
  <c r="AL181" i="43"/>
  <c r="AV181" i="43" s="1"/>
  <c r="AL182" i="43"/>
  <c r="AV182" i="43" s="1"/>
  <c r="AL183" i="43"/>
  <c r="AV183" i="43" s="1"/>
  <c r="AL185" i="43"/>
  <c r="AV185" i="43" s="1"/>
  <c r="AL186" i="43"/>
  <c r="AV186" i="43" s="1"/>
  <c r="AL187" i="43"/>
  <c r="AV187" i="43" s="1"/>
  <c r="AL188" i="43"/>
  <c r="AV188" i="43" s="1"/>
  <c r="AL189" i="43"/>
  <c r="AV189" i="43" s="1"/>
  <c r="AL190" i="43"/>
  <c r="AV190" i="43" s="1"/>
  <c r="AL192" i="43"/>
  <c r="AV192" i="43" s="1"/>
  <c r="AL193" i="43"/>
  <c r="AV193" i="43" s="1"/>
  <c r="AL194" i="43"/>
  <c r="AV194" i="43" s="1"/>
  <c r="AL195" i="43"/>
  <c r="AV195" i="43" s="1"/>
  <c r="AL196" i="43"/>
  <c r="AV196" i="43" s="1"/>
  <c r="AL198" i="43"/>
  <c r="AV198" i="43" s="1"/>
  <c r="AL199" i="43"/>
  <c r="AV199" i="43" s="1"/>
  <c r="AL200" i="43"/>
  <c r="AV200" i="43" s="1"/>
  <c r="AL201" i="43"/>
  <c r="AV201" i="43" s="1"/>
  <c r="AL202" i="43"/>
  <c r="AV202" i="43" s="1"/>
  <c r="AL204" i="43"/>
  <c r="AV204" i="43" s="1"/>
  <c r="AL205" i="43"/>
  <c r="AV205" i="43" s="1"/>
  <c r="AL206" i="43"/>
  <c r="AV206" i="43" s="1"/>
  <c r="AL207" i="43"/>
  <c r="AV207" i="43" s="1"/>
  <c r="AL208" i="43"/>
  <c r="AV208" i="43" s="1"/>
  <c r="AL209" i="43"/>
  <c r="AV209" i="43" s="1"/>
  <c r="AL211" i="43"/>
  <c r="AV211" i="43" s="1"/>
  <c r="AL212" i="43"/>
  <c r="AV212" i="43" s="1"/>
  <c r="AL213" i="43"/>
  <c r="AV213" i="43" s="1"/>
  <c r="AL214" i="43"/>
  <c r="AV214" i="43" s="1"/>
  <c r="AL215" i="43"/>
  <c r="AV215" i="43" s="1"/>
  <c r="AL217" i="43"/>
  <c r="AV217" i="43" s="1"/>
  <c r="AL218" i="43"/>
  <c r="AV218" i="43" s="1"/>
  <c r="AL219" i="43"/>
  <c r="AV219" i="43" s="1"/>
  <c r="AL220" i="43"/>
  <c r="AV220" i="43" s="1"/>
  <c r="AL221" i="43"/>
  <c r="AV221" i="43" s="1"/>
  <c r="AL223" i="43"/>
  <c r="AV223" i="43" s="1"/>
  <c r="AL224" i="43"/>
  <c r="AV224" i="43" s="1"/>
  <c r="AL225" i="43"/>
  <c r="AV225" i="43" s="1"/>
  <c r="AL226" i="43"/>
  <c r="AV226" i="43" s="1"/>
  <c r="AL227" i="43"/>
  <c r="AV227" i="43" s="1"/>
  <c r="AL229" i="43"/>
  <c r="AV229" i="43" s="1"/>
  <c r="AL230" i="43"/>
  <c r="AV230" i="43" s="1"/>
  <c r="AL231" i="43"/>
  <c r="AV231" i="43" s="1"/>
  <c r="AL232" i="43"/>
  <c r="AV232" i="43" s="1"/>
  <c r="AL233" i="43"/>
  <c r="AV233" i="43" s="1"/>
  <c r="AL235" i="43"/>
  <c r="AV235" i="43" s="1"/>
  <c r="AL236" i="43"/>
  <c r="AV236" i="43" s="1"/>
  <c r="AL237" i="43"/>
  <c r="AV237" i="43" s="1"/>
  <c r="AL238" i="43"/>
  <c r="AV238" i="43" s="1"/>
  <c r="AL239" i="43"/>
  <c r="AV239" i="43" s="1"/>
  <c r="AL241" i="43"/>
  <c r="AV241" i="43" s="1"/>
  <c r="AL242" i="43"/>
  <c r="AV242" i="43" s="1"/>
  <c r="AL243" i="43"/>
  <c r="AV243" i="43" s="1"/>
  <c r="AL244" i="43"/>
  <c r="AV244" i="43" s="1"/>
  <c r="AL245" i="43"/>
  <c r="AV245" i="43" s="1"/>
  <c r="AL247" i="43"/>
  <c r="AV247" i="43" s="1"/>
  <c r="AL248" i="43"/>
  <c r="AV248" i="43" s="1"/>
  <c r="AL249" i="43"/>
  <c r="AV249" i="43" s="1"/>
  <c r="AL250" i="43"/>
  <c r="AV250" i="43" s="1"/>
  <c r="AL251" i="43"/>
  <c r="AV251" i="43" s="1"/>
  <c r="AL252" i="43"/>
  <c r="AV252" i="43" s="1"/>
  <c r="AL254" i="43"/>
  <c r="AV254" i="43" s="1"/>
  <c r="AV255" i="43" s="1"/>
  <c r="AL256" i="43"/>
  <c r="AV256" i="43" s="1"/>
  <c r="AL257" i="43"/>
  <c r="AV257" i="43" s="1"/>
  <c r="AL258" i="43"/>
  <c r="AV258" i="43" s="1"/>
  <c r="AL260" i="43"/>
  <c r="AV260" i="43" s="1"/>
  <c r="AL261" i="43"/>
  <c r="AV261" i="43" s="1"/>
  <c r="AL262" i="43"/>
  <c r="AV262" i="43" s="1"/>
  <c r="AL264" i="43"/>
  <c r="AV264" i="43" s="1"/>
  <c r="AL265" i="43"/>
  <c r="AV265" i="43" s="1"/>
  <c r="AL266" i="43"/>
  <c r="AV266" i="43" s="1"/>
  <c r="AL267" i="43"/>
  <c r="AV267" i="43" s="1"/>
  <c r="AL268" i="43"/>
  <c r="AV268" i="43" s="1"/>
  <c r="AL270" i="43"/>
  <c r="AV270" i="43" s="1"/>
  <c r="AL271" i="43"/>
  <c r="AV271" i="43" s="1"/>
  <c r="AL272" i="43"/>
  <c r="AV272" i="43" s="1"/>
  <c r="AL274" i="43"/>
  <c r="AV274" i="43" s="1"/>
  <c r="AL275" i="43"/>
  <c r="AV275" i="43" s="1"/>
  <c r="AL276" i="43"/>
  <c r="AV276" i="43" s="1"/>
  <c r="AL277" i="43"/>
  <c r="AV277" i="43" s="1"/>
  <c r="AL278" i="43"/>
  <c r="AV278" i="43" s="1"/>
  <c r="AL279" i="43"/>
  <c r="AV279" i="43" s="1"/>
  <c r="AL281" i="43"/>
  <c r="AV281" i="43" s="1"/>
  <c r="AL282" i="43"/>
  <c r="AV282" i="43" s="1"/>
  <c r="AL283" i="43"/>
  <c r="AV283" i="43" s="1"/>
  <c r="AL284" i="43"/>
  <c r="AV284" i="43" s="1"/>
  <c r="AL286" i="43"/>
  <c r="AV286" i="43" s="1"/>
  <c r="AL287" i="43"/>
  <c r="AV287" i="43" s="1"/>
  <c r="AL288" i="43"/>
  <c r="AV288" i="43" s="1"/>
  <c r="AL289" i="43"/>
  <c r="AV289" i="43" s="1"/>
  <c r="AL290" i="43"/>
  <c r="AV290" i="43" s="1"/>
  <c r="AL291" i="43"/>
  <c r="AV291" i="43" s="1"/>
  <c r="AL292" i="43"/>
  <c r="AV292" i="43" s="1"/>
  <c r="AL294" i="43"/>
  <c r="AV294" i="43" s="1"/>
  <c r="AV295" i="43" s="1"/>
  <c r="AL296" i="43"/>
  <c r="AV296" i="43" s="1"/>
  <c r="AL297" i="43"/>
  <c r="AV297" i="43" s="1"/>
  <c r="AL298" i="43"/>
  <c r="AV298" i="43" s="1"/>
  <c r="AL299" i="43"/>
  <c r="AV299" i="43" s="1"/>
  <c r="AL300" i="43"/>
  <c r="AV300" i="43" s="1"/>
  <c r="AL301" i="43"/>
  <c r="AV301" i="43" s="1"/>
  <c r="AL303" i="43"/>
  <c r="AV303" i="43" s="1"/>
  <c r="AL304" i="43"/>
  <c r="AV304" i="43" s="1"/>
  <c r="AL305" i="43"/>
  <c r="AV305" i="43" s="1"/>
  <c r="AL306" i="43"/>
  <c r="AV306" i="43" s="1"/>
  <c r="AL307" i="43"/>
  <c r="AV307" i="43" s="1"/>
  <c r="AL308" i="43"/>
  <c r="AV308" i="43" s="1"/>
  <c r="AL310" i="43"/>
  <c r="AV310" i="43" s="1"/>
  <c r="AL311" i="43"/>
  <c r="AV311" i="43" s="1"/>
  <c r="AL312" i="43"/>
  <c r="AV312" i="43" s="1"/>
  <c r="AL314" i="43"/>
  <c r="AV314" i="43" s="1"/>
  <c r="AL315" i="43"/>
  <c r="AV315" i="43" s="1"/>
  <c r="AL316" i="43"/>
  <c r="AV316" i="43" s="1"/>
  <c r="AL317" i="43"/>
  <c r="AV317" i="43" s="1"/>
  <c r="AL318" i="43"/>
  <c r="AV318" i="43" s="1"/>
  <c r="AL320" i="43"/>
  <c r="AV320" i="43" s="1"/>
  <c r="AV321" i="43" s="1"/>
  <c r="AL322" i="43"/>
  <c r="AV322" i="43" s="1"/>
  <c r="AL323" i="43"/>
  <c r="AV323" i="43" s="1"/>
  <c r="AL325" i="43"/>
  <c r="AV325" i="43" s="1"/>
  <c r="AL326" i="43"/>
  <c r="AV326" i="43" s="1"/>
  <c r="AL327" i="43"/>
  <c r="AV327" i="43" s="1"/>
  <c r="AL329" i="43"/>
  <c r="AV329" i="43" s="1"/>
  <c r="AL330" i="43"/>
  <c r="AV330" i="43" s="1"/>
  <c r="AL332" i="43"/>
  <c r="AV332" i="43" s="1"/>
  <c r="AL333" i="43"/>
  <c r="AV333" i="43" s="1"/>
  <c r="AL334" i="43"/>
  <c r="AV334" i="43" s="1"/>
  <c r="AL335" i="43"/>
  <c r="AV335" i="43" s="1"/>
  <c r="AL336" i="43"/>
  <c r="AV336" i="43" s="1"/>
  <c r="AL337" i="43"/>
  <c r="AV337" i="43" s="1"/>
  <c r="AL338" i="43"/>
  <c r="AV338" i="43" s="1"/>
  <c r="AL340" i="43"/>
  <c r="AV340" i="43" s="1"/>
  <c r="AL341" i="43"/>
  <c r="AV341" i="43" s="1"/>
  <c r="AL342" i="43"/>
  <c r="AV342" i="43" s="1"/>
  <c r="AL343" i="43"/>
  <c r="AV343" i="43" s="1"/>
  <c r="AL344" i="43"/>
  <c r="AV344" i="43" s="1"/>
  <c r="AL346" i="43"/>
  <c r="AV346" i="43" s="1"/>
  <c r="AL347" i="43"/>
  <c r="AV347" i="43" s="1"/>
  <c r="AL348" i="43"/>
  <c r="AV348" i="43" s="1"/>
  <c r="AL349" i="43"/>
  <c r="AV349" i="43" s="1"/>
  <c r="AL350" i="43"/>
  <c r="AV350" i="43" s="1"/>
  <c r="AL351" i="43"/>
  <c r="AV351" i="43" s="1"/>
  <c r="AL353" i="43"/>
  <c r="AV353" i="43" s="1"/>
  <c r="AL354" i="43"/>
  <c r="AV354" i="43" s="1"/>
  <c r="AL355" i="43"/>
  <c r="AV355" i="43" s="1"/>
  <c r="AL356" i="43"/>
  <c r="AV356" i="43" s="1"/>
  <c r="AL358" i="43"/>
  <c r="AV358" i="43" s="1"/>
  <c r="AL359" i="43"/>
  <c r="AV359" i="43" s="1"/>
  <c r="AL360" i="43"/>
  <c r="AV360" i="43" s="1"/>
  <c r="AL361" i="43"/>
  <c r="AV361" i="43" s="1"/>
  <c r="AL362" i="43"/>
  <c r="AV362" i="43" s="1"/>
  <c r="AL363" i="43"/>
  <c r="AV363" i="43" s="1"/>
  <c r="AL365" i="43"/>
  <c r="AV365" i="43" s="1"/>
  <c r="AL366" i="43"/>
  <c r="AV366" i="43" s="1"/>
  <c r="AL367" i="43"/>
  <c r="AV367" i="43" s="1"/>
  <c r="AL369" i="43"/>
  <c r="AV369" i="43" s="1"/>
  <c r="AV370" i="43" s="1"/>
  <c r="AL371" i="43"/>
  <c r="AV371" i="43" s="1"/>
  <c r="AL372" i="43"/>
  <c r="AV372" i="43" s="1"/>
  <c r="AL373" i="43"/>
  <c r="AV373" i="43" s="1"/>
  <c r="AL374" i="43"/>
  <c r="AV374" i="43" s="1"/>
  <c r="AL375" i="43"/>
  <c r="AV375" i="43" s="1"/>
  <c r="AL376" i="43"/>
  <c r="AV376" i="43" s="1"/>
  <c r="AL378" i="43"/>
  <c r="AV378" i="43" s="1"/>
  <c r="AL379" i="43"/>
  <c r="AV379" i="43" s="1"/>
  <c r="AL380" i="43"/>
  <c r="AV380" i="43" s="1"/>
  <c r="AL381" i="43"/>
  <c r="AV381" i="43" s="1"/>
  <c r="AL382" i="43"/>
  <c r="AV382" i="43" s="1"/>
  <c r="AL384" i="43"/>
  <c r="AV384" i="43" s="1"/>
  <c r="AL385" i="43"/>
  <c r="AV385" i="43" s="1"/>
  <c r="AL386" i="43"/>
  <c r="AV386" i="43" s="1"/>
  <c r="AL388" i="43"/>
  <c r="AV388" i="43" s="1"/>
  <c r="AL389" i="43"/>
  <c r="AV389" i="43" s="1"/>
  <c r="AL390" i="43"/>
  <c r="AV390" i="43" s="1"/>
  <c r="AL391" i="43"/>
  <c r="AV391" i="43" s="1"/>
  <c r="AL392" i="43"/>
  <c r="AV392" i="43" s="1"/>
  <c r="AL393" i="43"/>
  <c r="AV393" i="43" s="1"/>
  <c r="AL395" i="43"/>
  <c r="AV395" i="43" s="1"/>
  <c r="AL396" i="43"/>
  <c r="AV396" i="43" s="1"/>
  <c r="AL397" i="43"/>
  <c r="AV397" i="43" s="1"/>
  <c r="AL398" i="43"/>
  <c r="AV398" i="43" s="1"/>
  <c r="AL399" i="43"/>
  <c r="AV399" i="43" s="1"/>
  <c r="AL400" i="43"/>
  <c r="AV400" i="43" s="1"/>
  <c r="AL402" i="43"/>
  <c r="AV402" i="43" s="1"/>
  <c r="AL403" i="43"/>
  <c r="AV403" i="43" s="1"/>
  <c r="AL405" i="43"/>
  <c r="AV405" i="43" s="1"/>
  <c r="AL406" i="43"/>
  <c r="AV406" i="43" s="1"/>
  <c r="AL407" i="43"/>
  <c r="AV407" i="43" s="1"/>
  <c r="AL408" i="43"/>
  <c r="AV408" i="43" s="1"/>
  <c r="AL409" i="43"/>
  <c r="AV409" i="43" s="1"/>
  <c r="AL411" i="43"/>
  <c r="AV411" i="43" s="1"/>
  <c r="AL412" i="43"/>
  <c r="AV412" i="43" s="1"/>
  <c r="AL413" i="43"/>
  <c r="AV413" i="43" s="1"/>
  <c r="AL414" i="43"/>
  <c r="AV414" i="43" s="1"/>
  <c r="AL415" i="43"/>
  <c r="AV415" i="43" s="1"/>
  <c r="AL416" i="43"/>
  <c r="AV416" i="43" s="1"/>
  <c r="AL418" i="43"/>
  <c r="AV418" i="43" s="1"/>
  <c r="AL419" i="43"/>
  <c r="AV419" i="43" s="1"/>
  <c r="AL420" i="43"/>
  <c r="AV420" i="43" s="1"/>
  <c r="AL421" i="43"/>
  <c r="AV421" i="43" s="1"/>
  <c r="AL422" i="43"/>
  <c r="AV422" i="43" s="1"/>
  <c r="AL423" i="43"/>
  <c r="AV423" i="43" s="1"/>
  <c r="AL425" i="43"/>
  <c r="AV425" i="43" s="1"/>
  <c r="AL426" i="43"/>
  <c r="AV426" i="43" s="1"/>
  <c r="AL427" i="43"/>
  <c r="AV427" i="43" s="1"/>
  <c r="AL428" i="43"/>
  <c r="AV428" i="43" s="1"/>
  <c r="AL429" i="43"/>
  <c r="AV429" i="43" s="1"/>
  <c r="AL430" i="43"/>
  <c r="AV430" i="43" s="1"/>
  <c r="AL432" i="43"/>
  <c r="AV432" i="43" s="1"/>
  <c r="AL433" i="43"/>
  <c r="AV433" i="43" s="1"/>
  <c r="AL434" i="43"/>
  <c r="AV434" i="43" s="1"/>
  <c r="AL435" i="43"/>
  <c r="AV435" i="43" s="1"/>
  <c r="AL436" i="43"/>
  <c r="AV436" i="43" s="1"/>
  <c r="AL437" i="43"/>
  <c r="AV437" i="43" s="1"/>
  <c r="AL439" i="43"/>
  <c r="AV439" i="43" s="1"/>
  <c r="AL440" i="43"/>
  <c r="AV440" i="43" s="1"/>
  <c r="AL441" i="43"/>
  <c r="AV441" i="43" s="1"/>
  <c r="AL442" i="43"/>
  <c r="AV442" i="43" s="1"/>
  <c r="AL443" i="43"/>
  <c r="AV443" i="43" s="1"/>
  <c r="AL444" i="43"/>
  <c r="AV444" i="43" s="1"/>
  <c r="AL446" i="43"/>
  <c r="AV446" i="43" s="1"/>
  <c r="AL447" i="43"/>
  <c r="AV447" i="43" s="1"/>
  <c r="AL449" i="43"/>
  <c r="AV449" i="43" s="1"/>
  <c r="AL450" i="43"/>
  <c r="AV450" i="43" s="1"/>
  <c r="AL451" i="43"/>
  <c r="AV451" i="43" s="1"/>
  <c r="AL453" i="43"/>
  <c r="AV453" i="43" s="1"/>
  <c r="AL454" i="43"/>
  <c r="AV454" i="43" s="1"/>
  <c r="AL12" i="43"/>
  <c r="AL13" i="43" s="1"/>
  <c r="R467" i="43"/>
  <c r="R468" i="43"/>
  <c r="AI455" i="43"/>
  <c r="AI452" i="43"/>
  <c r="AI445" i="43"/>
  <c r="AI438" i="43"/>
  <c r="AI431" i="43"/>
  <c r="AI424" i="43"/>
  <c r="AI417" i="43"/>
  <c r="AI410" i="43"/>
  <c r="AI404" i="43"/>
  <c r="AI401" i="43"/>
  <c r="AI394" i="43"/>
  <c r="AI387" i="43"/>
  <c r="AI383" i="43"/>
  <c r="AI377" i="43"/>
  <c r="AI370" i="43"/>
  <c r="AI368" i="43"/>
  <c r="AI364" i="43"/>
  <c r="AI357" i="43"/>
  <c r="AI352" i="43"/>
  <c r="AI345" i="43"/>
  <c r="AI339" i="43"/>
  <c r="AI331" i="43"/>
  <c r="AI328" i="43"/>
  <c r="AI324" i="43"/>
  <c r="AI321" i="43"/>
  <c r="AI319" i="43"/>
  <c r="AI313" i="43"/>
  <c r="AI309" i="43"/>
  <c r="AI302" i="43"/>
  <c r="AI295" i="43"/>
  <c r="AI293" i="43"/>
  <c r="AI285" i="43"/>
  <c r="AI280" i="43"/>
  <c r="AI273" i="43"/>
  <c r="AI269" i="43"/>
  <c r="AI263" i="43"/>
  <c r="AI259" i="43"/>
  <c r="AI255" i="43"/>
  <c r="AI253" i="43"/>
  <c r="AI246" i="43"/>
  <c r="AI240" i="43"/>
  <c r="AI234" i="43"/>
  <c r="AI228" i="43"/>
  <c r="AI222" i="43"/>
  <c r="AI216" i="43"/>
  <c r="AI210" i="43"/>
  <c r="AI203" i="43"/>
  <c r="AI197" i="43"/>
  <c r="AI191" i="43"/>
  <c r="AI184" i="43"/>
  <c r="AI177" i="43"/>
  <c r="AI171" i="43"/>
  <c r="AI165" i="43"/>
  <c r="AI159" i="43"/>
  <c r="AI154" i="43"/>
  <c r="AI148" i="43"/>
  <c r="AI142" i="43"/>
  <c r="AI136" i="43"/>
  <c r="AI129" i="43"/>
  <c r="AI122" i="43"/>
  <c r="AI117" i="43"/>
  <c r="AI114" i="43"/>
  <c r="AI111" i="43"/>
  <c r="AI107" i="43"/>
  <c r="AI103" i="43"/>
  <c r="AI100" i="43"/>
  <c r="AI96" i="43"/>
  <c r="AI92" i="43"/>
  <c r="AI89" i="43"/>
  <c r="AI85" i="43"/>
  <c r="AI81" i="43"/>
  <c r="AI78" i="43"/>
  <c r="AI74" i="43"/>
  <c r="AI69" i="43"/>
  <c r="AI66" i="43"/>
  <c r="AI62" i="43"/>
  <c r="AI58" i="43"/>
  <c r="AI54" i="43"/>
  <c r="AI51" i="43"/>
  <c r="AI48" i="43"/>
  <c r="AI45" i="43"/>
  <c r="AI41" i="43"/>
  <c r="AI38" i="43"/>
  <c r="AI34" i="43"/>
  <c r="AI30" i="43"/>
  <c r="AI27" i="43"/>
  <c r="AI22" i="43"/>
  <c r="AI18" i="43"/>
  <c r="AI13" i="43"/>
  <c r="AV324" i="43" l="1"/>
  <c r="AV117" i="43"/>
  <c r="AV38" i="43"/>
  <c r="AV455" i="43"/>
  <c r="AV368" i="43"/>
  <c r="AV313" i="43"/>
  <c r="AV285" i="43"/>
  <c r="AV259" i="43"/>
  <c r="AV111" i="43"/>
  <c r="AV100" i="43"/>
  <c r="AV89" i="43"/>
  <c r="AV81" i="43"/>
  <c r="AV66" i="43"/>
  <c r="AV54" i="43"/>
  <c r="AV22" i="43"/>
  <c r="AV48" i="43"/>
  <c r="AV107" i="43"/>
  <c r="AV96" i="43"/>
  <c r="AV78" i="43"/>
  <c r="AV62" i="43"/>
  <c r="AV45" i="43"/>
  <c r="AV30" i="43"/>
  <c r="AV401" i="43"/>
  <c r="AV352" i="43"/>
  <c r="AV339" i="43"/>
  <c r="AV302" i="43"/>
  <c r="AV203" i="43"/>
  <c r="AV27" i="43"/>
  <c r="AV154" i="43"/>
  <c r="AV410" i="43"/>
  <c r="AV377" i="43"/>
  <c r="AV293" i="43"/>
  <c r="AV452" i="43"/>
  <c r="AV438" i="43"/>
  <c r="AV424" i="43"/>
  <c r="AV387" i="43"/>
  <c r="AV345" i="43"/>
  <c r="AV328" i="43"/>
  <c r="AV319" i="43"/>
  <c r="AV273" i="43"/>
  <c r="AV263" i="43"/>
  <c r="AV240" i="43"/>
  <c r="AV216" i="43"/>
  <c r="AV197" i="43"/>
  <c r="AV184" i="43"/>
  <c r="AV148" i="43"/>
  <c r="AV122" i="43"/>
  <c r="AV114" i="43"/>
  <c r="AV103" i="43"/>
  <c r="AV92" i="43"/>
  <c r="AV69" i="43"/>
  <c r="AV41" i="43"/>
  <c r="AV404" i="43"/>
  <c r="AV394" i="43"/>
  <c r="AV383" i="43"/>
  <c r="AV364" i="43"/>
  <c r="AV357" i="43"/>
  <c r="AV331" i="43"/>
  <c r="AV309" i="43"/>
  <c r="AV280" i="43"/>
  <c r="AV269" i="43"/>
  <c r="AV234" i="43"/>
  <c r="AV177" i="43"/>
  <c r="AV142" i="43"/>
  <c r="AV129" i="43"/>
  <c r="AV85" i="43"/>
  <c r="AV58" i="43"/>
  <c r="AV51" i="43"/>
  <c r="AV34" i="43"/>
  <c r="AV18" i="43"/>
  <c r="AV246" i="43"/>
  <c r="AV222" i="43"/>
  <c r="AV136" i="43"/>
  <c r="AV445" i="43"/>
  <c r="AV431" i="43"/>
  <c r="AV417" i="43"/>
  <c r="AV253" i="43"/>
  <c r="AV228" i="43"/>
  <c r="AV210" i="43"/>
  <c r="AV191" i="43"/>
  <c r="AV171" i="43"/>
  <c r="AV165" i="43"/>
  <c r="AV159" i="43"/>
  <c r="AV74" i="43"/>
  <c r="V460" i="43"/>
  <c r="AL321" i="43"/>
  <c r="AL370" i="43"/>
  <c r="AL295" i="43"/>
  <c r="AL255" i="43"/>
  <c r="R459" i="43"/>
  <c r="K13" i="45" s="1"/>
  <c r="AI459" i="43"/>
  <c r="AB13" i="45" s="1"/>
  <c r="AL404" i="43"/>
  <c r="AL331" i="43"/>
  <c r="AL85" i="43"/>
  <c r="AL324" i="43"/>
  <c r="AL253" i="43"/>
  <c r="AL191" i="43"/>
  <c r="AL165" i="43"/>
  <c r="AL159" i="43"/>
  <c r="AL117" i="43"/>
  <c r="AL107" i="43"/>
  <c r="AL96" i="43"/>
  <c r="AL78" i="43"/>
  <c r="AL74" i="43"/>
  <c r="AL62" i="43"/>
  <c r="AL45" i="43"/>
  <c r="AL38" i="43"/>
  <c r="AL22" i="43"/>
  <c r="AL92" i="43"/>
  <c r="AL34" i="43"/>
  <c r="AL18" i="43"/>
  <c r="AL210" i="43"/>
  <c r="AL445" i="43"/>
  <c r="AL431" i="43"/>
  <c r="AL228" i="43"/>
  <c r="AL455" i="43"/>
  <c r="AL438" i="43"/>
  <c r="AL410" i="43"/>
  <c r="AL401" i="43"/>
  <c r="AL387" i="43"/>
  <c r="AL377" i="43"/>
  <c r="AL368" i="43"/>
  <c r="AL352" i="43"/>
  <c r="AL345" i="43"/>
  <c r="AL339" i="43"/>
  <c r="AL313" i="43"/>
  <c r="AL309" i="43"/>
  <c r="AL302" i="43"/>
  <c r="AL293" i="43"/>
  <c r="AL285" i="43"/>
  <c r="AL263" i="43"/>
  <c r="AL259" i="43"/>
  <c r="AL246" i="43"/>
  <c r="AL222" i="43"/>
  <c r="AL203" i="43"/>
  <c r="AL197" i="43"/>
  <c r="AL171" i="43"/>
  <c r="AL154" i="43"/>
  <c r="AL148" i="43"/>
  <c r="AL136" i="43"/>
  <c r="AL122" i="43"/>
  <c r="AL111" i="43"/>
  <c r="AL100" i="43"/>
  <c r="AL89" i="43"/>
  <c r="AL81" i="43"/>
  <c r="AL66" i="43"/>
  <c r="AL54" i="43"/>
  <c r="AL48" i="43"/>
  <c r="AL30" i="43"/>
  <c r="AL27" i="43"/>
  <c r="AI462" i="43"/>
  <c r="AL417" i="43"/>
  <c r="AL452" i="43"/>
  <c r="AL424" i="43"/>
  <c r="AL328" i="43"/>
  <c r="AL319" i="43"/>
  <c r="AL273" i="43"/>
  <c r="AL240" i="43"/>
  <c r="AL216" i="43"/>
  <c r="AL184" i="43"/>
  <c r="AL114" i="43"/>
  <c r="AL103" i="43"/>
  <c r="AL69" i="43"/>
  <c r="AL41" i="43"/>
  <c r="AL394" i="43"/>
  <c r="AL383" i="43"/>
  <c r="AL364" i="43"/>
  <c r="AL357" i="43"/>
  <c r="AL280" i="43"/>
  <c r="AL269" i="43"/>
  <c r="AL234" i="43"/>
  <c r="AL177" i="43"/>
  <c r="AL142" i="43"/>
  <c r="AL129" i="43"/>
  <c r="AL58" i="43"/>
  <c r="AL51" i="43"/>
  <c r="R466" i="43"/>
  <c r="R469" i="43"/>
  <c r="R470" i="43"/>
  <c r="R463" i="43"/>
  <c r="R464" i="43"/>
  <c r="R465" i="43"/>
  <c r="R471" i="43"/>
  <c r="R472" i="43"/>
  <c r="AL459" i="43" l="1"/>
  <c r="AE13" i="45" s="1"/>
  <c r="R462" i="43"/>
  <c r="L459" i="43" l="1"/>
  <c r="E13" i="45" s="1"/>
  <c r="I464" i="43" l="1"/>
  <c r="I465" i="43"/>
  <c r="J459" i="43"/>
  <c r="C13" i="45" s="1"/>
  <c r="M459" i="43"/>
  <c r="F13" i="45" s="1"/>
  <c r="P459" i="43"/>
  <c r="I13" i="45" s="1"/>
  <c r="I459" i="43" l="1"/>
  <c r="B13" i="45" s="1"/>
  <c r="I460" i="43"/>
  <c r="AM99" i="44" l="1"/>
  <c r="AW99" i="44" s="1"/>
  <c r="AL99" i="44"/>
  <c r="AV99" i="44" s="1"/>
  <c r="AE99" i="44"/>
  <c r="AT99" i="44" s="1"/>
  <c r="Y99" i="44"/>
  <c r="AQ99" i="44" s="1"/>
  <c r="U99" i="44"/>
  <c r="AP99" i="44" s="1"/>
  <c r="S100" i="44"/>
  <c r="T100" i="44"/>
  <c r="X100" i="44"/>
  <c r="AD100" i="44"/>
  <c r="AI100" i="44"/>
  <c r="AJ100" i="44"/>
  <c r="AK100" i="44"/>
  <c r="AA99" i="44" l="1"/>
  <c r="AR99" i="44" s="1"/>
  <c r="Z99" i="44"/>
  <c r="AB99" i="44"/>
  <c r="AS99" i="44" s="1"/>
  <c r="AN99" i="44"/>
  <c r="AU99" i="44" s="1"/>
  <c r="AF99" i="44" l="1"/>
  <c r="AO99" i="44" s="1"/>
  <c r="M130" i="44" l="1"/>
  <c r="F14" i="45" s="1"/>
  <c r="J130" i="44"/>
  <c r="C14" i="45" s="1"/>
  <c r="P130" i="44"/>
  <c r="I14" i="45" s="1"/>
  <c r="I23" i="45" l="1"/>
  <c r="C23" i="45"/>
  <c r="F23" i="45"/>
  <c r="N130" i="44"/>
  <c r="G14" i="45" s="1"/>
  <c r="K130" i="44"/>
  <c r="D14" i="45" s="1"/>
  <c r="L130" i="44"/>
  <c r="E14" i="45" s="1"/>
  <c r="E23" i="45" l="1"/>
  <c r="D23" i="45"/>
  <c r="I130" i="44"/>
  <c r="B14" i="45" s="1"/>
  <c r="B24" i="45" l="1"/>
  <c r="AW138" i="44"/>
  <c r="AW139" i="44"/>
  <c r="AK129" i="44"/>
  <c r="AJ129" i="44"/>
  <c r="AI129" i="44"/>
  <c r="AD129" i="44"/>
  <c r="X129" i="44"/>
  <c r="T129" i="44"/>
  <c r="S129" i="44"/>
  <c r="AK123" i="44"/>
  <c r="AJ123" i="44"/>
  <c r="AI123" i="44"/>
  <c r="AD123" i="44"/>
  <c r="X123" i="44"/>
  <c r="T123" i="44"/>
  <c r="S123" i="44"/>
  <c r="AK114" i="44"/>
  <c r="AJ114" i="44"/>
  <c r="AI114" i="44"/>
  <c r="AD114" i="44"/>
  <c r="X114" i="44"/>
  <c r="T114" i="44"/>
  <c r="S114" i="44"/>
  <c r="AK112" i="44"/>
  <c r="AJ112" i="44"/>
  <c r="AI112" i="44"/>
  <c r="AD112" i="44"/>
  <c r="X112" i="44"/>
  <c r="T112" i="44"/>
  <c r="S112" i="44"/>
  <c r="AK106" i="44"/>
  <c r="AJ106" i="44"/>
  <c r="AI106" i="44"/>
  <c r="AD106" i="44"/>
  <c r="X106" i="44"/>
  <c r="T106" i="44"/>
  <c r="S106" i="44"/>
  <c r="AK104" i="44"/>
  <c r="AJ104" i="44"/>
  <c r="AI104" i="44"/>
  <c r="AD104" i="44"/>
  <c r="X104" i="44"/>
  <c r="T104" i="44"/>
  <c r="S104" i="44"/>
  <c r="AK94" i="44"/>
  <c r="AJ94" i="44"/>
  <c r="AI94" i="44"/>
  <c r="AD94" i="44"/>
  <c r="X94" i="44"/>
  <c r="T94" i="44"/>
  <c r="S94" i="44"/>
  <c r="AK90" i="44"/>
  <c r="AJ90" i="44"/>
  <c r="AI90" i="44"/>
  <c r="AD90" i="44"/>
  <c r="X90" i="44"/>
  <c r="T90" i="44"/>
  <c r="S90" i="44"/>
  <c r="AK83" i="44"/>
  <c r="AJ83" i="44"/>
  <c r="AI83" i="44"/>
  <c r="AD83" i="44"/>
  <c r="X83" i="44"/>
  <c r="T83" i="44"/>
  <c r="S83" i="44"/>
  <c r="AK76" i="44"/>
  <c r="AJ76" i="44"/>
  <c r="AI76" i="44"/>
  <c r="AD76" i="44"/>
  <c r="X76" i="44"/>
  <c r="T76" i="44"/>
  <c r="S76" i="44"/>
  <c r="AK69" i="44"/>
  <c r="AJ69" i="44"/>
  <c r="AI69" i="44"/>
  <c r="AD69" i="44"/>
  <c r="X69" i="44"/>
  <c r="T69" i="44"/>
  <c r="S69" i="44"/>
  <c r="AK62" i="44"/>
  <c r="AJ62" i="44"/>
  <c r="AI62" i="44"/>
  <c r="AD62" i="44"/>
  <c r="X62" i="44"/>
  <c r="T62" i="44"/>
  <c r="S62" i="44"/>
  <c r="AK55" i="44"/>
  <c r="AJ55" i="44"/>
  <c r="AI55" i="44"/>
  <c r="AD55" i="44"/>
  <c r="X55" i="44"/>
  <c r="T55" i="44"/>
  <c r="S55" i="44"/>
  <c r="AK48" i="44"/>
  <c r="AJ48" i="44"/>
  <c r="AI48" i="44"/>
  <c r="AD48" i="44"/>
  <c r="X48" i="44"/>
  <c r="T48" i="44"/>
  <c r="S48" i="44"/>
  <c r="AK41" i="44"/>
  <c r="AJ41" i="44"/>
  <c r="AI41" i="44"/>
  <c r="AD41" i="44"/>
  <c r="X41" i="44"/>
  <c r="T41" i="44"/>
  <c r="S41" i="44"/>
  <c r="AK34" i="44"/>
  <c r="AJ34" i="44"/>
  <c r="AI34" i="44"/>
  <c r="AD34" i="44"/>
  <c r="X34" i="44"/>
  <c r="T34" i="44"/>
  <c r="S34" i="44"/>
  <c r="AK27" i="44"/>
  <c r="AJ27" i="44"/>
  <c r="AI27" i="44"/>
  <c r="AD27" i="44"/>
  <c r="X27" i="44"/>
  <c r="T27" i="44"/>
  <c r="S27" i="44"/>
  <c r="AK18" i="44"/>
  <c r="AJ18" i="44"/>
  <c r="AI18" i="44"/>
  <c r="AD18" i="44"/>
  <c r="X18" i="44"/>
  <c r="T18" i="44"/>
  <c r="S18" i="44"/>
  <c r="AK13" i="44"/>
  <c r="AJ13" i="44"/>
  <c r="AI13" i="44"/>
  <c r="AD13" i="44"/>
  <c r="X13" i="44"/>
  <c r="T13" i="44"/>
  <c r="S13" i="44"/>
  <c r="AM128" i="44"/>
  <c r="AW128" i="44" s="1"/>
  <c r="AL128" i="44"/>
  <c r="AV128" i="44" s="1"/>
  <c r="AE128" i="44"/>
  <c r="AT128" i="44" s="1"/>
  <c r="Y128" i="44"/>
  <c r="AQ128" i="44" s="1"/>
  <c r="U128" i="44"/>
  <c r="AP128" i="44" s="1"/>
  <c r="AM127" i="44"/>
  <c r="AW127" i="44" s="1"/>
  <c r="AL127" i="44"/>
  <c r="AV127" i="44" s="1"/>
  <c r="AE127" i="44"/>
  <c r="AT127" i="44" s="1"/>
  <c r="Y127" i="44"/>
  <c r="AQ127" i="44" s="1"/>
  <c r="U127" i="44"/>
  <c r="AP127" i="44" s="1"/>
  <c r="AM126" i="44"/>
  <c r="AW126" i="44" s="1"/>
  <c r="AL126" i="44"/>
  <c r="AV126" i="44" s="1"/>
  <c r="AE126" i="44"/>
  <c r="AT126" i="44" s="1"/>
  <c r="Y126" i="44"/>
  <c r="AQ126" i="44" s="1"/>
  <c r="U126" i="44"/>
  <c r="AP126" i="44" s="1"/>
  <c r="AM125" i="44"/>
  <c r="AW125" i="44" s="1"/>
  <c r="AL125" i="44"/>
  <c r="AV125" i="44" s="1"/>
  <c r="AE125" i="44"/>
  <c r="AT125" i="44" s="1"/>
  <c r="Y125" i="44"/>
  <c r="AQ125" i="44" s="1"/>
  <c r="U125" i="44"/>
  <c r="AP125" i="44" s="1"/>
  <c r="AM124" i="44"/>
  <c r="AW124" i="44" s="1"/>
  <c r="AL124" i="44"/>
  <c r="AV124" i="44" s="1"/>
  <c r="AE124" i="44"/>
  <c r="AT124" i="44" s="1"/>
  <c r="Y124" i="44"/>
  <c r="AQ124" i="44" s="1"/>
  <c r="U124" i="44"/>
  <c r="AP124" i="44" s="1"/>
  <c r="AM122" i="44"/>
  <c r="AW122" i="44" s="1"/>
  <c r="AL122" i="44"/>
  <c r="AV122" i="44" s="1"/>
  <c r="AE122" i="44"/>
  <c r="AT122" i="44" s="1"/>
  <c r="Y122" i="44"/>
  <c r="AQ122" i="44" s="1"/>
  <c r="U122" i="44"/>
  <c r="AP122" i="44" s="1"/>
  <c r="AM121" i="44"/>
  <c r="AW121" i="44" s="1"/>
  <c r="AL121" i="44"/>
  <c r="AV121" i="44" s="1"/>
  <c r="AE121" i="44"/>
  <c r="AT121" i="44" s="1"/>
  <c r="Y121" i="44"/>
  <c r="AQ121" i="44" s="1"/>
  <c r="U121" i="44"/>
  <c r="AP121" i="44" s="1"/>
  <c r="AM120" i="44"/>
  <c r="AW120" i="44" s="1"/>
  <c r="AL120" i="44"/>
  <c r="AV120" i="44" s="1"/>
  <c r="AE120" i="44"/>
  <c r="AT120" i="44" s="1"/>
  <c r="Y120" i="44"/>
  <c r="AQ120" i="44" s="1"/>
  <c r="U120" i="44"/>
  <c r="AP120" i="44" s="1"/>
  <c r="AM119" i="44"/>
  <c r="AW119" i="44" s="1"/>
  <c r="AL119" i="44"/>
  <c r="AV119" i="44" s="1"/>
  <c r="AE119" i="44"/>
  <c r="AT119" i="44" s="1"/>
  <c r="Y119" i="44"/>
  <c r="AQ119" i="44" s="1"/>
  <c r="U119" i="44"/>
  <c r="AP119" i="44" s="1"/>
  <c r="AM118" i="44"/>
  <c r="AW118" i="44" s="1"/>
  <c r="AL118" i="44"/>
  <c r="AV118" i="44" s="1"/>
  <c r="AE118" i="44"/>
  <c r="AT118" i="44" s="1"/>
  <c r="Y118" i="44"/>
  <c r="AQ118" i="44" s="1"/>
  <c r="U118" i="44"/>
  <c r="AP118" i="44" s="1"/>
  <c r="AM117" i="44"/>
  <c r="AW117" i="44" s="1"/>
  <c r="AL117" i="44"/>
  <c r="AV117" i="44" s="1"/>
  <c r="AE117" i="44"/>
  <c r="AT117" i="44" s="1"/>
  <c r="Y117" i="44"/>
  <c r="AQ117" i="44" s="1"/>
  <c r="U117" i="44"/>
  <c r="AP117" i="44" s="1"/>
  <c r="AM116" i="44"/>
  <c r="AW116" i="44" s="1"/>
  <c r="AL116" i="44"/>
  <c r="AV116" i="44" s="1"/>
  <c r="AE116" i="44"/>
  <c r="AT116" i="44" s="1"/>
  <c r="Y116" i="44"/>
  <c r="AQ116" i="44" s="1"/>
  <c r="U116" i="44"/>
  <c r="AP116" i="44" s="1"/>
  <c r="AM115" i="44"/>
  <c r="AW115" i="44" s="1"/>
  <c r="AL115" i="44"/>
  <c r="AV115" i="44" s="1"/>
  <c r="AE115" i="44"/>
  <c r="AT115" i="44" s="1"/>
  <c r="Y115" i="44"/>
  <c r="AQ115" i="44" s="1"/>
  <c r="U115" i="44"/>
  <c r="AP115" i="44" s="1"/>
  <c r="AM113" i="44"/>
  <c r="AW113" i="44" s="1"/>
  <c r="AW114" i="44" s="1"/>
  <c r="AL113" i="44"/>
  <c r="AE113" i="44"/>
  <c r="AT113" i="44" s="1"/>
  <c r="AT114" i="44" s="1"/>
  <c r="Y113" i="44"/>
  <c r="AQ113" i="44" s="1"/>
  <c r="AQ114" i="44" s="1"/>
  <c r="U113" i="44"/>
  <c r="AP113" i="44" s="1"/>
  <c r="AP114" i="44" s="1"/>
  <c r="AM111" i="44"/>
  <c r="AW111" i="44" s="1"/>
  <c r="AL111" i="44"/>
  <c r="AV111" i="44" s="1"/>
  <c r="AE111" i="44"/>
  <c r="AT111" i="44" s="1"/>
  <c r="Y111" i="44"/>
  <c r="AQ111" i="44" s="1"/>
  <c r="U111" i="44"/>
  <c r="AP111" i="44" s="1"/>
  <c r="AM110" i="44"/>
  <c r="AW110" i="44" s="1"/>
  <c r="AL110" i="44"/>
  <c r="AV110" i="44" s="1"/>
  <c r="AE110" i="44"/>
  <c r="AT110" i="44" s="1"/>
  <c r="Y110" i="44"/>
  <c r="AQ110" i="44" s="1"/>
  <c r="U110" i="44"/>
  <c r="AP110" i="44" s="1"/>
  <c r="AM109" i="44"/>
  <c r="AW109" i="44" s="1"/>
  <c r="AL109" i="44"/>
  <c r="AV109" i="44" s="1"/>
  <c r="AE109" i="44"/>
  <c r="AT109" i="44" s="1"/>
  <c r="Y109" i="44"/>
  <c r="AQ109" i="44" s="1"/>
  <c r="U109" i="44"/>
  <c r="AP109" i="44" s="1"/>
  <c r="AM108" i="44"/>
  <c r="AW108" i="44" s="1"/>
  <c r="AL108" i="44"/>
  <c r="AV108" i="44" s="1"/>
  <c r="AE108" i="44"/>
  <c r="AT108" i="44" s="1"/>
  <c r="Y108" i="44"/>
  <c r="AQ108" i="44" s="1"/>
  <c r="U108" i="44"/>
  <c r="AP108" i="44" s="1"/>
  <c r="AM107" i="44"/>
  <c r="AW107" i="44" s="1"/>
  <c r="AL107" i="44"/>
  <c r="AV107" i="44" s="1"/>
  <c r="AE107" i="44"/>
  <c r="AT107" i="44" s="1"/>
  <c r="Y107" i="44"/>
  <c r="AQ107" i="44" s="1"/>
  <c r="U107" i="44"/>
  <c r="AP107" i="44" s="1"/>
  <c r="AM105" i="44"/>
  <c r="AW105" i="44" s="1"/>
  <c r="AW106" i="44" s="1"/>
  <c r="AL105" i="44"/>
  <c r="AV105" i="44" s="1"/>
  <c r="AV106" i="44" s="1"/>
  <c r="AE105" i="44"/>
  <c r="AT105" i="44" s="1"/>
  <c r="AT106" i="44" s="1"/>
  <c r="Y105" i="44"/>
  <c r="AQ105" i="44" s="1"/>
  <c r="AQ106" i="44" s="1"/>
  <c r="U105" i="44"/>
  <c r="AP105" i="44" s="1"/>
  <c r="AP106" i="44" s="1"/>
  <c r="AM103" i="44"/>
  <c r="AW103" i="44" s="1"/>
  <c r="AL103" i="44"/>
  <c r="AV103" i="44" s="1"/>
  <c r="AE103" i="44"/>
  <c r="AT103" i="44" s="1"/>
  <c r="Y103" i="44"/>
  <c r="AQ103" i="44" s="1"/>
  <c r="U103" i="44"/>
  <c r="AP103" i="44" s="1"/>
  <c r="AM102" i="44"/>
  <c r="AW102" i="44" s="1"/>
  <c r="AL102" i="44"/>
  <c r="AV102" i="44" s="1"/>
  <c r="AE102" i="44"/>
  <c r="AT102" i="44" s="1"/>
  <c r="Y102" i="44"/>
  <c r="AQ102" i="44" s="1"/>
  <c r="U102" i="44"/>
  <c r="AP102" i="44" s="1"/>
  <c r="AM101" i="44"/>
  <c r="AW101" i="44" s="1"/>
  <c r="AL101" i="44"/>
  <c r="AV101" i="44" s="1"/>
  <c r="AE101" i="44"/>
  <c r="AT101" i="44" s="1"/>
  <c r="Y101" i="44"/>
  <c r="AQ101" i="44" s="1"/>
  <c r="U101" i="44"/>
  <c r="AP101" i="44" s="1"/>
  <c r="AM98" i="44"/>
  <c r="AW98" i="44" s="1"/>
  <c r="AL98" i="44"/>
  <c r="AV98" i="44" s="1"/>
  <c r="AE98" i="44"/>
  <c r="AT98" i="44" s="1"/>
  <c r="Y98" i="44"/>
  <c r="AQ98" i="44" s="1"/>
  <c r="U98" i="44"/>
  <c r="AP98" i="44" s="1"/>
  <c r="AM97" i="44"/>
  <c r="AW97" i="44" s="1"/>
  <c r="AL97" i="44"/>
  <c r="AV97" i="44" s="1"/>
  <c r="AE97" i="44"/>
  <c r="AT97" i="44" s="1"/>
  <c r="Y97" i="44"/>
  <c r="AQ97" i="44" s="1"/>
  <c r="U97" i="44"/>
  <c r="AP97" i="44" s="1"/>
  <c r="AM96" i="44"/>
  <c r="AW96" i="44" s="1"/>
  <c r="AL96" i="44"/>
  <c r="AV96" i="44" s="1"/>
  <c r="AE96" i="44"/>
  <c r="AT96" i="44" s="1"/>
  <c r="Y96" i="44"/>
  <c r="AQ96" i="44" s="1"/>
  <c r="U96" i="44"/>
  <c r="AP96" i="44" s="1"/>
  <c r="AM95" i="44"/>
  <c r="AW95" i="44" s="1"/>
  <c r="AL95" i="44"/>
  <c r="AV95" i="44" s="1"/>
  <c r="AE95" i="44"/>
  <c r="AT95" i="44" s="1"/>
  <c r="Y95" i="44"/>
  <c r="AQ95" i="44" s="1"/>
  <c r="U95" i="44"/>
  <c r="AP95" i="44" s="1"/>
  <c r="AM93" i="44"/>
  <c r="AW93" i="44" s="1"/>
  <c r="AL93" i="44"/>
  <c r="AV93" i="44" s="1"/>
  <c r="AE93" i="44"/>
  <c r="AT93" i="44" s="1"/>
  <c r="Y93" i="44"/>
  <c r="AQ93" i="44" s="1"/>
  <c r="U93" i="44"/>
  <c r="AP93" i="44" s="1"/>
  <c r="AM92" i="44"/>
  <c r="AW92" i="44" s="1"/>
  <c r="AL92" i="44"/>
  <c r="AV92" i="44" s="1"/>
  <c r="AE92" i="44"/>
  <c r="AT92" i="44" s="1"/>
  <c r="Y92" i="44"/>
  <c r="AQ92" i="44" s="1"/>
  <c r="U92" i="44"/>
  <c r="AP92" i="44" s="1"/>
  <c r="AM91" i="44"/>
  <c r="AW91" i="44" s="1"/>
  <c r="AL91" i="44"/>
  <c r="AV91" i="44" s="1"/>
  <c r="AE91" i="44"/>
  <c r="AT91" i="44" s="1"/>
  <c r="Y91" i="44"/>
  <c r="AQ91" i="44" s="1"/>
  <c r="U91" i="44"/>
  <c r="AP91" i="44" s="1"/>
  <c r="AM89" i="44"/>
  <c r="AW89" i="44" s="1"/>
  <c r="AL89" i="44"/>
  <c r="AV89" i="44" s="1"/>
  <c r="AE89" i="44"/>
  <c r="AT89" i="44" s="1"/>
  <c r="Y89" i="44"/>
  <c r="AQ89" i="44" s="1"/>
  <c r="U89" i="44"/>
  <c r="AP89" i="44" s="1"/>
  <c r="AM88" i="44"/>
  <c r="AW88" i="44" s="1"/>
  <c r="AL88" i="44"/>
  <c r="AV88" i="44" s="1"/>
  <c r="AE88" i="44"/>
  <c r="AT88" i="44" s="1"/>
  <c r="Y88" i="44"/>
  <c r="AQ88" i="44" s="1"/>
  <c r="U88" i="44"/>
  <c r="AP88" i="44" s="1"/>
  <c r="AM87" i="44"/>
  <c r="AW87" i="44" s="1"/>
  <c r="AL87" i="44"/>
  <c r="AV87" i="44" s="1"/>
  <c r="AE87" i="44"/>
  <c r="AT87" i="44" s="1"/>
  <c r="Y87" i="44"/>
  <c r="AQ87" i="44" s="1"/>
  <c r="U87" i="44"/>
  <c r="AP87" i="44" s="1"/>
  <c r="AM86" i="44"/>
  <c r="AW86" i="44" s="1"/>
  <c r="AL86" i="44"/>
  <c r="AV86" i="44" s="1"/>
  <c r="AE86" i="44"/>
  <c r="AT86" i="44" s="1"/>
  <c r="Y86" i="44"/>
  <c r="AQ86" i="44" s="1"/>
  <c r="U86" i="44"/>
  <c r="AP86" i="44" s="1"/>
  <c r="AM85" i="44"/>
  <c r="AW85" i="44" s="1"/>
  <c r="AL85" i="44"/>
  <c r="AV85" i="44" s="1"/>
  <c r="AE85" i="44"/>
  <c r="AT85" i="44" s="1"/>
  <c r="Y85" i="44"/>
  <c r="AQ85" i="44" s="1"/>
  <c r="U85" i="44"/>
  <c r="AP85" i="44" s="1"/>
  <c r="AM84" i="44"/>
  <c r="AW84" i="44" s="1"/>
  <c r="AL84" i="44"/>
  <c r="AV84" i="44" s="1"/>
  <c r="AE84" i="44"/>
  <c r="AT84" i="44" s="1"/>
  <c r="Y84" i="44"/>
  <c r="AQ84" i="44" s="1"/>
  <c r="U84" i="44"/>
  <c r="AP84" i="44" s="1"/>
  <c r="AM82" i="44"/>
  <c r="AW82" i="44" s="1"/>
  <c r="AL82" i="44"/>
  <c r="AV82" i="44" s="1"/>
  <c r="AE82" i="44"/>
  <c r="AT82" i="44" s="1"/>
  <c r="Y82" i="44"/>
  <c r="AQ82" i="44" s="1"/>
  <c r="U82" i="44"/>
  <c r="AP82" i="44" s="1"/>
  <c r="AM81" i="44"/>
  <c r="AW81" i="44" s="1"/>
  <c r="AL81" i="44"/>
  <c r="AV81" i="44" s="1"/>
  <c r="AE81" i="44"/>
  <c r="AT81" i="44" s="1"/>
  <c r="Y81" i="44"/>
  <c r="AQ81" i="44" s="1"/>
  <c r="U81" i="44"/>
  <c r="AP81" i="44" s="1"/>
  <c r="AM80" i="44"/>
  <c r="AW80" i="44" s="1"/>
  <c r="AL80" i="44"/>
  <c r="AV80" i="44" s="1"/>
  <c r="AE80" i="44"/>
  <c r="AT80" i="44" s="1"/>
  <c r="Y80" i="44"/>
  <c r="AQ80" i="44" s="1"/>
  <c r="U80" i="44"/>
  <c r="AP80" i="44" s="1"/>
  <c r="AM79" i="44"/>
  <c r="AW79" i="44" s="1"/>
  <c r="AL79" i="44"/>
  <c r="AV79" i="44" s="1"/>
  <c r="AE79" i="44"/>
  <c r="AT79" i="44" s="1"/>
  <c r="Y79" i="44"/>
  <c r="AQ79" i="44" s="1"/>
  <c r="U79" i="44"/>
  <c r="AP79" i="44" s="1"/>
  <c r="AM78" i="44"/>
  <c r="AW78" i="44" s="1"/>
  <c r="AL78" i="44"/>
  <c r="AV78" i="44" s="1"/>
  <c r="AE78" i="44"/>
  <c r="AT78" i="44" s="1"/>
  <c r="Y78" i="44"/>
  <c r="AQ78" i="44" s="1"/>
  <c r="U78" i="44"/>
  <c r="AP78" i="44" s="1"/>
  <c r="AM77" i="44"/>
  <c r="AW77" i="44" s="1"/>
  <c r="AL77" i="44"/>
  <c r="AV77" i="44" s="1"/>
  <c r="AE77" i="44"/>
  <c r="AT77" i="44" s="1"/>
  <c r="Y77" i="44"/>
  <c r="AQ77" i="44" s="1"/>
  <c r="U77" i="44"/>
  <c r="AP77" i="44" s="1"/>
  <c r="AM75" i="44"/>
  <c r="AW75" i="44" s="1"/>
  <c r="AL75" i="44"/>
  <c r="AV75" i="44" s="1"/>
  <c r="AE75" i="44"/>
  <c r="AT75" i="44" s="1"/>
  <c r="Y75" i="44"/>
  <c r="AQ75" i="44" s="1"/>
  <c r="U75" i="44"/>
  <c r="AP75" i="44" s="1"/>
  <c r="AM74" i="44"/>
  <c r="AW74" i="44" s="1"/>
  <c r="AL74" i="44"/>
  <c r="AV74" i="44" s="1"/>
  <c r="AE74" i="44"/>
  <c r="AT74" i="44" s="1"/>
  <c r="Y74" i="44"/>
  <c r="AQ74" i="44" s="1"/>
  <c r="U74" i="44"/>
  <c r="AP74" i="44" s="1"/>
  <c r="AM73" i="44"/>
  <c r="AW73" i="44" s="1"/>
  <c r="AL73" i="44"/>
  <c r="AV73" i="44" s="1"/>
  <c r="AE73" i="44"/>
  <c r="AT73" i="44" s="1"/>
  <c r="Y73" i="44"/>
  <c r="AQ73" i="44" s="1"/>
  <c r="U73" i="44"/>
  <c r="AP73" i="44" s="1"/>
  <c r="AM72" i="44"/>
  <c r="AW72" i="44" s="1"/>
  <c r="AL72" i="44"/>
  <c r="AV72" i="44" s="1"/>
  <c r="AE72" i="44"/>
  <c r="AT72" i="44" s="1"/>
  <c r="Y72" i="44"/>
  <c r="AQ72" i="44" s="1"/>
  <c r="U72" i="44"/>
  <c r="AP72" i="44" s="1"/>
  <c r="AM71" i="44"/>
  <c r="AW71" i="44" s="1"/>
  <c r="AL71" i="44"/>
  <c r="AV71" i="44" s="1"/>
  <c r="AE71" i="44"/>
  <c r="AT71" i="44" s="1"/>
  <c r="Y71" i="44"/>
  <c r="AQ71" i="44" s="1"/>
  <c r="U71" i="44"/>
  <c r="AP71" i="44" s="1"/>
  <c r="AM70" i="44"/>
  <c r="AW70" i="44" s="1"/>
  <c r="AL70" i="44"/>
  <c r="AV70" i="44" s="1"/>
  <c r="AE70" i="44"/>
  <c r="AT70" i="44" s="1"/>
  <c r="Y70" i="44"/>
  <c r="AQ70" i="44" s="1"/>
  <c r="U70" i="44"/>
  <c r="AP70" i="44" s="1"/>
  <c r="AM68" i="44"/>
  <c r="AW68" i="44" s="1"/>
  <c r="AL68" i="44"/>
  <c r="AV68" i="44" s="1"/>
  <c r="AE68" i="44"/>
  <c r="AT68" i="44" s="1"/>
  <c r="Y68" i="44"/>
  <c r="AQ68" i="44" s="1"/>
  <c r="U68" i="44"/>
  <c r="AP68" i="44" s="1"/>
  <c r="AM67" i="44"/>
  <c r="AW67" i="44" s="1"/>
  <c r="AL67" i="44"/>
  <c r="AV67" i="44" s="1"/>
  <c r="AE67" i="44"/>
  <c r="AT67" i="44" s="1"/>
  <c r="Y67" i="44"/>
  <c r="AQ67" i="44" s="1"/>
  <c r="U67" i="44"/>
  <c r="AP67" i="44" s="1"/>
  <c r="AM66" i="44"/>
  <c r="AW66" i="44" s="1"/>
  <c r="AL66" i="44"/>
  <c r="AV66" i="44" s="1"/>
  <c r="AE66" i="44"/>
  <c r="AT66" i="44" s="1"/>
  <c r="Y66" i="44"/>
  <c r="AQ66" i="44" s="1"/>
  <c r="U66" i="44"/>
  <c r="AP66" i="44" s="1"/>
  <c r="AM65" i="44"/>
  <c r="AW65" i="44" s="1"/>
  <c r="AL65" i="44"/>
  <c r="AV65" i="44" s="1"/>
  <c r="AE65" i="44"/>
  <c r="AT65" i="44" s="1"/>
  <c r="Y65" i="44"/>
  <c r="AQ65" i="44" s="1"/>
  <c r="U65" i="44"/>
  <c r="AP65" i="44" s="1"/>
  <c r="AM64" i="44"/>
  <c r="AW64" i="44" s="1"/>
  <c r="AL64" i="44"/>
  <c r="AV64" i="44" s="1"/>
  <c r="AE64" i="44"/>
  <c r="AT64" i="44" s="1"/>
  <c r="Y64" i="44"/>
  <c r="AQ64" i="44" s="1"/>
  <c r="U64" i="44"/>
  <c r="AP64" i="44" s="1"/>
  <c r="AM63" i="44"/>
  <c r="AW63" i="44" s="1"/>
  <c r="AL63" i="44"/>
  <c r="AV63" i="44" s="1"/>
  <c r="AE63" i="44"/>
  <c r="AT63" i="44" s="1"/>
  <c r="Y63" i="44"/>
  <c r="AQ63" i="44" s="1"/>
  <c r="U63" i="44"/>
  <c r="AP63" i="44" s="1"/>
  <c r="AM61" i="44"/>
  <c r="AW61" i="44" s="1"/>
  <c r="AL61" i="44"/>
  <c r="AV61" i="44" s="1"/>
  <c r="AE61" i="44"/>
  <c r="AT61" i="44" s="1"/>
  <c r="Y61" i="44"/>
  <c r="AQ61" i="44" s="1"/>
  <c r="U61" i="44"/>
  <c r="AP61" i="44" s="1"/>
  <c r="AM60" i="44"/>
  <c r="AW60" i="44" s="1"/>
  <c r="AL60" i="44"/>
  <c r="AV60" i="44" s="1"/>
  <c r="AE60" i="44"/>
  <c r="AT60" i="44" s="1"/>
  <c r="Y60" i="44"/>
  <c r="AQ60" i="44" s="1"/>
  <c r="U60" i="44"/>
  <c r="AP60" i="44" s="1"/>
  <c r="AM59" i="44"/>
  <c r="AW59" i="44" s="1"/>
  <c r="AL59" i="44"/>
  <c r="AV59" i="44" s="1"/>
  <c r="AE59" i="44"/>
  <c r="AT59" i="44" s="1"/>
  <c r="Y59" i="44"/>
  <c r="AQ59" i="44" s="1"/>
  <c r="U59" i="44"/>
  <c r="AP59" i="44" s="1"/>
  <c r="AM58" i="44"/>
  <c r="AW58" i="44" s="1"/>
  <c r="AL58" i="44"/>
  <c r="AV58" i="44" s="1"/>
  <c r="AE58" i="44"/>
  <c r="AT58" i="44" s="1"/>
  <c r="Y58" i="44"/>
  <c r="AQ58" i="44" s="1"/>
  <c r="U58" i="44"/>
  <c r="AP58" i="44" s="1"/>
  <c r="AM57" i="44"/>
  <c r="AW57" i="44" s="1"/>
  <c r="AL57" i="44"/>
  <c r="AV57" i="44" s="1"/>
  <c r="AE57" i="44"/>
  <c r="AT57" i="44" s="1"/>
  <c r="Y57" i="44"/>
  <c r="AQ57" i="44" s="1"/>
  <c r="U57" i="44"/>
  <c r="AP57" i="44" s="1"/>
  <c r="AM56" i="44"/>
  <c r="AW56" i="44" s="1"/>
  <c r="AL56" i="44"/>
  <c r="AV56" i="44" s="1"/>
  <c r="AE56" i="44"/>
  <c r="AT56" i="44" s="1"/>
  <c r="Y56" i="44"/>
  <c r="AQ56" i="44" s="1"/>
  <c r="U56" i="44"/>
  <c r="AP56" i="44" s="1"/>
  <c r="AM54" i="44"/>
  <c r="AW54" i="44" s="1"/>
  <c r="AL54" i="44"/>
  <c r="AV54" i="44" s="1"/>
  <c r="AE54" i="44"/>
  <c r="AT54" i="44" s="1"/>
  <c r="Y54" i="44"/>
  <c r="AQ54" i="44" s="1"/>
  <c r="U54" i="44"/>
  <c r="AP54" i="44" s="1"/>
  <c r="AM53" i="44"/>
  <c r="AW53" i="44" s="1"/>
  <c r="AL53" i="44"/>
  <c r="AV53" i="44" s="1"/>
  <c r="AE53" i="44"/>
  <c r="AT53" i="44" s="1"/>
  <c r="Y53" i="44"/>
  <c r="AQ53" i="44" s="1"/>
  <c r="U53" i="44"/>
  <c r="AP53" i="44" s="1"/>
  <c r="AM52" i="44"/>
  <c r="AW52" i="44" s="1"/>
  <c r="AL52" i="44"/>
  <c r="AV52" i="44" s="1"/>
  <c r="AE52" i="44"/>
  <c r="AT52" i="44" s="1"/>
  <c r="Y52" i="44"/>
  <c r="AQ52" i="44" s="1"/>
  <c r="U52" i="44"/>
  <c r="AP52" i="44" s="1"/>
  <c r="AM51" i="44"/>
  <c r="AW51" i="44" s="1"/>
  <c r="AL51" i="44"/>
  <c r="AV51" i="44" s="1"/>
  <c r="AE51" i="44"/>
  <c r="AT51" i="44" s="1"/>
  <c r="Y51" i="44"/>
  <c r="AQ51" i="44" s="1"/>
  <c r="U51" i="44"/>
  <c r="AP51" i="44" s="1"/>
  <c r="AM50" i="44"/>
  <c r="AW50" i="44" s="1"/>
  <c r="AL50" i="44"/>
  <c r="AV50" i="44" s="1"/>
  <c r="AE50" i="44"/>
  <c r="AT50" i="44" s="1"/>
  <c r="Y50" i="44"/>
  <c r="AQ50" i="44" s="1"/>
  <c r="U50" i="44"/>
  <c r="AP50" i="44" s="1"/>
  <c r="AM49" i="44"/>
  <c r="AW49" i="44" s="1"/>
  <c r="AL49" i="44"/>
  <c r="AV49" i="44" s="1"/>
  <c r="AE49" i="44"/>
  <c r="AT49" i="44" s="1"/>
  <c r="Y49" i="44"/>
  <c r="AQ49" i="44" s="1"/>
  <c r="U49" i="44"/>
  <c r="AP49" i="44" s="1"/>
  <c r="AM47" i="44"/>
  <c r="AW47" i="44" s="1"/>
  <c r="AL47" i="44"/>
  <c r="AV47" i="44" s="1"/>
  <c r="AE47" i="44"/>
  <c r="AT47" i="44" s="1"/>
  <c r="Y47" i="44"/>
  <c r="AQ47" i="44" s="1"/>
  <c r="U47" i="44"/>
  <c r="AP47" i="44" s="1"/>
  <c r="AM46" i="44"/>
  <c r="AW46" i="44" s="1"/>
  <c r="AL46" i="44"/>
  <c r="AV46" i="44" s="1"/>
  <c r="AE46" i="44"/>
  <c r="AT46" i="44" s="1"/>
  <c r="Y46" i="44"/>
  <c r="AQ46" i="44" s="1"/>
  <c r="U46" i="44"/>
  <c r="AP46" i="44" s="1"/>
  <c r="AM45" i="44"/>
  <c r="AW45" i="44" s="1"/>
  <c r="AL45" i="44"/>
  <c r="AV45" i="44" s="1"/>
  <c r="AE45" i="44"/>
  <c r="AT45" i="44" s="1"/>
  <c r="Y45" i="44"/>
  <c r="AQ45" i="44" s="1"/>
  <c r="U45" i="44"/>
  <c r="AP45" i="44" s="1"/>
  <c r="AM44" i="44"/>
  <c r="AW44" i="44" s="1"/>
  <c r="AL44" i="44"/>
  <c r="AV44" i="44" s="1"/>
  <c r="AE44" i="44"/>
  <c r="AT44" i="44" s="1"/>
  <c r="Y44" i="44"/>
  <c r="AQ44" i="44" s="1"/>
  <c r="U44" i="44"/>
  <c r="AP44" i="44" s="1"/>
  <c r="AM43" i="44"/>
  <c r="AW43" i="44" s="1"/>
  <c r="AL43" i="44"/>
  <c r="AV43" i="44" s="1"/>
  <c r="AE43" i="44"/>
  <c r="AT43" i="44" s="1"/>
  <c r="Y43" i="44"/>
  <c r="AQ43" i="44" s="1"/>
  <c r="U43" i="44"/>
  <c r="AP43" i="44" s="1"/>
  <c r="AM42" i="44"/>
  <c r="AW42" i="44" s="1"/>
  <c r="AL42" i="44"/>
  <c r="AV42" i="44" s="1"/>
  <c r="AE42" i="44"/>
  <c r="AT42" i="44" s="1"/>
  <c r="Y42" i="44"/>
  <c r="AQ42" i="44" s="1"/>
  <c r="U42" i="44"/>
  <c r="AP42" i="44" s="1"/>
  <c r="AM40" i="44"/>
  <c r="AW40" i="44" s="1"/>
  <c r="AL40" i="44"/>
  <c r="AV40" i="44" s="1"/>
  <c r="AE40" i="44"/>
  <c r="AT40" i="44" s="1"/>
  <c r="Y40" i="44"/>
  <c r="AQ40" i="44" s="1"/>
  <c r="U40" i="44"/>
  <c r="AP40" i="44" s="1"/>
  <c r="AM39" i="44"/>
  <c r="AW39" i="44" s="1"/>
  <c r="AL39" i="44"/>
  <c r="AV39" i="44" s="1"/>
  <c r="AE39" i="44"/>
  <c r="AT39" i="44" s="1"/>
  <c r="Y39" i="44"/>
  <c r="AQ39" i="44" s="1"/>
  <c r="U39" i="44"/>
  <c r="AP39" i="44" s="1"/>
  <c r="AM38" i="44"/>
  <c r="AW38" i="44" s="1"/>
  <c r="AL38" i="44"/>
  <c r="AV38" i="44" s="1"/>
  <c r="AE38" i="44"/>
  <c r="AT38" i="44" s="1"/>
  <c r="Y38" i="44"/>
  <c r="AQ38" i="44" s="1"/>
  <c r="U38" i="44"/>
  <c r="AP38" i="44" s="1"/>
  <c r="AM37" i="44"/>
  <c r="AW37" i="44" s="1"/>
  <c r="AL37" i="44"/>
  <c r="AV37" i="44" s="1"/>
  <c r="AE37" i="44"/>
  <c r="AT37" i="44" s="1"/>
  <c r="Y37" i="44"/>
  <c r="AQ37" i="44" s="1"/>
  <c r="U37" i="44"/>
  <c r="AP37" i="44" s="1"/>
  <c r="AM36" i="44"/>
  <c r="AW36" i="44" s="1"/>
  <c r="AL36" i="44"/>
  <c r="AV36" i="44" s="1"/>
  <c r="AE36" i="44"/>
  <c r="AT36" i="44" s="1"/>
  <c r="Y36" i="44"/>
  <c r="AQ36" i="44" s="1"/>
  <c r="U36" i="44"/>
  <c r="AP36" i="44" s="1"/>
  <c r="AM35" i="44"/>
  <c r="AW35" i="44" s="1"/>
  <c r="AL35" i="44"/>
  <c r="AV35" i="44" s="1"/>
  <c r="AE35" i="44"/>
  <c r="AT35" i="44" s="1"/>
  <c r="Y35" i="44"/>
  <c r="AQ35" i="44" s="1"/>
  <c r="U35" i="44"/>
  <c r="AP35" i="44" s="1"/>
  <c r="AM33" i="44"/>
  <c r="AW33" i="44" s="1"/>
  <c r="AL33" i="44"/>
  <c r="AV33" i="44" s="1"/>
  <c r="AE33" i="44"/>
  <c r="AT33" i="44" s="1"/>
  <c r="Y33" i="44"/>
  <c r="AQ33" i="44" s="1"/>
  <c r="U33" i="44"/>
  <c r="AP33" i="44" s="1"/>
  <c r="AM32" i="44"/>
  <c r="AW32" i="44" s="1"/>
  <c r="AL32" i="44"/>
  <c r="AV32" i="44" s="1"/>
  <c r="AE32" i="44"/>
  <c r="AT32" i="44" s="1"/>
  <c r="Y32" i="44"/>
  <c r="AQ32" i="44" s="1"/>
  <c r="U32" i="44"/>
  <c r="AP32" i="44" s="1"/>
  <c r="AM31" i="44"/>
  <c r="AW31" i="44" s="1"/>
  <c r="AL31" i="44"/>
  <c r="AV31" i="44" s="1"/>
  <c r="AE31" i="44"/>
  <c r="AT31" i="44" s="1"/>
  <c r="Y31" i="44"/>
  <c r="AQ31" i="44" s="1"/>
  <c r="U31" i="44"/>
  <c r="AP31" i="44" s="1"/>
  <c r="AM30" i="44"/>
  <c r="AW30" i="44" s="1"/>
  <c r="AL30" i="44"/>
  <c r="AV30" i="44" s="1"/>
  <c r="AE30" i="44"/>
  <c r="AT30" i="44" s="1"/>
  <c r="Y30" i="44"/>
  <c r="AQ30" i="44" s="1"/>
  <c r="U30" i="44"/>
  <c r="AP30" i="44" s="1"/>
  <c r="AM29" i="44"/>
  <c r="AW29" i="44" s="1"/>
  <c r="AL29" i="44"/>
  <c r="AV29" i="44" s="1"/>
  <c r="AE29" i="44"/>
  <c r="AT29" i="44" s="1"/>
  <c r="Y29" i="44"/>
  <c r="AQ29" i="44" s="1"/>
  <c r="U29" i="44"/>
  <c r="AP29" i="44" s="1"/>
  <c r="AM28" i="44"/>
  <c r="AW28" i="44" s="1"/>
  <c r="AL28" i="44"/>
  <c r="AV28" i="44" s="1"/>
  <c r="AE28" i="44"/>
  <c r="AT28" i="44" s="1"/>
  <c r="Y28" i="44"/>
  <c r="AQ28" i="44" s="1"/>
  <c r="U28" i="44"/>
  <c r="AP28" i="44" s="1"/>
  <c r="AM26" i="44"/>
  <c r="AW26" i="44" s="1"/>
  <c r="AL26" i="44"/>
  <c r="AV26" i="44" s="1"/>
  <c r="AE26" i="44"/>
  <c r="AT26" i="44" s="1"/>
  <c r="Y26" i="44"/>
  <c r="AQ26" i="44" s="1"/>
  <c r="U26" i="44"/>
  <c r="AP26" i="44" s="1"/>
  <c r="AM25" i="44"/>
  <c r="AW25" i="44" s="1"/>
  <c r="AL25" i="44"/>
  <c r="AV25" i="44" s="1"/>
  <c r="AE25" i="44"/>
  <c r="AT25" i="44" s="1"/>
  <c r="Y25" i="44"/>
  <c r="AQ25" i="44" s="1"/>
  <c r="U25" i="44"/>
  <c r="AP25" i="44" s="1"/>
  <c r="AM24" i="44"/>
  <c r="AW24" i="44" s="1"/>
  <c r="AL24" i="44"/>
  <c r="AV24" i="44" s="1"/>
  <c r="AE24" i="44"/>
  <c r="AT24" i="44" s="1"/>
  <c r="Y24" i="44"/>
  <c r="AQ24" i="44" s="1"/>
  <c r="U24" i="44"/>
  <c r="AP24" i="44" s="1"/>
  <c r="AM23" i="44"/>
  <c r="AW23" i="44" s="1"/>
  <c r="AL23" i="44"/>
  <c r="AV23" i="44" s="1"/>
  <c r="AE23" i="44"/>
  <c r="AT23" i="44" s="1"/>
  <c r="Y23" i="44"/>
  <c r="AQ23" i="44" s="1"/>
  <c r="U23" i="44"/>
  <c r="AP23" i="44" s="1"/>
  <c r="AM22" i="44"/>
  <c r="AW22" i="44" s="1"/>
  <c r="AL22" i="44"/>
  <c r="AV22" i="44" s="1"/>
  <c r="AE22" i="44"/>
  <c r="AT22" i="44" s="1"/>
  <c r="Y22" i="44"/>
  <c r="AQ22" i="44" s="1"/>
  <c r="U22" i="44"/>
  <c r="AP22" i="44" s="1"/>
  <c r="AM21" i="44"/>
  <c r="AW21" i="44" s="1"/>
  <c r="AL21" i="44"/>
  <c r="AV21" i="44" s="1"/>
  <c r="AE21" i="44"/>
  <c r="AT21" i="44" s="1"/>
  <c r="Y21" i="44"/>
  <c r="AQ21" i="44" s="1"/>
  <c r="U21" i="44"/>
  <c r="AP21" i="44" s="1"/>
  <c r="AM20" i="44"/>
  <c r="AW20" i="44" s="1"/>
  <c r="AL20" i="44"/>
  <c r="AV20" i="44" s="1"/>
  <c r="AE20" i="44"/>
  <c r="AT20" i="44" s="1"/>
  <c r="Y20" i="44"/>
  <c r="AQ20" i="44" s="1"/>
  <c r="U20" i="44"/>
  <c r="AP20" i="44" s="1"/>
  <c r="AM19" i="44"/>
  <c r="AW19" i="44" s="1"/>
  <c r="AL19" i="44"/>
  <c r="AV19" i="44" s="1"/>
  <c r="AE19" i="44"/>
  <c r="AT19" i="44" s="1"/>
  <c r="Y19" i="44"/>
  <c r="AQ19" i="44" s="1"/>
  <c r="U19" i="44"/>
  <c r="AP19" i="44" s="1"/>
  <c r="AM17" i="44"/>
  <c r="AW17" i="44" s="1"/>
  <c r="AL17" i="44"/>
  <c r="AV17" i="44" s="1"/>
  <c r="AE17" i="44"/>
  <c r="AT17" i="44" s="1"/>
  <c r="Y17" i="44"/>
  <c r="AQ17" i="44" s="1"/>
  <c r="U17" i="44"/>
  <c r="AP17" i="44" s="1"/>
  <c r="AM16" i="44"/>
  <c r="AW16" i="44" s="1"/>
  <c r="AL16" i="44"/>
  <c r="AV16" i="44" s="1"/>
  <c r="AE16" i="44"/>
  <c r="AT16" i="44" s="1"/>
  <c r="Y16" i="44"/>
  <c r="AQ16" i="44" s="1"/>
  <c r="U16" i="44"/>
  <c r="AP16" i="44" s="1"/>
  <c r="AM15" i="44"/>
  <c r="AW15" i="44" s="1"/>
  <c r="AL15" i="44"/>
  <c r="AV15" i="44" s="1"/>
  <c r="AE15" i="44"/>
  <c r="AT15" i="44" s="1"/>
  <c r="Y15" i="44"/>
  <c r="AQ15" i="44" s="1"/>
  <c r="U15" i="44"/>
  <c r="AP15" i="44" s="1"/>
  <c r="AM14" i="44"/>
  <c r="AW14" i="44" s="1"/>
  <c r="AL14" i="44"/>
  <c r="AV14" i="44" s="1"/>
  <c r="AE14" i="44"/>
  <c r="AT14" i="44" s="1"/>
  <c r="Y14" i="44"/>
  <c r="AQ14" i="44" s="1"/>
  <c r="U14" i="44"/>
  <c r="AP14" i="44" s="1"/>
  <c r="AM12" i="44"/>
  <c r="AW12" i="44" s="1"/>
  <c r="AW13" i="44" s="1"/>
  <c r="AL12" i="44"/>
  <c r="AV12" i="44" s="1"/>
  <c r="AV13" i="44" s="1"/>
  <c r="AE12" i="44"/>
  <c r="AT12" i="44" s="1"/>
  <c r="AT13" i="44" s="1"/>
  <c r="Y12" i="44"/>
  <c r="AQ12" i="44" s="1"/>
  <c r="AQ13" i="44" s="1"/>
  <c r="U12" i="44"/>
  <c r="AP12" i="44" s="1"/>
  <c r="AP13" i="44" s="1"/>
  <c r="AW467" i="43"/>
  <c r="AP31" i="45" s="1"/>
  <c r="AW468" i="43"/>
  <c r="AP32" i="45" s="1"/>
  <c r="AP18" i="44" l="1"/>
  <c r="AW18" i="44"/>
  <c r="AP27" i="44"/>
  <c r="AW27" i="44"/>
  <c r="AP34" i="44"/>
  <c r="AW34" i="44"/>
  <c r="AT41" i="44"/>
  <c r="AW48" i="44"/>
  <c r="AT55" i="44"/>
  <c r="AP62" i="44"/>
  <c r="AT69" i="44"/>
  <c r="AW62" i="44"/>
  <c r="AP76" i="44"/>
  <c r="AW76" i="44"/>
  <c r="AP90" i="44"/>
  <c r="AW90" i="44"/>
  <c r="AT94" i="44"/>
  <c r="AV100" i="44"/>
  <c r="AV104" i="44"/>
  <c r="AV112" i="44"/>
  <c r="AQ123" i="44"/>
  <c r="AQ129" i="44"/>
  <c r="AT83" i="44"/>
  <c r="AP48" i="44"/>
  <c r="AV94" i="44"/>
  <c r="AP104" i="44"/>
  <c r="AW104" i="44"/>
  <c r="AQ27" i="44"/>
  <c r="AQ34" i="44"/>
  <c r="AV41" i="44"/>
  <c r="AQ48" i="44"/>
  <c r="AV55" i="44"/>
  <c r="AQ62" i="44"/>
  <c r="AV69" i="44"/>
  <c r="AQ76" i="44"/>
  <c r="AV83" i="44"/>
  <c r="AQ90" i="44"/>
  <c r="AP100" i="44"/>
  <c r="AW100" i="44"/>
  <c r="AP112" i="44"/>
  <c r="AW112" i="44"/>
  <c r="AT123" i="44"/>
  <c r="AT129" i="44"/>
  <c r="AT18" i="44"/>
  <c r="AT27" i="44"/>
  <c r="AT34" i="44"/>
  <c r="AP41" i="44"/>
  <c r="AW41" i="44"/>
  <c r="AT48" i="44"/>
  <c r="AP55" i="44"/>
  <c r="AW55" i="44"/>
  <c r="AT62" i="44"/>
  <c r="AP69" i="44"/>
  <c r="AW69" i="44"/>
  <c r="AT76" i="44"/>
  <c r="AP83" i="44"/>
  <c r="AW83" i="44"/>
  <c r="AT90" i="44"/>
  <c r="AP94" i="44"/>
  <c r="AW94" i="44"/>
  <c r="AQ100" i="44"/>
  <c r="AQ104" i="44"/>
  <c r="AQ112" i="44"/>
  <c r="AV123" i="44"/>
  <c r="AV129" i="44"/>
  <c r="AQ18" i="44"/>
  <c r="AV18" i="44"/>
  <c r="AV27" i="44"/>
  <c r="AV34" i="44"/>
  <c r="AQ41" i="44"/>
  <c r="AV48" i="44"/>
  <c r="AQ55" i="44"/>
  <c r="AV62" i="44"/>
  <c r="AQ69" i="44"/>
  <c r="AV76" i="44"/>
  <c r="AQ83" i="44"/>
  <c r="AV90" i="44"/>
  <c r="AQ94" i="44"/>
  <c r="AT100" i="44"/>
  <c r="AT104" i="44"/>
  <c r="AT112" i="44"/>
  <c r="AP123" i="44"/>
  <c r="AW123" i="44"/>
  <c r="AP129" i="44"/>
  <c r="AW129" i="44"/>
  <c r="AL114" i="44"/>
  <c r="AV113" i="44"/>
  <c r="AV114" i="44" s="1"/>
  <c r="AW140" i="44"/>
  <c r="AA14" i="44"/>
  <c r="AR14" i="44" s="1"/>
  <c r="AA37" i="44"/>
  <c r="AR37" i="44" s="1"/>
  <c r="AA46" i="44"/>
  <c r="AR46" i="44" s="1"/>
  <c r="AA110" i="44"/>
  <c r="AR110" i="44" s="1"/>
  <c r="AA33" i="44"/>
  <c r="AR33" i="44" s="1"/>
  <c r="AA101" i="44"/>
  <c r="AR101" i="44" s="1"/>
  <c r="AA117" i="44"/>
  <c r="AR117" i="44" s="1"/>
  <c r="AA65" i="44"/>
  <c r="AR65" i="44" s="1"/>
  <c r="AA70" i="44"/>
  <c r="AR70" i="44" s="1"/>
  <c r="AA43" i="44"/>
  <c r="AR43" i="44" s="1"/>
  <c r="AA95" i="44"/>
  <c r="AR95" i="44" s="1"/>
  <c r="AA25" i="44"/>
  <c r="AR25" i="44" s="1"/>
  <c r="AA77" i="44"/>
  <c r="AR77" i="44" s="1"/>
  <c r="AA86" i="44"/>
  <c r="AR86" i="44" s="1"/>
  <c r="AA91" i="44"/>
  <c r="AR91" i="44" s="1"/>
  <c r="AA96" i="44"/>
  <c r="AR96" i="44" s="1"/>
  <c r="AA102" i="44"/>
  <c r="AR102" i="44" s="1"/>
  <c r="AA108" i="44"/>
  <c r="AR108" i="44" s="1"/>
  <c r="AA23" i="44"/>
  <c r="AR23" i="44" s="1"/>
  <c r="AA84" i="44"/>
  <c r="AR84" i="44" s="1"/>
  <c r="AA88" i="44"/>
  <c r="AR88" i="44" s="1"/>
  <c r="AA93" i="44"/>
  <c r="AR93" i="44" s="1"/>
  <c r="AA120" i="44"/>
  <c r="AR120" i="44" s="1"/>
  <c r="AA29" i="44"/>
  <c r="AR29" i="44" s="1"/>
  <c r="AA80" i="44"/>
  <c r="AR80" i="44" s="1"/>
  <c r="AA126" i="44"/>
  <c r="AR126" i="44" s="1"/>
  <c r="AA49" i="44"/>
  <c r="AR49" i="44" s="1"/>
  <c r="AA58" i="44"/>
  <c r="AR58" i="44" s="1"/>
  <c r="AA36" i="44"/>
  <c r="AR36" i="44" s="1"/>
  <c r="AA54" i="44"/>
  <c r="AR54" i="44" s="1"/>
  <c r="AA64" i="44"/>
  <c r="AR64" i="44" s="1"/>
  <c r="AA68" i="44"/>
  <c r="AR68" i="44" s="1"/>
  <c r="AA73" i="44"/>
  <c r="AR73" i="44" s="1"/>
  <c r="AA97" i="44"/>
  <c r="AR97" i="44" s="1"/>
  <c r="AA109" i="44"/>
  <c r="AR109" i="44" s="1"/>
  <c r="AA128" i="44"/>
  <c r="AR128" i="44" s="1"/>
  <c r="AA17" i="44"/>
  <c r="AR17" i="44" s="1"/>
  <c r="AA15" i="44"/>
  <c r="AR15" i="44" s="1"/>
  <c r="AB111" i="44"/>
  <c r="AS111" i="44" s="1"/>
  <c r="AA111" i="44"/>
  <c r="AR111" i="44" s="1"/>
  <c r="AA121" i="44"/>
  <c r="AR121" i="44" s="1"/>
  <c r="AB21" i="44"/>
  <c r="AS21" i="44" s="1"/>
  <c r="AA21" i="44"/>
  <c r="AR21" i="44" s="1"/>
  <c r="AA30" i="44"/>
  <c r="AR30" i="44" s="1"/>
  <c r="AB35" i="44"/>
  <c r="AS35" i="44" s="1"/>
  <c r="AA35" i="44"/>
  <c r="AR35" i="44" s="1"/>
  <c r="AB39" i="44"/>
  <c r="AS39" i="44" s="1"/>
  <c r="AA39" i="44"/>
  <c r="AR39" i="44" s="1"/>
  <c r="AB44" i="44"/>
  <c r="AS44" i="44" s="1"/>
  <c r="AA44" i="44"/>
  <c r="AR44" i="44" s="1"/>
  <c r="AA53" i="44"/>
  <c r="AR53" i="44" s="1"/>
  <c r="AA63" i="44"/>
  <c r="AR63" i="44" s="1"/>
  <c r="AB67" i="44"/>
  <c r="AS67" i="44" s="1"/>
  <c r="AA67" i="44"/>
  <c r="AR67" i="44" s="1"/>
  <c r="AB72" i="44"/>
  <c r="AS72" i="44" s="1"/>
  <c r="AA72" i="44"/>
  <c r="AR72" i="44" s="1"/>
  <c r="AA81" i="44"/>
  <c r="AR81" i="44" s="1"/>
  <c r="U114" i="44"/>
  <c r="AA113" i="44"/>
  <c r="AB118" i="44"/>
  <c r="AS118" i="44" s="1"/>
  <c r="AA118" i="44"/>
  <c r="AR118" i="44" s="1"/>
  <c r="AB122" i="44"/>
  <c r="AS122" i="44" s="1"/>
  <c r="AA122" i="44"/>
  <c r="AR122" i="44" s="1"/>
  <c r="AB127" i="44"/>
  <c r="AS127" i="44" s="1"/>
  <c r="AA127" i="44"/>
  <c r="AR127" i="44" s="1"/>
  <c r="AB20" i="44"/>
  <c r="AS20" i="44" s="1"/>
  <c r="AA20" i="44"/>
  <c r="AR20" i="44" s="1"/>
  <c r="AB24" i="44"/>
  <c r="AS24" i="44" s="1"/>
  <c r="AA24" i="44"/>
  <c r="AR24" i="44" s="1"/>
  <c r="AA38" i="44"/>
  <c r="AR38" i="44" s="1"/>
  <c r="AB57" i="44"/>
  <c r="AS57" i="44" s="1"/>
  <c r="AA57" i="44"/>
  <c r="AR57" i="44" s="1"/>
  <c r="AB61" i="44"/>
  <c r="AS61" i="44" s="1"/>
  <c r="AA61" i="44"/>
  <c r="AR61" i="44" s="1"/>
  <c r="AB66" i="44"/>
  <c r="AS66" i="44" s="1"/>
  <c r="AA66" i="44"/>
  <c r="AR66" i="44" s="1"/>
  <c r="AB71" i="44"/>
  <c r="AS71" i="44" s="1"/>
  <c r="AA71" i="44"/>
  <c r="AR71" i="44" s="1"/>
  <c r="AB107" i="44"/>
  <c r="AS107" i="44" s="1"/>
  <c r="AA107" i="44"/>
  <c r="AR107" i="44" s="1"/>
  <c r="AB16" i="44"/>
  <c r="AS16" i="44" s="1"/>
  <c r="AA16" i="44"/>
  <c r="AR16" i="44" s="1"/>
  <c r="U13" i="44"/>
  <c r="AA12" i="44"/>
  <c r="AR12" i="44" s="1"/>
  <c r="AR13" i="44" s="1"/>
  <c r="AB22" i="44"/>
  <c r="AS22" i="44" s="1"/>
  <c r="AA22" i="44"/>
  <c r="AR22" i="44" s="1"/>
  <c r="AA26" i="44"/>
  <c r="AR26" i="44" s="1"/>
  <c r="AB31" i="44"/>
  <c r="AS31" i="44" s="1"/>
  <c r="AA31" i="44"/>
  <c r="AR31" i="44" s="1"/>
  <c r="AB40" i="44"/>
  <c r="AS40" i="44" s="1"/>
  <c r="AA40" i="44"/>
  <c r="AR40" i="44" s="1"/>
  <c r="AB45" i="44"/>
  <c r="AS45" i="44" s="1"/>
  <c r="AA45" i="44"/>
  <c r="AR45" i="44" s="1"/>
  <c r="AA50" i="44"/>
  <c r="AR50" i="44" s="1"/>
  <c r="AA59" i="44"/>
  <c r="AR59" i="44" s="1"/>
  <c r="AB78" i="44"/>
  <c r="AS78" i="44" s="1"/>
  <c r="AA78" i="44"/>
  <c r="AR78" i="44" s="1"/>
  <c r="AB82" i="44"/>
  <c r="AS82" i="44" s="1"/>
  <c r="AA82" i="44"/>
  <c r="AR82" i="44" s="1"/>
  <c r="AB87" i="44"/>
  <c r="AS87" i="44" s="1"/>
  <c r="AA87" i="44"/>
  <c r="AR87" i="44" s="1"/>
  <c r="AB92" i="44"/>
  <c r="AS92" i="44" s="1"/>
  <c r="AA92" i="44"/>
  <c r="AR92" i="44" s="1"/>
  <c r="AB103" i="44"/>
  <c r="AS103" i="44" s="1"/>
  <c r="AA103" i="44"/>
  <c r="AR103" i="44" s="1"/>
  <c r="AB115" i="44"/>
  <c r="AS115" i="44" s="1"/>
  <c r="AA115" i="44"/>
  <c r="AR115" i="44" s="1"/>
  <c r="AB119" i="44"/>
  <c r="AS119" i="44" s="1"/>
  <c r="AA119" i="44"/>
  <c r="AR119" i="44" s="1"/>
  <c r="AB124" i="44"/>
  <c r="AS124" i="44" s="1"/>
  <c r="AA124" i="44"/>
  <c r="AR124" i="44" s="1"/>
  <c r="AB47" i="44"/>
  <c r="AS47" i="44" s="1"/>
  <c r="AA47" i="44"/>
  <c r="AR47" i="44" s="1"/>
  <c r="AA52" i="44"/>
  <c r="AR52" i="44" s="1"/>
  <c r="AB75" i="44"/>
  <c r="AS75" i="44" s="1"/>
  <c r="AA75" i="44"/>
  <c r="AR75" i="44" s="1"/>
  <c r="AA85" i="44"/>
  <c r="AR85" i="44" s="1"/>
  <c r="AA89" i="44"/>
  <c r="AR89" i="44" s="1"/>
  <c r="AA19" i="44"/>
  <c r="AR19" i="44" s="1"/>
  <c r="AB28" i="44"/>
  <c r="AS28" i="44" s="1"/>
  <c r="AA28" i="44"/>
  <c r="AR28" i="44" s="1"/>
  <c r="AA32" i="44"/>
  <c r="AR32" i="44" s="1"/>
  <c r="AA42" i="44"/>
  <c r="AR42" i="44" s="1"/>
  <c r="AA51" i="44"/>
  <c r="AR51" i="44" s="1"/>
  <c r="AB56" i="44"/>
  <c r="AS56" i="44" s="1"/>
  <c r="AA56" i="44"/>
  <c r="AR56" i="44" s="1"/>
  <c r="AB60" i="44"/>
  <c r="AS60" i="44" s="1"/>
  <c r="AA60" i="44"/>
  <c r="AR60" i="44" s="1"/>
  <c r="AB74" i="44"/>
  <c r="AS74" i="44" s="1"/>
  <c r="AA74" i="44"/>
  <c r="AR74" i="44" s="1"/>
  <c r="AB79" i="44"/>
  <c r="AS79" i="44" s="1"/>
  <c r="AA79" i="44"/>
  <c r="AR79" i="44" s="1"/>
  <c r="AB98" i="44"/>
  <c r="AS98" i="44" s="1"/>
  <c r="AA98" i="44"/>
  <c r="AR98" i="44" s="1"/>
  <c r="AB105" i="44"/>
  <c r="AS105" i="44" s="1"/>
  <c r="AS106" i="44" s="1"/>
  <c r="AA105" i="44"/>
  <c r="AB116" i="44"/>
  <c r="AS116" i="44" s="1"/>
  <c r="AA116" i="44"/>
  <c r="AR116" i="44" s="1"/>
  <c r="AA125" i="44"/>
  <c r="AR125" i="44" s="1"/>
  <c r="AM100" i="44"/>
  <c r="AB95" i="44"/>
  <c r="AS95" i="44" s="1"/>
  <c r="U100" i="44"/>
  <c r="Y100" i="44"/>
  <c r="AE100" i="44"/>
  <c r="AL100" i="44"/>
  <c r="AB42" i="44"/>
  <c r="AS42" i="44" s="1"/>
  <c r="AM62" i="44"/>
  <c r="U94" i="44"/>
  <c r="AN40" i="44"/>
  <c r="AU40" i="44" s="1"/>
  <c r="AL90" i="44"/>
  <c r="AL94" i="44"/>
  <c r="Z67" i="44"/>
  <c r="AN67" i="44"/>
  <c r="AU67" i="44" s="1"/>
  <c r="AN32" i="44"/>
  <c r="AU32" i="44" s="1"/>
  <c r="AN36" i="44"/>
  <c r="AU36" i="44" s="1"/>
  <c r="U18" i="44"/>
  <c r="Y55" i="44"/>
  <c r="Z60" i="44"/>
  <c r="AL27" i="44"/>
  <c r="AN39" i="44"/>
  <c r="AU39" i="44" s="1"/>
  <c r="AN66" i="44"/>
  <c r="AU66" i="44" s="1"/>
  <c r="AL83" i="44"/>
  <c r="AE18" i="44"/>
  <c r="Z20" i="44"/>
  <c r="AL41" i="44"/>
  <c r="U69" i="44"/>
  <c r="AN24" i="44"/>
  <c r="AU24" i="44" s="1"/>
  <c r="U48" i="44"/>
  <c r="Z58" i="44"/>
  <c r="AN59" i="44"/>
  <c r="AU59" i="44" s="1"/>
  <c r="AL69" i="44"/>
  <c r="Z81" i="44"/>
  <c r="Z98" i="44"/>
  <c r="AL112" i="44"/>
  <c r="Y13" i="44"/>
  <c r="AN28" i="44"/>
  <c r="AU28" i="44" s="1"/>
  <c r="AL34" i="44"/>
  <c r="AM41" i="44"/>
  <c r="AL48" i="44"/>
  <c r="AL55" i="44"/>
  <c r="AE94" i="44"/>
  <c r="AE123" i="44"/>
  <c r="AB117" i="44"/>
  <c r="AS117" i="44" s="1"/>
  <c r="U123" i="44"/>
  <c r="Y18" i="44"/>
  <c r="AB37" i="44"/>
  <c r="AS37" i="44" s="1"/>
  <c r="Z37" i="44"/>
  <c r="AE13" i="44"/>
  <c r="AW136" i="44"/>
  <c r="AM18" i="44"/>
  <c r="Y41" i="44"/>
  <c r="AL62" i="44"/>
  <c r="AL76" i="44"/>
  <c r="Y27" i="44"/>
  <c r="Y62" i="44"/>
  <c r="AN43" i="44"/>
  <c r="AU43" i="44" s="1"/>
  <c r="AE69" i="44"/>
  <c r="U76" i="44"/>
  <c r="AB70" i="44"/>
  <c r="AS70" i="44" s="1"/>
  <c r="U90" i="44"/>
  <c r="AE104" i="44"/>
  <c r="AL106" i="44"/>
  <c r="AE112" i="44"/>
  <c r="AE129" i="44"/>
  <c r="Y34" i="44"/>
  <c r="U41" i="44"/>
  <c r="U55" i="44"/>
  <c r="U83" i="44"/>
  <c r="U104" i="44"/>
  <c r="U112" i="44"/>
  <c r="AM34" i="44"/>
  <c r="AB30" i="44"/>
  <c r="AS30" i="44" s="1"/>
  <c r="AE48" i="44"/>
  <c r="Z45" i="44"/>
  <c r="AE55" i="44"/>
  <c r="Z56" i="44"/>
  <c r="Z57" i="44"/>
  <c r="Y76" i="44"/>
  <c r="AM76" i="44"/>
  <c r="Z72" i="44"/>
  <c r="Y83" i="44"/>
  <c r="AM83" i="44"/>
  <c r="Y90" i="44"/>
  <c r="AM90" i="44"/>
  <c r="AM106" i="44"/>
  <c r="AM114" i="44"/>
  <c r="Z117" i="44"/>
  <c r="AL13" i="44"/>
  <c r="AL18" i="44"/>
  <c r="U27" i="44"/>
  <c r="U34" i="44"/>
  <c r="AL129" i="44"/>
  <c r="AN23" i="44"/>
  <c r="AU23" i="44" s="1"/>
  <c r="AE41" i="44"/>
  <c r="Z38" i="44"/>
  <c r="Z54" i="44"/>
  <c r="AM69" i="44"/>
  <c r="AM94" i="44"/>
  <c r="AM104" i="44"/>
  <c r="Y106" i="44"/>
  <c r="AM112" i="44"/>
  <c r="Y114" i="44"/>
  <c r="AM123" i="44"/>
  <c r="AM129" i="44"/>
  <c r="AM13" i="44"/>
  <c r="AE27" i="44"/>
  <c r="AM27" i="44"/>
  <c r="U62" i="44"/>
  <c r="U106" i="44"/>
  <c r="U129" i="44"/>
  <c r="AE34" i="44"/>
  <c r="Z30" i="44"/>
  <c r="Y48" i="44"/>
  <c r="AM48" i="44"/>
  <c r="AM55" i="44"/>
  <c r="AE62" i="44"/>
  <c r="Y69" i="44"/>
  <c r="AE76" i="44"/>
  <c r="AN71" i="44"/>
  <c r="AU71" i="44" s="1"/>
  <c r="AE83" i="44"/>
  <c r="AE90" i="44"/>
  <c r="Y94" i="44"/>
  <c r="Y104" i="44"/>
  <c r="AE106" i="44"/>
  <c r="Y112" i="44"/>
  <c r="AE114" i="44"/>
  <c r="Y123" i="44"/>
  <c r="Y129" i="44"/>
  <c r="AL104" i="44"/>
  <c r="AL123" i="44"/>
  <c r="Z14" i="44"/>
  <c r="AB17" i="44"/>
  <c r="AS17" i="44" s="1"/>
  <c r="Z17" i="44"/>
  <c r="Z61" i="44"/>
  <c r="AN93" i="44"/>
  <c r="AU93" i="44" s="1"/>
  <c r="AB120" i="44"/>
  <c r="AS120" i="44" s="1"/>
  <c r="Z120" i="44"/>
  <c r="AB36" i="44"/>
  <c r="AS36" i="44" s="1"/>
  <c r="Z36" i="44"/>
  <c r="AB64" i="44"/>
  <c r="AS64" i="44" s="1"/>
  <c r="Z64" i="44"/>
  <c r="AN89" i="44"/>
  <c r="AU89" i="44" s="1"/>
  <c r="AB108" i="44"/>
  <c r="AS108" i="44" s="1"/>
  <c r="Z108" i="44"/>
  <c r="AN116" i="44"/>
  <c r="AU116" i="44" s="1"/>
  <c r="AB29" i="44"/>
  <c r="AS29" i="44" s="1"/>
  <c r="Z29" i="44"/>
  <c r="Z46" i="44"/>
  <c r="AB46" i="44"/>
  <c r="AS46" i="44" s="1"/>
  <c r="AN127" i="44"/>
  <c r="AU127" i="44" s="1"/>
  <c r="AB25" i="44"/>
  <c r="AS25" i="44" s="1"/>
  <c r="Z25" i="44"/>
  <c r="AN97" i="44"/>
  <c r="AU97" i="44" s="1"/>
  <c r="AN16" i="44"/>
  <c r="AU16" i="44" s="1"/>
  <c r="Z21" i="44"/>
  <c r="Z49" i="44"/>
  <c r="AN56" i="44"/>
  <c r="AU56" i="44" s="1"/>
  <c r="AN102" i="44"/>
  <c r="AU102" i="44" s="1"/>
  <c r="Z116" i="44"/>
  <c r="AB80" i="44"/>
  <c r="AS80" i="44" s="1"/>
  <c r="Z80" i="44"/>
  <c r="Z102" i="44"/>
  <c r="AN111" i="44"/>
  <c r="AU111" i="44" s="1"/>
  <c r="Z113" i="44"/>
  <c r="Z114" i="44" s="1"/>
  <c r="Z12" i="44"/>
  <c r="Z22" i="44"/>
  <c r="Z23" i="44"/>
  <c r="AB26" i="44"/>
  <c r="AS26" i="44" s="1"/>
  <c r="AN44" i="44"/>
  <c r="AU44" i="44" s="1"/>
  <c r="AN51" i="44"/>
  <c r="AU51" i="44" s="1"/>
  <c r="AN63" i="44"/>
  <c r="AU63" i="44" s="1"/>
  <c r="AB68" i="44"/>
  <c r="AS68" i="44" s="1"/>
  <c r="Z68" i="44"/>
  <c r="AN75" i="44"/>
  <c r="AU75" i="44" s="1"/>
  <c r="Z84" i="44"/>
  <c r="AB86" i="44"/>
  <c r="AS86" i="44" s="1"/>
  <c r="Z86" i="44"/>
  <c r="AB88" i="44"/>
  <c r="AS88" i="44" s="1"/>
  <c r="Z88" i="44"/>
  <c r="AB91" i="44"/>
  <c r="AS91" i="44" s="1"/>
  <c r="Z103" i="44"/>
  <c r="AN107" i="44"/>
  <c r="AU107" i="44" s="1"/>
  <c r="AN115" i="44"/>
  <c r="AU115" i="44" s="1"/>
  <c r="AN119" i="44"/>
  <c r="AU119" i="44" s="1"/>
  <c r="AB121" i="44"/>
  <c r="AS121" i="44" s="1"/>
  <c r="Z121" i="44"/>
  <c r="AB128" i="44"/>
  <c r="AS128" i="44" s="1"/>
  <c r="Z128" i="44"/>
  <c r="AB32" i="44"/>
  <c r="AS32" i="44" s="1"/>
  <c r="AB33" i="44"/>
  <c r="AS33" i="44" s="1"/>
  <c r="AB52" i="44"/>
  <c r="AS52" i="44" s="1"/>
  <c r="Z52" i="44"/>
  <c r="Z97" i="44"/>
  <c r="AN20" i="44"/>
  <c r="AU20" i="44" s="1"/>
  <c r="Z26" i="44"/>
  <c r="Z33" i="44"/>
  <c r="Z42" i="44"/>
  <c r="AB49" i="44"/>
  <c r="AS49" i="44" s="1"/>
  <c r="AN52" i="44"/>
  <c r="AU52" i="44" s="1"/>
  <c r="AB53" i="44"/>
  <c r="AS53" i="44" s="1"/>
  <c r="Z53" i="44"/>
  <c r="AN60" i="44"/>
  <c r="AU60" i="44" s="1"/>
  <c r="Z73" i="44"/>
  <c r="AN79" i="44"/>
  <c r="AU79" i="44" s="1"/>
  <c r="AN120" i="44"/>
  <c r="AU120" i="44" s="1"/>
  <c r="Z124" i="44"/>
  <c r="AN124" i="44"/>
  <c r="AU124" i="44" s="1"/>
  <c r="Z65" i="44"/>
  <c r="Z77" i="44"/>
  <c r="Z85" i="44"/>
  <c r="Z109" i="44"/>
  <c r="Z125" i="44"/>
  <c r="AB19" i="44"/>
  <c r="AS19" i="44" s="1"/>
  <c r="Z16" i="44"/>
  <c r="AN19" i="44"/>
  <c r="AU19" i="44" s="1"/>
  <c r="AN21" i="44"/>
  <c r="AU21" i="44" s="1"/>
  <c r="AN22" i="44"/>
  <c r="AU22" i="44" s="1"/>
  <c r="AN29" i="44"/>
  <c r="AU29" i="44" s="1"/>
  <c r="Z32" i="44"/>
  <c r="AN35" i="44"/>
  <c r="AU35" i="44" s="1"/>
  <c r="Z43" i="44"/>
  <c r="AN45" i="44"/>
  <c r="AU45" i="44" s="1"/>
  <c r="AB14" i="44"/>
  <c r="AS14" i="44" s="1"/>
  <c r="AN15" i="44"/>
  <c r="AU15" i="44" s="1"/>
  <c r="AN14" i="44"/>
  <c r="AU14" i="44" s="1"/>
  <c r="Z15" i="44"/>
  <c r="Z19" i="44"/>
  <c r="AN25" i="44"/>
  <c r="AU25" i="44" s="1"/>
  <c r="Z28" i="44"/>
  <c r="AN30" i="44"/>
  <c r="AU30" i="44" s="1"/>
  <c r="AN31" i="44"/>
  <c r="AU31" i="44" s="1"/>
  <c r="AB38" i="44"/>
  <c r="AS38" i="44" s="1"/>
  <c r="Z39" i="44"/>
  <c r="Z44" i="44"/>
  <c r="AN46" i="44"/>
  <c r="AU46" i="44" s="1"/>
  <c r="AN47" i="44"/>
  <c r="AU47" i="44" s="1"/>
  <c r="AB15" i="44"/>
  <c r="AS15" i="44" s="1"/>
  <c r="Z31" i="44"/>
  <c r="AN33" i="44"/>
  <c r="AU33" i="44" s="1"/>
  <c r="AN38" i="44"/>
  <c r="AU38" i="44" s="1"/>
  <c r="Z47" i="44"/>
  <c r="AN49" i="44"/>
  <c r="AU49" i="44" s="1"/>
  <c r="Z50" i="44"/>
  <c r="AN17" i="44"/>
  <c r="AU17" i="44" s="1"/>
  <c r="AB23" i="44"/>
  <c r="AS23" i="44" s="1"/>
  <c r="Z24" i="44"/>
  <c r="AN26" i="44"/>
  <c r="AU26" i="44" s="1"/>
  <c r="Z35" i="44"/>
  <c r="AN37" i="44"/>
  <c r="AU37" i="44" s="1"/>
  <c r="Z40" i="44"/>
  <c r="AN42" i="44"/>
  <c r="AU42" i="44" s="1"/>
  <c r="AB43" i="44"/>
  <c r="AS43" i="44" s="1"/>
  <c r="AB50" i="44"/>
  <c r="AS50" i="44" s="1"/>
  <c r="AB51" i="44"/>
  <c r="AS51" i="44" s="1"/>
  <c r="AB59" i="44"/>
  <c r="AS59" i="44" s="1"/>
  <c r="AB63" i="44"/>
  <c r="AS63" i="44" s="1"/>
  <c r="AN70" i="44"/>
  <c r="AU70" i="44" s="1"/>
  <c r="AN74" i="44"/>
  <c r="AU74" i="44" s="1"/>
  <c r="AN78" i="44"/>
  <c r="AU78" i="44" s="1"/>
  <c r="AN82" i="44"/>
  <c r="AU82" i="44" s="1"/>
  <c r="AB54" i="44"/>
  <c r="AS54" i="44" s="1"/>
  <c r="AB58" i="44"/>
  <c r="AS58" i="44" s="1"/>
  <c r="AN64" i="44"/>
  <c r="AU64" i="44" s="1"/>
  <c r="AN65" i="44"/>
  <c r="AU65" i="44" s="1"/>
  <c r="AN68" i="44"/>
  <c r="AU68" i="44" s="1"/>
  <c r="Z71" i="44"/>
  <c r="Z75" i="44"/>
  <c r="Z79" i="44"/>
  <c r="AN95" i="44"/>
  <c r="AU95" i="44" s="1"/>
  <c r="Z96" i="44"/>
  <c r="AB96" i="44"/>
  <c r="AS96" i="44" s="1"/>
  <c r="AN50" i="44"/>
  <c r="AU50" i="44" s="1"/>
  <c r="Z51" i="44"/>
  <c r="AN54" i="44"/>
  <c r="AU54" i="44" s="1"/>
  <c r="AN58" i="44"/>
  <c r="AU58" i="44" s="1"/>
  <c r="Z59" i="44"/>
  <c r="Z63" i="44"/>
  <c r="AN73" i="44"/>
  <c r="AU73" i="44" s="1"/>
  <c r="AN77" i="44"/>
  <c r="AU77" i="44" s="1"/>
  <c r="AN81" i="44"/>
  <c r="AU81" i="44" s="1"/>
  <c r="AN85" i="44"/>
  <c r="AU85" i="44" s="1"/>
  <c r="AN53" i="44"/>
  <c r="AU53" i="44" s="1"/>
  <c r="AN57" i="44"/>
  <c r="AU57" i="44" s="1"/>
  <c r="AN61" i="44"/>
  <c r="AU61" i="44" s="1"/>
  <c r="AB65" i="44"/>
  <c r="AS65" i="44" s="1"/>
  <c r="Z66" i="44"/>
  <c r="Z70" i="44"/>
  <c r="Z74" i="44"/>
  <c r="Z78" i="44"/>
  <c r="Z82" i="44"/>
  <c r="AN87" i="44"/>
  <c r="AU87" i="44" s="1"/>
  <c r="AB73" i="44"/>
  <c r="AS73" i="44" s="1"/>
  <c r="AB77" i="44"/>
  <c r="AS77" i="44" s="1"/>
  <c r="AB81" i="44"/>
  <c r="AS81" i="44" s="1"/>
  <c r="AN84" i="44"/>
  <c r="AU84" i="44" s="1"/>
  <c r="Z101" i="44"/>
  <c r="AB84" i="44"/>
  <c r="AS84" i="44" s="1"/>
  <c r="Z89" i="44"/>
  <c r="Z105" i="44"/>
  <c r="Z106" i="44" s="1"/>
  <c r="AN125" i="44"/>
  <c r="AU125" i="44" s="1"/>
  <c r="Z126" i="44"/>
  <c r="AB126" i="44"/>
  <c r="AS126" i="44" s="1"/>
  <c r="AN72" i="44"/>
  <c r="AU72" i="44" s="1"/>
  <c r="AN80" i="44"/>
  <c r="AU80" i="44" s="1"/>
  <c r="AN91" i="44"/>
  <c r="AU91" i="44" s="1"/>
  <c r="Z92" i="44"/>
  <c r="Z93" i="44"/>
  <c r="AB101" i="44"/>
  <c r="AS101" i="44" s="1"/>
  <c r="AB85" i="44"/>
  <c r="AS85" i="44" s="1"/>
  <c r="AN86" i="44"/>
  <c r="AU86" i="44" s="1"/>
  <c r="Z87" i="44"/>
  <c r="AB89" i="44"/>
  <c r="AS89" i="44" s="1"/>
  <c r="Z91" i="44"/>
  <c r="AB93" i="44"/>
  <c r="AS93" i="44" s="1"/>
  <c r="Z95" i="44"/>
  <c r="AB97" i="44"/>
  <c r="AS97" i="44" s="1"/>
  <c r="AN98" i="44"/>
  <c r="AU98" i="44" s="1"/>
  <c r="AB102" i="44"/>
  <c r="AS102" i="44" s="1"/>
  <c r="AN103" i="44"/>
  <c r="AU103" i="44" s="1"/>
  <c r="AN109" i="44"/>
  <c r="AU109" i="44" s="1"/>
  <c r="Z110" i="44"/>
  <c r="AN88" i="44"/>
  <c r="AU88" i="44" s="1"/>
  <c r="AN92" i="44"/>
  <c r="AU92" i="44" s="1"/>
  <c r="AN96" i="44"/>
  <c r="AU96" i="44" s="1"/>
  <c r="AN101" i="44"/>
  <c r="AU101" i="44" s="1"/>
  <c r="AN105" i="44"/>
  <c r="AB110" i="44"/>
  <c r="AS110" i="44" s="1"/>
  <c r="AN117" i="44"/>
  <c r="AU117" i="44" s="1"/>
  <c r="Z118" i="44"/>
  <c r="AN121" i="44"/>
  <c r="AU121" i="44" s="1"/>
  <c r="Z122" i="44"/>
  <c r="AN113" i="44"/>
  <c r="Z107" i="44"/>
  <c r="AB109" i="44"/>
  <c r="AS109" i="44" s="1"/>
  <c r="AN110" i="44"/>
  <c r="AU110" i="44" s="1"/>
  <c r="Z111" i="44"/>
  <c r="AB113" i="44"/>
  <c r="AS113" i="44" s="1"/>
  <c r="AS114" i="44" s="1"/>
  <c r="Z115" i="44"/>
  <c r="AN118" i="44"/>
  <c r="AU118" i="44" s="1"/>
  <c r="Z119" i="44"/>
  <c r="AN122" i="44"/>
  <c r="AU122" i="44" s="1"/>
  <c r="AB125" i="44"/>
  <c r="AS125" i="44" s="1"/>
  <c r="AN126" i="44"/>
  <c r="AU126" i="44" s="1"/>
  <c r="Z127" i="44"/>
  <c r="AN108" i="44"/>
  <c r="AU108" i="44" s="1"/>
  <c r="AN128" i="44"/>
  <c r="AU128" i="44" s="1"/>
  <c r="AB12" i="44"/>
  <c r="AS12" i="44" s="1"/>
  <c r="AS13" i="44" s="1"/>
  <c r="AN12" i="44"/>
  <c r="AU12" i="44" s="1"/>
  <c r="AU13" i="44" s="1"/>
  <c r="S13" i="43"/>
  <c r="S18" i="43"/>
  <c r="S22" i="43"/>
  <c r="S27" i="43"/>
  <c r="S30" i="43"/>
  <c r="S34" i="43"/>
  <c r="S38" i="43"/>
  <c r="S41" i="43"/>
  <c r="S45" i="43"/>
  <c r="S48" i="43"/>
  <c r="S51" i="43"/>
  <c r="S54" i="43"/>
  <c r="S58" i="43"/>
  <c r="S62" i="43"/>
  <c r="S66" i="43"/>
  <c r="S69" i="43"/>
  <c r="S74" i="43"/>
  <c r="S78" i="43"/>
  <c r="S81" i="43"/>
  <c r="S85" i="43"/>
  <c r="S89" i="43"/>
  <c r="S92" i="43"/>
  <c r="S96" i="43"/>
  <c r="S100" i="43"/>
  <c r="S103" i="43"/>
  <c r="S107" i="43"/>
  <c r="S111" i="43"/>
  <c r="S114" i="43"/>
  <c r="S117" i="43"/>
  <c r="S122" i="43"/>
  <c r="S129" i="43"/>
  <c r="S136" i="43"/>
  <c r="S142" i="43"/>
  <c r="S148" i="43"/>
  <c r="S154" i="43"/>
  <c r="S159" i="43"/>
  <c r="S165" i="43"/>
  <c r="S171" i="43"/>
  <c r="S177" i="43"/>
  <c r="S184" i="43"/>
  <c r="S191" i="43"/>
  <c r="S197" i="43"/>
  <c r="S203" i="43"/>
  <c r="S210" i="43"/>
  <c r="S216" i="43"/>
  <c r="S222" i="43"/>
  <c r="S228" i="43"/>
  <c r="S234" i="43"/>
  <c r="S240" i="43"/>
  <c r="S246" i="43"/>
  <c r="S253" i="43"/>
  <c r="S255" i="43"/>
  <c r="S259" i="43"/>
  <c r="S263" i="43"/>
  <c r="S269" i="43"/>
  <c r="S273" i="43"/>
  <c r="S280" i="43"/>
  <c r="S285" i="43"/>
  <c r="S293" i="43"/>
  <c r="S295" i="43"/>
  <c r="S302" i="43"/>
  <c r="S309" i="43"/>
  <c r="S313" i="43"/>
  <c r="S319" i="43"/>
  <c r="S321" i="43"/>
  <c r="S324" i="43"/>
  <c r="S328" i="43"/>
  <c r="S331" i="43"/>
  <c r="S339" i="43"/>
  <c r="S345" i="43"/>
  <c r="S352" i="43"/>
  <c r="S357" i="43"/>
  <c r="S364" i="43"/>
  <c r="S368" i="43"/>
  <c r="S370" i="43"/>
  <c r="S377" i="43"/>
  <c r="S383" i="43"/>
  <c r="S387" i="43"/>
  <c r="S394" i="43"/>
  <c r="S401" i="43"/>
  <c r="S404" i="43"/>
  <c r="S410" i="43"/>
  <c r="S417" i="43"/>
  <c r="S424" i="43"/>
  <c r="S431" i="43"/>
  <c r="S438" i="43"/>
  <c r="S445" i="43"/>
  <c r="S452" i="43"/>
  <c r="S455" i="43"/>
  <c r="S463" i="43"/>
  <c r="S464" i="43"/>
  <c r="S465" i="43"/>
  <c r="S466" i="43"/>
  <c r="S467" i="43"/>
  <c r="S468" i="43"/>
  <c r="S469" i="43"/>
  <c r="S470" i="43"/>
  <c r="S471" i="43"/>
  <c r="S472" i="43"/>
  <c r="AK455" i="43"/>
  <c r="AJ455" i="43"/>
  <c r="AD455" i="43"/>
  <c r="T455" i="43"/>
  <c r="AK452" i="43"/>
  <c r="AJ452" i="43"/>
  <c r="AD452" i="43"/>
  <c r="T452" i="43"/>
  <c r="AK445" i="43"/>
  <c r="AJ445" i="43"/>
  <c r="AD445" i="43"/>
  <c r="T445" i="43"/>
  <c r="AK438" i="43"/>
  <c r="AJ438" i="43"/>
  <c r="AD438" i="43"/>
  <c r="T438" i="43"/>
  <c r="AK431" i="43"/>
  <c r="AJ431" i="43"/>
  <c r="AD431" i="43"/>
  <c r="T431" i="43"/>
  <c r="AK424" i="43"/>
  <c r="AJ424" i="43"/>
  <c r="AD424" i="43"/>
  <c r="T424" i="43"/>
  <c r="AK417" i="43"/>
  <c r="AJ417" i="43"/>
  <c r="AD417" i="43"/>
  <c r="T417" i="43"/>
  <c r="AK410" i="43"/>
  <c r="AJ410" i="43"/>
  <c r="AD410" i="43"/>
  <c r="T410" i="43"/>
  <c r="AK404" i="43"/>
  <c r="AJ404" i="43"/>
  <c r="AD404" i="43"/>
  <c r="T404" i="43"/>
  <c r="AK401" i="43"/>
  <c r="AJ401" i="43"/>
  <c r="AD401" i="43"/>
  <c r="T401" i="43"/>
  <c r="AK394" i="43"/>
  <c r="AJ394" i="43"/>
  <c r="AD394" i="43"/>
  <c r="T394" i="43"/>
  <c r="AK387" i="43"/>
  <c r="AJ387" i="43"/>
  <c r="AD387" i="43"/>
  <c r="T387" i="43"/>
  <c r="AK383" i="43"/>
  <c r="AJ383" i="43"/>
  <c r="AD383" i="43"/>
  <c r="T383" i="43"/>
  <c r="AK377" i="43"/>
  <c r="AJ377" i="43"/>
  <c r="AD377" i="43"/>
  <c r="T377" i="43"/>
  <c r="AK370" i="43"/>
  <c r="AJ370" i="43"/>
  <c r="AD370" i="43"/>
  <c r="T370" i="43"/>
  <c r="AK368" i="43"/>
  <c r="AJ368" i="43"/>
  <c r="AD368" i="43"/>
  <c r="T368" i="43"/>
  <c r="AK364" i="43"/>
  <c r="AJ364" i="43"/>
  <c r="AD364" i="43"/>
  <c r="T364" i="43"/>
  <c r="AK357" i="43"/>
  <c r="AJ357" i="43"/>
  <c r="AD357" i="43"/>
  <c r="T357" i="43"/>
  <c r="AK352" i="43"/>
  <c r="AJ352" i="43"/>
  <c r="AD352" i="43"/>
  <c r="T352" i="43"/>
  <c r="AK345" i="43"/>
  <c r="AJ345" i="43"/>
  <c r="AD345" i="43"/>
  <c r="T345" i="43"/>
  <c r="AK339" i="43"/>
  <c r="AJ339" i="43"/>
  <c r="AD339" i="43"/>
  <c r="T339" i="43"/>
  <c r="AK331" i="43"/>
  <c r="AJ331" i="43"/>
  <c r="AD331" i="43"/>
  <c r="T331" i="43"/>
  <c r="AK328" i="43"/>
  <c r="AJ328" i="43"/>
  <c r="AD328" i="43"/>
  <c r="T328" i="43"/>
  <c r="AK324" i="43"/>
  <c r="AJ324" i="43"/>
  <c r="AD324" i="43"/>
  <c r="T324" i="43"/>
  <c r="AK321" i="43"/>
  <c r="AJ321" i="43"/>
  <c r="AD321" i="43"/>
  <c r="T321" i="43"/>
  <c r="AK319" i="43"/>
  <c r="AJ319" i="43"/>
  <c r="AD319" i="43"/>
  <c r="T319" i="43"/>
  <c r="AK313" i="43"/>
  <c r="AJ313" i="43"/>
  <c r="AD313" i="43"/>
  <c r="T313" i="43"/>
  <c r="AK309" i="43"/>
  <c r="AJ309" i="43"/>
  <c r="AD309" i="43"/>
  <c r="T309" i="43"/>
  <c r="AK302" i="43"/>
  <c r="AJ302" i="43"/>
  <c r="AD302" i="43"/>
  <c r="T302" i="43"/>
  <c r="AK295" i="43"/>
  <c r="AJ295" i="43"/>
  <c r="AD295" i="43"/>
  <c r="T295" i="43"/>
  <c r="AK293" i="43"/>
  <c r="AJ293" i="43"/>
  <c r="AD293" i="43"/>
  <c r="T293" i="43"/>
  <c r="AK285" i="43"/>
  <c r="AJ285" i="43"/>
  <c r="AD285" i="43"/>
  <c r="T285" i="43"/>
  <c r="AK280" i="43"/>
  <c r="AJ280" i="43"/>
  <c r="AD280" i="43"/>
  <c r="T280" i="43"/>
  <c r="AK273" i="43"/>
  <c r="AJ273" i="43"/>
  <c r="AD273" i="43"/>
  <c r="T273" i="43"/>
  <c r="AK269" i="43"/>
  <c r="AJ269" i="43"/>
  <c r="AD269" i="43"/>
  <c r="T269" i="43"/>
  <c r="AK263" i="43"/>
  <c r="AJ263" i="43"/>
  <c r="AD263" i="43"/>
  <c r="T263" i="43"/>
  <c r="AK259" i="43"/>
  <c r="AJ259" i="43"/>
  <c r="AD259" i="43"/>
  <c r="T259" i="43"/>
  <c r="AK255" i="43"/>
  <c r="AJ255" i="43"/>
  <c r="AD255" i="43"/>
  <c r="T255" i="43"/>
  <c r="AK253" i="43"/>
  <c r="AJ253" i="43"/>
  <c r="AD253" i="43"/>
  <c r="T253" i="43"/>
  <c r="AK246" i="43"/>
  <c r="AJ246" i="43"/>
  <c r="AD246" i="43"/>
  <c r="T246" i="43"/>
  <c r="AK240" i="43"/>
  <c r="AJ240" i="43"/>
  <c r="AD240" i="43"/>
  <c r="T240" i="43"/>
  <c r="AK234" i="43"/>
  <c r="AJ234" i="43"/>
  <c r="AD234" i="43"/>
  <c r="T234" i="43"/>
  <c r="AK228" i="43"/>
  <c r="AJ228" i="43"/>
  <c r="AD228" i="43"/>
  <c r="T228" i="43"/>
  <c r="AK222" i="43"/>
  <c r="AJ222" i="43"/>
  <c r="AD222" i="43"/>
  <c r="T222" i="43"/>
  <c r="AK216" i="43"/>
  <c r="AJ216" i="43"/>
  <c r="AD216" i="43"/>
  <c r="T216" i="43"/>
  <c r="AK210" i="43"/>
  <c r="AJ210" i="43"/>
  <c r="AD210" i="43"/>
  <c r="T210" i="43"/>
  <c r="AK203" i="43"/>
  <c r="AJ203" i="43"/>
  <c r="AD203" i="43"/>
  <c r="T203" i="43"/>
  <c r="AK197" i="43"/>
  <c r="AJ197" i="43"/>
  <c r="AD197" i="43"/>
  <c r="T197" i="43"/>
  <c r="AK191" i="43"/>
  <c r="AJ191" i="43"/>
  <c r="AD191" i="43"/>
  <c r="T191" i="43"/>
  <c r="AK184" i="43"/>
  <c r="AJ184" i="43"/>
  <c r="AD184" i="43"/>
  <c r="T184" i="43"/>
  <c r="AK177" i="43"/>
  <c r="AJ177" i="43"/>
  <c r="AD177" i="43"/>
  <c r="T177" i="43"/>
  <c r="AK171" i="43"/>
  <c r="AJ171" i="43"/>
  <c r="AD171" i="43"/>
  <c r="T171" i="43"/>
  <c r="AK165" i="43"/>
  <c r="AJ165" i="43"/>
  <c r="AD165" i="43"/>
  <c r="T165" i="43"/>
  <c r="AK159" i="43"/>
  <c r="AJ159" i="43"/>
  <c r="AD159" i="43"/>
  <c r="T159" i="43"/>
  <c r="AK154" i="43"/>
  <c r="AJ154" i="43"/>
  <c r="AD154" i="43"/>
  <c r="T154" i="43"/>
  <c r="AK148" i="43"/>
  <c r="AJ148" i="43"/>
  <c r="AD148" i="43"/>
  <c r="T148" i="43"/>
  <c r="AK142" i="43"/>
  <c r="AJ142" i="43"/>
  <c r="AD142" i="43"/>
  <c r="T142" i="43"/>
  <c r="AK136" i="43"/>
  <c r="AJ136" i="43"/>
  <c r="AD136" i="43"/>
  <c r="T136" i="43"/>
  <c r="AK129" i="43"/>
  <c r="AJ129" i="43"/>
  <c r="AD129" i="43"/>
  <c r="T129" i="43"/>
  <c r="AK122" i="43"/>
  <c r="AJ122" i="43"/>
  <c r="AD122" i="43"/>
  <c r="T122" i="43"/>
  <c r="AK117" i="43"/>
  <c r="AJ117" i="43"/>
  <c r="AD117" i="43"/>
  <c r="T117" i="43"/>
  <c r="AK114" i="43"/>
  <c r="AJ114" i="43"/>
  <c r="AD114" i="43"/>
  <c r="T114" i="43"/>
  <c r="AK111" i="43"/>
  <c r="AJ111" i="43"/>
  <c r="AD111" i="43"/>
  <c r="T111" i="43"/>
  <c r="AK107" i="43"/>
  <c r="AJ107" i="43"/>
  <c r="AD107" i="43"/>
  <c r="T107" i="43"/>
  <c r="AK103" i="43"/>
  <c r="AJ103" i="43"/>
  <c r="AD103" i="43"/>
  <c r="T103" i="43"/>
  <c r="AK100" i="43"/>
  <c r="AJ100" i="43"/>
  <c r="AD100" i="43"/>
  <c r="T100" i="43"/>
  <c r="AK96" i="43"/>
  <c r="AJ96" i="43"/>
  <c r="AD96" i="43"/>
  <c r="T96" i="43"/>
  <c r="AK92" i="43"/>
  <c r="AJ92" i="43"/>
  <c r="AD92" i="43"/>
  <c r="T92" i="43"/>
  <c r="AK89" i="43"/>
  <c r="AJ89" i="43"/>
  <c r="AD89" i="43"/>
  <c r="T89" i="43"/>
  <c r="AK85" i="43"/>
  <c r="AJ85" i="43"/>
  <c r="AD85" i="43"/>
  <c r="T85" i="43"/>
  <c r="AK81" i="43"/>
  <c r="AJ81" i="43"/>
  <c r="AD81" i="43"/>
  <c r="T81" i="43"/>
  <c r="AK78" i="43"/>
  <c r="AJ78" i="43"/>
  <c r="AD78" i="43"/>
  <c r="T78" i="43"/>
  <c r="AK74" i="43"/>
  <c r="AJ74" i="43"/>
  <c r="AD74" i="43"/>
  <c r="T74" i="43"/>
  <c r="AK69" i="43"/>
  <c r="AJ69" i="43"/>
  <c r="AD69" i="43"/>
  <c r="T69" i="43"/>
  <c r="AK66" i="43"/>
  <c r="AJ66" i="43"/>
  <c r="AD66" i="43"/>
  <c r="T66" i="43"/>
  <c r="AK62" i="43"/>
  <c r="AJ62" i="43"/>
  <c r="AD62" i="43"/>
  <c r="T62" i="43"/>
  <c r="AK58" i="43"/>
  <c r="AJ58" i="43"/>
  <c r="AD58" i="43"/>
  <c r="T58" i="43"/>
  <c r="AK54" i="43"/>
  <c r="AJ54" i="43"/>
  <c r="AD54" i="43"/>
  <c r="T54" i="43"/>
  <c r="AK51" i="43"/>
  <c r="AJ51" i="43"/>
  <c r="AD51" i="43"/>
  <c r="T51" i="43"/>
  <c r="AK48" i="43"/>
  <c r="AJ48" i="43"/>
  <c r="AD48" i="43"/>
  <c r="T48" i="43"/>
  <c r="AK45" i="43"/>
  <c r="AJ45" i="43"/>
  <c r="AD45" i="43"/>
  <c r="T45" i="43"/>
  <c r="AK41" i="43"/>
  <c r="AJ41" i="43"/>
  <c r="AD41" i="43"/>
  <c r="T41" i="43"/>
  <c r="AK38" i="43"/>
  <c r="AJ38" i="43"/>
  <c r="AD38" i="43"/>
  <c r="T38" i="43"/>
  <c r="AK34" i="43"/>
  <c r="AJ34" i="43"/>
  <c r="AD34" i="43"/>
  <c r="T34" i="43"/>
  <c r="AK30" i="43"/>
  <c r="AJ30" i="43"/>
  <c r="AD30" i="43"/>
  <c r="T30" i="43"/>
  <c r="AK27" i="43"/>
  <c r="AJ27" i="43"/>
  <c r="AD27" i="43"/>
  <c r="T27" i="43"/>
  <c r="AK22" i="43"/>
  <c r="AJ22" i="43"/>
  <c r="AD22" i="43"/>
  <c r="T22" i="43"/>
  <c r="AK18" i="43"/>
  <c r="AJ18" i="43"/>
  <c r="AD18" i="43"/>
  <c r="T18" i="43"/>
  <c r="AK13" i="43"/>
  <c r="AJ13" i="43"/>
  <c r="AD13" i="43"/>
  <c r="T13" i="43"/>
  <c r="Y14" i="43"/>
  <c r="AQ14" i="43" s="1"/>
  <c r="AQ18" i="43" s="1"/>
  <c r="AE14" i="43"/>
  <c r="AT14" i="43" s="1"/>
  <c r="AM14" i="43"/>
  <c r="AW14" i="43" s="1"/>
  <c r="AE15" i="43"/>
  <c r="AT15" i="43" s="1"/>
  <c r="AM15" i="43"/>
  <c r="AW15" i="43" s="1"/>
  <c r="AE17" i="43"/>
  <c r="AT17" i="43" s="1"/>
  <c r="AM17" i="43"/>
  <c r="AW17" i="43" s="1"/>
  <c r="AE19" i="43"/>
  <c r="AT19" i="43" s="1"/>
  <c r="AM19" i="43"/>
  <c r="AW19" i="43" s="1"/>
  <c r="AE20" i="43"/>
  <c r="AT20" i="43" s="1"/>
  <c r="AM20" i="43"/>
  <c r="AW20" i="43" s="1"/>
  <c r="AE21" i="43"/>
  <c r="AT21" i="43" s="1"/>
  <c r="AM21" i="43"/>
  <c r="AW21" i="43" s="1"/>
  <c r="AE23" i="43"/>
  <c r="AT23" i="43" s="1"/>
  <c r="AM23" i="43"/>
  <c r="AW23" i="43" s="1"/>
  <c r="AE24" i="43"/>
  <c r="AT24" i="43" s="1"/>
  <c r="AM24" i="43"/>
  <c r="AW24" i="43" s="1"/>
  <c r="AE25" i="43"/>
  <c r="AT25" i="43" s="1"/>
  <c r="AM25" i="43"/>
  <c r="AW25" i="43" s="1"/>
  <c r="AE26" i="43"/>
  <c r="AT26" i="43" s="1"/>
  <c r="AM26" i="43"/>
  <c r="AW26" i="43" s="1"/>
  <c r="AE28" i="43"/>
  <c r="AT28" i="43" s="1"/>
  <c r="AM28" i="43"/>
  <c r="AW28" i="43" s="1"/>
  <c r="AE29" i="43"/>
  <c r="AT29" i="43" s="1"/>
  <c r="AM29" i="43"/>
  <c r="AW29" i="43" s="1"/>
  <c r="AE31" i="43"/>
  <c r="AT31" i="43" s="1"/>
  <c r="AM31" i="43"/>
  <c r="AW31" i="43" s="1"/>
  <c r="AE32" i="43"/>
  <c r="AT32" i="43" s="1"/>
  <c r="AM32" i="43"/>
  <c r="AW32" i="43" s="1"/>
  <c r="AE33" i="43"/>
  <c r="AT33" i="43" s="1"/>
  <c r="AM33" i="43"/>
  <c r="AW33" i="43" s="1"/>
  <c r="AE35" i="43"/>
  <c r="AT35" i="43" s="1"/>
  <c r="AM35" i="43"/>
  <c r="AW35" i="43" s="1"/>
  <c r="AE37" i="43"/>
  <c r="AT37" i="43" s="1"/>
  <c r="AM37" i="43"/>
  <c r="AW37" i="43" s="1"/>
  <c r="AE39" i="43"/>
  <c r="AT39" i="43" s="1"/>
  <c r="AM39" i="43"/>
  <c r="AW39" i="43" s="1"/>
  <c r="AE40" i="43"/>
  <c r="AT40" i="43" s="1"/>
  <c r="AM40" i="43"/>
  <c r="AW40" i="43" s="1"/>
  <c r="AE42" i="43"/>
  <c r="AT42" i="43" s="1"/>
  <c r="AM42" i="43"/>
  <c r="AW42" i="43" s="1"/>
  <c r="AE43" i="43"/>
  <c r="AT43" i="43" s="1"/>
  <c r="AM43" i="43"/>
  <c r="AW43" i="43" s="1"/>
  <c r="AE44" i="43"/>
  <c r="AT44" i="43" s="1"/>
  <c r="AM44" i="43"/>
  <c r="AW44" i="43" s="1"/>
  <c r="AE46" i="43"/>
  <c r="AT46" i="43" s="1"/>
  <c r="AM46" i="43"/>
  <c r="AW46" i="43" s="1"/>
  <c r="AE47" i="43"/>
  <c r="AT47" i="43" s="1"/>
  <c r="AM47" i="43"/>
  <c r="AW47" i="43" s="1"/>
  <c r="AE49" i="43"/>
  <c r="AT49" i="43" s="1"/>
  <c r="AM49" i="43"/>
  <c r="AW49" i="43" s="1"/>
  <c r="AE50" i="43"/>
  <c r="AT50" i="43" s="1"/>
  <c r="AM50" i="43"/>
  <c r="AW50" i="43" s="1"/>
  <c r="AE52" i="43"/>
  <c r="AT52" i="43" s="1"/>
  <c r="AM52" i="43"/>
  <c r="AW52" i="43" s="1"/>
  <c r="AE53" i="43"/>
  <c r="AT53" i="43" s="1"/>
  <c r="AM53" i="43"/>
  <c r="AW53" i="43" s="1"/>
  <c r="AE55" i="43"/>
  <c r="AT55" i="43" s="1"/>
  <c r="AM55" i="43"/>
  <c r="AW55" i="43" s="1"/>
  <c r="AE56" i="43"/>
  <c r="AT56" i="43" s="1"/>
  <c r="AM56" i="43"/>
  <c r="AW56" i="43" s="1"/>
  <c r="AE57" i="43"/>
  <c r="AT57" i="43" s="1"/>
  <c r="AM57" i="43"/>
  <c r="AW57" i="43" s="1"/>
  <c r="AE59" i="43"/>
  <c r="AT59" i="43" s="1"/>
  <c r="AM59" i="43"/>
  <c r="AW59" i="43" s="1"/>
  <c r="AE60" i="43"/>
  <c r="AT60" i="43" s="1"/>
  <c r="AM60" i="43"/>
  <c r="AW60" i="43" s="1"/>
  <c r="AE61" i="43"/>
  <c r="AT61" i="43" s="1"/>
  <c r="AM61" i="43"/>
  <c r="AW61" i="43" s="1"/>
  <c r="AE63" i="43"/>
  <c r="AT63" i="43" s="1"/>
  <c r="AM63" i="43"/>
  <c r="AW63" i="43" s="1"/>
  <c r="AE64" i="43"/>
  <c r="AT64" i="43" s="1"/>
  <c r="AM64" i="43"/>
  <c r="AW64" i="43" s="1"/>
  <c r="AE65" i="43"/>
  <c r="AT65" i="43" s="1"/>
  <c r="AM65" i="43"/>
  <c r="AW65" i="43" s="1"/>
  <c r="AE67" i="43"/>
  <c r="AT67" i="43" s="1"/>
  <c r="AM67" i="43"/>
  <c r="AW67" i="43" s="1"/>
  <c r="AE68" i="43"/>
  <c r="AT68" i="43" s="1"/>
  <c r="AM68" i="43"/>
  <c r="AW68" i="43" s="1"/>
  <c r="AE70" i="43"/>
  <c r="AT70" i="43" s="1"/>
  <c r="AM70" i="43"/>
  <c r="AW70" i="43" s="1"/>
  <c r="AE71" i="43"/>
  <c r="AT71" i="43" s="1"/>
  <c r="AM71" i="43"/>
  <c r="AW71" i="43" s="1"/>
  <c r="AE72" i="43"/>
  <c r="AT72" i="43" s="1"/>
  <c r="AM72" i="43"/>
  <c r="AW72" i="43" s="1"/>
  <c r="AE73" i="43"/>
  <c r="AT73" i="43" s="1"/>
  <c r="AM73" i="43"/>
  <c r="AW73" i="43" s="1"/>
  <c r="AE75" i="43"/>
  <c r="AT75" i="43" s="1"/>
  <c r="AM75" i="43"/>
  <c r="AW75" i="43" s="1"/>
  <c r="AE76" i="43"/>
  <c r="AT76" i="43" s="1"/>
  <c r="AM76" i="43"/>
  <c r="AW76" i="43" s="1"/>
  <c r="AE77" i="43"/>
  <c r="AT77" i="43" s="1"/>
  <c r="AM77" i="43"/>
  <c r="AW77" i="43" s="1"/>
  <c r="AE79" i="43"/>
  <c r="AT79" i="43" s="1"/>
  <c r="AM79" i="43"/>
  <c r="AW79" i="43" s="1"/>
  <c r="AE80" i="43"/>
  <c r="AT80" i="43" s="1"/>
  <c r="AM80" i="43"/>
  <c r="AW80" i="43" s="1"/>
  <c r="AE82" i="43"/>
  <c r="AT82" i="43" s="1"/>
  <c r="AM82" i="43"/>
  <c r="AW82" i="43" s="1"/>
  <c r="AE84" i="43"/>
  <c r="AT84" i="43" s="1"/>
  <c r="AM84" i="43"/>
  <c r="AW84" i="43" s="1"/>
  <c r="AE86" i="43"/>
  <c r="AT86" i="43" s="1"/>
  <c r="AM86" i="43"/>
  <c r="AW86" i="43" s="1"/>
  <c r="AE87" i="43"/>
  <c r="AT87" i="43" s="1"/>
  <c r="AM87" i="43"/>
  <c r="AW87" i="43" s="1"/>
  <c r="AE88" i="43"/>
  <c r="AT88" i="43" s="1"/>
  <c r="AM88" i="43"/>
  <c r="AW88" i="43" s="1"/>
  <c r="AE90" i="43"/>
  <c r="AT90" i="43" s="1"/>
  <c r="AM90" i="43"/>
  <c r="AW90" i="43" s="1"/>
  <c r="AE91" i="43"/>
  <c r="AT91" i="43" s="1"/>
  <c r="AM91" i="43"/>
  <c r="AW91" i="43" s="1"/>
  <c r="AE93" i="43"/>
  <c r="AT93" i="43" s="1"/>
  <c r="AM93" i="43"/>
  <c r="AW93" i="43" s="1"/>
  <c r="AE94" i="43"/>
  <c r="AT94" i="43" s="1"/>
  <c r="AM94" i="43"/>
  <c r="AW94" i="43" s="1"/>
  <c r="AE95" i="43"/>
  <c r="AT95" i="43" s="1"/>
  <c r="AM95" i="43"/>
  <c r="AW95" i="43" s="1"/>
  <c r="AE97" i="43"/>
  <c r="AT97" i="43" s="1"/>
  <c r="AM97" i="43"/>
  <c r="AW97" i="43" s="1"/>
  <c r="AE98" i="43"/>
  <c r="AT98" i="43" s="1"/>
  <c r="AM98" i="43"/>
  <c r="AW98" i="43" s="1"/>
  <c r="AE99" i="43"/>
  <c r="AT99" i="43" s="1"/>
  <c r="AM99" i="43"/>
  <c r="AW99" i="43" s="1"/>
  <c r="AE101" i="43"/>
  <c r="AT101" i="43" s="1"/>
  <c r="AM101" i="43"/>
  <c r="AW101" i="43" s="1"/>
  <c r="AE102" i="43"/>
  <c r="AT102" i="43" s="1"/>
  <c r="AM102" i="43"/>
  <c r="AW102" i="43" s="1"/>
  <c r="AE104" i="43"/>
  <c r="AT104" i="43" s="1"/>
  <c r="AM104" i="43"/>
  <c r="AW104" i="43" s="1"/>
  <c r="AE105" i="43"/>
  <c r="AT105" i="43" s="1"/>
  <c r="AM105" i="43"/>
  <c r="AW105" i="43" s="1"/>
  <c r="AE106" i="43"/>
  <c r="AT106" i="43" s="1"/>
  <c r="AM106" i="43"/>
  <c r="AW106" i="43" s="1"/>
  <c r="AE108" i="43"/>
  <c r="AT108" i="43" s="1"/>
  <c r="AM108" i="43"/>
  <c r="AW108" i="43" s="1"/>
  <c r="AE109" i="43"/>
  <c r="AT109" i="43" s="1"/>
  <c r="AM109" i="43"/>
  <c r="AW109" i="43" s="1"/>
  <c r="AE110" i="43"/>
  <c r="AT110" i="43" s="1"/>
  <c r="AM110" i="43"/>
  <c r="AW110" i="43" s="1"/>
  <c r="AE112" i="43"/>
  <c r="AT112" i="43" s="1"/>
  <c r="AM112" i="43"/>
  <c r="AW112" i="43" s="1"/>
  <c r="AE113" i="43"/>
  <c r="AT113" i="43" s="1"/>
  <c r="AM113" i="43"/>
  <c r="AW113" i="43" s="1"/>
  <c r="AE115" i="43"/>
  <c r="AT115" i="43" s="1"/>
  <c r="AM115" i="43"/>
  <c r="AW115" i="43" s="1"/>
  <c r="AE116" i="43"/>
  <c r="AT116" i="43" s="1"/>
  <c r="AM116" i="43"/>
  <c r="AW116" i="43" s="1"/>
  <c r="AE118" i="43"/>
  <c r="AT118" i="43" s="1"/>
  <c r="AM118" i="43"/>
  <c r="AW118" i="43" s="1"/>
  <c r="AE119" i="43"/>
  <c r="AT119" i="43" s="1"/>
  <c r="AM119" i="43"/>
  <c r="AW119" i="43" s="1"/>
  <c r="AE121" i="43"/>
  <c r="AT121" i="43" s="1"/>
  <c r="AM121" i="43"/>
  <c r="AW121" i="43" s="1"/>
  <c r="AE123" i="43"/>
  <c r="AT123" i="43" s="1"/>
  <c r="AM123" i="43"/>
  <c r="AW123" i="43" s="1"/>
  <c r="AE124" i="43"/>
  <c r="AT124" i="43" s="1"/>
  <c r="AM124" i="43"/>
  <c r="AW124" i="43" s="1"/>
  <c r="AE125" i="43"/>
  <c r="AT125" i="43" s="1"/>
  <c r="AM125" i="43"/>
  <c r="AW125" i="43" s="1"/>
  <c r="AE126" i="43"/>
  <c r="AT126" i="43" s="1"/>
  <c r="AM126" i="43"/>
  <c r="AW126" i="43" s="1"/>
  <c r="AE127" i="43"/>
  <c r="AT127" i="43" s="1"/>
  <c r="AM127" i="43"/>
  <c r="AW127" i="43" s="1"/>
  <c r="AE128" i="43"/>
  <c r="AT128" i="43" s="1"/>
  <c r="AM128" i="43"/>
  <c r="AW128" i="43" s="1"/>
  <c r="AE130" i="43"/>
  <c r="AT130" i="43" s="1"/>
  <c r="AM130" i="43"/>
  <c r="AW130" i="43" s="1"/>
  <c r="AE131" i="43"/>
  <c r="AT131" i="43" s="1"/>
  <c r="AM131" i="43"/>
  <c r="AW131" i="43" s="1"/>
  <c r="AE132" i="43"/>
  <c r="AT132" i="43" s="1"/>
  <c r="AM132" i="43"/>
  <c r="AW132" i="43" s="1"/>
  <c r="AE133" i="43"/>
  <c r="AT133" i="43" s="1"/>
  <c r="AM133" i="43"/>
  <c r="AW133" i="43" s="1"/>
  <c r="AE134" i="43"/>
  <c r="AT134" i="43" s="1"/>
  <c r="AM134" i="43"/>
  <c r="AW134" i="43" s="1"/>
  <c r="AE135" i="43"/>
  <c r="AT135" i="43" s="1"/>
  <c r="AM135" i="43"/>
  <c r="AW135" i="43" s="1"/>
  <c r="AE137" i="43"/>
  <c r="AT137" i="43" s="1"/>
  <c r="AM137" i="43"/>
  <c r="AW137" i="43" s="1"/>
  <c r="AE138" i="43"/>
  <c r="AT138" i="43" s="1"/>
  <c r="AM138" i="43"/>
  <c r="AW138" i="43" s="1"/>
  <c r="AE139" i="43"/>
  <c r="AT139" i="43" s="1"/>
  <c r="AM139" i="43"/>
  <c r="AW139" i="43" s="1"/>
  <c r="AE140" i="43"/>
  <c r="AT140" i="43" s="1"/>
  <c r="AM140" i="43"/>
  <c r="AW140" i="43" s="1"/>
  <c r="AE141" i="43"/>
  <c r="AT141" i="43" s="1"/>
  <c r="AM141" i="43"/>
  <c r="AW141" i="43" s="1"/>
  <c r="AE143" i="43"/>
  <c r="AT143" i="43" s="1"/>
  <c r="AM143" i="43"/>
  <c r="AW143" i="43" s="1"/>
  <c r="AE144" i="43"/>
  <c r="AT144" i="43" s="1"/>
  <c r="AM144" i="43"/>
  <c r="AW144" i="43" s="1"/>
  <c r="AE145" i="43"/>
  <c r="AT145" i="43" s="1"/>
  <c r="AM145" i="43"/>
  <c r="AW145" i="43" s="1"/>
  <c r="AE146" i="43"/>
  <c r="AT146" i="43" s="1"/>
  <c r="AM146" i="43"/>
  <c r="AW146" i="43" s="1"/>
  <c r="AE147" i="43"/>
  <c r="AT147" i="43" s="1"/>
  <c r="AM147" i="43"/>
  <c r="AW147" i="43" s="1"/>
  <c r="AE149" i="43"/>
  <c r="AT149" i="43" s="1"/>
  <c r="AM149" i="43"/>
  <c r="AW149" i="43" s="1"/>
  <c r="AE150" i="43"/>
  <c r="AT150" i="43" s="1"/>
  <c r="AM150" i="43"/>
  <c r="AW150" i="43" s="1"/>
  <c r="AE151" i="43"/>
  <c r="AT151" i="43" s="1"/>
  <c r="AM151" i="43"/>
  <c r="AW151" i="43" s="1"/>
  <c r="AE152" i="43"/>
  <c r="AT152" i="43" s="1"/>
  <c r="AM152" i="43"/>
  <c r="AW152" i="43" s="1"/>
  <c r="AE153" i="43"/>
  <c r="AT153" i="43" s="1"/>
  <c r="AM153" i="43"/>
  <c r="AW153" i="43" s="1"/>
  <c r="AE155" i="43"/>
  <c r="AT155" i="43" s="1"/>
  <c r="AM155" i="43"/>
  <c r="AW155" i="43" s="1"/>
  <c r="AE156" i="43"/>
  <c r="AT156" i="43" s="1"/>
  <c r="AM156" i="43"/>
  <c r="AW156" i="43" s="1"/>
  <c r="AE157" i="43"/>
  <c r="AT157" i="43" s="1"/>
  <c r="AM157" i="43"/>
  <c r="AW157" i="43" s="1"/>
  <c r="AE158" i="43"/>
  <c r="AT158" i="43" s="1"/>
  <c r="AM158" i="43"/>
  <c r="AW158" i="43" s="1"/>
  <c r="AE160" i="43"/>
  <c r="AT160" i="43" s="1"/>
  <c r="AM160" i="43"/>
  <c r="AW160" i="43" s="1"/>
  <c r="AE161" i="43"/>
  <c r="AT161" i="43" s="1"/>
  <c r="AM161" i="43"/>
  <c r="AW161" i="43" s="1"/>
  <c r="AE163" i="43"/>
  <c r="AT163" i="43" s="1"/>
  <c r="AM163" i="43"/>
  <c r="AW163" i="43" s="1"/>
  <c r="AE164" i="43"/>
  <c r="AT164" i="43" s="1"/>
  <c r="AM164" i="43"/>
  <c r="AW164" i="43" s="1"/>
  <c r="AE166" i="43"/>
  <c r="AT166" i="43" s="1"/>
  <c r="AM166" i="43"/>
  <c r="AW166" i="43" s="1"/>
  <c r="AE167" i="43"/>
  <c r="AT167" i="43" s="1"/>
  <c r="AM167" i="43"/>
  <c r="AW167" i="43" s="1"/>
  <c r="AE168" i="43"/>
  <c r="AT168" i="43" s="1"/>
  <c r="AM168" i="43"/>
  <c r="AW168" i="43" s="1"/>
  <c r="AE169" i="43"/>
  <c r="AT169" i="43" s="1"/>
  <c r="AM169" i="43"/>
  <c r="AW169" i="43" s="1"/>
  <c r="AE170" i="43"/>
  <c r="AT170" i="43" s="1"/>
  <c r="AM170" i="43"/>
  <c r="AW170" i="43" s="1"/>
  <c r="AE172" i="43"/>
  <c r="AT172" i="43" s="1"/>
  <c r="AM172" i="43"/>
  <c r="AW172" i="43" s="1"/>
  <c r="AE173" i="43"/>
  <c r="AT173" i="43" s="1"/>
  <c r="AM173" i="43"/>
  <c r="AW173" i="43" s="1"/>
  <c r="AE174" i="43"/>
  <c r="AT174" i="43" s="1"/>
  <c r="AM174" i="43"/>
  <c r="AW174" i="43" s="1"/>
  <c r="AE175" i="43"/>
  <c r="AT175" i="43" s="1"/>
  <c r="AM175" i="43"/>
  <c r="AW175" i="43" s="1"/>
  <c r="AE176" i="43"/>
  <c r="AT176" i="43" s="1"/>
  <c r="AM176" i="43"/>
  <c r="AW176" i="43" s="1"/>
  <c r="AE178" i="43"/>
  <c r="AT178" i="43" s="1"/>
  <c r="AM178" i="43"/>
  <c r="AW178" i="43" s="1"/>
  <c r="AE179" i="43"/>
  <c r="AT179" i="43" s="1"/>
  <c r="AM179" i="43"/>
  <c r="AW179" i="43" s="1"/>
  <c r="AE180" i="43"/>
  <c r="AT180" i="43" s="1"/>
  <c r="AM180" i="43"/>
  <c r="AW180" i="43" s="1"/>
  <c r="AE181" i="43"/>
  <c r="AT181" i="43" s="1"/>
  <c r="AM181" i="43"/>
  <c r="AW181" i="43" s="1"/>
  <c r="AE182" i="43"/>
  <c r="AT182" i="43" s="1"/>
  <c r="AM182" i="43"/>
  <c r="AW182" i="43" s="1"/>
  <c r="AE183" i="43"/>
  <c r="AT183" i="43" s="1"/>
  <c r="AM183" i="43"/>
  <c r="AW183" i="43" s="1"/>
  <c r="AE185" i="43"/>
  <c r="AT185" i="43" s="1"/>
  <c r="AM185" i="43"/>
  <c r="AW185" i="43" s="1"/>
  <c r="AE186" i="43"/>
  <c r="AT186" i="43" s="1"/>
  <c r="AM186" i="43"/>
  <c r="AW186" i="43" s="1"/>
  <c r="AE187" i="43"/>
  <c r="AT187" i="43" s="1"/>
  <c r="AM187" i="43"/>
  <c r="AW187" i="43" s="1"/>
  <c r="AE188" i="43"/>
  <c r="AT188" i="43" s="1"/>
  <c r="AM188" i="43"/>
  <c r="AW188" i="43" s="1"/>
  <c r="AE189" i="43"/>
  <c r="AT189" i="43" s="1"/>
  <c r="AM189" i="43"/>
  <c r="AW189" i="43" s="1"/>
  <c r="AE190" i="43"/>
  <c r="AT190" i="43" s="1"/>
  <c r="AM190" i="43"/>
  <c r="AW190" i="43" s="1"/>
  <c r="AE192" i="43"/>
  <c r="AT192" i="43" s="1"/>
  <c r="AM192" i="43"/>
  <c r="AW192" i="43" s="1"/>
  <c r="AE193" i="43"/>
  <c r="AT193" i="43" s="1"/>
  <c r="AM193" i="43"/>
  <c r="AW193" i="43" s="1"/>
  <c r="AE194" i="43"/>
  <c r="AT194" i="43" s="1"/>
  <c r="AM194" i="43"/>
  <c r="AW194" i="43" s="1"/>
  <c r="AE195" i="43"/>
  <c r="AT195" i="43" s="1"/>
  <c r="AM195" i="43"/>
  <c r="AW195" i="43" s="1"/>
  <c r="AE196" i="43"/>
  <c r="AT196" i="43" s="1"/>
  <c r="AM196" i="43"/>
  <c r="AW196" i="43" s="1"/>
  <c r="AE198" i="43"/>
  <c r="AT198" i="43" s="1"/>
  <c r="AM198" i="43"/>
  <c r="AW198" i="43" s="1"/>
  <c r="AE199" i="43"/>
  <c r="AT199" i="43" s="1"/>
  <c r="AM199" i="43"/>
  <c r="AW199" i="43" s="1"/>
  <c r="AE200" i="43"/>
  <c r="AT200" i="43" s="1"/>
  <c r="AM200" i="43"/>
  <c r="AW200" i="43" s="1"/>
  <c r="AE201" i="43"/>
  <c r="AT201" i="43" s="1"/>
  <c r="AM201" i="43"/>
  <c r="AW201" i="43" s="1"/>
  <c r="AE202" i="43"/>
  <c r="AT202" i="43" s="1"/>
  <c r="AM202" i="43"/>
  <c r="AW202" i="43" s="1"/>
  <c r="AE204" i="43"/>
  <c r="AT204" i="43" s="1"/>
  <c r="AM204" i="43"/>
  <c r="AW204" i="43" s="1"/>
  <c r="AE205" i="43"/>
  <c r="AT205" i="43" s="1"/>
  <c r="AM205" i="43"/>
  <c r="AW205" i="43" s="1"/>
  <c r="AE206" i="43"/>
  <c r="AT206" i="43" s="1"/>
  <c r="AM206" i="43"/>
  <c r="AW206" i="43" s="1"/>
  <c r="AE207" i="43"/>
  <c r="AT207" i="43" s="1"/>
  <c r="AM207" i="43"/>
  <c r="AW207" i="43" s="1"/>
  <c r="AE208" i="43"/>
  <c r="AT208" i="43" s="1"/>
  <c r="AM208" i="43"/>
  <c r="AW208" i="43" s="1"/>
  <c r="AE209" i="43"/>
  <c r="AT209" i="43" s="1"/>
  <c r="AM209" i="43"/>
  <c r="AW209" i="43" s="1"/>
  <c r="AE211" i="43"/>
  <c r="AT211" i="43" s="1"/>
  <c r="AM211" i="43"/>
  <c r="AW211" i="43" s="1"/>
  <c r="AE212" i="43"/>
  <c r="AT212" i="43" s="1"/>
  <c r="AM212" i="43"/>
  <c r="AW212" i="43" s="1"/>
  <c r="AE213" i="43"/>
  <c r="AT213" i="43" s="1"/>
  <c r="AM213" i="43"/>
  <c r="AW213" i="43" s="1"/>
  <c r="AE214" i="43"/>
  <c r="AT214" i="43" s="1"/>
  <c r="AM214" i="43"/>
  <c r="AW214" i="43" s="1"/>
  <c r="AE215" i="43"/>
  <c r="AT215" i="43" s="1"/>
  <c r="AM215" i="43"/>
  <c r="AW215" i="43" s="1"/>
  <c r="AE217" i="43"/>
  <c r="AT217" i="43" s="1"/>
  <c r="AM217" i="43"/>
  <c r="AW217" i="43" s="1"/>
  <c r="AE218" i="43"/>
  <c r="AT218" i="43" s="1"/>
  <c r="AM218" i="43"/>
  <c r="AW218" i="43" s="1"/>
  <c r="AE219" i="43"/>
  <c r="AT219" i="43" s="1"/>
  <c r="AM219" i="43"/>
  <c r="AW219" i="43" s="1"/>
  <c r="AE220" i="43"/>
  <c r="AT220" i="43" s="1"/>
  <c r="AM220" i="43"/>
  <c r="AW220" i="43" s="1"/>
  <c r="AE221" i="43"/>
  <c r="AT221" i="43" s="1"/>
  <c r="AM221" i="43"/>
  <c r="AW221" i="43" s="1"/>
  <c r="AE223" i="43"/>
  <c r="AT223" i="43" s="1"/>
  <c r="AM223" i="43"/>
  <c r="AW223" i="43" s="1"/>
  <c r="AE224" i="43"/>
  <c r="AT224" i="43" s="1"/>
  <c r="AM224" i="43"/>
  <c r="AW224" i="43" s="1"/>
  <c r="AE225" i="43"/>
  <c r="AT225" i="43" s="1"/>
  <c r="AM225" i="43"/>
  <c r="AW225" i="43" s="1"/>
  <c r="AE226" i="43"/>
  <c r="AT226" i="43" s="1"/>
  <c r="AM226" i="43"/>
  <c r="AW226" i="43" s="1"/>
  <c r="AE227" i="43"/>
  <c r="AT227" i="43" s="1"/>
  <c r="AM227" i="43"/>
  <c r="AW227" i="43" s="1"/>
  <c r="AE229" i="43"/>
  <c r="AT229" i="43" s="1"/>
  <c r="AM229" i="43"/>
  <c r="AW229" i="43" s="1"/>
  <c r="AE230" i="43"/>
  <c r="AT230" i="43" s="1"/>
  <c r="AM230" i="43"/>
  <c r="AW230" i="43" s="1"/>
  <c r="AE231" i="43"/>
  <c r="AT231" i="43" s="1"/>
  <c r="AM231" i="43"/>
  <c r="AW231" i="43" s="1"/>
  <c r="AE232" i="43"/>
  <c r="AT232" i="43" s="1"/>
  <c r="AM232" i="43"/>
  <c r="AW232" i="43" s="1"/>
  <c r="AE233" i="43"/>
  <c r="AT233" i="43" s="1"/>
  <c r="AM233" i="43"/>
  <c r="AW233" i="43" s="1"/>
  <c r="AE235" i="43"/>
  <c r="AT235" i="43" s="1"/>
  <c r="AM235" i="43"/>
  <c r="AW235" i="43" s="1"/>
  <c r="AE236" i="43"/>
  <c r="AT236" i="43" s="1"/>
  <c r="AM236" i="43"/>
  <c r="AW236" i="43" s="1"/>
  <c r="AE237" i="43"/>
  <c r="AT237" i="43" s="1"/>
  <c r="AM237" i="43"/>
  <c r="AW237" i="43" s="1"/>
  <c r="AE238" i="43"/>
  <c r="AT238" i="43" s="1"/>
  <c r="AM238" i="43"/>
  <c r="AW238" i="43" s="1"/>
  <c r="AE239" i="43"/>
  <c r="AT239" i="43" s="1"/>
  <c r="AM239" i="43"/>
  <c r="AW239" i="43" s="1"/>
  <c r="AE241" i="43"/>
  <c r="AT241" i="43" s="1"/>
  <c r="AM241" i="43"/>
  <c r="AW241" i="43" s="1"/>
  <c r="AE242" i="43"/>
  <c r="AT242" i="43" s="1"/>
  <c r="AM242" i="43"/>
  <c r="AW242" i="43" s="1"/>
  <c r="AE243" i="43"/>
  <c r="AT243" i="43" s="1"/>
  <c r="AM243" i="43"/>
  <c r="AW243" i="43" s="1"/>
  <c r="AE244" i="43"/>
  <c r="AT244" i="43" s="1"/>
  <c r="AM244" i="43"/>
  <c r="AW244" i="43" s="1"/>
  <c r="AE245" i="43"/>
  <c r="AT245" i="43" s="1"/>
  <c r="AM245" i="43"/>
  <c r="AW245" i="43" s="1"/>
  <c r="AE247" i="43"/>
  <c r="AT247" i="43" s="1"/>
  <c r="AM247" i="43"/>
  <c r="AW247" i="43" s="1"/>
  <c r="AE248" i="43"/>
  <c r="AT248" i="43" s="1"/>
  <c r="AM248" i="43"/>
  <c r="AW248" i="43" s="1"/>
  <c r="AE249" i="43"/>
  <c r="AT249" i="43" s="1"/>
  <c r="AM249" i="43"/>
  <c r="AW249" i="43" s="1"/>
  <c r="AE250" i="43"/>
  <c r="AT250" i="43" s="1"/>
  <c r="AM250" i="43"/>
  <c r="AW250" i="43" s="1"/>
  <c r="AE251" i="43"/>
  <c r="AT251" i="43" s="1"/>
  <c r="AM251" i="43"/>
  <c r="AW251" i="43" s="1"/>
  <c r="AE252" i="43"/>
  <c r="AT252" i="43" s="1"/>
  <c r="AM252" i="43"/>
  <c r="AW252" i="43" s="1"/>
  <c r="AE254" i="43"/>
  <c r="AT254" i="43" s="1"/>
  <c r="AT255" i="43" s="1"/>
  <c r="AM254" i="43"/>
  <c r="AW254" i="43" s="1"/>
  <c r="AW255" i="43" s="1"/>
  <c r="AE256" i="43"/>
  <c r="AT256" i="43" s="1"/>
  <c r="AM256" i="43"/>
  <c r="AW256" i="43" s="1"/>
  <c r="AE257" i="43"/>
  <c r="AT257" i="43" s="1"/>
  <c r="AM257" i="43"/>
  <c r="AW257" i="43" s="1"/>
  <c r="AE258" i="43"/>
  <c r="AT258" i="43" s="1"/>
  <c r="AM258" i="43"/>
  <c r="AW258" i="43" s="1"/>
  <c r="AE260" i="43"/>
  <c r="AT260" i="43" s="1"/>
  <c r="AM260" i="43"/>
  <c r="AW260" i="43" s="1"/>
  <c r="AE261" i="43"/>
  <c r="AT261" i="43" s="1"/>
  <c r="AM261" i="43"/>
  <c r="AW261" i="43" s="1"/>
  <c r="AE262" i="43"/>
  <c r="AT262" i="43" s="1"/>
  <c r="AM262" i="43"/>
  <c r="AW262" i="43" s="1"/>
  <c r="AE264" i="43"/>
  <c r="AT264" i="43" s="1"/>
  <c r="AM264" i="43"/>
  <c r="AW264" i="43" s="1"/>
  <c r="AE265" i="43"/>
  <c r="AT265" i="43" s="1"/>
  <c r="AM265" i="43"/>
  <c r="AW265" i="43" s="1"/>
  <c r="AE266" i="43"/>
  <c r="AT266" i="43" s="1"/>
  <c r="AM266" i="43"/>
  <c r="AW266" i="43" s="1"/>
  <c r="AE267" i="43"/>
  <c r="AT267" i="43" s="1"/>
  <c r="AM267" i="43"/>
  <c r="AW267" i="43" s="1"/>
  <c r="AE268" i="43"/>
  <c r="AT268" i="43" s="1"/>
  <c r="AM268" i="43"/>
  <c r="AW268" i="43" s="1"/>
  <c r="AE270" i="43"/>
  <c r="AT270" i="43" s="1"/>
  <c r="AM270" i="43"/>
  <c r="AW270" i="43" s="1"/>
  <c r="AE271" i="43"/>
  <c r="AT271" i="43" s="1"/>
  <c r="AM271" i="43"/>
  <c r="AW271" i="43" s="1"/>
  <c r="AE272" i="43"/>
  <c r="AT272" i="43" s="1"/>
  <c r="AM272" i="43"/>
  <c r="AW272" i="43" s="1"/>
  <c r="AE274" i="43"/>
  <c r="AT274" i="43" s="1"/>
  <c r="AM274" i="43"/>
  <c r="AW274" i="43" s="1"/>
  <c r="AE275" i="43"/>
  <c r="AT275" i="43" s="1"/>
  <c r="AM275" i="43"/>
  <c r="AW275" i="43" s="1"/>
  <c r="AE276" i="43"/>
  <c r="AT276" i="43" s="1"/>
  <c r="AM276" i="43"/>
  <c r="AW276" i="43" s="1"/>
  <c r="AE277" i="43"/>
  <c r="AT277" i="43" s="1"/>
  <c r="AM277" i="43"/>
  <c r="AW277" i="43" s="1"/>
  <c r="AE278" i="43"/>
  <c r="AT278" i="43" s="1"/>
  <c r="AM278" i="43"/>
  <c r="AW278" i="43" s="1"/>
  <c r="AE279" i="43"/>
  <c r="AT279" i="43" s="1"/>
  <c r="AM279" i="43"/>
  <c r="AW279" i="43" s="1"/>
  <c r="AE281" i="43"/>
  <c r="AT281" i="43" s="1"/>
  <c r="AM281" i="43"/>
  <c r="AW281" i="43" s="1"/>
  <c r="AE282" i="43"/>
  <c r="AT282" i="43" s="1"/>
  <c r="AM282" i="43"/>
  <c r="AW282" i="43" s="1"/>
  <c r="AE283" i="43"/>
  <c r="AT283" i="43" s="1"/>
  <c r="AM283" i="43"/>
  <c r="AW283" i="43" s="1"/>
  <c r="AE284" i="43"/>
  <c r="AT284" i="43" s="1"/>
  <c r="AM284" i="43"/>
  <c r="AW284" i="43" s="1"/>
  <c r="AE286" i="43"/>
  <c r="AT286" i="43" s="1"/>
  <c r="AM286" i="43"/>
  <c r="AW286" i="43" s="1"/>
  <c r="AE287" i="43"/>
  <c r="AT287" i="43" s="1"/>
  <c r="AM287" i="43"/>
  <c r="AW287" i="43" s="1"/>
  <c r="AE288" i="43"/>
  <c r="AT288" i="43" s="1"/>
  <c r="AM288" i="43"/>
  <c r="AW288" i="43" s="1"/>
  <c r="AE289" i="43"/>
  <c r="AT289" i="43" s="1"/>
  <c r="AM289" i="43"/>
  <c r="AW289" i="43" s="1"/>
  <c r="AE290" i="43"/>
  <c r="AT290" i="43" s="1"/>
  <c r="AM290" i="43"/>
  <c r="AW290" i="43" s="1"/>
  <c r="AE291" i="43"/>
  <c r="AT291" i="43" s="1"/>
  <c r="AM291" i="43"/>
  <c r="AW291" i="43" s="1"/>
  <c r="AE292" i="43"/>
  <c r="AT292" i="43" s="1"/>
  <c r="AM292" i="43"/>
  <c r="AW292" i="43" s="1"/>
  <c r="AE294" i="43"/>
  <c r="AT294" i="43" s="1"/>
  <c r="AT295" i="43" s="1"/>
  <c r="AM294" i="43"/>
  <c r="AW294" i="43" s="1"/>
  <c r="AW295" i="43" s="1"/>
  <c r="AE296" i="43"/>
  <c r="AT296" i="43" s="1"/>
  <c r="AM296" i="43"/>
  <c r="AW296" i="43" s="1"/>
  <c r="AE297" i="43"/>
  <c r="AT297" i="43" s="1"/>
  <c r="AM297" i="43"/>
  <c r="AW297" i="43" s="1"/>
  <c r="AE298" i="43"/>
  <c r="AT298" i="43" s="1"/>
  <c r="AM298" i="43"/>
  <c r="AW298" i="43" s="1"/>
  <c r="AE299" i="43"/>
  <c r="AT299" i="43" s="1"/>
  <c r="AM299" i="43"/>
  <c r="AW299" i="43" s="1"/>
  <c r="AE300" i="43"/>
  <c r="AT300" i="43" s="1"/>
  <c r="AM300" i="43"/>
  <c r="AW300" i="43" s="1"/>
  <c r="AE301" i="43"/>
  <c r="AT301" i="43" s="1"/>
  <c r="AM301" i="43"/>
  <c r="AW301" i="43" s="1"/>
  <c r="AE303" i="43"/>
  <c r="AT303" i="43" s="1"/>
  <c r="AM303" i="43"/>
  <c r="AW303" i="43" s="1"/>
  <c r="AE304" i="43"/>
  <c r="AT304" i="43" s="1"/>
  <c r="AM304" i="43"/>
  <c r="AW304" i="43" s="1"/>
  <c r="AE305" i="43"/>
  <c r="AT305" i="43" s="1"/>
  <c r="AM305" i="43"/>
  <c r="AW305" i="43" s="1"/>
  <c r="AE306" i="43"/>
  <c r="AT306" i="43" s="1"/>
  <c r="AM306" i="43"/>
  <c r="AW306" i="43" s="1"/>
  <c r="AE307" i="43"/>
  <c r="AT307" i="43" s="1"/>
  <c r="AM307" i="43"/>
  <c r="AW307" i="43" s="1"/>
  <c r="AE308" i="43"/>
  <c r="AT308" i="43" s="1"/>
  <c r="AM308" i="43"/>
  <c r="AW308" i="43" s="1"/>
  <c r="AE310" i="43"/>
  <c r="AT310" i="43" s="1"/>
  <c r="AM310" i="43"/>
  <c r="AW310" i="43" s="1"/>
  <c r="AE311" i="43"/>
  <c r="AT311" i="43" s="1"/>
  <c r="AM311" i="43"/>
  <c r="AW311" i="43" s="1"/>
  <c r="AE312" i="43"/>
  <c r="AT312" i="43" s="1"/>
  <c r="AM312" i="43"/>
  <c r="AW312" i="43" s="1"/>
  <c r="AE314" i="43"/>
  <c r="AT314" i="43" s="1"/>
  <c r="AM314" i="43"/>
  <c r="AW314" i="43" s="1"/>
  <c r="AE315" i="43"/>
  <c r="AT315" i="43" s="1"/>
  <c r="AM315" i="43"/>
  <c r="AW315" i="43" s="1"/>
  <c r="AE316" i="43"/>
  <c r="AT316" i="43" s="1"/>
  <c r="AM316" i="43"/>
  <c r="AW316" i="43" s="1"/>
  <c r="AE317" i="43"/>
  <c r="AT317" i="43" s="1"/>
  <c r="AM317" i="43"/>
  <c r="AW317" i="43" s="1"/>
  <c r="AE318" i="43"/>
  <c r="AT318" i="43" s="1"/>
  <c r="AM318" i="43"/>
  <c r="AW318" i="43" s="1"/>
  <c r="AE320" i="43"/>
  <c r="AT320" i="43" s="1"/>
  <c r="AT321" i="43" s="1"/>
  <c r="AM320" i="43"/>
  <c r="AW320" i="43" s="1"/>
  <c r="AW321" i="43" s="1"/>
  <c r="AE322" i="43"/>
  <c r="AT322" i="43" s="1"/>
  <c r="AM322" i="43"/>
  <c r="AW322" i="43" s="1"/>
  <c r="AE323" i="43"/>
  <c r="AT323" i="43" s="1"/>
  <c r="AM323" i="43"/>
  <c r="AW323" i="43" s="1"/>
  <c r="AE325" i="43"/>
  <c r="AT325" i="43" s="1"/>
  <c r="AM325" i="43"/>
  <c r="AW325" i="43" s="1"/>
  <c r="AE326" i="43"/>
  <c r="AT326" i="43" s="1"/>
  <c r="AM326" i="43"/>
  <c r="AW326" i="43" s="1"/>
  <c r="AE327" i="43"/>
  <c r="AT327" i="43" s="1"/>
  <c r="AM327" i="43"/>
  <c r="AW327" i="43" s="1"/>
  <c r="AE329" i="43"/>
  <c r="AT329" i="43" s="1"/>
  <c r="AM329" i="43"/>
  <c r="AW329" i="43" s="1"/>
  <c r="AE330" i="43"/>
  <c r="AT330" i="43" s="1"/>
  <c r="AM330" i="43"/>
  <c r="AW330" i="43" s="1"/>
  <c r="AE332" i="43"/>
  <c r="AT332" i="43" s="1"/>
  <c r="AM332" i="43"/>
  <c r="AW332" i="43" s="1"/>
  <c r="AE333" i="43"/>
  <c r="AT333" i="43" s="1"/>
  <c r="AM333" i="43"/>
  <c r="AW333" i="43" s="1"/>
  <c r="AE334" i="43"/>
  <c r="AT334" i="43" s="1"/>
  <c r="AM334" i="43"/>
  <c r="AW334" i="43" s="1"/>
  <c r="AE335" i="43"/>
  <c r="AT335" i="43" s="1"/>
  <c r="AM335" i="43"/>
  <c r="AW335" i="43" s="1"/>
  <c r="AE336" i="43"/>
  <c r="AT336" i="43" s="1"/>
  <c r="AM336" i="43"/>
  <c r="AW336" i="43" s="1"/>
  <c r="AE337" i="43"/>
  <c r="AT337" i="43" s="1"/>
  <c r="AM337" i="43"/>
  <c r="AW337" i="43" s="1"/>
  <c r="AE338" i="43"/>
  <c r="AT338" i="43" s="1"/>
  <c r="AM338" i="43"/>
  <c r="AW338" i="43" s="1"/>
  <c r="AE340" i="43"/>
  <c r="AT340" i="43" s="1"/>
  <c r="AM340" i="43"/>
  <c r="AW340" i="43" s="1"/>
  <c r="AE341" i="43"/>
  <c r="AT341" i="43" s="1"/>
  <c r="AM341" i="43"/>
  <c r="AW341" i="43" s="1"/>
  <c r="AE342" i="43"/>
  <c r="AT342" i="43" s="1"/>
  <c r="AM342" i="43"/>
  <c r="AW342" i="43" s="1"/>
  <c r="AE343" i="43"/>
  <c r="AT343" i="43" s="1"/>
  <c r="AM343" i="43"/>
  <c r="AW343" i="43" s="1"/>
  <c r="AE344" i="43"/>
  <c r="AT344" i="43" s="1"/>
  <c r="AM344" i="43"/>
  <c r="AW344" i="43" s="1"/>
  <c r="AE346" i="43"/>
  <c r="AT346" i="43" s="1"/>
  <c r="AM346" i="43"/>
  <c r="AW346" i="43" s="1"/>
  <c r="AE347" i="43"/>
  <c r="AT347" i="43" s="1"/>
  <c r="AM347" i="43"/>
  <c r="AW347" i="43" s="1"/>
  <c r="AE348" i="43"/>
  <c r="AT348" i="43" s="1"/>
  <c r="AM348" i="43"/>
  <c r="AW348" i="43" s="1"/>
  <c r="AE349" i="43"/>
  <c r="AT349" i="43" s="1"/>
  <c r="AM349" i="43"/>
  <c r="AW349" i="43" s="1"/>
  <c r="AE350" i="43"/>
  <c r="AT350" i="43" s="1"/>
  <c r="AM350" i="43"/>
  <c r="AW350" i="43" s="1"/>
  <c r="AE351" i="43"/>
  <c r="AT351" i="43" s="1"/>
  <c r="AM351" i="43"/>
  <c r="AW351" i="43" s="1"/>
  <c r="AE353" i="43"/>
  <c r="AT353" i="43" s="1"/>
  <c r="AM353" i="43"/>
  <c r="AW353" i="43" s="1"/>
  <c r="AE354" i="43"/>
  <c r="AT354" i="43" s="1"/>
  <c r="AM354" i="43"/>
  <c r="AW354" i="43" s="1"/>
  <c r="AE355" i="43"/>
  <c r="AT355" i="43" s="1"/>
  <c r="AM355" i="43"/>
  <c r="AW355" i="43" s="1"/>
  <c r="AE356" i="43"/>
  <c r="AT356" i="43" s="1"/>
  <c r="AM356" i="43"/>
  <c r="AW356" i="43" s="1"/>
  <c r="AE358" i="43"/>
  <c r="AT358" i="43" s="1"/>
  <c r="AM358" i="43"/>
  <c r="AW358" i="43" s="1"/>
  <c r="AE359" i="43"/>
  <c r="AT359" i="43" s="1"/>
  <c r="AM359" i="43"/>
  <c r="AW359" i="43" s="1"/>
  <c r="AE360" i="43"/>
  <c r="AT360" i="43" s="1"/>
  <c r="AM360" i="43"/>
  <c r="AW360" i="43" s="1"/>
  <c r="AE361" i="43"/>
  <c r="AT361" i="43" s="1"/>
  <c r="AM361" i="43"/>
  <c r="AW361" i="43" s="1"/>
  <c r="AE362" i="43"/>
  <c r="AT362" i="43" s="1"/>
  <c r="AM362" i="43"/>
  <c r="AW362" i="43" s="1"/>
  <c r="AE363" i="43"/>
  <c r="AT363" i="43" s="1"/>
  <c r="AM363" i="43"/>
  <c r="AW363" i="43" s="1"/>
  <c r="AE365" i="43"/>
  <c r="AT365" i="43" s="1"/>
  <c r="AM365" i="43"/>
  <c r="AW365" i="43" s="1"/>
  <c r="AE366" i="43"/>
  <c r="AT366" i="43" s="1"/>
  <c r="AM366" i="43"/>
  <c r="AW366" i="43" s="1"/>
  <c r="AE367" i="43"/>
  <c r="AT367" i="43" s="1"/>
  <c r="AM367" i="43"/>
  <c r="AW367" i="43" s="1"/>
  <c r="AE369" i="43"/>
  <c r="AT369" i="43" s="1"/>
  <c r="AT370" i="43" s="1"/>
  <c r="AM369" i="43"/>
  <c r="AW369" i="43" s="1"/>
  <c r="AW370" i="43" s="1"/>
  <c r="AE371" i="43"/>
  <c r="AT371" i="43" s="1"/>
  <c r="AM371" i="43"/>
  <c r="AW371" i="43" s="1"/>
  <c r="AE372" i="43"/>
  <c r="AT372" i="43" s="1"/>
  <c r="AM372" i="43"/>
  <c r="AW372" i="43" s="1"/>
  <c r="AE373" i="43"/>
  <c r="AT373" i="43" s="1"/>
  <c r="AM373" i="43"/>
  <c r="AW373" i="43" s="1"/>
  <c r="AE374" i="43"/>
  <c r="AT374" i="43" s="1"/>
  <c r="AM374" i="43"/>
  <c r="AW374" i="43" s="1"/>
  <c r="AE375" i="43"/>
  <c r="AT375" i="43" s="1"/>
  <c r="AM375" i="43"/>
  <c r="AW375" i="43" s="1"/>
  <c r="AE376" i="43"/>
  <c r="AT376" i="43" s="1"/>
  <c r="AM376" i="43"/>
  <c r="AW376" i="43" s="1"/>
  <c r="AE378" i="43"/>
  <c r="AT378" i="43" s="1"/>
  <c r="AM378" i="43"/>
  <c r="AW378" i="43" s="1"/>
  <c r="AE379" i="43"/>
  <c r="AT379" i="43" s="1"/>
  <c r="AM379" i="43"/>
  <c r="AW379" i="43" s="1"/>
  <c r="AE380" i="43"/>
  <c r="AT380" i="43" s="1"/>
  <c r="AM380" i="43"/>
  <c r="AW380" i="43" s="1"/>
  <c r="AE381" i="43"/>
  <c r="AT381" i="43" s="1"/>
  <c r="AM381" i="43"/>
  <c r="AW381" i="43" s="1"/>
  <c r="AE382" i="43"/>
  <c r="AT382" i="43" s="1"/>
  <c r="AM382" i="43"/>
  <c r="AW382" i="43" s="1"/>
  <c r="AE384" i="43"/>
  <c r="AT384" i="43" s="1"/>
  <c r="AM384" i="43"/>
  <c r="AW384" i="43" s="1"/>
  <c r="AE385" i="43"/>
  <c r="AT385" i="43" s="1"/>
  <c r="AM385" i="43"/>
  <c r="AW385" i="43" s="1"/>
  <c r="AE386" i="43"/>
  <c r="AT386" i="43" s="1"/>
  <c r="AM386" i="43"/>
  <c r="AW386" i="43" s="1"/>
  <c r="AE388" i="43"/>
  <c r="AT388" i="43" s="1"/>
  <c r="AM388" i="43"/>
  <c r="AW388" i="43" s="1"/>
  <c r="AE389" i="43"/>
  <c r="AT389" i="43" s="1"/>
  <c r="AM389" i="43"/>
  <c r="AW389" i="43" s="1"/>
  <c r="AE390" i="43"/>
  <c r="AT390" i="43" s="1"/>
  <c r="AM390" i="43"/>
  <c r="AW390" i="43" s="1"/>
  <c r="AE391" i="43"/>
  <c r="AT391" i="43" s="1"/>
  <c r="AM391" i="43"/>
  <c r="AW391" i="43" s="1"/>
  <c r="AE392" i="43"/>
  <c r="AT392" i="43" s="1"/>
  <c r="AM392" i="43"/>
  <c r="AW392" i="43" s="1"/>
  <c r="AE393" i="43"/>
  <c r="AT393" i="43" s="1"/>
  <c r="AM393" i="43"/>
  <c r="AW393" i="43" s="1"/>
  <c r="AE395" i="43"/>
  <c r="AT395" i="43" s="1"/>
  <c r="AM395" i="43"/>
  <c r="AW395" i="43" s="1"/>
  <c r="AE396" i="43"/>
  <c r="AT396" i="43" s="1"/>
  <c r="AM396" i="43"/>
  <c r="AW396" i="43" s="1"/>
  <c r="AE397" i="43"/>
  <c r="AT397" i="43" s="1"/>
  <c r="AM397" i="43"/>
  <c r="AW397" i="43" s="1"/>
  <c r="AE398" i="43"/>
  <c r="AT398" i="43" s="1"/>
  <c r="AM398" i="43"/>
  <c r="AW398" i="43" s="1"/>
  <c r="AE399" i="43"/>
  <c r="AT399" i="43" s="1"/>
  <c r="AM399" i="43"/>
  <c r="AW399" i="43" s="1"/>
  <c r="AE400" i="43"/>
  <c r="AT400" i="43" s="1"/>
  <c r="AM400" i="43"/>
  <c r="AW400" i="43" s="1"/>
  <c r="AE402" i="43"/>
  <c r="AT402" i="43" s="1"/>
  <c r="AM402" i="43"/>
  <c r="AW402" i="43" s="1"/>
  <c r="AE403" i="43"/>
  <c r="AT403" i="43" s="1"/>
  <c r="AM403" i="43"/>
  <c r="AW403" i="43" s="1"/>
  <c r="AE405" i="43"/>
  <c r="AT405" i="43" s="1"/>
  <c r="AM405" i="43"/>
  <c r="AW405" i="43" s="1"/>
  <c r="AE406" i="43"/>
  <c r="AT406" i="43" s="1"/>
  <c r="AM406" i="43"/>
  <c r="AW406" i="43" s="1"/>
  <c r="AE407" i="43"/>
  <c r="AT407" i="43" s="1"/>
  <c r="AM407" i="43"/>
  <c r="AW407" i="43" s="1"/>
  <c r="AE408" i="43"/>
  <c r="AT408" i="43" s="1"/>
  <c r="AM408" i="43"/>
  <c r="AW408" i="43" s="1"/>
  <c r="AE409" i="43"/>
  <c r="AT409" i="43" s="1"/>
  <c r="AM409" i="43"/>
  <c r="AW409" i="43" s="1"/>
  <c r="AE411" i="43"/>
  <c r="AT411" i="43" s="1"/>
  <c r="AM411" i="43"/>
  <c r="AW411" i="43" s="1"/>
  <c r="AE412" i="43"/>
  <c r="AT412" i="43" s="1"/>
  <c r="AM412" i="43"/>
  <c r="AW412" i="43" s="1"/>
  <c r="AE413" i="43"/>
  <c r="AT413" i="43" s="1"/>
  <c r="AM413" i="43"/>
  <c r="AW413" i="43" s="1"/>
  <c r="AE414" i="43"/>
  <c r="AT414" i="43" s="1"/>
  <c r="AM414" i="43"/>
  <c r="AW414" i="43" s="1"/>
  <c r="AE415" i="43"/>
  <c r="AT415" i="43" s="1"/>
  <c r="AM415" i="43"/>
  <c r="AW415" i="43" s="1"/>
  <c r="AE416" i="43"/>
  <c r="AT416" i="43" s="1"/>
  <c r="AM416" i="43"/>
  <c r="AW416" i="43" s="1"/>
  <c r="AE418" i="43"/>
  <c r="AT418" i="43" s="1"/>
  <c r="AM418" i="43"/>
  <c r="AW418" i="43" s="1"/>
  <c r="AE419" i="43"/>
  <c r="AT419" i="43" s="1"/>
  <c r="AM419" i="43"/>
  <c r="AW419" i="43" s="1"/>
  <c r="AE420" i="43"/>
  <c r="AT420" i="43" s="1"/>
  <c r="AM420" i="43"/>
  <c r="AW420" i="43" s="1"/>
  <c r="AE421" i="43"/>
  <c r="AT421" i="43" s="1"/>
  <c r="AM421" i="43"/>
  <c r="AW421" i="43" s="1"/>
  <c r="AE422" i="43"/>
  <c r="AT422" i="43" s="1"/>
  <c r="AM422" i="43"/>
  <c r="AW422" i="43" s="1"/>
  <c r="AE423" i="43"/>
  <c r="AT423" i="43" s="1"/>
  <c r="AM423" i="43"/>
  <c r="AW423" i="43" s="1"/>
  <c r="AE425" i="43"/>
  <c r="AT425" i="43" s="1"/>
  <c r="AM425" i="43"/>
  <c r="AW425" i="43" s="1"/>
  <c r="AE426" i="43"/>
  <c r="AT426" i="43" s="1"/>
  <c r="AM426" i="43"/>
  <c r="AW426" i="43" s="1"/>
  <c r="AE427" i="43"/>
  <c r="AT427" i="43" s="1"/>
  <c r="AM427" i="43"/>
  <c r="AW427" i="43" s="1"/>
  <c r="AE428" i="43"/>
  <c r="AT428" i="43" s="1"/>
  <c r="AM428" i="43"/>
  <c r="AW428" i="43" s="1"/>
  <c r="AE429" i="43"/>
  <c r="AT429" i="43" s="1"/>
  <c r="AM429" i="43"/>
  <c r="AW429" i="43" s="1"/>
  <c r="AE430" i="43"/>
  <c r="AT430" i="43" s="1"/>
  <c r="AM430" i="43"/>
  <c r="AW430" i="43" s="1"/>
  <c r="AE432" i="43"/>
  <c r="AT432" i="43" s="1"/>
  <c r="AM432" i="43"/>
  <c r="AW432" i="43" s="1"/>
  <c r="AE433" i="43"/>
  <c r="AT433" i="43" s="1"/>
  <c r="AM433" i="43"/>
  <c r="AW433" i="43" s="1"/>
  <c r="AE434" i="43"/>
  <c r="AT434" i="43" s="1"/>
  <c r="AM434" i="43"/>
  <c r="AW434" i="43" s="1"/>
  <c r="AE435" i="43"/>
  <c r="AT435" i="43" s="1"/>
  <c r="AM435" i="43"/>
  <c r="AW435" i="43" s="1"/>
  <c r="AE436" i="43"/>
  <c r="AT436" i="43" s="1"/>
  <c r="AM436" i="43"/>
  <c r="AW436" i="43" s="1"/>
  <c r="AE437" i="43"/>
  <c r="AT437" i="43" s="1"/>
  <c r="AM437" i="43"/>
  <c r="AW437" i="43" s="1"/>
  <c r="AE439" i="43"/>
  <c r="AT439" i="43" s="1"/>
  <c r="AM439" i="43"/>
  <c r="AW439" i="43" s="1"/>
  <c r="AE440" i="43"/>
  <c r="AT440" i="43" s="1"/>
  <c r="AM440" i="43"/>
  <c r="AW440" i="43" s="1"/>
  <c r="AE441" i="43"/>
  <c r="AT441" i="43" s="1"/>
  <c r="AM441" i="43"/>
  <c r="AW441" i="43" s="1"/>
  <c r="AE442" i="43"/>
  <c r="AT442" i="43" s="1"/>
  <c r="AM442" i="43"/>
  <c r="AW442" i="43" s="1"/>
  <c r="AE443" i="43"/>
  <c r="AT443" i="43" s="1"/>
  <c r="AM443" i="43"/>
  <c r="AW443" i="43" s="1"/>
  <c r="AE444" i="43"/>
  <c r="AT444" i="43" s="1"/>
  <c r="AM444" i="43"/>
  <c r="AW444" i="43" s="1"/>
  <c r="AE446" i="43"/>
  <c r="AT446" i="43" s="1"/>
  <c r="AM446" i="43"/>
  <c r="AW446" i="43" s="1"/>
  <c r="AE447" i="43"/>
  <c r="AT447" i="43" s="1"/>
  <c r="AM447" i="43"/>
  <c r="AW447" i="43" s="1"/>
  <c r="AE449" i="43"/>
  <c r="AT449" i="43" s="1"/>
  <c r="AM449" i="43"/>
  <c r="AW449" i="43" s="1"/>
  <c r="AE450" i="43"/>
  <c r="AT450" i="43" s="1"/>
  <c r="AM450" i="43"/>
  <c r="AW450" i="43" s="1"/>
  <c r="AE451" i="43"/>
  <c r="AT451" i="43" s="1"/>
  <c r="AM451" i="43"/>
  <c r="AW451" i="43" s="1"/>
  <c r="AE453" i="43"/>
  <c r="AT453" i="43" s="1"/>
  <c r="AM453" i="43"/>
  <c r="AW453" i="43" s="1"/>
  <c r="AE454" i="43"/>
  <c r="AT454" i="43" s="1"/>
  <c r="AM454" i="43"/>
  <c r="AW454" i="43" s="1"/>
  <c r="AW331" i="43" l="1"/>
  <c r="AW85" i="43"/>
  <c r="AW81" i="43"/>
  <c r="AW54" i="43"/>
  <c r="AW51" i="43"/>
  <c r="AW48" i="43"/>
  <c r="AW30" i="43"/>
  <c r="AW404" i="43"/>
  <c r="AW455" i="43"/>
  <c r="AT117" i="43"/>
  <c r="AT114" i="43"/>
  <c r="AT103" i="43"/>
  <c r="AT92" i="43"/>
  <c r="AT69" i="43"/>
  <c r="AT41" i="43"/>
  <c r="AT38" i="43"/>
  <c r="AT324" i="43"/>
  <c r="AW368" i="43"/>
  <c r="AW357" i="43"/>
  <c r="AW352" i="43"/>
  <c r="AW313" i="43"/>
  <c r="AW302" i="43"/>
  <c r="AW285" i="43"/>
  <c r="AW269" i="43"/>
  <c r="AW246" i="43"/>
  <c r="AW234" i="43"/>
  <c r="AW222" i="43"/>
  <c r="AW203" i="43"/>
  <c r="AW154" i="43"/>
  <c r="AW100" i="43"/>
  <c r="AW89" i="43"/>
  <c r="AW66" i="43"/>
  <c r="AW34" i="43"/>
  <c r="AW27" i="43"/>
  <c r="AW18" i="43"/>
  <c r="AU94" i="44"/>
  <c r="AS104" i="44"/>
  <c r="AR112" i="44"/>
  <c r="AU104" i="44"/>
  <c r="AS83" i="44"/>
  <c r="AU76" i="44"/>
  <c r="AU18" i="44"/>
  <c r="AR34" i="44"/>
  <c r="AU48" i="44"/>
  <c r="AR48" i="44"/>
  <c r="AR27" i="44"/>
  <c r="AW394" i="43"/>
  <c r="AW383" i="43"/>
  <c r="AW377" i="43"/>
  <c r="AW259" i="43"/>
  <c r="AW142" i="43"/>
  <c r="AW58" i="43"/>
  <c r="AT455" i="43"/>
  <c r="AT410" i="43"/>
  <c r="AT404" i="43"/>
  <c r="AT401" i="43"/>
  <c r="AT394" i="43"/>
  <c r="AT383" i="43"/>
  <c r="AT377" i="43"/>
  <c r="AT368" i="43"/>
  <c r="AT364" i="43"/>
  <c r="AT357" i="43"/>
  <c r="AT352" i="43"/>
  <c r="AT339" i="43"/>
  <c r="AT331" i="43"/>
  <c r="AT313" i="43"/>
  <c r="AT309" i="43"/>
  <c r="AT302" i="43"/>
  <c r="AT293" i="43"/>
  <c r="AT285" i="43"/>
  <c r="AT280" i="43"/>
  <c r="AT269" i="43"/>
  <c r="AT259" i="43"/>
  <c r="AT246" i="43"/>
  <c r="AT234" i="43"/>
  <c r="AT222" i="43"/>
  <c r="AT203" i="43"/>
  <c r="AT177" i="43"/>
  <c r="AT154" i="43"/>
  <c r="AT142" i="43"/>
  <c r="AT136" i="43"/>
  <c r="AT129" i="43"/>
  <c r="AT111" i="43"/>
  <c r="AT100" i="43"/>
  <c r="AT89" i="43"/>
  <c r="AT85" i="43"/>
  <c r="AT81" i="43"/>
  <c r="AT66" i="43"/>
  <c r="AT58" i="43"/>
  <c r="AT54" i="43"/>
  <c r="AT51" i="43"/>
  <c r="AT48" i="43"/>
  <c r="AT34" i="43"/>
  <c r="AT30" i="43"/>
  <c r="AT27" i="43"/>
  <c r="AT18" i="43"/>
  <c r="AW410" i="43"/>
  <c r="AW293" i="43"/>
  <c r="AW280" i="43"/>
  <c r="AW129" i="43"/>
  <c r="AW452" i="43"/>
  <c r="AW445" i="43"/>
  <c r="AW438" i="43"/>
  <c r="AW431" i="43"/>
  <c r="AW424" i="43"/>
  <c r="AW417" i="43"/>
  <c r="AW387" i="43"/>
  <c r="AW345" i="43"/>
  <c r="AW328" i="43"/>
  <c r="AW324" i="43"/>
  <c r="AW319" i="43"/>
  <c r="AW273" i="43"/>
  <c r="AW263" i="43"/>
  <c r="AW253" i="43"/>
  <c r="AW240" i="43"/>
  <c r="AW228" i="43"/>
  <c r="AW216" i="43"/>
  <c r="AW210" i="43"/>
  <c r="AW197" i="43"/>
  <c r="AW191" i="43"/>
  <c r="AW184" i="43"/>
  <c r="AW171" i="43"/>
  <c r="AW165" i="43"/>
  <c r="AW159" i="43"/>
  <c r="AW148" i="43"/>
  <c r="AW122" i="43"/>
  <c r="AW117" i="43"/>
  <c r="AW114" i="43"/>
  <c r="AW107" i="43"/>
  <c r="AW103" i="43"/>
  <c r="AW96" i="43"/>
  <c r="AW92" i="43"/>
  <c r="AW78" i="43"/>
  <c r="AW74" i="43"/>
  <c r="AW69" i="43"/>
  <c r="AW62" i="43"/>
  <c r="AW45" i="43"/>
  <c r="AW41" i="43"/>
  <c r="AW38" i="43"/>
  <c r="AW22" i="43"/>
  <c r="AW401" i="43"/>
  <c r="AW364" i="43"/>
  <c r="AW339" i="43"/>
  <c r="AW309" i="43"/>
  <c r="AW177" i="43"/>
  <c r="AW136" i="43"/>
  <c r="AW111" i="43"/>
  <c r="AT452" i="43"/>
  <c r="AT445" i="43"/>
  <c r="AT438" i="43"/>
  <c r="AT431" i="43"/>
  <c r="AT424" i="43"/>
  <c r="AT417" i="43"/>
  <c r="AT387" i="43"/>
  <c r="AT345" i="43"/>
  <c r="AT328" i="43"/>
  <c r="AT319" i="43"/>
  <c r="AT273" i="43"/>
  <c r="AT263" i="43"/>
  <c r="AT253" i="43"/>
  <c r="AT240" i="43"/>
  <c r="AT228" i="43"/>
  <c r="AT216" i="43"/>
  <c r="AT210" i="43"/>
  <c r="AT197" i="43"/>
  <c r="AT191" i="43"/>
  <c r="AT184" i="43"/>
  <c r="AT171" i="43"/>
  <c r="AT165" i="43"/>
  <c r="AT159" i="43"/>
  <c r="AT148" i="43"/>
  <c r="AT122" i="43"/>
  <c r="AT107" i="43"/>
  <c r="AT96" i="43"/>
  <c r="AT78" i="43"/>
  <c r="AT74" i="43"/>
  <c r="AT62" i="43"/>
  <c r="AT45" i="43"/>
  <c r="AT22" i="43"/>
  <c r="AU55" i="44"/>
  <c r="AS55" i="44"/>
  <c r="AU112" i="44"/>
  <c r="AS48" i="44"/>
  <c r="AR62" i="44"/>
  <c r="AS129" i="44"/>
  <c r="AS123" i="44"/>
  <c r="AR41" i="44"/>
  <c r="AR90" i="44"/>
  <c r="AS90" i="44"/>
  <c r="AU100" i="44"/>
  <c r="AS27" i="44"/>
  <c r="AU62" i="44"/>
  <c r="AS100" i="44"/>
  <c r="AS62" i="44"/>
  <c r="AS41" i="44"/>
  <c r="AR55" i="44"/>
  <c r="AR94" i="44"/>
  <c r="AR100" i="44"/>
  <c r="AS69" i="44"/>
  <c r="AU41" i="44"/>
  <c r="AS94" i="44"/>
  <c r="AU34" i="44"/>
  <c r="AS34" i="44"/>
  <c r="AR69" i="44"/>
  <c r="AR104" i="44"/>
  <c r="AU90" i="44"/>
  <c r="AU83" i="44"/>
  <c r="AS18" i="44"/>
  <c r="AU27" i="44"/>
  <c r="AU129" i="44"/>
  <c r="AU123" i="44"/>
  <c r="AU69" i="44"/>
  <c r="AS76" i="44"/>
  <c r="AR129" i="44"/>
  <c r="AR123" i="44"/>
  <c r="AS112" i="44"/>
  <c r="AR83" i="44"/>
  <c r="AR76" i="44"/>
  <c r="AR18" i="44"/>
  <c r="AN114" i="44"/>
  <c r="AU113" i="44"/>
  <c r="AU114" i="44" s="1"/>
  <c r="AA106" i="44"/>
  <c r="AR105" i="44"/>
  <c r="AR106" i="44" s="1"/>
  <c r="AA114" i="44"/>
  <c r="AR113" i="44"/>
  <c r="AR114" i="44" s="1"/>
  <c r="AN106" i="44"/>
  <c r="AU105" i="44"/>
  <c r="AU106" i="44" s="1"/>
  <c r="AN13" i="44"/>
  <c r="Z13" i="44"/>
  <c r="AA13" i="44"/>
  <c r="AB13" i="44"/>
  <c r="AA100" i="44"/>
  <c r="AA104" i="44"/>
  <c r="AW470" i="43"/>
  <c r="AB453" i="43"/>
  <c r="AS453" i="43" s="1"/>
  <c r="AA453" i="43"/>
  <c r="AR453" i="43" s="1"/>
  <c r="Z453" i="43"/>
  <c r="AB447" i="43"/>
  <c r="AS447" i="43" s="1"/>
  <c r="AA447" i="43"/>
  <c r="AR447" i="43" s="1"/>
  <c r="Z447" i="43"/>
  <c r="AB442" i="43"/>
  <c r="AS442" i="43" s="1"/>
  <c r="AA442" i="43"/>
  <c r="AR442" i="43" s="1"/>
  <c r="Z442" i="43"/>
  <c r="AB437" i="43"/>
  <c r="AS437" i="43" s="1"/>
  <c r="AA437" i="43"/>
  <c r="AR437" i="43" s="1"/>
  <c r="Z437" i="43"/>
  <c r="AB433" i="43"/>
  <c r="AS433" i="43" s="1"/>
  <c r="AA433" i="43"/>
  <c r="AR433" i="43" s="1"/>
  <c r="Z433" i="43"/>
  <c r="AB428" i="43"/>
  <c r="AS428" i="43" s="1"/>
  <c r="AA428" i="43"/>
  <c r="AR428" i="43" s="1"/>
  <c r="Z428" i="43"/>
  <c r="AB423" i="43"/>
  <c r="AS423" i="43" s="1"/>
  <c r="AA423" i="43"/>
  <c r="AR423" i="43" s="1"/>
  <c r="Z423" i="43"/>
  <c r="AB419" i="43"/>
  <c r="AS419" i="43" s="1"/>
  <c r="AA419" i="43"/>
  <c r="AR419" i="43" s="1"/>
  <c r="Z419" i="43"/>
  <c r="AB414" i="43"/>
  <c r="AS414" i="43" s="1"/>
  <c r="AA414" i="43"/>
  <c r="AR414" i="43" s="1"/>
  <c r="Z414" i="43"/>
  <c r="AB409" i="43"/>
  <c r="AS409" i="43" s="1"/>
  <c r="AA409" i="43"/>
  <c r="AR409" i="43" s="1"/>
  <c r="Z409" i="43"/>
  <c r="AB405" i="43"/>
  <c r="AS405" i="43" s="1"/>
  <c r="AA405" i="43"/>
  <c r="AR405" i="43" s="1"/>
  <c r="Z405" i="43"/>
  <c r="AB399" i="43"/>
  <c r="AS399" i="43" s="1"/>
  <c r="AA399" i="43"/>
  <c r="AR399" i="43" s="1"/>
  <c r="Z399" i="43"/>
  <c r="AB395" i="43"/>
  <c r="AS395" i="43" s="1"/>
  <c r="AA395" i="43"/>
  <c r="AR395" i="43" s="1"/>
  <c r="Z395" i="43"/>
  <c r="AB390" i="43"/>
  <c r="AS390" i="43" s="1"/>
  <c r="AA390" i="43"/>
  <c r="AR390" i="43" s="1"/>
  <c r="Z390" i="43"/>
  <c r="AB385" i="43"/>
  <c r="AS385" i="43" s="1"/>
  <c r="AA385" i="43"/>
  <c r="AR385" i="43" s="1"/>
  <c r="Z385" i="43"/>
  <c r="AB384" i="43"/>
  <c r="AS384" i="43" s="1"/>
  <c r="AA384" i="43"/>
  <c r="AR384" i="43" s="1"/>
  <c r="Z384" i="43"/>
  <c r="AB379" i="43"/>
  <c r="AS379" i="43" s="1"/>
  <c r="AA379" i="43"/>
  <c r="AR379" i="43" s="1"/>
  <c r="Z379" i="43"/>
  <c r="AB373" i="43"/>
  <c r="AS373" i="43" s="1"/>
  <c r="AA373" i="43"/>
  <c r="AR373" i="43" s="1"/>
  <c r="Z373" i="43"/>
  <c r="AB366" i="43"/>
  <c r="AS366" i="43" s="1"/>
  <c r="AA366" i="43"/>
  <c r="AR366" i="43" s="1"/>
  <c r="Z366" i="43"/>
  <c r="AB361" i="43"/>
  <c r="AS361" i="43" s="1"/>
  <c r="AA361" i="43"/>
  <c r="AR361" i="43" s="1"/>
  <c r="Z361" i="43"/>
  <c r="AB355" i="43"/>
  <c r="AS355" i="43" s="1"/>
  <c r="AA355" i="43"/>
  <c r="AR355" i="43" s="1"/>
  <c r="Z355" i="43"/>
  <c r="AA350" i="43"/>
  <c r="AR350" i="43" s="1"/>
  <c r="Z350" i="43"/>
  <c r="AB350" i="43"/>
  <c r="AS350" i="43" s="1"/>
  <c r="AA346" i="43"/>
  <c r="AR346" i="43" s="1"/>
  <c r="Z346" i="43"/>
  <c r="AB346" i="43"/>
  <c r="AS346" i="43" s="1"/>
  <c r="AA344" i="43"/>
  <c r="AR344" i="43" s="1"/>
  <c r="Z344" i="43"/>
  <c r="AB344" i="43"/>
  <c r="AS344" i="43" s="1"/>
  <c r="AA340" i="43"/>
  <c r="AR340" i="43" s="1"/>
  <c r="Z340" i="43"/>
  <c r="AB340" i="43"/>
  <c r="AS340" i="43" s="1"/>
  <c r="AA335" i="43"/>
  <c r="AR335" i="43" s="1"/>
  <c r="Z335" i="43"/>
  <c r="AB335" i="43"/>
  <c r="AS335" i="43" s="1"/>
  <c r="AA330" i="43"/>
  <c r="AR330" i="43" s="1"/>
  <c r="Z330" i="43"/>
  <c r="AB330" i="43"/>
  <c r="AS330" i="43" s="1"/>
  <c r="AA325" i="43"/>
  <c r="AR325" i="43" s="1"/>
  <c r="Z325" i="43"/>
  <c r="AB325" i="43"/>
  <c r="AS325" i="43" s="1"/>
  <c r="AA318" i="43"/>
  <c r="AR318" i="43" s="1"/>
  <c r="Z318" i="43"/>
  <c r="AB318" i="43"/>
  <c r="AS318" i="43" s="1"/>
  <c r="AA314" i="43"/>
  <c r="AR314" i="43" s="1"/>
  <c r="Z314" i="43"/>
  <c r="AB314" i="43"/>
  <c r="AS314" i="43" s="1"/>
  <c r="AA308" i="43"/>
  <c r="AR308" i="43" s="1"/>
  <c r="Z308" i="43"/>
  <c r="AB308" i="43"/>
  <c r="AS308" i="43" s="1"/>
  <c r="AA304" i="43"/>
  <c r="AR304" i="43" s="1"/>
  <c r="Z304" i="43"/>
  <c r="AB304" i="43"/>
  <c r="AS304" i="43" s="1"/>
  <c r="AA299" i="43"/>
  <c r="AR299" i="43" s="1"/>
  <c r="Z299" i="43"/>
  <c r="AB299" i="43"/>
  <c r="AS299" i="43" s="1"/>
  <c r="AA292" i="43"/>
  <c r="AR292" i="43" s="1"/>
  <c r="Z292" i="43"/>
  <c r="AB292" i="43"/>
  <c r="AS292" i="43" s="1"/>
  <c r="AA288" i="43"/>
  <c r="AR288" i="43" s="1"/>
  <c r="Z288" i="43"/>
  <c r="AB288" i="43"/>
  <c r="AS288" i="43" s="1"/>
  <c r="AA283" i="43"/>
  <c r="AR283" i="43" s="1"/>
  <c r="Z283" i="43"/>
  <c r="AB283" i="43"/>
  <c r="AS283" i="43" s="1"/>
  <c r="AA278" i="43"/>
  <c r="AR278" i="43" s="1"/>
  <c r="Z278" i="43"/>
  <c r="AB278" i="43"/>
  <c r="AS278" i="43" s="1"/>
  <c r="AA274" i="43"/>
  <c r="AR274" i="43" s="1"/>
  <c r="Z274" i="43"/>
  <c r="AB274" i="43"/>
  <c r="AS274" i="43" s="1"/>
  <c r="AA272" i="43"/>
  <c r="AR272" i="43" s="1"/>
  <c r="Z272" i="43"/>
  <c r="AB272" i="43"/>
  <c r="AS272" i="43" s="1"/>
  <c r="AA267" i="43"/>
  <c r="AR267" i="43" s="1"/>
  <c r="Z267" i="43"/>
  <c r="AB267" i="43"/>
  <c r="AS267" i="43" s="1"/>
  <c r="AA262" i="43"/>
  <c r="AR262" i="43" s="1"/>
  <c r="Z262" i="43"/>
  <c r="AB262" i="43"/>
  <c r="AS262" i="43" s="1"/>
  <c r="AA257" i="43"/>
  <c r="AR257" i="43" s="1"/>
  <c r="Z257" i="43"/>
  <c r="AB257" i="43"/>
  <c r="AS257" i="43" s="1"/>
  <c r="AA256" i="43"/>
  <c r="AR256" i="43" s="1"/>
  <c r="Z256" i="43"/>
  <c r="AB256" i="43"/>
  <c r="AS256" i="43" s="1"/>
  <c r="AA254" i="43"/>
  <c r="AR254" i="43" s="1"/>
  <c r="AR255" i="43" s="1"/>
  <c r="Z254" i="43"/>
  <c r="Z255" i="43" s="1"/>
  <c r="AB254" i="43"/>
  <c r="AS254" i="43" s="1"/>
  <c r="AS255" i="43" s="1"/>
  <c r="AA249" i="43"/>
  <c r="AR249" i="43" s="1"/>
  <c r="Z249" i="43"/>
  <c r="AB249" i="43"/>
  <c r="AS249" i="43" s="1"/>
  <c r="AA248" i="43"/>
  <c r="AR248" i="43" s="1"/>
  <c r="Z248" i="43"/>
  <c r="AB248" i="43"/>
  <c r="AS248" i="43" s="1"/>
  <c r="AB242" i="43"/>
  <c r="AS242" i="43" s="1"/>
  <c r="AA242" i="43"/>
  <c r="AR242" i="43" s="1"/>
  <c r="Z242" i="43"/>
  <c r="AB237" i="43"/>
  <c r="AS237" i="43" s="1"/>
  <c r="AA237" i="43"/>
  <c r="AR237" i="43" s="1"/>
  <c r="Z237" i="43"/>
  <c r="AB232" i="43"/>
  <c r="AS232" i="43" s="1"/>
  <c r="AA232" i="43"/>
  <c r="AR232" i="43" s="1"/>
  <c r="Z232" i="43"/>
  <c r="AB227" i="43"/>
  <c r="AS227" i="43" s="1"/>
  <c r="AA227" i="43"/>
  <c r="AR227" i="43" s="1"/>
  <c r="Z227" i="43"/>
  <c r="AB223" i="43"/>
  <c r="AS223" i="43" s="1"/>
  <c r="AA223" i="43"/>
  <c r="AR223" i="43" s="1"/>
  <c r="Z223" i="43"/>
  <c r="AB218" i="43"/>
  <c r="AS218" i="43" s="1"/>
  <c r="AA218" i="43"/>
  <c r="AR218" i="43" s="1"/>
  <c r="Z218" i="43"/>
  <c r="AB213" i="43"/>
  <c r="AS213" i="43" s="1"/>
  <c r="AA213" i="43"/>
  <c r="AR213" i="43" s="1"/>
  <c r="Z213" i="43"/>
  <c r="AB208" i="43"/>
  <c r="AS208" i="43" s="1"/>
  <c r="AA208" i="43"/>
  <c r="AR208" i="43" s="1"/>
  <c r="Z208" i="43"/>
  <c r="AB204" i="43"/>
  <c r="AS204" i="43" s="1"/>
  <c r="AA204" i="43"/>
  <c r="AR204" i="43" s="1"/>
  <c r="Z204" i="43"/>
  <c r="AB199" i="43"/>
  <c r="AS199" i="43" s="1"/>
  <c r="AA199" i="43"/>
  <c r="AR199" i="43" s="1"/>
  <c r="Z199" i="43"/>
  <c r="AB194" i="43"/>
  <c r="AS194" i="43" s="1"/>
  <c r="AA194" i="43"/>
  <c r="AR194" i="43" s="1"/>
  <c r="Z194" i="43"/>
  <c r="AB189" i="43"/>
  <c r="AS189" i="43" s="1"/>
  <c r="AA189" i="43"/>
  <c r="AR189" i="43" s="1"/>
  <c r="Z189" i="43"/>
  <c r="AB185" i="43"/>
  <c r="AS185" i="43" s="1"/>
  <c r="AA185" i="43"/>
  <c r="AR185" i="43" s="1"/>
  <c r="Z185" i="43"/>
  <c r="AB183" i="43"/>
  <c r="AS183" i="43" s="1"/>
  <c r="Z183" i="43"/>
  <c r="AA183" i="43"/>
  <c r="AR183" i="43" s="1"/>
  <c r="AB179" i="43"/>
  <c r="AS179" i="43" s="1"/>
  <c r="Z179" i="43"/>
  <c r="AA179" i="43"/>
  <c r="AR179" i="43" s="1"/>
  <c r="AB174" i="43"/>
  <c r="AS174" i="43" s="1"/>
  <c r="Z174" i="43"/>
  <c r="AA174" i="43"/>
  <c r="AR174" i="43" s="1"/>
  <c r="AB169" i="43"/>
  <c r="AS169" i="43" s="1"/>
  <c r="Z169" i="43"/>
  <c r="AA169" i="43"/>
  <c r="AR169" i="43" s="1"/>
  <c r="AB164" i="43"/>
  <c r="AS164" i="43" s="1"/>
  <c r="Z164" i="43"/>
  <c r="AA164" i="43"/>
  <c r="AR164" i="43" s="1"/>
  <c r="AB158" i="43"/>
  <c r="AS158" i="43" s="1"/>
  <c r="Z158" i="43"/>
  <c r="AA158" i="43"/>
  <c r="AR158" i="43" s="1"/>
  <c r="AB153" i="43"/>
  <c r="AS153" i="43" s="1"/>
  <c r="Z153" i="43"/>
  <c r="AA153" i="43"/>
  <c r="AR153" i="43" s="1"/>
  <c r="AB149" i="43"/>
  <c r="AS149" i="43" s="1"/>
  <c r="Z149" i="43"/>
  <c r="AA149" i="43"/>
  <c r="AR149" i="43" s="1"/>
  <c r="AB144" i="43"/>
  <c r="AS144" i="43" s="1"/>
  <c r="Z144" i="43"/>
  <c r="AA144" i="43"/>
  <c r="AR144" i="43" s="1"/>
  <c r="AB139" i="43"/>
  <c r="AS139" i="43" s="1"/>
  <c r="Z139" i="43"/>
  <c r="AA139" i="43"/>
  <c r="AR139" i="43" s="1"/>
  <c r="AB138" i="43"/>
  <c r="AS138" i="43" s="1"/>
  <c r="AA138" i="43"/>
  <c r="AR138" i="43" s="1"/>
  <c r="Z138" i="43"/>
  <c r="AB133" i="43"/>
  <c r="AS133" i="43" s="1"/>
  <c r="AA133" i="43"/>
  <c r="AR133" i="43" s="1"/>
  <c r="Z133" i="43"/>
  <c r="AB128" i="43"/>
  <c r="AS128" i="43" s="1"/>
  <c r="AA128" i="43"/>
  <c r="AR128" i="43" s="1"/>
  <c r="Z128" i="43"/>
  <c r="AB124" i="43"/>
  <c r="AS124" i="43" s="1"/>
  <c r="AA124" i="43"/>
  <c r="AR124" i="43" s="1"/>
  <c r="Z124" i="43"/>
  <c r="AB118" i="43"/>
  <c r="AS118" i="43" s="1"/>
  <c r="AA118" i="43"/>
  <c r="AR118" i="43" s="1"/>
  <c r="Z118" i="43"/>
  <c r="AB112" i="43"/>
  <c r="AS112" i="43" s="1"/>
  <c r="AA112" i="43"/>
  <c r="AR112" i="43" s="1"/>
  <c r="Z112" i="43"/>
  <c r="AB106" i="43"/>
  <c r="AS106" i="43" s="1"/>
  <c r="AA106" i="43"/>
  <c r="AR106" i="43" s="1"/>
  <c r="Z106" i="43"/>
  <c r="AB101" i="43"/>
  <c r="AS101" i="43" s="1"/>
  <c r="AA101" i="43"/>
  <c r="AR101" i="43" s="1"/>
  <c r="Z101" i="43"/>
  <c r="AB95" i="43"/>
  <c r="AS95" i="43" s="1"/>
  <c r="AA95" i="43"/>
  <c r="AR95" i="43" s="1"/>
  <c r="Z95" i="43"/>
  <c r="AB90" i="43"/>
  <c r="AS90" i="43" s="1"/>
  <c r="AA90" i="43"/>
  <c r="AR90" i="43" s="1"/>
  <c r="Z90" i="43"/>
  <c r="AB84" i="43"/>
  <c r="AS84" i="43" s="1"/>
  <c r="AA84" i="43"/>
  <c r="AR84" i="43" s="1"/>
  <c r="Z84" i="43"/>
  <c r="AB82" i="43"/>
  <c r="AS82" i="43" s="1"/>
  <c r="AA82" i="43"/>
  <c r="AR82" i="43" s="1"/>
  <c r="Z82" i="43"/>
  <c r="AB76" i="43"/>
  <c r="AS76" i="43" s="1"/>
  <c r="AA76" i="43"/>
  <c r="AR76" i="43" s="1"/>
  <c r="Z76" i="43"/>
  <c r="AB68" i="43"/>
  <c r="AS68" i="43" s="1"/>
  <c r="Z68" i="43"/>
  <c r="AA68" i="43"/>
  <c r="AR68" i="43" s="1"/>
  <c r="AB63" i="43"/>
  <c r="AS63" i="43" s="1"/>
  <c r="Z63" i="43"/>
  <c r="AA63" i="43"/>
  <c r="AR63" i="43" s="1"/>
  <c r="AB57" i="43"/>
  <c r="AS57" i="43" s="1"/>
  <c r="AA57" i="43"/>
  <c r="AR57" i="43" s="1"/>
  <c r="Z57" i="43"/>
  <c r="AB52" i="43"/>
  <c r="AS52" i="43" s="1"/>
  <c r="Z52" i="43"/>
  <c r="AA52" i="43"/>
  <c r="AR52" i="43" s="1"/>
  <c r="AB46" i="43"/>
  <c r="AS46" i="43" s="1"/>
  <c r="Z46" i="43"/>
  <c r="AA46" i="43"/>
  <c r="AR46" i="43" s="1"/>
  <c r="AB39" i="43"/>
  <c r="AS39" i="43" s="1"/>
  <c r="AA39" i="43"/>
  <c r="AR39" i="43" s="1"/>
  <c r="Z39" i="43"/>
  <c r="AB32" i="43"/>
  <c r="AS32" i="43" s="1"/>
  <c r="AA32" i="43"/>
  <c r="AR32" i="43" s="1"/>
  <c r="Z32" i="43"/>
  <c r="AB25" i="43"/>
  <c r="AS25" i="43" s="1"/>
  <c r="AA25" i="43"/>
  <c r="AR25" i="43" s="1"/>
  <c r="Z25" i="43"/>
  <c r="AB20" i="43"/>
  <c r="AS20" i="43" s="1"/>
  <c r="AA20" i="43"/>
  <c r="AR20" i="43" s="1"/>
  <c r="Z20" i="43"/>
  <c r="AB451" i="43"/>
  <c r="AS451" i="43" s="1"/>
  <c r="AA451" i="43"/>
  <c r="AR451" i="43" s="1"/>
  <c r="Z451" i="43"/>
  <c r="AB446" i="43"/>
  <c r="AS446" i="43" s="1"/>
  <c r="AA446" i="43"/>
  <c r="AR446" i="43" s="1"/>
  <c r="Z446" i="43"/>
  <c r="AB441" i="43"/>
  <c r="AS441" i="43" s="1"/>
  <c r="AA441" i="43"/>
  <c r="AR441" i="43" s="1"/>
  <c r="Z441" i="43"/>
  <c r="AB436" i="43"/>
  <c r="AS436" i="43" s="1"/>
  <c r="AA436" i="43"/>
  <c r="AR436" i="43" s="1"/>
  <c r="Z436" i="43"/>
  <c r="AB432" i="43"/>
  <c r="AS432" i="43" s="1"/>
  <c r="AA432" i="43"/>
  <c r="AR432" i="43" s="1"/>
  <c r="Z432" i="43"/>
  <c r="AB427" i="43"/>
  <c r="AS427" i="43" s="1"/>
  <c r="AA427" i="43"/>
  <c r="AR427" i="43" s="1"/>
  <c r="Z427" i="43"/>
  <c r="AB422" i="43"/>
  <c r="AS422" i="43" s="1"/>
  <c r="AA422" i="43"/>
  <c r="AR422" i="43" s="1"/>
  <c r="Z422" i="43"/>
  <c r="AB418" i="43"/>
  <c r="AS418" i="43" s="1"/>
  <c r="AA418" i="43"/>
  <c r="AR418" i="43" s="1"/>
  <c r="Z418" i="43"/>
  <c r="AB413" i="43"/>
  <c r="AS413" i="43" s="1"/>
  <c r="AA413" i="43"/>
  <c r="AR413" i="43" s="1"/>
  <c r="Z413" i="43"/>
  <c r="AB408" i="43"/>
  <c r="AS408" i="43" s="1"/>
  <c r="AA408" i="43"/>
  <c r="AR408" i="43" s="1"/>
  <c r="Z408" i="43"/>
  <c r="AB403" i="43"/>
  <c r="AS403" i="43" s="1"/>
  <c r="AA403" i="43"/>
  <c r="AR403" i="43" s="1"/>
  <c r="Z403" i="43"/>
  <c r="AB398" i="43"/>
  <c r="AS398" i="43" s="1"/>
  <c r="AA398" i="43"/>
  <c r="AR398" i="43" s="1"/>
  <c r="Z398" i="43"/>
  <c r="AB393" i="43"/>
  <c r="AS393" i="43" s="1"/>
  <c r="AA393" i="43"/>
  <c r="AR393" i="43" s="1"/>
  <c r="Z393" i="43"/>
  <c r="AB389" i="43"/>
  <c r="AS389" i="43" s="1"/>
  <c r="AA389" i="43"/>
  <c r="AR389" i="43" s="1"/>
  <c r="Z389" i="43"/>
  <c r="AB382" i="43"/>
  <c r="AS382" i="43" s="1"/>
  <c r="AA382" i="43"/>
  <c r="AR382" i="43" s="1"/>
  <c r="Z382" i="43"/>
  <c r="AB378" i="43"/>
  <c r="AS378" i="43" s="1"/>
  <c r="AA378" i="43"/>
  <c r="AR378" i="43" s="1"/>
  <c r="Z378" i="43"/>
  <c r="AB372" i="43"/>
  <c r="AS372" i="43" s="1"/>
  <c r="AA372" i="43"/>
  <c r="AR372" i="43" s="1"/>
  <c r="Z372" i="43"/>
  <c r="AB365" i="43"/>
  <c r="AS365" i="43" s="1"/>
  <c r="AA365" i="43"/>
  <c r="AR365" i="43" s="1"/>
  <c r="Z365" i="43"/>
  <c r="AB360" i="43"/>
  <c r="AS360" i="43" s="1"/>
  <c r="AA360" i="43"/>
  <c r="AR360" i="43" s="1"/>
  <c r="Z360" i="43"/>
  <c r="AB359" i="43"/>
  <c r="AS359" i="43" s="1"/>
  <c r="AA359" i="43"/>
  <c r="AR359" i="43" s="1"/>
  <c r="Z359" i="43"/>
  <c r="AB354" i="43"/>
  <c r="AS354" i="43" s="1"/>
  <c r="AA354" i="43"/>
  <c r="AR354" i="43" s="1"/>
  <c r="Z354" i="43"/>
  <c r="AA349" i="43"/>
  <c r="AR349" i="43" s="1"/>
  <c r="Z349" i="43"/>
  <c r="AB349" i="43"/>
  <c r="AS349" i="43" s="1"/>
  <c r="AA343" i="43"/>
  <c r="AR343" i="43" s="1"/>
  <c r="Z343" i="43"/>
  <c r="AB343" i="43"/>
  <c r="AS343" i="43" s="1"/>
  <c r="AA338" i="43"/>
  <c r="AR338" i="43" s="1"/>
  <c r="Z338" i="43"/>
  <c r="AB338" i="43"/>
  <c r="AS338" i="43" s="1"/>
  <c r="AA334" i="43"/>
  <c r="AR334" i="43" s="1"/>
  <c r="Z334" i="43"/>
  <c r="AB334" i="43"/>
  <c r="AS334" i="43" s="1"/>
  <c r="AA329" i="43"/>
  <c r="AR329" i="43" s="1"/>
  <c r="Z329" i="43"/>
  <c r="AB329" i="43"/>
  <c r="AS329" i="43" s="1"/>
  <c r="AA323" i="43"/>
  <c r="AR323" i="43" s="1"/>
  <c r="Z323" i="43"/>
  <c r="AB323" i="43"/>
  <c r="AS323" i="43" s="1"/>
  <c r="AA317" i="43"/>
  <c r="AR317" i="43" s="1"/>
  <c r="Z317" i="43"/>
  <c r="AB317" i="43"/>
  <c r="AS317" i="43" s="1"/>
  <c r="AA312" i="43"/>
  <c r="AR312" i="43" s="1"/>
  <c r="Z312" i="43"/>
  <c r="AB312" i="43"/>
  <c r="AS312" i="43" s="1"/>
  <c r="AA307" i="43"/>
  <c r="AR307" i="43" s="1"/>
  <c r="Z307" i="43"/>
  <c r="AB307" i="43"/>
  <c r="AS307" i="43" s="1"/>
  <c r="AA303" i="43"/>
  <c r="AR303" i="43" s="1"/>
  <c r="Z303" i="43"/>
  <c r="AB303" i="43"/>
  <c r="AS303" i="43" s="1"/>
  <c r="AA298" i="43"/>
  <c r="AR298" i="43" s="1"/>
  <c r="Z298" i="43"/>
  <c r="AB298" i="43"/>
  <c r="AS298" i="43" s="1"/>
  <c r="AA291" i="43"/>
  <c r="AR291" i="43" s="1"/>
  <c r="Z291" i="43"/>
  <c r="AB291" i="43"/>
  <c r="AS291" i="43" s="1"/>
  <c r="AA287" i="43"/>
  <c r="AR287" i="43" s="1"/>
  <c r="Z287" i="43"/>
  <c r="AB287" i="43"/>
  <c r="AS287" i="43" s="1"/>
  <c r="AA282" i="43"/>
  <c r="AR282" i="43" s="1"/>
  <c r="Z282" i="43"/>
  <c r="AB282" i="43"/>
  <c r="AS282" i="43" s="1"/>
  <c r="AA277" i="43"/>
  <c r="AR277" i="43" s="1"/>
  <c r="Z277" i="43"/>
  <c r="AB277" i="43"/>
  <c r="AS277" i="43" s="1"/>
  <c r="AA271" i="43"/>
  <c r="AR271" i="43" s="1"/>
  <c r="Z271" i="43"/>
  <c r="AB271" i="43"/>
  <c r="AS271" i="43" s="1"/>
  <c r="AA266" i="43"/>
  <c r="AR266" i="43" s="1"/>
  <c r="Z266" i="43"/>
  <c r="AB266" i="43"/>
  <c r="AS266" i="43" s="1"/>
  <c r="AA261" i="43"/>
  <c r="AR261" i="43" s="1"/>
  <c r="Z261" i="43"/>
  <c r="AB261" i="43"/>
  <c r="AS261" i="43" s="1"/>
  <c r="AA252" i="43"/>
  <c r="AR252" i="43" s="1"/>
  <c r="Z252" i="43"/>
  <c r="AB252" i="43"/>
  <c r="AS252" i="43" s="1"/>
  <c r="AA247" i="43"/>
  <c r="AR247" i="43" s="1"/>
  <c r="AB247" i="43"/>
  <c r="AS247" i="43" s="1"/>
  <c r="Z247" i="43"/>
  <c r="AB241" i="43"/>
  <c r="AS241" i="43" s="1"/>
  <c r="Z241" i="43"/>
  <c r="AA241" i="43"/>
  <c r="AR241" i="43" s="1"/>
  <c r="AB236" i="43"/>
  <c r="AS236" i="43" s="1"/>
  <c r="Z236" i="43"/>
  <c r="AA236" i="43"/>
  <c r="AR236" i="43" s="1"/>
  <c r="AB231" i="43"/>
  <c r="AS231" i="43" s="1"/>
  <c r="Z231" i="43"/>
  <c r="AA231" i="43"/>
  <c r="AR231" i="43" s="1"/>
  <c r="AB226" i="43"/>
  <c r="AS226" i="43" s="1"/>
  <c r="Z226" i="43"/>
  <c r="AA226" i="43"/>
  <c r="AR226" i="43" s="1"/>
  <c r="AB221" i="43"/>
  <c r="AS221" i="43" s="1"/>
  <c r="Z221" i="43"/>
  <c r="AA221" i="43"/>
  <c r="AR221" i="43" s="1"/>
  <c r="AB217" i="43"/>
  <c r="AS217" i="43" s="1"/>
  <c r="Z217" i="43"/>
  <c r="AA217" i="43"/>
  <c r="AR217" i="43" s="1"/>
  <c r="AB212" i="43"/>
  <c r="AS212" i="43" s="1"/>
  <c r="Z212" i="43"/>
  <c r="AA212" i="43"/>
  <c r="AR212" i="43" s="1"/>
  <c r="AB207" i="43"/>
  <c r="AS207" i="43" s="1"/>
  <c r="Z207" i="43"/>
  <c r="AA207" i="43"/>
  <c r="AR207" i="43" s="1"/>
  <c r="AB202" i="43"/>
  <c r="AS202" i="43" s="1"/>
  <c r="Z202" i="43"/>
  <c r="AA202" i="43"/>
  <c r="AR202" i="43" s="1"/>
  <c r="AB198" i="43"/>
  <c r="AS198" i="43" s="1"/>
  <c r="Z198" i="43"/>
  <c r="AA198" i="43"/>
  <c r="AR198" i="43" s="1"/>
  <c r="AB193" i="43"/>
  <c r="AS193" i="43" s="1"/>
  <c r="Z193" i="43"/>
  <c r="AA193" i="43"/>
  <c r="AR193" i="43" s="1"/>
  <c r="AB188" i="43"/>
  <c r="AS188" i="43" s="1"/>
  <c r="Z188" i="43"/>
  <c r="AA188" i="43"/>
  <c r="AR188" i="43" s="1"/>
  <c r="AB182" i="43"/>
  <c r="AS182" i="43" s="1"/>
  <c r="AA182" i="43"/>
  <c r="AR182" i="43" s="1"/>
  <c r="Z182" i="43"/>
  <c r="AB178" i="43"/>
  <c r="AS178" i="43" s="1"/>
  <c r="AA178" i="43"/>
  <c r="AR178" i="43" s="1"/>
  <c r="Z178" i="43"/>
  <c r="AB173" i="43"/>
  <c r="AS173" i="43" s="1"/>
  <c r="AA173" i="43"/>
  <c r="AR173" i="43" s="1"/>
  <c r="Z173" i="43"/>
  <c r="AB168" i="43"/>
  <c r="AS168" i="43" s="1"/>
  <c r="AA168" i="43"/>
  <c r="AR168" i="43" s="1"/>
  <c r="Z168" i="43"/>
  <c r="AB163" i="43"/>
  <c r="AS163" i="43" s="1"/>
  <c r="AA163" i="43"/>
  <c r="AR163" i="43" s="1"/>
  <c r="Z163" i="43"/>
  <c r="AB157" i="43"/>
  <c r="AS157" i="43" s="1"/>
  <c r="AA157" i="43"/>
  <c r="AR157" i="43" s="1"/>
  <c r="Z157" i="43"/>
  <c r="AB152" i="43"/>
  <c r="AS152" i="43" s="1"/>
  <c r="AA152" i="43"/>
  <c r="AR152" i="43" s="1"/>
  <c r="Z152" i="43"/>
  <c r="AB147" i="43"/>
  <c r="AS147" i="43" s="1"/>
  <c r="AA147" i="43"/>
  <c r="AR147" i="43" s="1"/>
  <c r="Z147" i="43"/>
  <c r="AB143" i="43"/>
  <c r="AS143" i="43" s="1"/>
  <c r="AA143" i="43"/>
  <c r="AR143" i="43" s="1"/>
  <c r="Z143" i="43"/>
  <c r="AB137" i="43"/>
  <c r="AS137" i="43" s="1"/>
  <c r="AA137" i="43"/>
  <c r="AR137" i="43" s="1"/>
  <c r="Z137" i="43"/>
  <c r="AB132" i="43"/>
  <c r="AS132" i="43" s="1"/>
  <c r="AA132" i="43"/>
  <c r="AR132" i="43" s="1"/>
  <c r="Z132" i="43"/>
  <c r="AB127" i="43"/>
  <c r="AS127" i="43" s="1"/>
  <c r="AA127" i="43"/>
  <c r="AR127" i="43" s="1"/>
  <c r="Z127" i="43"/>
  <c r="AB123" i="43"/>
  <c r="AS123" i="43" s="1"/>
  <c r="AA123" i="43"/>
  <c r="AR123" i="43" s="1"/>
  <c r="Z123" i="43"/>
  <c r="AB116" i="43"/>
  <c r="AS116" i="43" s="1"/>
  <c r="AA116" i="43"/>
  <c r="AR116" i="43" s="1"/>
  <c r="Z116" i="43"/>
  <c r="AB110" i="43"/>
  <c r="AS110" i="43" s="1"/>
  <c r="AA110" i="43"/>
  <c r="AR110" i="43" s="1"/>
  <c r="Z110" i="43"/>
  <c r="AB105" i="43"/>
  <c r="AS105" i="43" s="1"/>
  <c r="AA105" i="43"/>
  <c r="AR105" i="43" s="1"/>
  <c r="Z105" i="43"/>
  <c r="AB99" i="43"/>
  <c r="AS99" i="43" s="1"/>
  <c r="AA99" i="43"/>
  <c r="AR99" i="43" s="1"/>
  <c r="Z99" i="43"/>
  <c r="AB94" i="43"/>
  <c r="AS94" i="43" s="1"/>
  <c r="AA94" i="43"/>
  <c r="AR94" i="43" s="1"/>
  <c r="Z94" i="43"/>
  <c r="AB88" i="43"/>
  <c r="AS88" i="43" s="1"/>
  <c r="AA88" i="43"/>
  <c r="AR88" i="43" s="1"/>
  <c r="Z88" i="43"/>
  <c r="AB80" i="43"/>
  <c r="AS80" i="43" s="1"/>
  <c r="AA80" i="43"/>
  <c r="AR80" i="43" s="1"/>
  <c r="Z80" i="43"/>
  <c r="AB75" i="43"/>
  <c r="AS75" i="43" s="1"/>
  <c r="AA75" i="43"/>
  <c r="AR75" i="43" s="1"/>
  <c r="Z75" i="43"/>
  <c r="AB73" i="43"/>
  <c r="AS73" i="43" s="1"/>
  <c r="Z73" i="43"/>
  <c r="AA73" i="43"/>
  <c r="AR73" i="43" s="1"/>
  <c r="AB72" i="43"/>
  <c r="AS72" i="43" s="1"/>
  <c r="AA72" i="43"/>
  <c r="AR72" i="43" s="1"/>
  <c r="Z72" i="43"/>
  <c r="AB67" i="43"/>
  <c r="AS67" i="43" s="1"/>
  <c r="AA67" i="43"/>
  <c r="AR67" i="43" s="1"/>
  <c r="Z67" i="43"/>
  <c r="AB61" i="43"/>
  <c r="AS61" i="43" s="1"/>
  <c r="AA61" i="43"/>
  <c r="AR61" i="43" s="1"/>
  <c r="Z61" i="43"/>
  <c r="AB56" i="43"/>
  <c r="AS56" i="43" s="1"/>
  <c r="Z56" i="43"/>
  <c r="AA56" i="43"/>
  <c r="AR56" i="43" s="1"/>
  <c r="AB50" i="43"/>
  <c r="AS50" i="43" s="1"/>
  <c r="AA50" i="43"/>
  <c r="AR50" i="43" s="1"/>
  <c r="Z50" i="43"/>
  <c r="AB44" i="43"/>
  <c r="AS44" i="43" s="1"/>
  <c r="AA44" i="43"/>
  <c r="AR44" i="43" s="1"/>
  <c r="Z44" i="43"/>
  <c r="AB37" i="43"/>
  <c r="AS37" i="43" s="1"/>
  <c r="AA37" i="43"/>
  <c r="AR37" i="43" s="1"/>
  <c r="Z37" i="43"/>
  <c r="AB31" i="43"/>
  <c r="AS31" i="43" s="1"/>
  <c r="AA31" i="43"/>
  <c r="AR31" i="43" s="1"/>
  <c r="Z31" i="43"/>
  <c r="AB29" i="43"/>
  <c r="AS29" i="43" s="1"/>
  <c r="AA29" i="43"/>
  <c r="AR29" i="43" s="1"/>
  <c r="Z29" i="43"/>
  <c r="AB24" i="43"/>
  <c r="AS24" i="43" s="1"/>
  <c r="AA24" i="43"/>
  <c r="AR24" i="43" s="1"/>
  <c r="Z24" i="43"/>
  <c r="AB19" i="43"/>
  <c r="AS19" i="43" s="1"/>
  <c r="AA19" i="43"/>
  <c r="AR19" i="43" s="1"/>
  <c r="Z19" i="43"/>
  <c r="AB17" i="43"/>
  <c r="AS17" i="43" s="1"/>
  <c r="AA17" i="43"/>
  <c r="AR17" i="43" s="1"/>
  <c r="Z17" i="43"/>
  <c r="AB450" i="43"/>
  <c r="AS450" i="43" s="1"/>
  <c r="AA450" i="43"/>
  <c r="AR450" i="43" s="1"/>
  <c r="Z450" i="43"/>
  <c r="AB444" i="43"/>
  <c r="AS444" i="43" s="1"/>
  <c r="AA444" i="43"/>
  <c r="AR444" i="43" s="1"/>
  <c r="Z444" i="43"/>
  <c r="AB440" i="43"/>
  <c r="AS440" i="43" s="1"/>
  <c r="AA440" i="43"/>
  <c r="AR440" i="43" s="1"/>
  <c r="Z440" i="43"/>
  <c r="AB435" i="43"/>
  <c r="AS435" i="43" s="1"/>
  <c r="AA435" i="43"/>
  <c r="AR435" i="43" s="1"/>
  <c r="Z435" i="43"/>
  <c r="AB430" i="43"/>
  <c r="AS430" i="43" s="1"/>
  <c r="AA430" i="43"/>
  <c r="AR430" i="43" s="1"/>
  <c r="Z430" i="43"/>
  <c r="AB426" i="43"/>
  <c r="AS426" i="43" s="1"/>
  <c r="AA426" i="43"/>
  <c r="AR426" i="43" s="1"/>
  <c r="Z426" i="43"/>
  <c r="AB421" i="43"/>
  <c r="AS421" i="43" s="1"/>
  <c r="AA421" i="43"/>
  <c r="AR421" i="43" s="1"/>
  <c r="Z421" i="43"/>
  <c r="AB416" i="43"/>
  <c r="AS416" i="43" s="1"/>
  <c r="AA416" i="43"/>
  <c r="AR416" i="43" s="1"/>
  <c r="Z416" i="43"/>
  <c r="AB412" i="43"/>
  <c r="AS412" i="43" s="1"/>
  <c r="AA412" i="43"/>
  <c r="AR412" i="43" s="1"/>
  <c r="Z412" i="43"/>
  <c r="AB407" i="43"/>
  <c r="AS407" i="43" s="1"/>
  <c r="AA407" i="43"/>
  <c r="AR407" i="43" s="1"/>
  <c r="Z407" i="43"/>
  <c r="AB402" i="43"/>
  <c r="AS402" i="43" s="1"/>
  <c r="AA402" i="43"/>
  <c r="AR402" i="43" s="1"/>
  <c r="Z402" i="43"/>
  <c r="AB397" i="43"/>
  <c r="AS397" i="43" s="1"/>
  <c r="AA397" i="43"/>
  <c r="AR397" i="43" s="1"/>
  <c r="Z397" i="43"/>
  <c r="AB392" i="43"/>
  <c r="AS392" i="43" s="1"/>
  <c r="AA392" i="43"/>
  <c r="AR392" i="43" s="1"/>
  <c r="Z392" i="43"/>
  <c r="AB388" i="43"/>
  <c r="AS388" i="43" s="1"/>
  <c r="AA388" i="43"/>
  <c r="AR388" i="43" s="1"/>
  <c r="Z388" i="43"/>
  <c r="AB381" i="43"/>
  <c r="AS381" i="43" s="1"/>
  <c r="AA381" i="43"/>
  <c r="AR381" i="43" s="1"/>
  <c r="Z381" i="43"/>
  <c r="AB376" i="43"/>
  <c r="AS376" i="43" s="1"/>
  <c r="AA376" i="43"/>
  <c r="AR376" i="43" s="1"/>
  <c r="Z376" i="43"/>
  <c r="AB371" i="43"/>
  <c r="AS371" i="43" s="1"/>
  <c r="AA371" i="43"/>
  <c r="AR371" i="43" s="1"/>
  <c r="Z371" i="43"/>
  <c r="AB369" i="43"/>
  <c r="AS369" i="43" s="1"/>
  <c r="AS370" i="43" s="1"/>
  <c r="AA369" i="43"/>
  <c r="AR369" i="43" s="1"/>
  <c r="AR370" i="43" s="1"/>
  <c r="Z369" i="43"/>
  <c r="Z370" i="43" s="1"/>
  <c r="AB363" i="43"/>
  <c r="AS363" i="43" s="1"/>
  <c r="AA363" i="43"/>
  <c r="AR363" i="43" s="1"/>
  <c r="Z363" i="43"/>
  <c r="AB358" i="43"/>
  <c r="AS358" i="43" s="1"/>
  <c r="AA358" i="43"/>
  <c r="AR358" i="43" s="1"/>
  <c r="Z358" i="43"/>
  <c r="AB353" i="43"/>
  <c r="AS353" i="43" s="1"/>
  <c r="AA353" i="43"/>
  <c r="AR353" i="43" s="1"/>
  <c r="Z353" i="43"/>
  <c r="AA348" i="43"/>
  <c r="AR348" i="43" s="1"/>
  <c r="Z348" i="43"/>
  <c r="AB348" i="43"/>
  <c r="AS348" i="43" s="1"/>
  <c r="AA342" i="43"/>
  <c r="AR342" i="43" s="1"/>
  <c r="Z342" i="43"/>
  <c r="AB342" i="43"/>
  <c r="AS342" i="43" s="1"/>
  <c r="AA337" i="43"/>
  <c r="AR337" i="43" s="1"/>
  <c r="Z337" i="43"/>
  <c r="AB337" i="43"/>
  <c r="AS337" i="43" s="1"/>
  <c r="AA333" i="43"/>
  <c r="AR333" i="43" s="1"/>
  <c r="Z333" i="43"/>
  <c r="AB333" i="43"/>
  <c r="AS333" i="43" s="1"/>
  <c r="AA327" i="43"/>
  <c r="AR327" i="43" s="1"/>
  <c r="Z327" i="43"/>
  <c r="AB327" i="43"/>
  <c r="AS327" i="43" s="1"/>
  <c r="AA322" i="43"/>
  <c r="AR322" i="43" s="1"/>
  <c r="Z322" i="43"/>
  <c r="AB322" i="43"/>
  <c r="AS322" i="43" s="1"/>
  <c r="AA316" i="43"/>
  <c r="AR316" i="43" s="1"/>
  <c r="Z316" i="43"/>
  <c r="AB316" i="43"/>
  <c r="AS316" i="43" s="1"/>
  <c r="AA311" i="43"/>
  <c r="AR311" i="43" s="1"/>
  <c r="Z311" i="43"/>
  <c r="AB311" i="43"/>
  <c r="AS311" i="43" s="1"/>
  <c r="AA306" i="43"/>
  <c r="AR306" i="43" s="1"/>
  <c r="Z306" i="43"/>
  <c r="AB306" i="43"/>
  <c r="AS306" i="43" s="1"/>
  <c r="AA301" i="43"/>
  <c r="AR301" i="43" s="1"/>
  <c r="Z301" i="43"/>
  <c r="AB301" i="43"/>
  <c r="AS301" i="43" s="1"/>
  <c r="AA297" i="43"/>
  <c r="AR297" i="43" s="1"/>
  <c r="Z297" i="43"/>
  <c r="AB297" i="43"/>
  <c r="AS297" i="43" s="1"/>
  <c r="AA290" i="43"/>
  <c r="AR290" i="43" s="1"/>
  <c r="Z290" i="43"/>
  <c r="AB290" i="43"/>
  <c r="AS290" i="43" s="1"/>
  <c r="AA286" i="43"/>
  <c r="AR286" i="43" s="1"/>
  <c r="Z286" i="43"/>
  <c r="AB286" i="43"/>
  <c r="AS286" i="43" s="1"/>
  <c r="AA281" i="43"/>
  <c r="AR281" i="43" s="1"/>
  <c r="Z281" i="43"/>
  <c r="AB281" i="43"/>
  <c r="AS281" i="43" s="1"/>
  <c r="AA276" i="43"/>
  <c r="AR276" i="43" s="1"/>
  <c r="Z276" i="43"/>
  <c r="AB276" i="43"/>
  <c r="AS276" i="43" s="1"/>
  <c r="AA270" i="43"/>
  <c r="AR270" i="43" s="1"/>
  <c r="Z270" i="43"/>
  <c r="AB270" i="43"/>
  <c r="AS270" i="43" s="1"/>
  <c r="AA265" i="43"/>
  <c r="AR265" i="43" s="1"/>
  <c r="Z265" i="43"/>
  <c r="AB265" i="43"/>
  <c r="AS265" i="43" s="1"/>
  <c r="AA260" i="43"/>
  <c r="AR260" i="43" s="1"/>
  <c r="Z260" i="43"/>
  <c r="AB260" i="43"/>
  <c r="AS260" i="43" s="1"/>
  <c r="AA251" i="43"/>
  <c r="AR251" i="43" s="1"/>
  <c r="Z251" i="43"/>
  <c r="AB251" i="43"/>
  <c r="AS251" i="43" s="1"/>
  <c r="AB245" i="43"/>
  <c r="AS245" i="43" s="1"/>
  <c r="Z245" i="43"/>
  <c r="AA245" i="43"/>
  <c r="AR245" i="43" s="1"/>
  <c r="AB244" i="43"/>
  <c r="AS244" i="43" s="1"/>
  <c r="AA244" i="43"/>
  <c r="AR244" i="43" s="1"/>
  <c r="Z244" i="43"/>
  <c r="AB239" i="43"/>
  <c r="AS239" i="43" s="1"/>
  <c r="AA239" i="43"/>
  <c r="AR239" i="43" s="1"/>
  <c r="Z239" i="43"/>
  <c r="AB235" i="43"/>
  <c r="AS235" i="43" s="1"/>
  <c r="AA235" i="43"/>
  <c r="AR235" i="43" s="1"/>
  <c r="Z235" i="43"/>
  <c r="AB230" i="43"/>
  <c r="AS230" i="43" s="1"/>
  <c r="AA230" i="43"/>
  <c r="AR230" i="43" s="1"/>
  <c r="Z230" i="43"/>
  <c r="AB225" i="43"/>
  <c r="AS225" i="43" s="1"/>
  <c r="AA225" i="43"/>
  <c r="AR225" i="43" s="1"/>
  <c r="Z225" i="43"/>
  <c r="AB220" i="43"/>
  <c r="AS220" i="43" s="1"/>
  <c r="AA220" i="43"/>
  <c r="AR220" i="43" s="1"/>
  <c r="Z220" i="43"/>
  <c r="AB215" i="43"/>
  <c r="AS215" i="43" s="1"/>
  <c r="AA215" i="43"/>
  <c r="AR215" i="43" s="1"/>
  <c r="Z215" i="43"/>
  <c r="AB211" i="43"/>
  <c r="AS211" i="43" s="1"/>
  <c r="AA211" i="43"/>
  <c r="AR211" i="43" s="1"/>
  <c r="Z211" i="43"/>
  <c r="AB206" i="43"/>
  <c r="AS206" i="43" s="1"/>
  <c r="AA206" i="43"/>
  <c r="AR206" i="43" s="1"/>
  <c r="Z206" i="43"/>
  <c r="AB201" i="43"/>
  <c r="AS201" i="43" s="1"/>
  <c r="AA201" i="43"/>
  <c r="AR201" i="43" s="1"/>
  <c r="Z201" i="43"/>
  <c r="AB196" i="43"/>
  <c r="AS196" i="43" s="1"/>
  <c r="AA196" i="43"/>
  <c r="AR196" i="43" s="1"/>
  <c r="Z196" i="43"/>
  <c r="AB192" i="43"/>
  <c r="AS192" i="43" s="1"/>
  <c r="AA192" i="43"/>
  <c r="AR192" i="43" s="1"/>
  <c r="Z192" i="43"/>
  <c r="AB187" i="43"/>
  <c r="AS187" i="43" s="1"/>
  <c r="AA187" i="43"/>
  <c r="AR187" i="43" s="1"/>
  <c r="Z187" i="43"/>
  <c r="AB181" i="43"/>
  <c r="AS181" i="43" s="1"/>
  <c r="AA181" i="43"/>
  <c r="AR181" i="43" s="1"/>
  <c r="Z181" i="43"/>
  <c r="AB176" i="43"/>
  <c r="AS176" i="43" s="1"/>
  <c r="AA176" i="43"/>
  <c r="AR176" i="43" s="1"/>
  <c r="Z176" i="43"/>
  <c r="AB172" i="43"/>
  <c r="AS172" i="43" s="1"/>
  <c r="AA172" i="43"/>
  <c r="AR172" i="43" s="1"/>
  <c r="Z172" i="43"/>
  <c r="AB167" i="43"/>
  <c r="AS167" i="43" s="1"/>
  <c r="AA167" i="43"/>
  <c r="AR167" i="43" s="1"/>
  <c r="Z167" i="43"/>
  <c r="AB161" i="43"/>
  <c r="AS161" i="43" s="1"/>
  <c r="AA161" i="43"/>
  <c r="AR161" i="43" s="1"/>
  <c r="Z161" i="43"/>
  <c r="AB156" i="43"/>
  <c r="AS156" i="43" s="1"/>
  <c r="AA156" i="43"/>
  <c r="AR156" i="43" s="1"/>
  <c r="Z156" i="43"/>
  <c r="AB151" i="43"/>
  <c r="AS151" i="43" s="1"/>
  <c r="AA151" i="43"/>
  <c r="AR151" i="43" s="1"/>
  <c r="Z151" i="43"/>
  <c r="AB146" i="43"/>
  <c r="AS146" i="43" s="1"/>
  <c r="AA146" i="43"/>
  <c r="AR146" i="43" s="1"/>
  <c r="Z146" i="43"/>
  <c r="AB141" i="43"/>
  <c r="AS141" i="43" s="1"/>
  <c r="AA141" i="43"/>
  <c r="AR141" i="43" s="1"/>
  <c r="Z141" i="43"/>
  <c r="AB135" i="43"/>
  <c r="AS135" i="43" s="1"/>
  <c r="AA135" i="43"/>
  <c r="AR135" i="43" s="1"/>
  <c r="Z135" i="43"/>
  <c r="AB131" i="43"/>
  <c r="AS131" i="43" s="1"/>
  <c r="AA131" i="43"/>
  <c r="AR131" i="43" s="1"/>
  <c r="Z131" i="43"/>
  <c r="AB126" i="43"/>
  <c r="AS126" i="43" s="1"/>
  <c r="AA126" i="43"/>
  <c r="AR126" i="43" s="1"/>
  <c r="Z126" i="43"/>
  <c r="AB121" i="43"/>
  <c r="AS121" i="43" s="1"/>
  <c r="AA121" i="43"/>
  <c r="AR121" i="43" s="1"/>
  <c r="Z121" i="43"/>
  <c r="AB115" i="43"/>
  <c r="AS115" i="43" s="1"/>
  <c r="AS117" i="43" s="1"/>
  <c r="AA115" i="43"/>
  <c r="AR115" i="43" s="1"/>
  <c r="AR117" i="43" s="1"/>
  <c r="Z115" i="43"/>
  <c r="AB109" i="43"/>
  <c r="AS109" i="43" s="1"/>
  <c r="AA109" i="43"/>
  <c r="AR109" i="43" s="1"/>
  <c r="Z109" i="43"/>
  <c r="AB104" i="43"/>
  <c r="AS104" i="43" s="1"/>
  <c r="AS107" i="43" s="1"/>
  <c r="AA104" i="43"/>
  <c r="AR104" i="43" s="1"/>
  <c r="AR107" i="43" s="1"/>
  <c r="Z104" i="43"/>
  <c r="AB98" i="43"/>
  <c r="AS98" i="43" s="1"/>
  <c r="AA98" i="43"/>
  <c r="AR98" i="43" s="1"/>
  <c r="Z98" i="43"/>
  <c r="AB93" i="43"/>
  <c r="AS93" i="43" s="1"/>
  <c r="AS96" i="43" s="1"/>
  <c r="AA93" i="43"/>
  <c r="AR93" i="43" s="1"/>
  <c r="AR96" i="43" s="1"/>
  <c r="Z93" i="43"/>
  <c r="AB87" i="43"/>
  <c r="AS87" i="43" s="1"/>
  <c r="AA87" i="43"/>
  <c r="AR87" i="43" s="1"/>
  <c r="Z87" i="43"/>
  <c r="AB79" i="43"/>
  <c r="AS79" i="43" s="1"/>
  <c r="AS81" i="43" s="1"/>
  <c r="Z79" i="43"/>
  <c r="AA79" i="43"/>
  <c r="AR79" i="43" s="1"/>
  <c r="AB71" i="43"/>
  <c r="AS71" i="43" s="1"/>
  <c r="AA71" i="43"/>
  <c r="AR71" i="43" s="1"/>
  <c r="Z71" i="43"/>
  <c r="AB65" i="43"/>
  <c r="AS65" i="43" s="1"/>
  <c r="AA65" i="43"/>
  <c r="AR65" i="43" s="1"/>
  <c r="Z65" i="43"/>
  <c r="AB60" i="43"/>
  <c r="AS60" i="43" s="1"/>
  <c r="AA60" i="43"/>
  <c r="AR60" i="43" s="1"/>
  <c r="Z60" i="43"/>
  <c r="AB55" i="43"/>
  <c r="AS55" i="43" s="1"/>
  <c r="AA55" i="43"/>
  <c r="AR55" i="43" s="1"/>
  <c r="Z55" i="43"/>
  <c r="AB49" i="43"/>
  <c r="AS49" i="43" s="1"/>
  <c r="AA49" i="43"/>
  <c r="AR49" i="43" s="1"/>
  <c r="Z49" i="43"/>
  <c r="AB43" i="43"/>
  <c r="AS43" i="43" s="1"/>
  <c r="AA43" i="43"/>
  <c r="AR43" i="43" s="1"/>
  <c r="Z43" i="43"/>
  <c r="AB42" i="43"/>
  <c r="AS42" i="43" s="1"/>
  <c r="AA42" i="43"/>
  <c r="AR42" i="43" s="1"/>
  <c r="Z42" i="43"/>
  <c r="AB35" i="43"/>
  <c r="AS35" i="43" s="1"/>
  <c r="AA35" i="43"/>
  <c r="AR35" i="43" s="1"/>
  <c r="Z35" i="43"/>
  <c r="AB28" i="43"/>
  <c r="AS28" i="43" s="1"/>
  <c r="Z28" i="43"/>
  <c r="AA28" i="43"/>
  <c r="AR28" i="43" s="1"/>
  <c r="AB23" i="43"/>
  <c r="AS23" i="43" s="1"/>
  <c r="AA23" i="43"/>
  <c r="AR23" i="43" s="1"/>
  <c r="Z23" i="43"/>
  <c r="AB454" i="43"/>
  <c r="AS454" i="43" s="1"/>
  <c r="AA454" i="43"/>
  <c r="AR454" i="43" s="1"/>
  <c r="Z454" i="43"/>
  <c r="AB449" i="43"/>
  <c r="AS449" i="43" s="1"/>
  <c r="AA449" i="43"/>
  <c r="AR449" i="43" s="1"/>
  <c r="Z449" i="43"/>
  <c r="AB443" i="43"/>
  <c r="AS443" i="43" s="1"/>
  <c r="AA443" i="43"/>
  <c r="AR443" i="43" s="1"/>
  <c r="Z443" i="43"/>
  <c r="AB439" i="43"/>
  <c r="AS439" i="43" s="1"/>
  <c r="AA439" i="43"/>
  <c r="AR439" i="43" s="1"/>
  <c r="Z439" i="43"/>
  <c r="AB434" i="43"/>
  <c r="AS434" i="43" s="1"/>
  <c r="AA434" i="43"/>
  <c r="AR434" i="43" s="1"/>
  <c r="Z434" i="43"/>
  <c r="AB429" i="43"/>
  <c r="AS429" i="43" s="1"/>
  <c r="AA429" i="43"/>
  <c r="AR429" i="43" s="1"/>
  <c r="Z429" i="43"/>
  <c r="AB425" i="43"/>
  <c r="AS425" i="43" s="1"/>
  <c r="AA425" i="43"/>
  <c r="AR425" i="43" s="1"/>
  <c r="Z425" i="43"/>
  <c r="AB420" i="43"/>
  <c r="AS420" i="43" s="1"/>
  <c r="AA420" i="43"/>
  <c r="AR420" i="43" s="1"/>
  <c r="Z420" i="43"/>
  <c r="AB415" i="43"/>
  <c r="AS415" i="43" s="1"/>
  <c r="AA415" i="43"/>
  <c r="AR415" i="43" s="1"/>
  <c r="Z415" i="43"/>
  <c r="AB411" i="43"/>
  <c r="AS411" i="43" s="1"/>
  <c r="AA411" i="43"/>
  <c r="AR411" i="43" s="1"/>
  <c r="Z411" i="43"/>
  <c r="AB406" i="43"/>
  <c r="AS406" i="43" s="1"/>
  <c r="AA406" i="43"/>
  <c r="AR406" i="43" s="1"/>
  <c r="Z406" i="43"/>
  <c r="AB400" i="43"/>
  <c r="AS400" i="43" s="1"/>
  <c r="AA400" i="43"/>
  <c r="AR400" i="43" s="1"/>
  <c r="Z400" i="43"/>
  <c r="AB396" i="43"/>
  <c r="AS396" i="43" s="1"/>
  <c r="AA396" i="43"/>
  <c r="AR396" i="43" s="1"/>
  <c r="Z396" i="43"/>
  <c r="AB391" i="43"/>
  <c r="AS391" i="43" s="1"/>
  <c r="AA391" i="43"/>
  <c r="AR391" i="43" s="1"/>
  <c r="Z391" i="43"/>
  <c r="AB386" i="43"/>
  <c r="AS386" i="43" s="1"/>
  <c r="AA386" i="43"/>
  <c r="AR386" i="43" s="1"/>
  <c r="Z386" i="43"/>
  <c r="AB380" i="43"/>
  <c r="AS380" i="43" s="1"/>
  <c r="AA380" i="43"/>
  <c r="AR380" i="43" s="1"/>
  <c r="Z380" i="43"/>
  <c r="AB375" i="43"/>
  <c r="AS375" i="43" s="1"/>
  <c r="AA375" i="43"/>
  <c r="AR375" i="43" s="1"/>
  <c r="Z375" i="43"/>
  <c r="AB374" i="43"/>
  <c r="AS374" i="43" s="1"/>
  <c r="AA374" i="43"/>
  <c r="AR374" i="43" s="1"/>
  <c r="Z374" i="43"/>
  <c r="AB367" i="43"/>
  <c r="AS367" i="43" s="1"/>
  <c r="AA367" i="43"/>
  <c r="AR367" i="43" s="1"/>
  <c r="Z367" i="43"/>
  <c r="AB362" i="43"/>
  <c r="AS362" i="43" s="1"/>
  <c r="AA362" i="43"/>
  <c r="AR362" i="43" s="1"/>
  <c r="Z362" i="43"/>
  <c r="AB356" i="43"/>
  <c r="AS356" i="43" s="1"/>
  <c r="AA356" i="43"/>
  <c r="AR356" i="43" s="1"/>
  <c r="Z356" i="43"/>
  <c r="AA351" i="43"/>
  <c r="AR351" i="43" s="1"/>
  <c r="Z351" i="43"/>
  <c r="AB351" i="43"/>
  <c r="AS351" i="43" s="1"/>
  <c r="AA347" i="43"/>
  <c r="AR347" i="43" s="1"/>
  <c r="Z347" i="43"/>
  <c r="AB347" i="43"/>
  <c r="AS347" i="43" s="1"/>
  <c r="AA341" i="43"/>
  <c r="AR341" i="43" s="1"/>
  <c r="Z341" i="43"/>
  <c r="AB341" i="43"/>
  <c r="AS341" i="43" s="1"/>
  <c r="AA336" i="43"/>
  <c r="AR336" i="43" s="1"/>
  <c r="Z336" i="43"/>
  <c r="AB336" i="43"/>
  <c r="AS336" i="43" s="1"/>
  <c r="AA332" i="43"/>
  <c r="AR332" i="43" s="1"/>
  <c r="Z332" i="43"/>
  <c r="AB332" i="43"/>
  <c r="AS332" i="43" s="1"/>
  <c r="AA326" i="43"/>
  <c r="AR326" i="43" s="1"/>
  <c r="Z326" i="43"/>
  <c r="AB326" i="43"/>
  <c r="AS326" i="43" s="1"/>
  <c r="AA320" i="43"/>
  <c r="AR320" i="43" s="1"/>
  <c r="AR321" i="43" s="1"/>
  <c r="Z320" i="43"/>
  <c r="AB320" i="43"/>
  <c r="AS320" i="43" s="1"/>
  <c r="AS321" i="43" s="1"/>
  <c r="AA315" i="43"/>
  <c r="AR315" i="43" s="1"/>
  <c r="Z315" i="43"/>
  <c r="AB315" i="43"/>
  <c r="AS315" i="43" s="1"/>
  <c r="AA310" i="43"/>
  <c r="AR310" i="43" s="1"/>
  <c r="Z310" i="43"/>
  <c r="AB310" i="43"/>
  <c r="AS310" i="43" s="1"/>
  <c r="AA305" i="43"/>
  <c r="AR305" i="43" s="1"/>
  <c r="Z305" i="43"/>
  <c r="AB305" i="43"/>
  <c r="AS305" i="43" s="1"/>
  <c r="AA300" i="43"/>
  <c r="AR300" i="43" s="1"/>
  <c r="Z300" i="43"/>
  <c r="AB300" i="43"/>
  <c r="AS300" i="43" s="1"/>
  <c r="AA296" i="43"/>
  <c r="AR296" i="43" s="1"/>
  <c r="Z296" i="43"/>
  <c r="AB296" i="43"/>
  <c r="AS296" i="43" s="1"/>
  <c r="AA294" i="43"/>
  <c r="AR294" i="43" s="1"/>
  <c r="AR295" i="43" s="1"/>
  <c r="Z294" i="43"/>
  <c r="Z295" i="43" s="1"/>
  <c r="AB294" i="43"/>
  <c r="AS294" i="43" s="1"/>
  <c r="AS295" i="43" s="1"/>
  <c r="AA289" i="43"/>
  <c r="AR289" i="43" s="1"/>
  <c r="Z289" i="43"/>
  <c r="AB289" i="43"/>
  <c r="AS289" i="43" s="1"/>
  <c r="AA284" i="43"/>
  <c r="AR284" i="43" s="1"/>
  <c r="Z284" i="43"/>
  <c r="AB284" i="43"/>
  <c r="AS284" i="43" s="1"/>
  <c r="AA279" i="43"/>
  <c r="AR279" i="43" s="1"/>
  <c r="Z279" i="43"/>
  <c r="AB279" i="43"/>
  <c r="AS279" i="43" s="1"/>
  <c r="AA275" i="43"/>
  <c r="AR275" i="43" s="1"/>
  <c r="Z275" i="43"/>
  <c r="AB275" i="43"/>
  <c r="AS275" i="43" s="1"/>
  <c r="AA268" i="43"/>
  <c r="AR268" i="43" s="1"/>
  <c r="Z268" i="43"/>
  <c r="AB268" i="43"/>
  <c r="AS268" i="43" s="1"/>
  <c r="AA264" i="43"/>
  <c r="AR264" i="43" s="1"/>
  <c r="Z264" i="43"/>
  <c r="AB264" i="43"/>
  <c r="AS264" i="43" s="1"/>
  <c r="AA258" i="43"/>
  <c r="AR258" i="43" s="1"/>
  <c r="Z258" i="43"/>
  <c r="AB258" i="43"/>
  <c r="AS258" i="43" s="1"/>
  <c r="AA250" i="43"/>
  <c r="AR250" i="43" s="1"/>
  <c r="Z250" i="43"/>
  <c r="AB250" i="43"/>
  <c r="AS250" i="43" s="1"/>
  <c r="AB243" i="43"/>
  <c r="AS243" i="43" s="1"/>
  <c r="AA243" i="43"/>
  <c r="AR243" i="43" s="1"/>
  <c r="Z243" i="43"/>
  <c r="AB238" i="43"/>
  <c r="AS238" i="43" s="1"/>
  <c r="AA238" i="43"/>
  <c r="AR238" i="43" s="1"/>
  <c r="Z238" i="43"/>
  <c r="AB233" i="43"/>
  <c r="AS233" i="43" s="1"/>
  <c r="AA233" i="43"/>
  <c r="AR233" i="43" s="1"/>
  <c r="Z233" i="43"/>
  <c r="AB229" i="43"/>
  <c r="AS229" i="43" s="1"/>
  <c r="AA229" i="43"/>
  <c r="AR229" i="43" s="1"/>
  <c r="Z229" i="43"/>
  <c r="AB224" i="43"/>
  <c r="AS224" i="43" s="1"/>
  <c r="AA224" i="43"/>
  <c r="AR224" i="43" s="1"/>
  <c r="Z224" i="43"/>
  <c r="AB219" i="43"/>
  <c r="AS219" i="43" s="1"/>
  <c r="AA219" i="43"/>
  <c r="AR219" i="43" s="1"/>
  <c r="Z219" i="43"/>
  <c r="AB214" i="43"/>
  <c r="AS214" i="43" s="1"/>
  <c r="AA214" i="43"/>
  <c r="AR214" i="43" s="1"/>
  <c r="Z214" i="43"/>
  <c r="AB209" i="43"/>
  <c r="AS209" i="43" s="1"/>
  <c r="AA209" i="43"/>
  <c r="AR209" i="43" s="1"/>
  <c r="Z209" i="43"/>
  <c r="AB205" i="43"/>
  <c r="AS205" i="43" s="1"/>
  <c r="AA205" i="43"/>
  <c r="AR205" i="43" s="1"/>
  <c r="Z205" i="43"/>
  <c r="AB200" i="43"/>
  <c r="AS200" i="43" s="1"/>
  <c r="AA200" i="43"/>
  <c r="AR200" i="43" s="1"/>
  <c r="Z200" i="43"/>
  <c r="AB195" i="43"/>
  <c r="AS195" i="43" s="1"/>
  <c r="AA195" i="43"/>
  <c r="AR195" i="43" s="1"/>
  <c r="Z195" i="43"/>
  <c r="AB190" i="43"/>
  <c r="AS190" i="43" s="1"/>
  <c r="AA190" i="43"/>
  <c r="AR190" i="43" s="1"/>
  <c r="Z190" i="43"/>
  <c r="AB186" i="43"/>
  <c r="AS186" i="43" s="1"/>
  <c r="AA186" i="43"/>
  <c r="AR186" i="43" s="1"/>
  <c r="Z186" i="43"/>
  <c r="AB180" i="43"/>
  <c r="AS180" i="43" s="1"/>
  <c r="AA180" i="43"/>
  <c r="AR180" i="43" s="1"/>
  <c r="Z180" i="43"/>
  <c r="AB175" i="43"/>
  <c r="AS175" i="43" s="1"/>
  <c r="AA175" i="43"/>
  <c r="AR175" i="43" s="1"/>
  <c r="Z175" i="43"/>
  <c r="AB170" i="43"/>
  <c r="AS170" i="43" s="1"/>
  <c r="AA170" i="43"/>
  <c r="AR170" i="43" s="1"/>
  <c r="Z170" i="43"/>
  <c r="AB166" i="43"/>
  <c r="AS166" i="43" s="1"/>
  <c r="AA166" i="43"/>
  <c r="AR166" i="43" s="1"/>
  <c r="Z166" i="43"/>
  <c r="AB160" i="43"/>
  <c r="AS160" i="43" s="1"/>
  <c r="AA160" i="43"/>
  <c r="AR160" i="43" s="1"/>
  <c r="Z160" i="43"/>
  <c r="AB155" i="43"/>
  <c r="AS155" i="43" s="1"/>
  <c r="AA155" i="43"/>
  <c r="AR155" i="43" s="1"/>
  <c r="Z155" i="43"/>
  <c r="AB150" i="43"/>
  <c r="AS150" i="43" s="1"/>
  <c r="AA150" i="43"/>
  <c r="AR150" i="43" s="1"/>
  <c r="Z150" i="43"/>
  <c r="AB145" i="43"/>
  <c r="AS145" i="43" s="1"/>
  <c r="AA145" i="43"/>
  <c r="AR145" i="43" s="1"/>
  <c r="Z145" i="43"/>
  <c r="AB140" i="43"/>
  <c r="AS140" i="43" s="1"/>
  <c r="AA140" i="43"/>
  <c r="AR140" i="43" s="1"/>
  <c r="Z140" i="43"/>
  <c r="AB134" i="43"/>
  <c r="AS134" i="43" s="1"/>
  <c r="Z134" i="43"/>
  <c r="AA134" i="43"/>
  <c r="AR134" i="43" s="1"/>
  <c r="AB130" i="43"/>
  <c r="AS130" i="43" s="1"/>
  <c r="Z130" i="43"/>
  <c r="AA130" i="43"/>
  <c r="AR130" i="43" s="1"/>
  <c r="AB125" i="43"/>
  <c r="AS125" i="43" s="1"/>
  <c r="Z125" i="43"/>
  <c r="AA125" i="43"/>
  <c r="AR125" i="43" s="1"/>
  <c r="AB119" i="43"/>
  <c r="AS119" i="43" s="1"/>
  <c r="Z119" i="43"/>
  <c r="AA119" i="43"/>
  <c r="AR119" i="43" s="1"/>
  <c r="AB113" i="43"/>
  <c r="AS113" i="43" s="1"/>
  <c r="Z113" i="43"/>
  <c r="AA113" i="43"/>
  <c r="AR113" i="43" s="1"/>
  <c r="AB108" i="43"/>
  <c r="AS108" i="43" s="1"/>
  <c r="Z108" i="43"/>
  <c r="AA108" i="43"/>
  <c r="AR108" i="43" s="1"/>
  <c r="AR111" i="43" s="1"/>
  <c r="AB102" i="43"/>
  <c r="AS102" i="43" s="1"/>
  <c r="Z102" i="43"/>
  <c r="AA102" i="43"/>
  <c r="AR102" i="43" s="1"/>
  <c r="AB97" i="43"/>
  <c r="AS97" i="43" s="1"/>
  <c r="Z97" i="43"/>
  <c r="AA97" i="43"/>
  <c r="AR97" i="43" s="1"/>
  <c r="AR100" i="43" s="1"/>
  <c r="AB91" i="43"/>
  <c r="AS91" i="43" s="1"/>
  <c r="Z91" i="43"/>
  <c r="AA91" i="43"/>
  <c r="AR91" i="43" s="1"/>
  <c r="AB86" i="43"/>
  <c r="AS86" i="43" s="1"/>
  <c r="Z86" i="43"/>
  <c r="AA86" i="43"/>
  <c r="AR86" i="43" s="1"/>
  <c r="AR89" i="43" s="1"/>
  <c r="AB77" i="43"/>
  <c r="AS77" i="43" s="1"/>
  <c r="AA77" i="43"/>
  <c r="AR77" i="43" s="1"/>
  <c r="Z77" i="43"/>
  <c r="AB70" i="43"/>
  <c r="AS70" i="43" s="1"/>
  <c r="AA70" i="43"/>
  <c r="AR70" i="43" s="1"/>
  <c r="Z70" i="43"/>
  <c r="AB64" i="43"/>
  <c r="AS64" i="43" s="1"/>
  <c r="AA64" i="43"/>
  <c r="AR64" i="43" s="1"/>
  <c r="Z64" i="43"/>
  <c r="AB59" i="43"/>
  <c r="AS59" i="43" s="1"/>
  <c r="AA59" i="43"/>
  <c r="AR59" i="43" s="1"/>
  <c r="Z59" i="43"/>
  <c r="AB53" i="43"/>
  <c r="AS53" i="43" s="1"/>
  <c r="AA53" i="43"/>
  <c r="AR53" i="43" s="1"/>
  <c r="Z53" i="43"/>
  <c r="AB47" i="43"/>
  <c r="AS47" i="43" s="1"/>
  <c r="AA47" i="43"/>
  <c r="AR47" i="43" s="1"/>
  <c r="Z47" i="43"/>
  <c r="AB40" i="43"/>
  <c r="AS40" i="43" s="1"/>
  <c r="Z40" i="43"/>
  <c r="AA40" i="43"/>
  <c r="AR40" i="43" s="1"/>
  <c r="AB33" i="43"/>
  <c r="AS33" i="43" s="1"/>
  <c r="Z33" i="43"/>
  <c r="AA33" i="43"/>
  <c r="AR33" i="43" s="1"/>
  <c r="AB26" i="43"/>
  <c r="AS26" i="43" s="1"/>
  <c r="AA26" i="43"/>
  <c r="AR26" i="43" s="1"/>
  <c r="Z26" i="43"/>
  <c r="AB21" i="43"/>
  <c r="AS21" i="43" s="1"/>
  <c r="AA21" i="43"/>
  <c r="AR21" i="43" s="1"/>
  <c r="Z21" i="43"/>
  <c r="S459" i="43"/>
  <c r="L13" i="45" s="1"/>
  <c r="T459" i="43"/>
  <c r="M13" i="45" s="1"/>
  <c r="AK459" i="43"/>
  <c r="AD13" i="45" s="1"/>
  <c r="AJ459" i="43"/>
  <c r="AC13" i="45" s="1"/>
  <c r="AC459" i="43"/>
  <c r="V13" i="45" s="1"/>
  <c r="AD459" i="43"/>
  <c r="W13" i="45" s="1"/>
  <c r="AB106" i="44"/>
  <c r="AA69" i="44"/>
  <c r="AA27" i="44"/>
  <c r="AA48" i="44"/>
  <c r="AA83" i="44"/>
  <c r="AA55" i="44"/>
  <c r="AA112" i="44"/>
  <c r="AA14" i="43"/>
  <c r="AR14" i="43" s="1"/>
  <c r="AA15" i="43"/>
  <c r="AR15" i="43" s="1"/>
  <c r="AA41" i="44"/>
  <c r="AA94" i="44"/>
  <c r="AA18" i="44"/>
  <c r="AA129" i="44"/>
  <c r="AA123" i="44"/>
  <c r="AA62" i="44"/>
  <c r="AA34" i="44"/>
  <c r="AA76" i="44"/>
  <c r="AA90" i="44"/>
  <c r="Z100" i="44"/>
  <c r="AN100" i="44"/>
  <c r="AB100" i="44"/>
  <c r="AF40" i="44"/>
  <c r="AO40" i="44" s="1"/>
  <c r="AF57" i="44"/>
  <c r="AO57" i="44" s="1"/>
  <c r="AF87" i="44"/>
  <c r="AO87" i="44" s="1"/>
  <c r="AF26" i="44"/>
  <c r="AO26" i="44" s="1"/>
  <c r="AF42" i="44"/>
  <c r="AO42" i="44" s="1"/>
  <c r="AF20" i="44"/>
  <c r="AO20" i="44" s="1"/>
  <c r="AW465" i="43"/>
  <c r="AP29" i="45" s="1"/>
  <c r="AW464" i="43"/>
  <c r="AW466" i="43"/>
  <c r="AF38" i="44"/>
  <c r="AO38" i="44" s="1"/>
  <c r="AF56" i="44"/>
  <c r="AO56" i="44" s="1"/>
  <c r="AF60" i="44"/>
  <c r="AO60" i="44" s="1"/>
  <c r="AF32" i="44"/>
  <c r="AO32" i="44" s="1"/>
  <c r="AW134" i="44"/>
  <c r="AN62" i="44"/>
  <c r="AF61" i="44"/>
  <c r="AO61" i="44" s="1"/>
  <c r="AF118" i="44"/>
  <c r="AO118" i="44" s="1"/>
  <c r="AN94" i="44"/>
  <c r="AW137" i="44"/>
  <c r="AW142" i="44"/>
  <c r="AW143" i="44"/>
  <c r="AW135" i="44"/>
  <c r="AW141" i="44"/>
  <c r="Z69" i="44"/>
  <c r="AF24" i="44"/>
  <c r="AO24" i="44" s="1"/>
  <c r="AF52" i="44"/>
  <c r="AO52" i="44" s="1"/>
  <c r="AF29" i="44"/>
  <c r="AO29" i="44" s="1"/>
  <c r="Z94" i="44"/>
  <c r="Z76" i="44"/>
  <c r="AF117" i="44"/>
  <c r="AO117" i="44" s="1"/>
  <c r="AF121" i="44"/>
  <c r="AO121" i="44" s="1"/>
  <c r="AF44" i="44"/>
  <c r="AO44" i="44" s="1"/>
  <c r="AN27" i="44"/>
  <c r="AB90" i="44"/>
  <c r="AN90" i="44"/>
  <c r="AB18" i="44"/>
  <c r="AB104" i="44"/>
  <c r="AN48" i="44"/>
  <c r="AF28" i="44"/>
  <c r="AO28" i="44" s="1"/>
  <c r="Z34" i="44"/>
  <c r="AN41" i="44"/>
  <c r="Z83" i="44"/>
  <c r="AN129" i="44"/>
  <c r="AB55" i="44"/>
  <c r="AN123" i="44"/>
  <c r="Z90" i="44"/>
  <c r="AF22" i="44"/>
  <c r="AO22" i="44" s="1"/>
  <c r="AB129" i="44"/>
  <c r="AB123" i="44"/>
  <c r="AF45" i="44"/>
  <c r="AO45" i="44" s="1"/>
  <c r="AB48" i="44"/>
  <c r="AB114" i="44"/>
  <c r="AN76" i="44"/>
  <c r="AN55" i="44"/>
  <c r="AB94" i="44"/>
  <c r="AN69" i="44"/>
  <c r="AB41" i="44"/>
  <c r="Z112" i="44"/>
  <c r="AF95" i="44"/>
  <c r="AO95" i="44" s="1"/>
  <c r="AN83" i="44"/>
  <c r="AF72" i="44"/>
  <c r="AO72" i="44" s="1"/>
  <c r="AB69" i="44"/>
  <c r="Z27" i="44"/>
  <c r="AN18" i="44"/>
  <c r="Z129" i="44"/>
  <c r="AN112" i="44"/>
  <c r="AF49" i="44"/>
  <c r="AO49" i="44" s="1"/>
  <c r="Z55" i="44"/>
  <c r="AF36" i="44"/>
  <c r="AO36" i="44" s="1"/>
  <c r="AB62" i="44"/>
  <c r="Z62" i="44"/>
  <c r="AB34" i="44"/>
  <c r="AB76" i="44"/>
  <c r="AF115" i="44"/>
  <c r="AO115" i="44" s="1"/>
  <c r="Z123" i="44"/>
  <c r="AN104" i="44"/>
  <c r="Z104" i="44"/>
  <c r="AB83" i="44"/>
  <c r="AF82" i="44"/>
  <c r="AO82" i="44" s="1"/>
  <c r="Z41" i="44"/>
  <c r="AB27" i="44"/>
  <c r="Z48" i="44"/>
  <c r="AF21" i="44"/>
  <c r="AO21" i="44" s="1"/>
  <c r="Z18" i="44"/>
  <c r="AB112" i="44"/>
  <c r="AF37" i="44"/>
  <c r="AO37" i="44" s="1"/>
  <c r="AN34" i="44"/>
  <c r="AF68" i="44"/>
  <c r="AO68" i="44" s="1"/>
  <c r="AF91" i="44"/>
  <c r="AO91" i="44" s="1"/>
  <c r="AF126" i="44"/>
  <c r="AO126" i="44" s="1"/>
  <c r="AF74" i="44"/>
  <c r="AO74" i="44" s="1"/>
  <c r="AF66" i="44"/>
  <c r="AO66" i="44" s="1"/>
  <c r="AF81" i="44"/>
  <c r="AO81" i="44" s="1"/>
  <c r="AF50" i="44"/>
  <c r="AO50" i="44" s="1"/>
  <c r="AF19" i="44"/>
  <c r="AO19" i="44" s="1"/>
  <c r="AF46" i="44"/>
  <c r="AO46" i="44" s="1"/>
  <c r="AF25" i="44"/>
  <c r="AO25" i="44" s="1"/>
  <c r="AF64" i="44"/>
  <c r="AO64" i="44" s="1"/>
  <c r="AF17" i="44"/>
  <c r="AO17" i="44" s="1"/>
  <c r="AF78" i="44"/>
  <c r="AO78" i="44" s="1"/>
  <c r="AF80" i="44"/>
  <c r="AO80" i="44" s="1"/>
  <c r="AF96" i="44"/>
  <c r="AO96" i="44" s="1"/>
  <c r="AF53" i="44"/>
  <c r="AO53" i="44" s="1"/>
  <c r="AF39" i="44"/>
  <c r="AO39" i="44" s="1"/>
  <c r="AF33" i="44"/>
  <c r="AO33" i="44" s="1"/>
  <c r="AF119" i="44"/>
  <c r="AO119" i="44" s="1"/>
  <c r="AF122" i="44"/>
  <c r="AO122" i="44" s="1"/>
  <c r="AF75" i="44"/>
  <c r="AO75" i="44" s="1"/>
  <c r="AF65" i="44"/>
  <c r="AO65" i="44" s="1"/>
  <c r="AF88" i="44"/>
  <c r="AO88" i="44" s="1"/>
  <c r="AF77" i="44"/>
  <c r="AO77" i="44" s="1"/>
  <c r="AF73" i="44"/>
  <c r="AO73" i="44" s="1"/>
  <c r="AF63" i="44"/>
  <c r="AO63" i="44" s="1"/>
  <c r="AF103" i="44"/>
  <c r="AO103" i="44" s="1"/>
  <c r="AF15" i="44"/>
  <c r="AO15" i="44" s="1"/>
  <c r="AF128" i="44"/>
  <c r="AO128" i="44" s="1"/>
  <c r="AF111" i="44"/>
  <c r="AO111" i="44" s="1"/>
  <c r="AF110" i="44"/>
  <c r="AO110" i="44" s="1"/>
  <c r="AF92" i="44"/>
  <c r="AO92" i="44" s="1"/>
  <c r="AF125" i="44"/>
  <c r="AO125" i="44" s="1"/>
  <c r="AF105" i="44"/>
  <c r="AO105" i="44" s="1"/>
  <c r="AO106" i="44" s="1"/>
  <c r="AF89" i="44"/>
  <c r="AO89" i="44" s="1"/>
  <c r="AF108" i="44"/>
  <c r="AO108" i="44" s="1"/>
  <c r="AF101" i="44"/>
  <c r="AO101" i="44" s="1"/>
  <c r="AF98" i="44"/>
  <c r="AO98" i="44" s="1"/>
  <c r="AF85" i="44"/>
  <c r="AO85" i="44" s="1"/>
  <c r="AF79" i="44"/>
  <c r="AO79" i="44" s="1"/>
  <c r="AF71" i="44"/>
  <c r="AO71" i="44" s="1"/>
  <c r="AF58" i="44"/>
  <c r="AO58" i="44" s="1"/>
  <c r="AF54" i="44"/>
  <c r="AO54" i="44" s="1"/>
  <c r="AF14" i="44"/>
  <c r="AO14" i="44" s="1"/>
  <c r="AF23" i="44"/>
  <c r="AO23" i="44" s="1"/>
  <c r="AF127" i="44"/>
  <c r="AO127" i="44" s="1"/>
  <c r="AF124" i="44"/>
  <c r="AO124" i="44" s="1"/>
  <c r="AF120" i="44"/>
  <c r="AO120" i="44" s="1"/>
  <c r="AF107" i="44"/>
  <c r="AO107" i="44" s="1"/>
  <c r="AF113" i="44"/>
  <c r="AO113" i="44" s="1"/>
  <c r="AO114" i="44" s="1"/>
  <c r="AF109" i="44"/>
  <c r="AO109" i="44" s="1"/>
  <c r="AF93" i="44"/>
  <c r="AO93" i="44" s="1"/>
  <c r="AF86" i="44"/>
  <c r="AO86" i="44" s="1"/>
  <c r="AF116" i="44"/>
  <c r="AO116" i="44" s="1"/>
  <c r="AF84" i="44"/>
  <c r="AO84" i="44" s="1"/>
  <c r="AF102" i="44"/>
  <c r="AO102" i="44" s="1"/>
  <c r="AF97" i="44"/>
  <c r="AO97" i="44" s="1"/>
  <c r="AF70" i="44"/>
  <c r="AO70" i="44" s="1"/>
  <c r="AF59" i="44"/>
  <c r="AO59" i="44" s="1"/>
  <c r="AF51" i="44"/>
  <c r="AO51" i="44" s="1"/>
  <c r="AF35" i="44"/>
  <c r="AO35" i="44" s="1"/>
  <c r="AF47" i="44"/>
  <c r="AO47" i="44" s="1"/>
  <c r="AF31" i="44"/>
  <c r="AO31" i="44" s="1"/>
  <c r="AF67" i="44"/>
  <c r="AO67" i="44" s="1"/>
  <c r="AF43" i="44"/>
  <c r="AO43" i="44" s="1"/>
  <c r="AF30" i="44"/>
  <c r="AO30" i="44" s="1"/>
  <c r="AF16" i="44"/>
  <c r="AO16" i="44" s="1"/>
  <c r="AF12" i="44"/>
  <c r="AO12" i="44" s="1"/>
  <c r="AO13" i="44" s="1"/>
  <c r="AN248" i="43"/>
  <c r="AU248" i="43" s="1"/>
  <c r="AM370" i="43"/>
  <c r="AM321" i="43"/>
  <c r="Y295" i="43"/>
  <c r="AN272" i="43"/>
  <c r="AU272" i="43" s="1"/>
  <c r="AN82" i="43"/>
  <c r="AU82" i="43" s="1"/>
  <c r="AN374" i="43"/>
  <c r="AU374" i="43" s="1"/>
  <c r="AN359" i="43"/>
  <c r="AU359" i="43" s="1"/>
  <c r="AM295" i="43"/>
  <c r="AN256" i="43"/>
  <c r="AU256" i="43" s="1"/>
  <c r="AM255" i="43"/>
  <c r="Y114" i="43"/>
  <c r="Y92" i="43"/>
  <c r="AN42" i="43"/>
  <c r="AU42" i="43" s="1"/>
  <c r="AE34" i="43"/>
  <c r="AN29" i="43"/>
  <c r="AU29" i="43" s="1"/>
  <c r="AM30" i="43"/>
  <c r="S462" i="43"/>
  <c r="AN384" i="43"/>
  <c r="AU384" i="43" s="1"/>
  <c r="Y370" i="43"/>
  <c r="Y321" i="43"/>
  <c r="AE295" i="43"/>
  <c r="AE255" i="43"/>
  <c r="AN72" i="43"/>
  <c r="AU72" i="43" s="1"/>
  <c r="Y255" i="43"/>
  <c r="AN183" i="43"/>
  <c r="AU183" i="43" s="1"/>
  <c r="Y81" i="43"/>
  <c r="AE370" i="43"/>
  <c r="AN366" i="43"/>
  <c r="AU366" i="43" s="1"/>
  <c r="AN344" i="43"/>
  <c r="AU344" i="43" s="1"/>
  <c r="AE321" i="43"/>
  <c r="AN244" i="43"/>
  <c r="AU244" i="43" s="1"/>
  <c r="AN138" i="43"/>
  <c r="AU138" i="43" s="1"/>
  <c r="AN73" i="43"/>
  <c r="AU73" i="43" s="1"/>
  <c r="AE455" i="43"/>
  <c r="AN407" i="43"/>
  <c r="AU407" i="43" s="1"/>
  <c r="AE387" i="43"/>
  <c r="AN382" i="43"/>
  <c r="AU382" i="43" s="1"/>
  <c r="AN276" i="43"/>
  <c r="AU276" i="43" s="1"/>
  <c r="AN247" i="43"/>
  <c r="AU247" i="43" s="1"/>
  <c r="AN188" i="43"/>
  <c r="AU188" i="43" s="1"/>
  <c r="AN180" i="43"/>
  <c r="AU180" i="43" s="1"/>
  <c r="AN176" i="43"/>
  <c r="AU176" i="43" s="1"/>
  <c r="AN175" i="43"/>
  <c r="AU175" i="43" s="1"/>
  <c r="AN152" i="43"/>
  <c r="AU152" i="43" s="1"/>
  <c r="AN126" i="43"/>
  <c r="AU126" i="43" s="1"/>
  <c r="AN91" i="43"/>
  <c r="AU91" i="43" s="1"/>
  <c r="AN75" i="43"/>
  <c r="AU75" i="43" s="1"/>
  <c r="AE66" i="43"/>
  <c r="AN59" i="43"/>
  <c r="AU59" i="43" s="1"/>
  <c r="AN50" i="43"/>
  <c r="AU50" i="43" s="1"/>
  <c r="AM51" i="43"/>
  <c r="Y455" i="43"/>
  <c r="AN437" i="43"/>
  <c r="AU437" i="43" s="1"/>
  <c r="AN415" i="43"/>
  <c r="AU415" i="43" s="1"/>
  <c r="AN390" i="43"/>
  <c r="AU390" i="43" s="1"/>
  <c r="AN336" i="43"/>
  <c r="AU336" i="43" s="1"/>
  <c r="AN326" i="43"/>
  <c r="AU326" i="43" s="1"/>
  <c r="AN300" i="43"/>
  <c r="AU300" i="43" s="1"/>
  <c r="AE114" i="43"/>
  <c r="AE100" i="43"/>
  <c r="AN94" i="43"/>
  <c r="AU94" i="43" s="1"/>
  <c r="AE92" i="43"/>
  <c r="AM69" i="43"/>
  <c r="AE69" i="43"/>
  <c r="AE62" i="43"/>
  <c r="Y54" i="43"/>
  <c r="AE51" i="43"/>
  <c r="AN189" i="43"/>
  <c r="AU189" i="43" s="1"/>
  <c r="AE54" i="43"/>
  <c r="AN429" i="43"/>
  <c r="AU429" i="43" s="1"/>
  <c r="AN421" i="43"/>
  <c r="AU421" i="43" s="1"/>
  <c r="AN346" i="43"/>
  <c r="AU346" i="43" s="1"/>
  <c r="AN342" i="43"/>
  <c r="AU342" i="43" s="1"/>
  <c r="AN316" i="43"/>
  <c r="AU316" i="43" s="1"/>
  <c r="AN312" i="43"/>
  <c r="AU312" i="43" s="1"/>
  <c r="AN308" i="43"/>
  <c r="AU308" i="43" s="1"/>
  <c r="AN232" i="43"/>
  <c r="AU232" i="43" s="1"/>
  <c r="AE234" i="43"/>
  <c r="AN158" i="43"/>
  <c r="AU158" i="43" s="1"/>
  <c r="Y154" i="43"/>
  <c r="AN144" i="43"/>
  <c r="AU144" i="43" s="1"/>
  <c r="AE142" i="43"/>
  <c r="AN119" i="43"/>
  <c r="AU119" i="43" s="1"/>
  <c r="AN116" i="43"/>
  <c r="AU116" i="43" s="1"/>
  <c r="AN105" i="43"/>
  <c r="AU105" i="43" s="1"/>
  <c r="AM107" i="43"/>
  <c r="AE103" i="43"/>
  <c r="Y96" i="43"/>
  <c r="AN84" i="43"/>
  <c r="AU84" i="43" s="1"/>
  <c r="AM66" i="43"/>
  <c r="AM58" i="43"/>
  <c r="AM48" i="43"/>
  <c r="Y38" i="43"/>
  <c r="Y34" i="43"/>
  <c r="AE30" i="43"/>
  <c r="AN354" i="43"/>
  <c r="AU354" i="43" s="1"/>
  <c r="AN251" i="43"/>
  <c r="AU251" i="43" s="1"/>
  <c r="AN243" i="43"/>
  <c r="AU243" i="43" s="1"/>
  <c r="AN239" i="43"/>
  <c r="AU239" i="43" s="1"/>
  <c r="AN207" i="43"/>
  <c r="AU207" i="43" s="1"/>
  <c r="AM117" i="43"/>
  <c r="AE85" i="43"/>
  <c r="AM85" i="43"/>
  <c r="Y85" i="43"/>
  <c r="AE22" i="43"/>
  <c r="AN279" i="43"/>
  <c r="AU279" i="43" s="1"/>
  <c r="AN187" i="43"/>
  <c r="AU187" i="43" s="1"/>
  <c r="AE129" i="43"/>
  <c r="AM114" i="43"/>
  <c r="AN86" i="43"/>
  <c r="AU86" i="43" s="1"/>
  <c r="AM74" i="43"/>
  <c r="AE48" i="43"/>
  <c r="AM45" i="43"/>
  <c r="AE45" i="43"/>
  <c r="Y41" i="43"/>
  <c r="Y30" i="43"/>
  <c r="AE269" i="43"/>
  <c r="AM148" i="43"/>
  <c r="AN376" i="43"/>
  <c r="AU376" i="43" s="1"/>
  <c r="AM319" i="43"/>
  <c r="Y309" i="43"/>
  <c r="AN292" i="43"/>
  <c r="AU292" i="43" s="1"/>
  <c r="AN288" i="43"/>
  <c r="AU288" i="43" s="1"/>
  <c r="AN275" i="43"/>
  <c r="AU275" i="43" s="1"/>
  <c r="AN146" i="43"/>
  <c r="AU146" i="43" s="1"/>
  <c r="Y103" i="43"/>
  <c r="AN98" i="43"/>
  <c r="AU98" i="43" s="1"/>
  <c r="Y89" i="43"/>
  <c r="AN21" i="43"/>
  <c r="AU21" i="43" s="1"/>
  <c r="AM22" i="43"/>
  <c r="AE18" i="43"/>
  <c r="AM452" i="43"/>
  <c r="Y280" i="43"/>
  <c r="AM228" i="43"/>
  <c r="AN396" i="43"/>
  <c r="AU396" i="43" s="1"/>
  <c r="AN427" i="43"/>
  <c r="AU427" i="43" s="1"/>
  <c r="AN419" i="43"/>
  <c r="AU419" i="43" s="1"/>
  <c r="AN330" i="43"/>
  <c r="AU330" i="43" s="1"/>
  <c r="AM331" i="43"/>
  <c r="AN291" i="43"/>
  <c r="AU291" i="43" s="1"/>
  <c r="AN287" i="43"/>
  <c r="AU287" i="43" s="1"/>
  <c r="Y285" i="43"/>
  <c r="Y259" i="43"/>
  <c r="AE154" i="43"/>
  <c r="AN106" i="43"/>
  <c r="AU106" i="43" s="1"/>
  <c r="AM103" i="43"/>
  <c r="AE89" i="43"/>
  <c r="AN87" i="43"/>
  <c r="AU87" i="43" s="1"/>
  <c r="AE81" i="43"/>
  <c r="AM41" i="43"/>
  <c r="AE27" i="43"/>
  <c r="AM364" i="43"/>
  <c r="AN451" i="43"/>
  <c r="AU451" i="43" s="1"/>
  <c r="AN443" i="43"/>
  <c r="AU443" i="43" s="1"/>
  <c r="AN436" i="43"/>
  <c r="AU436" i="43" s="1"/>
  <c r="AN433" i="43"/>
  <c r="AU433" i="43" s="1"/>
  <c r="AE377" i="43"/>
  <c r="AN334" i="43"/>
  <c r="AU334" i="43" s="1"/>
  <c r="AE313" i="43"/>
  <c r="AN264" i="43"/>
  <c r="AU264" i="43" s="1"/>
  <c r="Y228" i="43"/>
  <c r="AE216" i="43"/>
  <c r="AN164" i="43"/>
  <c r="AU164" i="43" s="1"/>
  <c r="AE136" i="43"/>
  <c r="Y129" i="43"/>
  <c r="AE111" i="43"/>
  <c r="AE96" i="43"/>
  <c r="AE78" i="43"/>
  <c r="AM62" i="43"/>
  <c r="AM54" i="43"/>
  <c r="Y48" i="43"/>
  <c r="AE38" i="43"/>
  <c r="AE148" i="43"/>
  <c r="AN132" i="43"/>
  <c r="AU132" i="43" s="1"/>
  <c r="Y136" i="43"/>
  <c r="AM122" i="43"/>
  <c r="AE122" i="43"/>
  <c r="Y117" i="43"/>
  <c r="AN112" i="43"/>
  <c r="AU112" i="43" s="1"/>
  <c r="AM78" i="43"/>
  <c r="AN76" i="43"/>
  <c r="AU76" i="43" s="1"/>
  <c r="AE74" i="43"/>
  <c r="Y69" i="43"/>
  <c r="Y66" i="43"/>
  <c r="AN56" i="43"/>
  <c r="AU56" i="43" s="1"/>
  <c r="Y58" i="43"/>
  <c r="AN47" i="43"/>
  <c r="AU47" i="43" s="1"/>
  <c r="AN43" i="43"/>
  <c r="AU43" i="43" s="1"/>
  <c r="AN39" i="43"/>
  <c r="AU39" i="43" s="1"/>
  <c r="AM34" i="43"/>
  <c r="AM27" i="43"/>
  <c r="Y27" i="43"/>
  <c r="Y22" i="43"/>
  <c r="AN449" i="43"/>
  <c r="AU449" i="43" s="1"/>
  <c r="AN435" i="43"/>
  <c r="AU435" i="43" s="1"/>
  <c r="AN398" i="43"/>
  <c r="AU398" i="43" s="1"/>
  <c r="Y383" i="43"/>
  <c r="AN362" i="43"/>
  <c r="AU362" i="43" s="1"/>
  <c r="AM324" i="43"/>
  <c r="AN304" i="43"/>
  <c r="AU304" i="43" s="1"/>
  <c r="AE273" i="43"/>
  <c r="AM177" i="43"/>
  <c r="AM142" i="43"/>
  <c r="AM136" i="43"/>
  <c r="AN124" i="43"/>
  <c r="AU124" i="43" s="1"/>
  <c r="AM129" i="43"/>
  <c r="AN109" i="43"/>
  <c r="AU109" i="43" s="1"/>
  <c r="Y107" i="43"/>
  <c r="AM100" i="43"/>
  <c r="AN93" i="43"/>
  <c r="AU93" i="43" s="1"/>
  <c r="AN88" i="43"/>
  <c r="AU88" i="43" s="1"/>
  <c r="AN80" i="43"/>
  <c r="AU80" i="43" s="1"/>
  <c r="AE58" i="43"/>
  <c r="Y51" i="43"/>
  <c r="AN44" i="43"/>
  <c r="AU44" i="43" s="1"/>
  <c r="AE41" i="43"/>
  <c r="AM38" i="43"/>
  <c r="AM18" i="43"/>
  <c r="Y18" i="43"/>
  <c r="AM89" i="43"/>
  <c r="AN97" i="43"/>
  <c r="AU97" i="43" s="1"/>
  <c r="AN454" i="43"/>
  <c r="AU454" i="43" s="1"/>
  <c r="AM455" i="43"/>
  <c r="AN441" i="43"/>
  <c r="AU441" i="43" s="1"/>
  <c r="AE445" i="43"/>
  <c r="AE431" i="43"/>
  <c r="AN423" i="43"/>
  <c r="AU423" i="43" s="1"/>
  <c r="AN413" i="43"/>
  <c r="AU413" i="43" s="1"/>
  <c r="AN296" i="43"/>
  <c r="AU296" i="43" s="1"/>
  <c r="AN204" i="43"/>
  <c r="AU204" i="43" s="1"/>
  <c r="AN196" i="43"/>
  <c r="AU196" i="43" s="1"/>
  <c r="AM197" i="43"/>
  <c r="AN169" i="43"/>
  <c r="AU169" i="43" s="1"/>
  <c r="Y148" i="43"/>
  <c r="AN260" i="43"/>
  <c r="AU260" i="43" s="1"/>
  <c r="Y122" i="43"/>
  <c r="Y111" i="43"/>
  <c r="AE452" i="43"/>
  <c r="AN439" i="43"/>
  <c r="AU439" i="43" s="1"/>
  <c r="AM438" i="43"/>
  <c r="Y438" i="43"/>
  <c r="Y431" i="43"/>
  <c r="Y424" i="43"/>
  <c r="Y345" i="43"/>
  <c r="AE339" i="43"/>
  <c r="Y328" i="43"/>
  <c r="AE285" i="43"/>
  <c r="Y253" i="43"/>
  <c r="AE246" i="43"/>
  <c r="AN212" i="43"/>
  <c r="AU212" i="43" s="1"/>
  <c r="Y216" i="43"/>
  <c r="AE159" i="43"/>
  <c r="AN340" i="43"/>
  <c r="AU340" i="43" s="1"/>
  <c r="AN450" i="43"/>
  <c r="AU450" i="43" s="1"/>
  <c r="Y452" i="43"/>
  <c r="AM445" i="43"/>
  <c r="Y445" i="43"/>
  <c r="AM424" i="43"/>
  <c r="AN411" i="43"/>
  <c r="AU411" i="43" s="1"/>
  <c r="Y410" i="43"/>
  <c r="Y401" i="43"/>
  <c r="AM394" i="43"/>
  <c r="Y364" i="43"/>
  <c r="Y302" i="43"/>
  <c r="Y293" i="43"/>
  <c r="AN217" i="43"/>
  <c r="AU217" i="43" s="1"/>
  <c r="AM191" i="43"/>
  <c r="AN160" i="43"/>
  <c r="AU160" i="43" s="1"/>
  <c r="AM165" i="43"/>
  <c r="AE117" i="43"/>
  <c r="AE107" i="43"/>
  <c r="AN90" i="43"/>
  <c r="AU90" i="43" s="1"/>
  <c r="AM92" i="43"/>
  <c r="AE417" i="43"/>
  <c r="AN409" i="43"/>
  <c r="AU409" i="43" s="1"/>
  <c r="AM410" i="43"/>
  <c r="AE404" i="43"/>
  <c r="AM401" i="43"/>
  <c r="AN388" i="43"/>
  <c r="AU388" i="43" s="1"/>
  <c r="AN380" i="43"/>
  <c r="AU380" i="43" s="1"/>
  <c r="AE383" i="43"/>
  <c r="Y377" i="43"/>
  <c r="AE368" i="43"/>
  <c r="AE357" i="43"/>
  <c r="AM352" i="43"/>
  <c r="AE345" i="43"/>
  <c r="AM328" i="43"/>
  <c r="Y319" i="43"/>
  <c r="AM309" i="43"/>
  <c r="AE302" i="43"/>
  <c r="AM293" i="43"/>
  <c r="AM280" i="43"/>
  <c r="AN271" i="43"/>
  <c r="AU271" i="43" s="1"/>
  <c r="Y273" i="43"/>
  <c r="AN267" i="43"/>
  <c r="AU267" i="43" s="1"/>
  <c r="AE263" i="43"/>
  <c r="AM259" i="43"/>
  <c r="AM253" i="43"/>
  <c r="AN235" i="43"/>
  <c r="AU235" i="43" s="1"/>
  <c r="AM240" i="43"/>
  <c r="Y234" i="43"/>
  <c r="AN225" i="43"/>
  <c r="AU225" i="43" s="1"/>
  <c r="AN219" i="43"/>
  <c r="AU219" i="43" s="1"/>
  <c r="AE222" i="43"/>
  <c r="AN215" i="43"/>
  <c r="AU215" i="43" s="1"/>
  <c r="AE210" i="43"/>
  <c r="AN199" i="43"/>
  <c r="AU199" i="43" s="1"/>
  <c r="AM203" i="43"/>
  <c r="Y203" i="43"/>
  <c r="Y197" i="43"/>
  <c r="AN179" i="43"/>
  <c r="AU179" i="43" s="1"/>
  <c r="AM184" i="43"/>
  <c r="Y184" i="43"/>
  <c r="AN172" i="43"/>
  <c r="AU172" i="43" s="1"/>
  <c r="AN167" i="43"/>
  <c r="AU167" i="43" s="1"/>
  <c r="AM171" i="43"/>
  <c r="Y171" i="43"/>
  <c r="AN163" i="43"/>
  <c r="AU163" i="43" s="1"/>
  <c r="Y159" i="43"/>
  <c r="AN150" i="43"/>
  <c r="AU150" i="43" s="1"/>
  <c r="AM154" i="43"/>
  <c r="AN140" i="43"/>
  <c r="AU140" i="43" s="1"/>
  <c r="Y142" i="43"/>
  <c r="Y78" i="43"/>
  <c r="Y62" i="43"/>
  <c r="Y45" i="43"/>
  <c r="AM431" i="43"/>
  <c r="AN420" i="43"/>
  <c r="AU420" i="43" s="1"/>
  <c r="AE424" i="43"/>
  <c r="Y417" i="43"/>
  <c r="Y404" i="43"/>
  <c r="AE394" i="43"/>
  <c r="AM387" i="43"/>
  <c r="Y387" i="43"/>
  <c r="AM377" i="43"/>
  <c r="AE364" i="43"/>
  <c r="Y357" i="43"/>
  <c r="AN348" i="43"/>
  <c r="AU348" i="43" s="1"/>
  <c r="Y352" i="43"/>
  <c r="AN332" i="43"/>
  <c r="AU332" i="43" s="1"/>
  <c r="AM339" i="43"/>
  <c r="AE331" i="43"/>
  <c r="AN327" i="43"/>
  <c r="AU327" i="43" s="1"/>
  <c r="AE324" i="43"/>
  <c r="AN320" i="43"/>
  <c r="AU320" i="43" s="1"/>
  <c r="AU321" i="43" s="1"/>
  <c r="AE319" i="43"/>
  <c r="AM313" i="43"/>
  <c r="Y313" i="43"/>
  <c r="AN306" i="43"/>
  <c r="AU306" i="43" s="1"/>
  <c r="AN298" i="43"/>
  <c r="AU298" i="43" s="1"/>
  <c r="AN282" i="43"/>
  <c r="AU282" i="43" s="1"/>
  <c r="AM285" i="43"/>
  <c r="AN278" i="43"/>
  <c r="AU278" i="43" s="1"/>
  <c r="AM273" i="43"/>
  <c r="AM269" i="43"/>
  <c r="Y269" i="43"/>
  <c r="Y263" i="43"/>
  <c r="AN242" i="43"/>
  <c r="AU242" i="43" s="1"/>
  <c r="AM246" i="43"/>
  <c r="Y240" i="43"/>
  <c r="AM234" i="43"/>
  <c r="AE228" i="43"/>
  <c r="Y222" i="43"/>
  <c r="AM216" i="43"/>
  <c r="Y210" i="43"/>
  <c r="AN201" i="43"/>
  <c r="AU201" i="43" s="1"/>
  <c r="AE197" i="43"/>
  <c r="AE191" i="43"/>
  <c r="AE177" i="43"/>
  <c r="AE165" i="43"/>
  <c r="AM159" i="43"/>
  <c r="AN145" i="43"/>
  <c r="AU145" i="43" s="1"/>
  <c r="Y100" i="43"/>
  <c r="Y74" i="43"/>
  <c r="AN63" i="43"/>
  <c r="AU63" i="43" s="1"/>
  <c r="AN55" i="43"/>
  <c r="AU55" i="43" s="1"/>
  <c r="AM81" i="43"/>
  <c r="AM96" i="43"/>
  <c r="AM111" i="43"/>
  <c r="AE438" i="43"/>
  <c r="AN428" i="43"/>
  <c r="AU428" i="43" s="1"/>
  <c r="AN425" i="43"/>
  <c r="AU425" i="43" s="1"/>
  <c r="AN412" i="43"/>
  <c r="AU412" i="43" s="1"/>
  <c r="AM417" i="43"/>
  <c r="AE410" i="43"/>
  <c r="AM404" i="43"/>
  <c r="AE401" i="43"/>
  <c r="Y394" i="43"/>
  <c r="AM383" i="43"/>
  <c r="AN372" i="43"/>
  <c r="AU372" i="43" s="1"/>
  <c r="AM368" i="43"/>
  <c r="Y368" i="43"/>
  <c r="AN360" i="43"/>
  <c r="AU360" i="43" s="1"/>
  <c r="AM357" i="43"/>
  <c r="AE352" i="43"/>
  <c r="AM345" i="43"/>
  <c r="Y339" i="43"/>
  <c r="Y331" i="43"/>
  <c r="AE328" i="43"/>
  <c r="AN322" i="43"/>
  <c r="AU322" i="43" s="1"/>
  <c r="Y324" i="43"/>
  <c r="AN318" i="43"/>
  <c r="AU318" i="43" s="1"/>
  <c r="AN314" i="43"/>
  <c r="AU314" i="43" s="1"/>
  <c r="AN310" i="43"/>
  <c r="AU310" i="43" s="1"/>
  <c r="AE309" i="43"/>
  <c r="AM302" i="43"/>
  <c r="AE293" i="43"/>
  <c r="AN284" i="43"/>
  <c r="AU284" i="43" s="1"/>
  <c r="AN281" i="43"/>
  <c r="AU281" i="43" s="1"/>
  <c r="AE280" i="43"/>
  <c r="AN268" i="43"/>
  <c r="AU268" i="43" s="1"/>
  <c r="AM263" i="43"/>
  <c r="AE259" i="43"/>
  <c r="AE253" i="43"/>
  <c r="AN245" i="43"/>
  <c r="AU245" i="43" s="1"/>
  <c r="Y246" i="43"/>
  <c r="AN237" i="43"/>
  <c r="AU237" i="43" s="1"/>
  <c r="AN236" i="43"/>
  <c r="AU236" i="43" s="1"/>
  <c r="AE240" i="43"/>
  <c r="AN231" i="43"/>
  <c r="AU231" i="43" s="1"/>
  <c r="AN224" i="43"/>
  <c r="AU224" i="43" s="1"/>
  <c r="AN223" i="43"/>
  <c r="AU223" i="43" s="1"/>
  <c r="AN221" i="43"/>
  <c r="AU221" i="43" s="1"/>
  <c r="AN220" i="43"/>
  <c r="AU220" i="43" s="1"/>
  <c r="AM222" i="43"/>
  <c r="AN211" i="43"/>
  <c r="AU211" i="43" s="1"/>
  <c r="AN209" i="43"/>
  <c r="AU209" i="43" s="1"/>
  <c r="AM210" i="43"/>
  <c r="AE203" i="43"/>
  <c r="AN195" i="43"/>
  <c r="AU195" i="43" s="1"/>
  <c r="Y191" i="43"/>
  <c r="AE184" i="43"/>
  <c r="Y177" i="43"/>
  <c r="AE171" i="43"/>
  <c r="Y165" i="43"/>
  <c r="AN104" i="43"/>
  <c r="AU104" i="43" s="1"/>
  <c r="AN67" i="43"/>
  <c r="AU67" i="43" s="1"/>
  <c r="AN137" i="43"/>
  <c r="AU137" i="43" s="1"/>
  <c r="AN134" i="43"/>
  <c r="AU134" i="43" s="1"/>
  <c r="AN130" i="43"/>
  <c r="AU130" i="43" s="1"/>
  <c r="AN128" i="43"/>
  <c r="AU128" i="43" s="1"/>
  <c r="AN123" i="43"/>
  <c r="AU123" i="43" s="1"/>
  <c r="AN121" i="43"/>
  <c r="AU121" i="43" s="1"/>
  <c r="AN101" i="43"/>
  <c r="AU101" i="43" s="1"/>
  <c r="AN99" i="43"/>
  <c r="AU99" i="43" s="1"/>
  <c r="AN70" i="43"/>
  <c r="AU70" i="43" s="1"/>
  <c r="AN52" i="43"/>
  <c r="AU52" i="43" s="1"/>
  <c r="AN46" i="43"/>
  <c r="AU46" i="43" s="1"/>
  <c r="AN33" i="43"/>
  <c r="AU33" i="43" s="1"/>
  <c r="AN31" i="43"/>
  <c r="AU31" i="43" s="1"/>
  <c r="AN115" i="43"/>
  <c r="AU115" i="43" s="1"/>
  <c r="AN64" i="43"/>
  <c r="AU64" i="43" s="1"/>
  <c r="AN40" i="43"/>
  <c r="AU40" i="43" s="1"/>
  <c r="AN35" i="43"/>
  <c r="AU35" i="43" s="1"/>
  <c r="AN25" i="43"/>
  <c r="AU25" i="43" s="1"/>
  <c r="AN23" i="43"/>
  <c r="AU23" i="43" s="1"/>
  <c r="AN17" i="43"/>
  <c r="AU17" i="43" s="1"/>
  <c r="AN14" i="43"/>
  <c r="AU14" i="43" s="1"/>
  <c r="AN26" i="43"/>
  <c r="AU26" i="43" s="1"/>
  <c r="AN19" i="43"/>
  <c r="AU19" i="43" s="1"/>
  <c r="Z15" i="43"/>
  <c r="AB15" i="43"/>
  <c r="AS15" i="43" s="1"/>
  <c r="AN386" i="43"/>
  <c r="AU386" i="43" s="1"/>
  <c r="AN378" i="43"/>
  <c r="AU378" i="43" s="1"/>
  <c r="AN375" i="43"/>
  <c r="AU375" i="43" s="1"/>
  <c r="AN258" i="43"/>
  <c r="AU258" i="43" s="1"/>
  <c r="AN213" i="43"/>
  <c r="AU213" i="43" s="1"/>
  <c r="AN447" i="43"/>
  <c r="AU447" i="43" s="1"/>
  <c r="AN367" i="43"/>
  <c r="AU367" i="43" s="1"/>
  <c r="AN358" i="43"/>
  <c r="AU358" i="43" s="1"/>
  <c r="AN297" i="43"/>
  <c r="AU297" i="43" s="1"/>
  <c r="AN294" i="43"/>
  <c r="AU294" i="43" s="1"/>
  <c r="AU295" i="43" s="1"/>
  <c r="AN261" i="43"/>
  <c r="AU261" i="43" s="1"/>
  <c r="AN108" i="43"/>
  <c r="AU108" i="43" s="1"/>
  <c r="AN356" i="43"/>
  <c r="AU356" i="43" s="1"/>
  <c r="AN343" i="43"/>
  <c r="AU343" i="43" s="1"/>
  <c r="AN335" i="43"/>
  <c r="AU335" i="43" s="1"/>
  <c r="AN290" i="43"/>
  <c r="AU290" i="43" s="1"/>
  <c r="AN283" i="43"/>
  <c r="AU283" i="43" s="1"/>
  <c r="AN277" i="43"/>
  <c r="AU277" i="43" s="1"/>
  <c r="AN274" i="43"/>
  <c r="AU274" i="43" s="1"/>
  <c r="AN257" i="43"/>
  <c r="AU257" i="43" s="1"/>
  <c r="AN227" i="43"/>
  <c r="AU227" i="43" s="1"/>
  <c r="AN181" i="43"/>
  <c r="AU181" i="43" s="1"/>
  <c r="AN173" i="43"/>
  <c r="AU173" i="43" s="1"/>
  <c r="AN202" i="43"/>
  <c r="AU202" i="43" s="1"/>
  <c r="AN185" i="43"/>
  <c r="AU185" i="43" s="1"/>
  <c r="AN151" i="43"/>
  <c r="AU151" i="43" s="1"/>
  <c r="AN60" i="43"/>
  <c r="AU60" i="43" s="1"/>
  <c r="AB14" i="43"/>
  <c r="AS14" i="43" s="1"/>
  <c r="AN453" i="43"/>
  <c r="AU453" i="43" s="1"/>
  <c r="AN444" i="43"/>
  <c r="AU444" i="43" s="1"/>
  <c r="AN430" i="43"/>
  <c r="AU430" i="43" s="1"/>
  <c r="AN422" i="43"/>
  <c r="AU422" i="43" s="1"/>
  <c r="AN414" i="43"/>
  <c r="AU414" i="43" s="1"/>
  <c r="AN406" i="43"/>
  <c r="AU406" i="43" s="1"/>
  <c r="AN446" i="43"/>
  <c r="AU446" i="43" s="1"/>
  <c r="AN440" i="43"/>
  <c r="AU440" i="43" s="1"/>
  <c r="AN432" i="43"/>
  <c r="AU432" i="43" s="1"/>
  <c r="AN416" i="43"/>
  <c r="AU416" i="43" s="1"/>
  <c r="AN408" i="43"/>
  <c r="AU408" i="43" s="1"/>
  <c r="AN400" i="43"/>
  <c r="AU400" i="43" s="1"/>
  <c r="AN392" i="43"/>
  <c r="AU392" i="43" s="1"/>
  <c r="AN350" i="43"/>
  <c r="AU350" i="43" s="1"/>
  <c r="AN338" i="43"/>
  <c r="AU338" i="43" s="1"/>
  <c r="AN311" i="43"/>
  <c r="AU311" i="43" s="1"/>
  <c r="AN303" i="43"/>
  <c r="AU303" i="43" s="1"/>
  <c r="AN249" i="43"/>
  <c r="AU249" i="43" s="1"/>
  <c r="AN241" i="43"/>
  <c r="AU241" i="43" s="1"/>
  <c r="AN233" i="43"/>
  <c r="AU233" i="43" s="1"/>
  <c r="AN168" i="43"/>
  <c r="AU168" i="43" s="1"/>
  <c r="AN442" i="43"/>
  <c r="AU442" i="43" s="1"/>
  <c r="AN434" i="43"/>
  <c r="AU434" i="43" s="1"/>
  <c r="AN426" i="43"/>
  <c r="AU426" i="43" s="1"/>
  <c r="AN418" i="43"/>
  <c r="AU418" i="43" s="1"/>
  <c r="AN402" i="43"/>
  <c r="AU402" i="43" s="1"/>
  <c r="AN351" i="43"/>
  <c r="AU351" i="43" s="1"/>
  <c r="AN289" i="43"/>
  <c r="AU289" i="43" s="1"/>
  <c r="AN286" i="43"/>
  <c r="AU286" i="43" s="1"/>
  <c r="AN265" i="43"/>
  <c r="AU265" i="43" s="1"/>
  <c r="AN252" i="43"/>
  <c r="AU252" i="43" s="1"/>
  <c r="AN229" i="43"/>
  <c r="AU229" i="43" s="1"/>
  <c r="AN218" i="43"/>
  <c r="AU218" i="43" s="1"/>
  <c r="AN208" i="43"/>
  <c r="AU208" i="43" s="1"/>
  <c r="AN205" i="43"/>
  <c r="AU205" i="43" s="1"/>
  <c r="AN200" i="43"/>
  <c r="AU200" i="43" s="1"/>
  <c r="AN193" i="43"/>
  <c r="AU193" i="43" s="1"/>
  <c r="AN153" i="43"/>
  <c r="AU153" i="43" s="1"/>
  <c r="AN77" i="43"/>
  <c r="AU77" i="43" s="1"/>
  <c r="AN147" i="43"/>
  <c r="AU147" i="43" s="1"/>
  <c r="AN139" i="43"/>
  <c r="AU139" i="43" s="1"/>
  <c r="AN131" i="43"/>
  <c r="AU131" i="43" s="1"/>
  <c r="AN186" i="43"/>
  <c r="AU186" i="43" s="1"/>
  <c r="AN156" i="43"/>
  <c r="AU156" i="43" s="1"/>
  <c r="AN149" i="43"/>
  <c r="AU149" i="43" s="1"/>
  <c r="AN141" i="43"/>
  <c r="AU141" i="43" s="1"/>
  <c r="AN133" i="43"/>
  <c r="AU133" i="43" s="1"/>
  <c r="AN125" i="43"/>
  <c r="AU125" i="43" s="1"/>
  <c r="AN113" i="43"/>
  <c r="AU113" i="43" s="1"/>
  <c r="AN68" i="43"/>
  <c r="AU68" i="43" s="1"/>
  <c r="AN61" i="43"/>
  <c r="AU61" i="43" s="1"/>
  <c r="AN53" i="43"/>
  <c r="AU53" i="43" s="1"/>
  <c r="AN37" i="43"/>
  <c r="AU37" i="43" s="1"/>
  <c r="AN28" i="43"/>
  <c r="AU28" i="43" s="1"/>
  <c r="AN20" i="43"/>
  <c r="AU20" i="43" s="1"/>
  <c r="AN143" i="43"/>
  <c r="AU143" i="43" s="1"/>
  <c r="AN135" i="43"/>
  <c r="AU135" i="43" s="1"/>
  <c r="AN127" i="43"/>
  <c r="AU127" i="43" s="1"/>
  <c r="AN118" i="43"/>
  <c r="AU118" i="43" s="1"/>
  <c r="AN110" i="43"/>
  <c r="AU110" i="43" s="1"/>
  <c r="AN102" i="43"/>
  <c r="AU102" i="43" s="1"/>
  <c r="AN95" i="43"/>
  <c r="AU95" i="43" s="1"/>
  <c r="AN79" i="43"/>
  <c r="AU79" i="43" s="1"/>
  <c r="AN71" i="43"/>
  <c r="AU71" i="43" s="1"/>
  <c r="AN65" i="43"/>
  <c r="AU65" i="43" s="1"/>
  <c r="AN57" i="43"/>
  <c r="AU57" i="43" s="1"/>
  <c r="AN49" i="43"/>
  <c r="AU49" i="43" s="1"/>
  <c r="AN32" i="43"/>
  <c r="AU32" i="43" s="1"/>
  <c r="AN24" i="43"/>
  <c r="AU24" i="43" s="1"/>
  <c r="AN15" i="43"/>
  <c r="AU15" i="43" s="1"/>
  <c r="Z14" i="43"/>
  <c r="AN405" i="43"/>
  <c r="AU405" i="43" s="1"/>
  <c r="AN397" i="43"/>
  <c r="AU397" i="43" s="1"/>
  <c r="AN393" i="43"/>
  <c r="AU393" i="43" s="1"/>
  <c r="AN389" i="43"/>
  <c r="AU389" i="43" s="1"/>
  <c r="AN385" i="43"/>
  <c r="AU385" i="43" s="1"/>
  <c r="AN381" i="43"/>
  <c r="AU381" i="43" s="1"/>
  <c r="AN379" i="43"/>
  <c r="AU379" i="43" s="1"/>
  <c r="AN369" i="43"/>
  <c r="AU369" i="43" s="1"/>
  <c r="AU370" i="43" s="1"/>
  <c r="AN361" i="43"/>
  <c r="AU361" i="43" s="1"/>
  <c r="AN353" i="43"/>
  <c r="AU353" i="43" s="1"/>
  <c r="AN337" i="43"/>
  <c r="AU337" i="43" s="1"/>
  <c r="AN329" i="43"/>
  <c r="AU329" i="43" s="1"/>
  <c r="AN305" i="43"/>
  <c r="AU305" i="43" s="1"/>
  <c r="AN371" i="43"/>
  <c r="AU371" i="43" s="1"/>
  <c r="AN363" i="43"/>
  <c r="AU363" i="43" s="1"/>
  <c r="AN355" i="43"/>
  <c r="AU355" i="43" s="1"/>
  <c r="AN347" i="43"/>
  <c r="AU347" i="43" s="1"/>
  <c r="AN323" i="43"/>
  <c r="AU323" i="43" s="1"/>
  <c r="AN315" i="43"/>
  <c r="AU315" i="43" s="1"/>
  <c r="AN307" i="43"/>
  <c r="AU307" i="43" s="1"/>
  <c r="AN299" i="43"/>
  <c r="AU299" i="43" s="1"/>
  <c r="AN403" i="43"/>
  <c r="AU403" i="43" s="1"/>
  <c r="AN399" i="43"/>
  <c r="AU399" i="43" s="1"/>
  <c r="AN395" i="43"/>
  <c r="AU395" i="43" s="1"/>
  <c r="AN391" i="43"/>
  <c r="AU391" i="43" s="1"/>
  <c r="AN373" i="43"/>
  <c r="AU373" i="43" s="1"/>
  <c r="AN365" i="43"/>
  <c r="AU365" i="43" s="1"/>
  <c r="AN349" i="43"/>
  <c r="AU349" i="43" s="1"/>
  <c r="AN341" i="43"/>
  <c r="AU341" i="43" s="1"/>
  <c r="AN333" i="43"/>
  <c r="AU333" i="43" s="1"/>
  <c r="AN325" i="43"/>
  <c r="AU325" i="43" s="1"/>
  <c r="AN317" i="43"/>
  <c r="AU317" i="43" s="1"/>
  <c r="AN301" i="43"/>
  <c r="AU301" i="43" s="1"/>
  <c r="AN270" i="43"/>
  <c r="AU270" i="43" s="1"/>
  <c r="AN254" i="43"/>
  <c r="AU254" i="43" s="1"/>
  <c r="AU255" i="43" s="1"/>
  <c r="AN238" i="43"/>
  <c r="AU238" i="43" s="1"/>
  <c r="AN206" i="43"/>
  <c r="AU206" i="43" s="1"/>
  <c r="AN266" i="43"/>
  <c r="AU266" i="43" s="1"/>
  <c r="AN250" i="43"/>
  <c r="AU250" i="43" s="1"/>
  <c r="AN226" i="43"/>
  <c r="AU226" i="43" s="1"/>
  <c r="AN194" i="43"/>
  <c r="AU194" i="43" s="1"/>
  <c r="AN178" i="43"/>
  <c r="AU178" i="43" s="1"/>
  <c r="AN174" i="43"/>
  <c r="AU174" i="43" s="1"/>
  <c r="AN170" i="43"/>
  <c r="AU170" i="43" s="1"/>
  <c r="AN166" i="43"/>
  <c r="AU166" i="43" s="1"/>
  <c r="AN262" i="43"/>
  <c r="AU262" i="43" s="1"/>
  <c r="AN230" i="43"/>
  <c r="AU230" i="43" s="1"/>
  <c r="AN214" i="43"/>
  <c r="AU214" i="43" s="1"/>
  <c r="AN198" i="43"/>
  <c r="AU198" i="43" s="1"/>
  <c r="AN192" i="43"/>
  <c r="AU192" i="43" s="1"/>
  <c r="AN190" i="43"/>
  <c r="AU190" i="43" s="1"/>
  <c r="AN182" i="43"/>
  <c r="AU182" i="43" s="1"/>
  <c r="AN155" i="43"/>
  <c r="AU155" i="43" s="1"/>
  <c r="AN161" i="43"/>
  <c r="AU161" i="43" s="1"/>
  <c r="AN157" i="43"/>
  <c r="AU157" i="43" s="1"/>
  <c r="AP28" i="45" l="1"/>
  <c r="AP34" i="45"/>
  <c r="AP30" i="45"/>
  <c r="AS18" i="43"/>
  <c r="AR51" i="43"/>
  <c r="AS313" i="43"/>
  <c r="AS331" i="43"/>
  <c r="AR404" i="43"/>
  <c r="AR136" i="43"/>
  <c r="AU117" i="43"/>
  <c r="AR18" i="43"/>
  <c r="AS100" i="43"/>
  <c r="AR69" i="43"/>
  <c r="AS38" i="43"/>
  <c r="AS58" i="43"/>
  <c r="AU81" i="43"/>
  <c r="AU122" i="43"/>
  <c r="AU328" i="43"/>
  <c r="AU368" i="43"/>
  <c r="AU30" i="43"/>
  <c r="AU48" i="43"/>
  <c r="AU107" i="43"/>
  <c r="AR74" i="43"/>
  <c r="AR165" i="43"/>
  <c r="AR263" i="43"/>
  <c r="AS273" i="43"/>
  <c r="AR324" i="43"/>
  <c r="AS404" i="43"/>
  <c r="AS85" i="43"/>
  <c r="AS165" i="43"/>
  <c r="AR269" i="43"/>
  <c r="AU273" i="43"/>
  <c r="AU159" i="43"/>
  <c r="AU203" i="43"/>
  <c r="AU171" i="43"/>
  <c r="AU410" i="43"/>
  <c r="AU148" i="43"/>
  <c r="AU234" i="43"/>
  <c r="AU18" i="43"/>
  <c r="AU38" i="43"/>
  <c r="AU142" i="43"/>
  <c r="AU216" i="43"/>
  <c r="AU228" i="43"/>
  <c r="AU177" i="43"/>
  <c r="AU222" i="43"/>
  <c r="AU96" i="43"/>
  <c r="AU89" i="43"/>
  <c r="AR62" i="43"/>
  <c r="AS159" i="43"/>
  <c r="AR234" i="43"/>
  <c r="AR302" i="43"/>
  <c r="AR417" i="43"/>
  <c r="AR30" i="43"/>
  <c r="AR38" i="43"/>
  <c r="AS45" i="43"/>
  <c r="AR58" i="43"/>
  <c r="AS263" i="43"/>
  <c r="AR273" i="43"/>
  <c r="AS285" i="43"/>
  <c r="AS324" i="43"/>
  <c r="AS253" i="43"/>
  <c r="AS383" i="43"/>
  <c r="AS424" i="43"/>
  <c r="AR438" i="43"/>
  <c r="AR41" i="43"/>
  <c r="AS48" i="43"/>
  <c r="AS191" i="43"/>
  <c r="AS210" i="43"/>
  <c r="AS228" i="43"/>
  <c r="AR352" i="43"/>
  <c r="AR387" i="43"/>
  <c r="AS410" i="43"/>
  <c r="AO27" i="44"/>
  <c r="AO90" i="44"/>
  <c r="AO129" i="44"/>
  <c r="AU364" i="43"/>
  <c r="AU74" i="43"/>
  <c r="AU210" i="43"/>
  <c r="AS177" i="43"/>
  <c r="AS216" i="43"/>
  <c r="AR246" i="43"/>
  <c r="AR259" i="43"/>
  <c r="AS345" i="43"/>
  <c r="AU401" i="43"/>
  <c r="AU331" i="43"/>
  <c r="AU51" i="43"/>
  <c r="AU246" i="43"/>
  <c r="AU452" i="43"/>
  <c r="AU280" i="43"/>
  <c r="AU69" i="43"/>
  <c r="AU285" i="43"/>
  <c r="AU345" i="43"/>
  <c r="AU302" i="43"/>
  <c r="AU100" i="43"/>
  <c r="AU41" i="43"/>
  <c r="AU62" i="43"/>
  <c r="AU45" i="43"/>
  <c r="AU259" i="43"/>
  <c r="AU85" i="43"/>
  <c r="AS62" i="43"/>
  <c r="AS89" i="43"/>
  <c r="AS111" i="43"/>
  <c r="AS136" i="43"/>
  <c r="AR171" i="43"/>
  <c r="AS234" i="43"/>
  <c r="AS269" i="43"/>
  <c r="AR313" i="43"/>
  <c r="AR339" i="43"/>
  <c r="AS417" i="43"/>
  <c r="AR431" i="43"/>
  <c r="AR293" i="43"/>
  <c r="AS394" i="43"/>
  <c r="AR22" i="43"/>
  <c r="AS69" i="43"/>
  <c r="AR78" i="43"/>
  <c r="AR129" i="43"/>
  <c r="AR148" i="43"/>
  <c r="AR203" i="43"/>
  <c r="AR222" i="43"/>
  <c r="AR253" i="43"/>
  <c r="AS309" i="43"/>
  <c r="AR368" i="43"/>
  <c r="AS438" i="43"/>
  <c r="AR452" i="43"/>
  <c r="AS41" i="43"/>
  <c r="AR54" i="43"/>
  <c r="AS66" i="43"/>
  <c r="AR85" i="43"/>
  <c r="AR103" i="43"/>
  <c r="AS280" i="43"/>
  <c r="AS319" i="43"/>
  <c r="AR328" i="43"/>
  <c r="AS387" i="43"/>
  <c r="AR401" i="43"/>
  <c r="AR455" i="43"/>
  <c r="AU111" i="43"/>
  <c r="AU129" i="43"/>
  <c r="AU387" i="43"/>
  <c r="AS357" i="43"/>
  <c r="AR394" i="43"/>
  <c r="AS92" i="43"/>
  <c r="AS154" i="43"/>
  <c r="AU404" i="43"/>
  <c r="AU383" i="43"/>
  <c r="AU22" i="43"/>
  <c r="AU27" i="43"/>
  <c r="AU103" i="43"/>
  <c r="AU136" i="43"/>
  <c r="AU313" i="43"/>
  <c r="AU324" i="43"/>
  <c r="AU58" i="43"/>
  <c r="AU339" i="43"/>
  <c r="AU92" i="43"/>
  <c r="AU165" i="43"/>
  <c r="AU269" i="43"/>
  <c r="AU352" i="43"/>
  <c r="AS171" i="43"/>
  <c r="AS302" i="43"/>
  <c r="AS431" i="43"/>
  <c r="AR445" i="43"/>
  <c r="AR27" i="43"/>
  <c r="AS30" i="43"/>
  <c r="AS51" i="43"/>
  <c r="AR240" i="43"/>
  <c r="AR285" i="43"/>
  <c r="AR364" i="43"/>
  <c r="AS22" i="43"/>
  <c r="AR34" i="43"/>
  <c r="AS78" i="43"/>
  <c r="AS129" i="43"/>
  <c r="AR142" i="43"/>
  <c r="AS148" i="43"/>
  <c r="AR184" i="43"/>
  <c r="AS246" i="43"/>
  <c r="AR331" i="43"/>
  <c r="AS368" i="43"/>
  <c r="AS452" i="43"/>
  <c r="AR48" i="43"/>
  <c r="AS103" i="43"/>
  <c r="AR122" i="43"/>
  <c r="AR154" i="43"/>
  <c r="AS259" i="43"/>
  <c r="AR345" i="43"/>
  <c r="AS352" i="43"/>
  <c r="AS401" i="43"/>
  <c r="AS455" i="43"/>
  <c r="AU34" i="43"/>
  <c r="AU431" i="43"/>
  <c r="AS197" i="43"/>
  <c r="AS377" i="43"/>
  <c r="AS114" i="43"/>
  <c r="AU197" i="43"/>
  <c r="AU184" i="43"/>
  <c r="AU377" i="43"/>
  <c r="AU357" i="43"/>
  <c r="AU154" i="43"/>
  <c r="AU293" i="43"/>
  <c r="AU424" i="43"/>
  <c r="AU309" i="43"/>
  <c r="AU438" i="43"/>
  <c r="AU455" i="43"/>
  <c r="AU191" i="43"/>
  <c r="AU54" i="43"/>
  <c r="AU319" i="43"/>
  <c r="AU66" i="43"/>
  <c r="AU240" i="43"/>
  <c r="AU394" i="43"/>
  <c r="AU417" i="43"/>
  <c r="AU445" i="43"/>
  <c r="AU263" i="43"/>
  <c r="AU114" i="43"/>
  <c r="AU78" i="43"/>
  <c r="AU253" i="43"/>
  <c r="AS74" i="43"/>
  <c r="AR159" i="43"/>
  <c r="AS339" i="43"/>
  <c r="AS445" i="43"/>
  <c r="AS27" i="43"/>
  <c r="AR45" i="43"/>
  <c r="AR81" i="43"/>
  <c r="AR177" i="43"/>
  <c r="AR197" i="43"/>
  <c r="AR216" i="43"/>
  <c r="AS240" i="43"/>
  <c r="AS293" i="43"/>
  <c r="AR357" i="43"/>
  <c r="AS364" i="43"/>
  <c r="AR377" i="43"/>
  <c r="AS34" i="43"/>
  <c r="AS142" i="43"/>
  <c r="AS184" i="43"/>
  <c r="AS203" i="43"/>
  <c r="AS222" i="43"/>
  <c r="AR309" i="43"/>
  <c r="AR383" i="43"/>
  <c r="AR424" i="43"/>
  <c r="AS54" i="43"/>
  <c r="AR66" i="43"/>
  <c r="AR92" i="43"/>
  <c r="AR114" i="43"/>
  <c r="AS122" i="43"/>
  <c r="AR191" i="43"/>
  <c r="AR210" i="43"/>
  <c r="AR228" i="43"/>
  <c r="AR280" i="43"/>
  <c r="AR319" i="43"/>
  <c r="AS328" i="43"/>
  <c r="AR410" i="43"/>
  <c r="AO18" i="44"/>
  <c r="AO83" i="44"/>
  <c r="AO55" i="44"/>
  <c r="AO100" i="44"/>
  <c r="AO34" i="44"/>
  <c r="AO62" i="44"/>
  <c r="AO123" i="44"/>
  <c r="AO48" i="44"/>
  <c r="AO76" i="44"/>
  <c r="AO69" i="44"/>
  <c r="AO94" i="44"/>
  <c r="AO41" i="44"/>
  <c r="AO112" i="44"/>
  <c r="AO104" i="44"/>
  <c r="AF13" i="44"/>
  <c r="AA331" i="43"/>
  <c r="AA273" i="43"/>
  <c r="AA107" i="43"/>
  <c r="AA85" i="43"/>
  <c r="AA100" i="43"/>
  <c r="AA41" i="43"/>
  <c r="AA117" i="43"/>
  <c r="AA69" i="43"/>
  <c r="AA78" i="43"/>
  <c r="AA142" i="43"/>
  <c r="AA129" i="43"/>
  <c r="AA122" i="43"/>
  <c r="AA54" i="43"/>
  <c r="AA203" i="43"/>
  <c r="AA148" i="43"/>
  <c r="AA34" i="43"/>
  <c r="AA295" i="43"/>
  <c r="AA216" i="43"/>
  <c r="AA197" i="43"/>
  <c r="AA62" i="43"/>
  <c r="AA431" i="43"/>
  <c r="AA324" i="43"/>
  <c r="AA114" i="43"/>
  <c r="AA319" i="43"/>
  <c r="AA89" i="43"/>
  <c r="AA455" i="43"/>
  <c r="AA111" i="43"/>
  <c r="AA452" i="43"/>
  <c r="AA321" i="43"/>
  <c r="AA370" i="43"/>
  <c r="AA255" i="43"/>
  <c r="AA58" i="43"/>
  <c r="AA74" i="43"/>
  <c r="AA159" i="43"/>
  <c r="AA228" i="43"/>
  <c r="AA30" i="43"/>
  <c r="AA45" i="43"/>
  <c r="AA66" i="43"/>
  <c r="AA81" i="43"/>
  <c r="AA404" i="43"/>
  <c r="AA171" i="43"/>
  <c r="AA285" i="43"/>
  <c r="AA438" i="43"/>
  <c r="AA357" i="43"/>
  <c r="AA22" i="43"/>
  <c r="AA210" i="43"/>
  <c r="AA383" i="43"/>
  <c r="AA184" i="43"/>
  <c r="AA240" i="43"/>
  <c r="AA410" i="43"/>
  <c r="AA96" i="43"/>
  <c r="AA293" i="43"/>
  <c r="AA394" i="43"/>
  <c r="AA103" i="43"/>
  <c r="AA424" i="43"/>
  <c r="AA280" i="43"/>
  <c r="AA401" i="43"/>
  <c r="AA445" i="43"/>
  <c r="AA387" i="43"/>
  <c r="AA377" i="43"/>
  <c r="AA246" i="43"/>
  <c r="AA48" i="43"/>
  <c r="AA259" i="43"/>
  <c r="AA345" i="43"/>
  <c r="AA269" i="43"/>
  <c r="AA136" i="43"/>
  <c r="AA165" i="43"/>
  <c r="AA234" i="43"/>
  <c r="AA302" i="43"/>
  <c r="AA313" i="43"/>
  <c r="AA339" i="43"/>
  <c r="AA417" i="43"/>
  <c r="AA27" i="43"/>
  <c r="AA38" i="43"/>
  <c r="AA51" i="43"/>
  <c r="AA263" i="43"/>
  <c r="AA364" i="43"/>
  <c r="AA222" i="43"/>
  <c r="AA253" i="43"/>
  <c r="AA368" i="43"/>
  <c r="AA18" i="43"/>
  <c r="AA92" i="43"/>
  <c r="AA154" i="43"/>
  <c r="AA191" i="43"/>
  <c r="AA309" i="43"/>
  <c r="AA328" i="43"/>
  <c r="AA352" i="43"/>
  <c r="AA177" i="43"/>
  <c r="Z69" i="43"/>
  <c r="AF382" i="43"/>
  <c r="AO382" i="43" s="1"/>
  <c r="AF100" i="44"/>
  <c r="AF340" i="43"/>
  <c r="AO340" i="43" s="1"/>
  <c r="Z117" i="43"/>
  <c r="AF396" i="43"/>
  <c r="AO396" i="43" s="1"/>
  <c r="AF156" i="43"/>
  <c r="AO156" i="43" s="1"/>
  <c r="AF275" i="43"/>
  <c r="AO275" i="43" s="1"/>
  <c r="Z404" i="43"/>
  <c r="AF82" i="43"/>
  <c r="AO82" i="43" s="1"/>
  <c r="AF116" i="43"/>
  <c r="AO116" i="43" s="1"/>
  <c r="AF390" i="43"/>
  <c r="AO390" i="43" s="1"/>
  <c r="AF55" i="43"/>
  <c r="AO55" i="43" s="1"/>
  <c r="AF33" i="43"/>
  <c r="AO33" i="43" s="1"/>
  <c r="AF251" i="43"/>
  <c r="AO251" i="43" s="1"/>
  <c r="AF207" i="43"/>
  <c r="AO207" i="43" s="1"/>
  <c r="AF17" i="43"/>
  <c r="AO17" i="43" s="1"/>
  <c r="AF76" i="43"/>
  <c r="AO76" i="43" s="1"/>
  <c r="AF451" i="43"/>
  <c r="AO451" i="43" s="1"/>
  <c r="AF139" i="43"/>
  <c r="AO139" i="43" s="1"/>
  <c r="AW469" i="43"/>
  <c r="AP33" i="45" s="1"/>
  <c r="AW463" i="43"/>
  <c r="AP27" i="45" s="1"/>
  <c r="AW471" i="43"/>
  <c r="AP35" i="45" s="1"/>
  <c r="AW133" i="44"/>
  <c r="AW130" i="44"/>
  <c r="AP14" i="45" s="1"/>
  <c r="AF41" i="44"/>
  <c r="AF112" i="44"/>
  <c r="AF55" i="44"/>
  <c r="AF48" i="44"/>
  <c r="AF76" i="44"/>
  <c r="AF129" i="44"/>
  <c r="AF106" i="44"/>
  <c r="AF27" i="44"/>
  <c r="AF69" i="44"/>
  <c r="AF104" i="44"/>
  <c r="AF83" i="44"/>
  <c r="AF62" i="44"/>
  <c r="AF123" i="44"/>
  <c r="AF90" i="44"/>
  <c r="AF114" i="44"/>
  <c r="AF18" i="44"/>
  <c r="AF94" i="44"/>
  <c r="AF34" i="44"/>
  <c r="AF281" i="43"/>
  <c r="AO281" i="43" s="1"/>
  <c r="AF232" i="43"/>
  <c r="AO232" i="43" s="1"/>
  <c r="AF257" i="43"/>
  <c r="AO257" i="43" s="1"/>
  <c r="AF236" i="43"/>
  <c r="AO236" i="43" s="1"/>
  <c r="AN368" i="43"/>
  <c r="AF425" i="43"/>
  <c r="AO425" i="43" s="1"/>
  <c r="AB114" i="43"/>
  <c r="AN295" i="43"/>
  <c r="AF72" i="43"/>
  <c r="AO72" i="43" s="1"/>
  <c r="AB107" i="43"/>
  <c r="AB69" i="43"/>
  <c r="AF147" i="43"/>
  <c r="AO147" i="43" s="1"/>
  <c r="AF379" i="43"/>
  <c r="AO379" i="43" s="1"/>
  <c r="AB38" i="43"/>
  <c r="AF80" i="43"/>
  <c r="AO80" i="43" s="1"/>
  <c r="AB89" i="43"/>
  <c r="AF436" i="43"/>
  <c r="AO436" i="43" s="1"/>
  <c r="AN455" i="43"/>
  <c r="AF199" i="43"/>
  <c r="AO199" i="43" s="1"/>
  <c r="AB117" i="43"/>
  <c r="AN321" i="43"/>
  <c r="AN92" i="43"/>
  <c r="AF173" i="43"/>
  <c r="AO173" i="43" s="1"/>
  <c r="AF233" i="43"/>
  <c r="AO233" i="43" s="1"/>
  <c r="AB295" i="43"/>
  <c r="AB255" i="43"/>
  <c r="AF450" i="43"/>
  <c r="AO450" i="43" s="1"/>
  <c r="AN114" i="43"/>
  <c r="AB78" i="43"/>
  <c r="AF420" i="43"/>
  <c r="AO420" i="43" s="1"/>
  <c r="AB352" i="43"/>
  <c r="AB92" i="43"/>
  <c r="AN41" i="43"/>
  <c r="AN117" i="43"/>
  <c r="AF186" i="43"/>
  <c r="AO186" i="43" s="1"/>
  <c r="AN255" i="43"/>
  <c r="AN370" i="43"/>
  <c r="AF245" i="43"/>
  <c r="AO245" i="43" s="1"/>
  <c r="AF412" i="43"/>
  <c r="AO412" i="43" s="1"/>
  <c r="AB324" i="43"/>
  <c r="AF444" i="43"/>
  <c r="AO444" i="43" s="1"/>
  <c r="AF23" i="43"/>
  <c r="AO23" i="43" s="1"/>
  <c r="AF389" i="43"/>
  <c r="AO389" i="43" s="1"/>
  <c r="AF346" i="43"/>
  <c r="AO346" i="43" s="1"/>
  <c r="AB45" i="43"/>
  <c r="AB331" i="43"/>
  <c r="AB370" i="43"/>
  <c r="AF437" i="43"/>
  <c r="AO437" i="43" s="1"/>
  <c r="AF145" i="43"/>
  <c r="AO145" i="43" s="1"/>
  <c r="AB401" i="43"/>
  <c r="AF56" i="43"/>
  <c r="AO56" i="43" s="1"/>
  <c r="AB321" i="43"/>
  <c r="AF106" i="43"/>
  <c r="AO106" i="43" s="1"/>
  <c r="AF169" i="43"/>
  <c r="AO169" i="43" s="1"/>
  <c r="AF108" i="43"/>
  <c r="AO108" i="43" s="1"/>
  <c r="AF421" i="43"/>
  <c r="AO421" i="43" s="1"/>
  <c r="AF53" i="43"/>
  <c r="AO53" i="43" s="1"/>
  <c r="AF77" i="43"/>
  <c r="AO77" i="43" s="1"/>
  <c r="AF43" i="43"/>
  <c r="AO43" i="43" s="1"/>
  <c r="AF68" i="43"/>
  <c r="AO68" i="43" s="1"/>
  <c r="AF276" i="43"/>
  <c r="AO276" i="43" s="1"/>
  <c r="AN273" i="43"/>
  <c r="Z368" i="43"/>
  <c r="AF385" i="43"/>
  <c r="AO385" i="43" s="1"/>
  <c r="AF423" i="43"/>
  <c r="AO423" i="43" s="1"/>
  <c r="Z331" i="43"/>
  <c r="AN387" i="43"/>
  <c r="Z34" i="43"/>
  <c r="AF87" i="43"/>
  <c r="AO87" i="43" s="1"/>
  <c r="AN81" i="43"/>
  <c r="AN30" i="43"/>
  <c r="AB41" i="43"/>
  <c r="Z51" i="43"/>
  <c r="AB81" i="43"/>
  <c r="AF118" i="43"/>
  <c r="AO118" i="43" s="1"/>
  <c r="AB455" i="43"/>
  <c r="AB111" i="43"/>
  <c r="AB85" i="43"/>
  <c r="AF261" i="43"/>
  <c r="AO261" i="43" s="1"/>
  <c r="AF386" i="43"/>
  <c r="AO386" i="43" s="1"/>
  <c r="AF449" i="43"/>
  <c r="AO449" i="43" s="1"/>
  <c r="AF29" i="43"/>
  <c r="AO29" i="43" s="1"/>
  <c r="AN45" i="43"/>
  <c r="AB122" i="43"/>
  <c r="AF213" i="43"/>
  <c r="AO213" i="43" s="1"/>
  <c r="AF300" i="43"/>
  <c r="AO300" i="43" s="1"/>
  <c r="AF430" i="43"/>
  <c r="AO430" i="43" s="1"/>
  <c r="AF25" i="43"/>
  <c r="AO25" i="43" s="1"/>
  <c r="AF350" i="43"/>
  <c r="AO350" i="43" s="1"/>
  <c r="AN85" i="43"/>
  <c r="AF174" i="43"/>
  <c r="AO174" i="43" s="1"/>
  <c r="AF288" i="43"/>
  <c r="AO288" i="43" s="1"/>
  <c r="AF60" i="43"/>
  <c r="AO60" i="43" s="1"/>
  <c r="AB129" i="43"/>
  <c r="AF403" i="43"/>
  <c r="AO403" i="43" s="1"/>
  <c r="AN62" i="43"/>
  <c r="AN48" i="43"/>
  <c r="AF304" i="43"/>
  <c r="AO304" i="43" s="1"/>
  <c r="AB48" i="43"/>
  <c r="Z18" i="43"/>
  <c r="AN51" i="43"/>
  <c r="AF95" i="43"/>
  <c r="AO95" i="43" s="1"/>
  <c r="AF428" i="43"/>
  <c r="AO428" i="43" s="1"/>
  <c r="AF189" i="43"/>
  <c r="AO189" i="43" s="1"/>
  <c r="AF79" i="43"/>
  <c r="AO79" i="43" s="1"/>
  <c r="AN96" i="43"/>
  <c r="AF291" i="43"/>
  <c r="AO291" i="43" s="1"/>
  <c r="AF376" i="43"/>
  <c r="AO376" i="43" s="1"/>
  <c r="AF279" i="43"/>
  <c r="AO279" i="43" s="1"/>
  <c r="AN331" i="43"/>
  <c r="AF91" i="43"/>
  <c r="AO91" i="43" s="1"/>
  <c r="AB34" i="43"/>
  <c r="AF338" i="43"/>
  <c r="AO338" i="43" s="1"/>
  <c r="AF297" i="43"/>
  <c r="AO297" i="43" s="1"/>
  <c r="AN89" i="43"/>
  <c r="AF287" i="43"/>
  <c r="AO287" i="43" s="1"/>
  <c r="AB269" i="43"/>
  <c r="AF170" i="43"/>
  <c r="AO170" i="43" s="1"/>
  <c r="AN148" i="43"/>
  <c r="AF44" i="43"/>
  <c r="AO44" i="43" s="1"/>
  <c r="AF135" i="43"/>
  <c r="AO135" i="43" s="1"/>
  <c r="AN78" i="43"/>
  <c r="AB417" i="43"/>
  <c r="AF434" i="43"/>
  <c r="AO434" i="43" s="1"/>
  <c r="AN259" i="43"/>
  <c r="Z352" i="43"/>
  <c r="AB445" i="43"/>
  <c r="AF63" i="43"/>
  <c r="AO63" i="43" s="1"/>
  <c r="Z30" i="43"/>
  <c r="AF61" i="43"/>
  <c r="AO61" i="43" s="1"/>
  <c r="AF231" i="43"/>
  <c r="AO231" i="43" s="1"/>
  <c r="AF314" i="43"/>
  <c r="AO314" i="43" s="1"/>
  <c r="AF161" i="43"/>
  <c r="AO161" i="43" s="1"/>
  <c r="AF426" i="43"/>
  <c r="AO426" i="43" s="1"/>
  <c r="Z324" i="43"/>
  <c r="AB285" i="43"/>
  <c r="Z328" i="43"/>
  <c r="AN401" i="43"/>
  <c r="AF429" i="43"/>
  <c r="AO429" i="43" s="1"/>
  <c r="AN357" i="43"/>
  <c r="AN410" i="43"/>
  <c r="AB30" i="43"/>
  <c r="AF183" i="43"/>
  <c r="AO183" i="43" s="1"/>
  <c r="AN246" i="43"/>
  <c r="AB424" i="43"/>
  <c r="AB18" i="43"/>
  <c r="AF398" i="43"/>
  <c r="AO398" i="43" s="1"/>
  <c r="AB438" i="43"/>
  <c r="Z103" i="43"/>
  <c r="Z142" i="43"/>
  <c r="AB228" i="43"/>
  <c r="AN197" i="43"/>
  <c r="AF206" i="43"/>
  <c r="AO206" i="43" s="1"/>
  <c r="AN203" i="43"/>
  <c r="AN184" i="43"/>
  <c r="AF212" i="43"/>
  <c r="AO212" i="43" s="1"/>
  <c r="AN253" i="43"/>
  <c r="AB293" i="43"/>
  <c r="AN328" i="43"/>
  <c r="AF413" i="43"/>
  <c r="AO413" i="43" s="1"/>
  <c r="AB410" i="43"/>
  <c r="AN122" i="43"/>
  <c r="AF121" i="43"/>
  <c r="AO121" i="43" s="1"/>
  <c r="AB148" i="43"/>
  <c r="AN452" i="43"/>
  <c r="AF418" i="43"/>
  <c r="AO418" i="43" s="1"/>
  <c r="Z269" i="43"/>
  <c r="AB313" i="43"/>
  <c r="AF215" i="43"/>
  <c r="AO215" i="43" s="1"/>
  <c r="AB404" i="43"/>
  <c r="Z431" i="43"/>
  <c r="AN22" i="43"/>
  <c r="AF70" i="43"/>
  <c r="AO70" i="43" s="1"/>
  <c r="AN38" i="43"/>
  <c r="AN74" i="43"/>
  <c r="AN103" i="43"/>
  <c r="AN136" i="43"/>
  <c r="AF21" i="43"/>
  <c r="AO21" i="43" s="1"/>
  <c r="AF406" i="43"/>
  <c r="AO406" i="43" s="1"/>
  <c r="AF336" i="43"/>
  <c r="AO336" i="43" s="1"/>
  <c r="AF168" i="43"/>
  <c r="AO168" i="43" s="1"/>
  <c r="AF443" i="43"/>
  <c r="AO443" i="43" s="1"/>
  <c r="AN269" i="43"/>
  <c r="Z417" i="43"/>
  <c r="AF243" i="43"/>
  <c r="AO243" i="43" s="1"/>
  <c r="AF249" i="43"/>
  <c r="AO249" i="43" s="1"/>
  <c r="Z81" i="43"/>
  <c r="Z184" i="43"/>
  <c r="AF28" i="43"/>
  <c r="AO28" i="43" s="1"/>
  <c r="Z319" i="43"/>
  <c r="AB184" i="43"/>
  <c r="AB216" i="43"/>
  <c r="AF252" i="43"/>
  <c r="AO252" i="43" s="1"/>
  <c r="AF292" i="43"/>
  <c r="AO292" i="43" s="1"/>
  <c r="AF400" i="43"/>
  <c r="AO400" i="43" s="1"/>
  <c r="AF327" i="43"/>
  <c r="AO327" i="43" s="1"/>
  <c r="AF220" i="43"/>
  <c r="AO220" i="43" s="1"/>
  <c r="AF299" i="43"/>
  <c r="AO299" i="43" s="1"/>
  <c r="AF307" i="43"/>
  <c r="AO307" i="43" s="1"/>
  <c r="AN352" i="43"/>
  <c r="AF419" i="43"/>
  <c r="AO419" i="43" s="1"/>
  <c r="AF427" i="43"/>
  <c r="AO427" i="43" s="1"/>
  <c r="Z357" i="43"/>
  <c r="Z27" i="43"/>
  <c r="AF47" i="43"/>
  <c r="AO47" i="43" s="1"/>
  <c r="AF64" i="43"/>
  <c r="AO64" i="43" s="1"/>
  <c r="AF32" i="43"/>
  <c r="AO32" i="43" s="1"/>
  <c r="AF102" i="43"/>
  <c r="AO102" i="43" s="1"/>
  <c r="Z177" i="43"/>
  <c r="AF181" i="43"/>
  <c r="AO181" i="43" s="1"/>
  <c r="AN107" i="43"/>
  <c r="Z165" i="43"/>
  <c r="AF227" i="43"/>
  <c r="AO227" i="43" s="1"/>
  <c r="AF283" i="43"/>
  <c r="AO283" i="43" s="1"/>
  <c r="AN313" i="43"/>
  <c r="AB62" i="43"/>
  <c r="AF71" i="43"/>
  <c r="AO71" i="43" s="1"/>
  <c r="AB328" i="43"/>
  <c r="AF267" i="43"/>
  <c r="AO267" i="43" s="1"/>
  <c r="AB368" i="43"/>
  <c r="AF414" i="43"/>
  <c r="AO414" i="43" s="1"/>
  <c r="AF166" i="43"/>
  <c r="AO166" i="43" s="1"/>
  <c r="AB171" i="43"/>
  <c r="AF31" i="43"/>
  <c r="AO31" i="43" s="1"/>
  <c r="AB191" i="43"/>
  <c r="Z129" i="43"/>
  <c r="AN216" i="43"/>
  <c r="AB387" i="43"/>
  <c r="AN222" i="43"/>
  <c r="AN417" i="43"/>
  <c r="AN210" i="43"/>
  <c r="AF40" i="43"/>
  <c r="AO40" i="43" s="1"/>
  <c r="AN159" i="43"/>
  <c r="AF176" i="43"/>
  <c r="AO176" i="43" s="1"/>
  <c r="AN171" i="43"/>
  <c r="AB259" i="43"/>
  <c r="AB273" i="43"/>
  <c r="AB263" i="43"/>
  <c r="AB280" i="43"/>
  <c r="AB357" i="43"/>
  <c r="AF311" i="43"/>
  <c r="AO311" i="43" s="1"/>
  <c r="AB309" i="43"/>
  <c r="AF355" i="43"/>
  <c r="AO355" i="43" s="1"/>
  <c r="AF363" i="43"/>
  <c r="AO363" i="43" s="1"/>
  <c r="AF371" i="43"/>
  <c r="AO371" i="43" s="1"/>
  <c r="Z377" i="43"/>
  <c r="AF454" i="43"/>
  <c r="AO454" i="43" s="1"/>
  <c r="AF37" i="43"/>
  <c r="AO37" i="43" s="1"/>
  <c r="AF46" i="43"/>
  <c r="AO46" i="43" s="1"/>
  <c r="AO48" i="43" s="1"/>
  <c r="AF19" i="43"/>
  <c r="AO19" i="43" s="1"/>
  <c r="Z22" i="43"/>
  <c r="AF35" i="43"/>
  <c r="AO35" i="43" s="1"/>
  <c r="AO38" i="43" s="1"/>
  <c r="Z38" i="43"/>
  <c r="AF52" i="43"/>
  <c r="AO52" i="43" s="1"/>
  <c r="Z54" i="43"/>
  <c r="Z171" i="43"/>
  <c r="Z78" i="43"/>
  <c r="AF247" i="43"/>
  <c r="AO247" i="43" s="1"/>
  <c r="Z253" i="43"/>
  <c r="AF415" i="43"/>
  <c r="AO415" i="43" s="1"/>
  <c r="AN309" i="43"/>
  <c r="AF358" i="43"/>
  <c r="AO358" i="43" s="1"/>
  <c r="AB364" i="43"/>
  <c r="AF442" i="43"/>
  <c r="AO442" i="43" s="1"/>
  <c r="Z114" i="43"/>
  <c r="Z154" i="43"/>
  <c r="AF175" i="43"/>
  <c r="AO175" i="43" s="1"/>
  <c r="Z259" i="43"/>
  <c r="AF356" i="43"/>
  <c r="AO356" i="43" s="1"/>
  <c r="AF384" i="43"/>
  <c r="AO384" i="43" s="1"/>
  <c r="Z387" i="43"/>
  <c r="Z191" i="43"/>
  <c r="AF223" i="43"/>
  <c r="AO223" i="43" s="1"/>
  <c r="Z228" i="43"/>
  <c r="Z234" i="43"/>
  <c r="AF248" i="43"/>
  <c r="AO248" i="43" s="1"/>
  <c r="Z452" i="43"/>
  <c r="AB159" i="43"/>
  <c r="AN364" i="43"/>
  <c r="AF354" i="43"/>
  <c r="AO354" i="43" s="1"/>
  <c r="AN383" i="43"/>
  <c r="AF90" i="43"/>
  <c r="AO90" i="43" s="1"/>
  <c r="Z92" i="43"/>
  <c r="AF42" i="43"/>
  <c r="AO42" i="43" s="1"/>
  <c r="Z45" i="43"/>
  <c r="AN18" i="43"/>
  <c r="AN27" i="43"/>
  <c r="AN54" i="43"/>
  <c r="AN129" i="43"/>
  <c r="AB96" i="43"/>
  <c r="Z246" i="43"/>
  <c r="Z285" i="43"/>
  <c r="AB319" i="43"/>
  <c r="AN324" i="43"/>
  <c r="Z364" i="43"/>
  <c r="AF378" i="43"/>
  <c r="AO378" i="43" s="1"/>
  <c r="Z383" i="43"/>
  <c r="AB302" i="43"/>
  <c r="Z410" i="43"/>
  <c r="AF318" i="43"/>
  <c r="AO318" i="43" s="1"/>
  <c r="Z401" i="43"/>
  <c r="Z455" i="43"/>
  <c r="AF131" i="43"/>
  <c r="AO131" i="43" s="1"/>
  <c r="AF256" i="43"/>
  <c r="AO256" i="43" s="1"/>
  <c r="AF296" i="43"/>
  <c r="AO296" i="43" s="1"/>
  <c r="Z302" i="43"/>
  <c r="AF192" i="43"/>
  <c r="AO192" i="43" s="1"/>
  <c r="Z197" i="43"/>
  <c r="AB27" i="43"/>
  <c r="Z100" i="43"/>
  <c r="AB22" i="43"/>
  <c r="AN66" i="43"/>
  <c r="AN394" i="43"/>
  <c r="AF332" i="43"/>
  <c r="AO332" i="43" s="1"/>
  <c r="Z339" i="43"/>
  <c r="Z136" i="43"/>
  <c r="Z203" i="43"/>
  <c r="AF182" i="43"/>
  <c r="AO182" i="43" s="1"/>
  <c r="AF200" i="43"/>
  <c r="AO200" i="43" s="1"/>
  <c r="AF272" i="43"/>
  <c r="AO272" i="43" s="1"/>
  <c r="Z273" i="43"/>
  <c r="Z293" i="43"/>
  <c r="Z280" i="43"/>
  <c r="AB210" i="43"/>
  <c r="AN377" i="43"/>
  <c r="AF407" i="43"/>
  <c r="AO407" i="43" s="1"/>
  <c r="AF435" i="43"/>
  <c r="AO435" i="43" s="1"/>
  <c r="AF39" i="43"/>
  <c r="AO39" i="43" s="1"/>
  <c r="AO41" i="43" s="1"/>
  <c r="Z41" i="43"/>
  <c r="Z85" i="43"/>
  <c r="AF123" i="43"/>
  <c r="AO123" i="43" s="1"/>
  <c r="AB51" i="43"/>
  <c r="AF127" i="43"/>
  <c r="AO127" i="43" s="1"/>
  <c r="AF143" i="43"/>
  <c r="AO143" i="43" s="1"/>
  <c r="Z148" i="43"/>
  <c r="AF86" i="43"/>
  <c r="AO86" i="43" s="1"/>
  <c r="Z89" i="43"/>
  <c r="AF141" i="43"/>
  <c r="AO141" i="43" s="1"/>
  <c r="AN234" i="43"/>
  <c r="AN293" i="43"/>
  <c r="AN424" i="43"/>
  <c r="Z445" i="43"/>
  <c r="AF187" i="43"/>
  <c r="AO187" i="43" s="1"/>
  <c r="AN438" i="43"/>
  <c r="AF14" i="43"/>
  <c r="AO14" i="43" s="1"/>
  <c r="AF99" i="43"/>
  <c r="AO99" i="43" s="1"/>
  <c r="AN280" i="43"/>
  <c r="AF193" i="43"/>
  <c r="AO193" i="43" s="1"/>
  <c r="Z222" i="43"/>
  <c r="AF344" i="43"/>
  <c r="AO344" i="43" s="1"/>
  <c r="AF408" i="43"/>
  <c r="AO408" i="43" s="1"/>
  <c r="AF440" i="43"/>
  <c r="AO440" i="43" s="1"/>
  <c r="AF381" i="43"/>
  <c r="AO381" i="43" s="1"/>
  <c r="AF155" i="43"/>
  <c r="AO155" i="43" s="1"/>
  <c r="AF179" i="43"/>
  <c r="AO179" i="43" s="1"/>
  <c r="AB253" i="43"/>
  <c r="AF289" i="43"/>
  <c r="AO289" i="43" s="1"/>
  <c r="AB394" i="43"/>
  <c r="AF391" i="43"/>
  <c r="AO391" i="43" s="1"/>
  <c r="Z438" i="43"/>
  <c r="AB100" i="43"/>
  <c r="AF237" i="43"/>
  <c r="AO237" i="43" s="1"/>
  <c r="Z48" i="43"/>
  <c r="AB58" i="43"/>
  <c r="Z122" i="43"/>
  <c r="AN142" i="43"/>
  <c r="AN69" i="43"/>
  <c r="Z216" i="43"/>
  <c r="AN228" i="43"/>
  <c r="AN319" i="43"/>
  <c r="Z345" i="43"/>
  <c r="AF372" i="43"/>
  <c r="AO372" i="43" s="1"/>
  <c r="AN339" i="43"/>
  <c r="AB377" i="43"/>
  <c r="AB383" i="43"/>
  <c r="AN177" i="43"/>
  <c r="AF326" i="43"/>
  <c r="AO326" i="43" s="1"/>
  <c r="AN445" i="43"/>
  <c r="AB240" i="43"/>
  <c r="AN100" i="43"/>
  <c r="Z210" i="43"/>
  <c r="AF411" i="43"/>
  <c r="AO411" i="43" s="1"/>
  <c r="AF439" i="43"/>
  <c r="AO439" i="43" s="1"/>
  <c r="AF160" i="43"/>
  <c r="AO160" i="43" s="1"/>
  <c r="AF112" i="43"/>
  <c r="AO112" i="43" s="1"/>
  <c r="AF217" i="43"/>
  <c r="AO217" i="43" s="1"/>
  <c r="AF229" i="43"/>
  <c r="AO229" i="43" s="1"/>
  <c r="AF310" i="43"/>
  <c r="AO310" i="43" s="1"/>
  <c r="AF453" i="43"/>
  <c r="AO453" i="43" s="1"/>
  <c r="Z74" i="43"/>
  <c r="AN34" i="43"/>
  <c r="AB177" i="43"/>
  <c r="AB203" i="43"/>
  <c r="AF260" i="43"/>
  <c r="AO260" i="43" s="1"/>
  <c r="Z263" i="43"/>
  <c r="AF392" i="43"/>
  <c r="AO392" i="43" s="1"/>
  <c r="Z309" i="43"/>
  <c r="AF405" i="43"/>
  <c r="AO405" i="43" s="1"/>
  <c r="AF20" i="43"/>
  <c r="AO20" i="43" s="1"/>
  <c r="Z58" i="43"/>
  <c r="Z66" i="43"/>
  <c r="AF26" i="43"/>
  <c r="AO26" i="43" s="1"/>
  <c r="AF59" i="43"/>
  <c r="AO59" i="43" s="1"/>
  <c r="Z62" i="43"/>
  <c r="AF137" i="43"/>
  <c r="AO137" i="43" s="1"/>
  <c r="AB142" i="43"/>
  <c r="AN154" i="43"/>
  <c r="AB165" i="43"/>
  <c r="AN404" i="43"/>
  <c r="AF235" i="43"/>
  <c r="AO235" i="43" s="1"/>
  <c r="Z240" i="43"/>
  <c r="AF265" i="43"/>
  <c r="AO265" i="43" s="1"/>
  <c r="AF330" i="43"/>
  <c r="AO330" i="43" s="1"/>
  <c r="Z424" i="43"/>
  <c r="AN191" i="43"/>
  <c r="AB154" i="43"/>
  <c r="AF241" i="43"/>
  <c r="AO241" i="43" s="1"/>
  <c r="AF264" i="43"/>
  <c r="AO264" i="43" s="1"/>
  <c r="AF316" i="43"/>
  <c r="AO316" i="43" s="1"/>
  <c r="AF362" i="43"/>
  <c r="AO362" i="43" s="1"/>
  <c r="AN111" i="43"/>
  <c r="AB222" i="43"/>
  <c r="AB234" i="43"/>
  <c r="AF334" i="43"/>
  <c r="AO334" i="43" s="1"/>
  <c r="Z159" i="43"/>
  <c r="AF306" i="43"/>
  <c r="AO306" i="43" s="1"/>
  <c r="AF320" i="43"/>
  <c r="AO320" i="43" s="1"/>
  <c r="AO321" i="43" s="1"/>
  <c r="Z321" i="43"/>
  <c r="AF348" i="43"/>
  <c r="AO348" i="43" s="1"/>
  <c r="Z394" i="43"/>
  <c r="AB431" i="43"/>
  <c r="AF447" i="43"/>
  <c r="AO447" i="43" s="1"/>
  <c r="Z107" i="43"/>
  <c r="AF151" i="43"/>
  <c r="AO151" i="43" s="1"/>
  <c r="AF50" i="43"/>
  <c r="AO50" i="43" s="1"/>
  <c r="AB66" i="43"/>
  <c r="AB103" i="43"/>
  <c r="AB136" i="43"/>
  <c r="AB74" i="43"/>
  <c r="AF125" i="43"/>
  <c r="AO125" i="43" s="1"/>
  <c r="AB197" i="43"/>
  <c r="AF239" i="43"/>
  <c r="AO239" i="43" s="1"/>
  <c r="AN285" i="43"/>
  <c r="AN431" i="43"/>
  <c r="AN58" i="43"/>
  <c r="AF195" i="43"/>
  <c r="AO195" i="43" s="1"/>
  <c r="AF211" i="43"/>
  <c r="AO211" i="43" s="1"/>
  <c r="AB345" i="43"/>
  <c r="AB54" i="43"/>
  <c r="AF93" i="43"/>
  <c r="AO93" i="43" s="1"/>
  <c r="Z96" i="43"/>
  <c r="AN240" i="43"/>
  <c r="Z313" i="43"/>
  <c r="AN165" i="43"/>
  <c r="AF277" i="43"/>
  <c r="AO277" i="43" s="1"/>
  <c r="AN345" i="43"/>
  <c r="AF422" i="43"/>
  <c r="AO422" i="43" s="1"/>
  <c r="Z111" i="43"/>
  <c r="AN263" i="43"/>
  <c r="AN302" i="43"/>
  <c r="AB246" i="43"/>
  <c r="AB339" i="43"/>
  <c r="AB452" i="43"/>
  <c r="AF393" i="43"/>
  <c r="AO393" i="43" s="1"/>
  <c r="AF67" i="43"/>
  <c r="AO67" i="43" s="1"/>
  <c r="AF24" i="43"/>
  <c r="AO24" i="43" s="1"/>
  <c r="AF65" i="43"/>
  <c r="AO65" i="43" s="1"/>
  <c r="AF271" i="43"/>
  <c r="AO271" i="43" s="1"/>
  <c r="AF185" i="43"/>
  <c r="AO185" i="43" s="1"/>
  <c r="AF374" i="43"/>
  <c r="AO374" i="43" s="1"/>
  <c r="AF57" i="43"/>
  <c r="AO57" i="43" s="1"/>
  <c r="AF110" i="43"/>
  <c r="AO110" i="43" s="1"/>
  <c r="AF366" i="43"/>
  <c r="AO366" i="43" s="1"/>
  <c r="AF98" i="43"/>
  <c r="AO98" i="43" s="1"/>
  <c r="AF284" i="43"/>
  <c r="AO284" i="43" s="1"/>
  <c r="AF250" i="43"/>
  <c r="AO250" i="43" s="1"/>
  <c r="AF88" i="43"/>
  <c r="AO88" i="43" s="1"/>
  <c r="AF49" i="43"/>
  <c r="AO49" i="43" s="1"/>
  <c r="AF201" i="43"/>
  <c r="AO201" i="43" s="1"/>
  <c r="AF225" i="43"/>
  <c r="AO225" i="43" s="1"/>
  <c r="AF395" i="43"/>
  <c r="AO395" i="43" s="1"/>
  <c r="AF149" i="43"/>
  <c r="AO149" i="43" s="1"/>
  <c r="AF133" i="43"/>
  <c r="AO133" i="43" s="1"/>
  <c r="AF167" i="43"/>
  <c r="AO167" i="43" s="1"/>
  <c r="AF322" i="43"/>
  <c r="AO322" i="43" s="1"/>
  <c r="AF380" i="43"/>
  <c r="AO380" i="43" s="1"/>
  <c r="AF388" i="43"/>
  <c r="AO388" i="43" s="1"/>
  <c r="AF15" i="43"/>
  <c r="AO15" i="43" s="1"/>
  <c r="AF97" i="43"/>
  <c r="AO97" i="43" s="1"/>
  <c r="AF219" i="43"/>
  <c r="AO219" i="43" s="1"/>
  <c r="AF178" i="43"/>
  <c r="AO178" i="43" s="1"/>
  <c r="AF268" i="43"/>
  <c r="AO268" i="43" s="1"/>
  <c r="AF163" i="43"/>
  <c r="AO163" i="43" s="1"/>
  <c r="AF224" i="43"/>
  <c r="AO224" i="43" s="1"/>
  <c r="AF301" i="43"/>
  <c r="AO301" i="43" s="1"/>
  <c r="AF317" i="43"/>
  <c r="AO317" i="43" s="1"/>
  <c r="AF325" i="43"/>
  <c r="AO325" i="43" s="1"/>
  <c r="AF333" i="43"/>
  <c r="AO333" i="43" s="1"/>
  <c r="AF341" i="43"/>
  <c r="AO341" i="43" s="1"/>
  <c r="AF349" i="43"/>
  <c r="AO349" i="43" s="1"/>
  <c r="AF365" i="43"/>
  <c r="AO365" i="43" s="1"/>
  <c r="AF373" i="43"/>
  <c r="AO373" i="43" s="1"/>
  <c r="AF351" i="43"/>
  <c r="AO351" i="43" s="1"/>
  <c r="AF323" i="43"/>
  <c r="AO323" i="43" s="1"/>
  <c r="AF164" i="43"/>
  <c r="AO164" i="43" s="1"/>
  <c r="AF172" i="43"/>
  <c r="AO172" i="43" s="1"/>
  <c r="AF158" i="43"/>
  <c r="AO158" i="43" s="1"/>
  <c r="AF244" i="43"/>
  <c r="AO244" i="43" s="1"/>
  <c r="AF315" i="43"/>
  <c r="AO315" i="43" s="1"/>
  <c r="AF409" i="43"/>
  <c r="AO409" i="43" s="1"/>
  <c r="AF433" i="43"/>
  <c r="AO433" i="43" s="1"/>
  <c r="AF441" i="43"/>
  <c r="AO441" i="43" s="1"/>
  <c r="AF84" i="43"/>
  <c r="AO84" i="43" s="1"/>
  <c r="AF75" i="43"/>
  <c r="AO75" i="43" s="1"/>
  <c r="AF73" i="43"/>
  <c r="AO73" i="43" s="1"/>
  <c r="AF209" i="43"/>
  <c r="AO209" i="43" s="1"/>
  <c r="AF157" i="43"/>
  <c r="AO157" i="43" s="1"/>
  <c r="AF308" i="43"/>
  <c r="AO308" i="43" s="1"/>
  <c r="AF360" i="43"/>
  <c r="AO360" i="43" s="1"/>
  <c r="AF446" i="43"/>
  <c r="AO446" i="43" s="1"/>
  <c r="AF399" i="43"/>
  <c r="AO399" i="43" s="1"/>
  <c r="AF221" i="43"/>
  <c r="AO221" i="43" s="1"/>
  <c r="AF342" i="43"/>
  <c r="AO342" i="43" s="1"/>
  <c r="AF205" i="43"/>
  <c r="AO205" i="43" s="1"/>
  <c r="AF402" i="43"/>
  <c r="AO402" i="43" s="1"/>
  <c r="AF416" i="43"/>
  <c r="AO416" i="43" s="1"/>
  <c r="AF432" i="43"/>
  <c r="AO432" i="43" s="1"/>
  <c r="AF104" i="43"/>
  <c r="AO104" i="43" s="1"/>
  <c r="AF153" i="43"/>
  <c r="AO153" i="43" s="1"/>
  <c r="AF312" i="43"/>
  <c r="AO312" i="43" s="1"/>
  <c r="AF329" i="43"/>
  <c r="AO329" i="43" s="1"/>
  <c r="AF115" i="43"/>
  <c r="AO115" i="43" s="1"/>
  <c r="AO117" i="43" s="1"/>
  <c r="AF119" i="43"/>
  <c r="AO119" i="43" s="1"/>
  <c r="AF124" i="43"/>
  <c r="AO124" i="43" s="1"/>
  <c r="AF128" i="43"/>
  <c r="AO128" i="43" s="1"/>
  <c r="AF132" i="43"/>
  <c r="AO132" i="43" s="1"/>
  <c r="AF140" i="43"/>
  <c r="AO140" i="43" s="1"/>
  <c r="AF144" i="43"/>
  <c r="AO144" i="43" s="1"/>
  <c r="AF152" i="43"/>
  <c r="AO152" i="43" s="1"/>
  <c r="AF194" i="43"/>
  <c r="AO194" i="43" s="1"/>
  <c r="AF226" i="43"/>
  <c r="AO226" i="43" s="1"/>
  <c r="AF196" i="43"/>
  <c r="AO196" i="43" s="1"/>
  <c r="AF208" i="43"/>
  <c r="AO208" i="43" s="1"/>
  <c r="AF278" i="43"/>
  <c r="AO278" i="43" s="1"/>
  <c r="AF294" i="43"/>
  <c r="AO294" i="43" s="1"/>
  <c r="AO295" i="43" s="1"/>
  <c r="AF188" i="43"/>
  <c r="AO188" i="43" s="1"/>
  <c r="AF204" i="43"/>
  <c r="AO204" i="43" s="1"/>
  <c r="AF347" i="43"/>
  <c r="AO347" i="43" s="1"/>
  <c r="AF397" i="43"/>
  <c r="AO397" i="43" s="1"/>
  <c r="AF335" i="43"/>
  <c r="AO335" i="43" s="1"/>
  <c r="AF242" i="43"/>
  <c r="AO242" i="43" s="1"/>
  <c r="AF353" i="43"/>
  <c r="AO353" i="43" s="1"/>
  <c r="AF367" i="43"/>
  <c r="AO367" i="43" s="1"/>
  <c r="AF290" i="43"/>
  <c r="AO290" i="43" s="1"/>
  <c r="AF361" i="43"/>
  <c r="AO361" i="43" s="1"/>
  <c r="AF198" i="43"/>
  <c r="AO198" i="43" s="1"/>
  <c r="AF214" i="43"/>
  <c r="AO214" i="43" s="1"/>
  <c r="AF230" i="43"/>
  <c r="AO230" i="43" s="1"/>
  <c r="AF180" i="43"/>
  <c r="AO180" i="43" s="1"/>
  <c r="AF190" i="43"/>
  <c r="AO190" i="43" s="1"/>
  <c r="AF238" i="43"/>
  <c r="AO238" i="43" s="1"/>
  <c r="AF254" i="43"/>
  <c r="AO254" i="43" s="1"/>
  <c r="AO255" i="43" s="1"/>
  <c r="AF270" i="43"/>
  <c r="AO270" i="43" s="1"/>
  <c r="AF282" i="43"/>
  <c r="AO282" i="43" s="1"/>
  <c r="AF298" i="43"/>
  <c r="AO298" i="43" s="1"/>
  <c r="AF94" i="43"/>
  <c r="AO94" i="43" s="1"/>
  <c r="AF258" i="43"/>
  <c r="AO258" i="43" s="1"/>
  <c r="AF101" i="43"/>
  <c r="AO101" i="43" s="1"/>
  <c r="AO103" i="43" s="1"/>
  <c r="AF105" i="43"/>
  <c r="AO105" i="43" s="1"/>
  <c r="AF109" i="43"/>
  <c r="AO109" i="43" s="1"/>
  <c r="AF113" i="43"/>
  <c r="AO113" i="43" s="1"/>
  <c r="AF126" i="43"/>
  <c r="AO126" i="43" s="1"/>
  <c r="AF130" i="43"/>
  <c r="AO130" i="43" s="1"/>
  <c r="AF134" i="43"/>
  <c r="AO134" i="43" s="1"/>
  <c r="AF138" i="43"/>
  <c r="AO138" i="43" s="1"/>
  <c r="AF146" i="43"/>
  <c r="AO146" i="43" s="1"/>
  <c r="AF150" i="43"/>
  <c r="AO150" i="43" s="1"/>
  <c r="AF202" i="43"/>
  <c r="AO202" i="43" s="1"/>
  <c r="AF218" i="43"/>
  <c r="AO218" i="43" s="1"/>
  <c r="AF262" i="43"/>
  <c r="AO262" i="43" s="1"/>
  <c r="AF266" i="43"/>
  <c r="AO266" i="43" s="1"/>
  <c r="AF286" i="43"/>
  <c r="AO286" i="43" s="1"/>
  <c r="AF274" i="43"/>
  <c r="AO274" i="43" s="1"/>
  <c r="AF303" i="43"/>
  <c r="AO303" i="43" s="1"/>
  <c r="AF343" i="43"/>
  <c r="AO343" i="43" s="1"/>
  <c r="AF305" i="43"/>
  <c r="AO305" i="43" s="1"/>
  <c r="AF337" i="43"/>
  <c r="AO337" i="43" s="1"/>
  <c r="AF369" i="43"/>
  <c r="AO369" i="43" s="1"/>
  <c r="AO370" i="43" s="1"/>
  <c r="AF359" i="43"/>
  <c r="AO359" i="43" s="1"/>
  <c r="AF375" i="43"/>
  <c r="AO375" i="43" s="1"/>
  <c r="AO452" i="43" l="1"/>
  <c r="AO331" i="43"/>
  <c r="AO54" i="43"/>
  <c r="AO357" i="43"/>
  <c r="AO165" i="43"/>
  <c r="AO177" i="43"/>
  <c r="AO404" i="43"/>
  <c r="AO78" i="43"/>
  <c r="AO92" i="43"/>
  <c r="AO107" i="43"/>
  <c r="AO89" i="43"/>
  <c r="AO45" i="43"/>
  <c r="AO51" i="43"/>
  <c r="AO259" i="43"/>
  <c r="AO34" i="43"/>
  <c r="AO203" i="43"/>
  <c r="AO309" i="43"/>
  <c r="AO313" i="43"/>
  <c r="AO383" i="43"/>
  <c r="AO66" i="43"/>
  <c r="AO62" i="43"/>
  <c r="AO352" i="43"/>
  <c r="AO210" i="43"/>
  <c r="AO438" i="43"/>
  <c r="AO184" i="43"/>
  <c r="AO394" i="43"/>
  <c r="AO216" i="43"/>
  <c r="AO234" i="43"/>
  <c r="AO445" i="43"/>
  <c r="AO129" i="43"/>
  <c r="AO197" i="43"/>
  <c r="AO122" i="43"/>
  <c r="AO111" i="43"/>
  <c r="AO85" i="43"/>
  <c r="AO319" i="43"/>
  <c r="AO273" i="43"/>
  <c r="AO293" i="43"/>
  <c r="AO154" i="43"/>
  <c r="AO263" i="43"/>
  <c r="AO222" i="43"/>
  <c r="AO387" i="43"/>
  <c r="AO364" i="43"/>
  <c r="AO253" i="43"/>
  <c r="AO22" i="43"/>
  <c r="AO171" i="43"/>
  <c r="AO424" i="43"/>
  <c r="AO27" i="43"/>
  <c r="AO431" i="43"/>
  <c r="AO58" i="43"/>
  <c r="AO280" i="43"/>
  <c r="AO96" i="43"/>
  <c r="AO269" i="43"/>
  <c r="AO240" i="43"/>
  <c r="AO410" i="43"/>
  <c r="AO417" i="43"/>
  <c r="AO159" i="43"/>
  <c r="AO148" i="43"/>
  <c r="AO339" i="43"/>
  <c r="AO136" i="43"/>
  <c r="AO368" i="43"/>
  <c r="AO328" i="43"/>
  <c r="AO100" i="43"/>
  <c r="AO324" i="43"/>
  <c r="AO401" i="43"/>
  <c r="AO191" i="43"/>
  <c r="AO69" i="43"/>
  <c r="AO246" i="43"/>
  <c r="AO142" i="43"/>
  <c r="AO455" i="43"/>
  <c r="AO114" i="43"/>
  <c r="AO18" i="43"/>
  <c r="AO302" i="43"/>
  <c r="AO228" i="43"/>
  <c r="AO377" i="43"/>
  <c r="AO30" i="43"/>
  <c r="AO74" i="43"/>
  <c r="AO81" i="43"/>
  <c r="AO285" i="43"/>
  <c r="AO345" i="43"/>
  <c r="AF30" i="43"/>
  <c r="AF103" i="43"/>
  <c r="AF117" i="43"/>
  <c r="AF452" i="43"/>
  <c r="AF321" i="43"/>
  <c r="AF58" i="43"/>
  <c r="AF38" i="43"/>
  <c r="AF81" i="43"/>
  <c r="AF255" i="43"/>
  <c r="AF78" i="43"/>
  <c r="AF51" i="43"/>
  <c r="AF62" i="43"/>
  <c r="AF370" i="43"/>
  <c r="AF387" i="43"/>
  <c r="AF48" i="43"/>
  <c r="AF34" i="43"/>
  <c r="AF92" i="43"/>
  <c r="AF431" i="43"/>
  <c r="AF295" i="43"/>
  <c r="AF404" i="43"/>
  <c r="AF85" i="43"/>
  <c r="AF100" i="43"/>
  <c r="AF69" i="43"/>
  <c r="AF424" i="43"/>
  <c r="AF54" i="43"/>
  <c r="AF122" i="43"/>
  <c r="AF328" i="43"/>
  <c r="AF309" i="43"/>
  <c r="AF285" i="43"/>
  <c r="AF345" i="43"/>
  <c r="AF293" i="43"/>
  <c r="AF111" i="43"/>
  <c r="AF177" i="43"/>
  <c r="AF319" i="43"/>
  <c r="AF313" i="43"/>
  <c r="AF222" i="43"/>
  <c r="AF45" i="43"/>
  <c r="AF203" i="43"/>
  <c r="AF357" i="43"/>
  <c r="AF352" i="43"/>
  <c r="AF107" i="43"/>
  <c r="AF142" i="43"/>
  <c r="AF410" i="43"/>
  <c r="AF74" i="43"/>
  <c r="AF66" i="43"/>
  <c r="AF165" i="43"/>
  <c r="AF339" i="43"/>
  <c r="AF302" i="43"/>
  <c r="AF27" i="43"/>
  <c r="AF383" i="43"/>
  <c r="AF18" i="43"/>
  <c r="AF280" i="43"/>
  <c r="AF273" i="43"/>
  <c r="AF210" i="43"/>
  <c r="AF331" i="43"/>
  <c r="AF438" i="43"/>
  <c r="AF184" i="43"/>
  <c r="AF394" i="43"/>
  <c r="AF417" i="43"/>
  <c r="AF89" i="43"/>
  <c r="AF41" i="43"/>
  <c r="AF197" i="43"/>
  <c r="AF22" i="43"/>
  <c r="AF171" i="43"/>
  <c r="AF253" i="43"/>
  <c r="AF154" i="43"/>
  <c r="AF96" i="43"/>
  <c r="AF216" i="43"/>
  <c r="AF269" i="43"/>
  <c r="AF263" i="43"/>
  <c r="AF234" i="43"/>
  <c r="AF114" i="43"/>
  <c r="AF159" i="43"/>
  <c r="AF129" i="43"/>
  <c r="AF259" i="43"/>
  <c r="AF377" i="43"/>
  <c r="AF136" i="43"/>
  <c r="AF368" i="43"/>
  <c r="AF324" i="43"/>
  <c r="AF401" i="43"/>
  <c r="AF191" i="43"/>
  <c r="AF246" i="43"/>
  <c r="AF240" i="43"/>
  <c r="AF455" i="43"/>
  <c r="AF445" i="43"/>
  <c r="AF148" i="43"/>
  <c r="AF228" i="43"/>
  <c r="AF364" i="43"/>
  <c r="AM12" i="43" l="1"/>
  <c r="AE12" i="43"/>
  <c r="Y12" i="43"/>
  <c r="U12" i="43"/>
  <c r="U13" i="43" s="1"/>
  <c r="AT12" i="43" l="1"/>
  <c r="AT13" i="43" s="1"/>
  <c r="AW12" i="43"/>
  <c r="AA12" i="43"/>
  <c r="AR12" i="43" s="1"/>
  <c r="AR13" i="43" s="1"/>
  <c r="AQ12" i="43"/>
  <c r="AQ13" i="43" s="1"/>
  <c r="U459" i="43"/>
  <c r="N13" i="45" s="1"/>
  <c r="AP12" i="43"/>
  <c r="AM13" i="43"/>
  <c r="Y13" i="43"/>
  <c r="AE13" i="43"/>
  <c r="AN12" i="43"/>
  <c r="Z12" i="43"/>
  <c r="AB12" i="43"/>
  <c r="AP13" i="43" l="1"/>
  <c r="AW472" i="43"/>
  <c r="AW13" i="43"/>
  <c r="Y459" i="43"/>
  <c r="R13" i="45" s="1"/>
  <c r="AM459" i="43"/>
  <c r="AF13" i="45" s="1"/>
  <c r="AE459" i="43"/>
  <c r="X13" i="45" s="1"/>
  <c r="AA13" i="43"/>
  <c r="AP459" i="43"/>
  <c r="AI13" i="45" s="1"/>
  <c r="AQ459" i="43"/>
  <c r="AJ13" i="45" s="1"/>
  <c r="AS12" i="43"/>
  <c r="AS13" i="43" s="1"/>
  <c r="Z13" i="43"/>
  <c r="Z459" i="43" s="1"/>
  <c r="S13" i="45" s="1"/>
  <c r="AT459" i="43"/>
  <c r="AM13" i="45" s="1"/>
  <c r="AB13" i="43"/>
  <c r="AN13" i="43"/>
  <c r="AF12" i="43"/>
  <c r="AP36" i="45" l="1"/>
  <c r="AP26" i="45" s="1"/>
  <c r="AW462" i="43"/>
  <c r="AN459" i="43"/>
  <c r="AG13" i="45" s="1"/>
  <c r="AB459" i="43"/>
  <c r="U13" i="45" s="1"/>
  <c r="AA459" i="43"/>
  <c r="T13" i="45" s="1"/>
  <c r="AR459" i="43"/>
  <c r="AK13" i="45" s="1"/>
  <c r="AW459" i="43"/>
  <c r="AP13" i="45" s="1"/>
  <c r="AO12" i="43"/>
  <c r="AO13" i="43" s="1"/>
  <c r="AS459" i="43"/>
  <c r="AL13" i="45" s="1"/>
  <c r="AF13" i="43"/>
  <c r="AF459" i="43" l="1"/>
  <c r="Y13" i="45" s="1"/>
  <c r="AO459" i="43"/>
  <c r="AH13" i="45" s="1"/>
  <c r="AJ143" i="44"/>
  <c r="AI143" i="44"/>
  <c r="AB36" i="45" s="1"/>
  <c r="AH143" i="44"/>
  <c r="AG143" i="44"/>
  <c r="AF143" i="44"/>
  <c r="AC143" i="44"/>
  <c r="AB143" i="44"/>
  <c r="V143" i="44"/>
  <c r="U143" i="44"/>
  <c r="S143" i="44"/>
  <c r="L36" i="45" s="1"/>
  <c r="R143" i="44"/>
  <c r="K36" i="45" s="1"/>
  <c r="Q143" i="44"/>
  <c r="P143" i="44"/>
  <c r="O143" i="44"/>
  <c r="M143" i="44"/>
  <c r="L143" i="44"/>
  <c r="K143" i="44"/>
  <c r="J143" i="44"/>
  <c r="AJ142" i="44"/>
  <c r="AI142" i="44"/>
  <c r="AB35" i="45" s="1"/>
  <c r="AH142" i="44"/>
  <c r="AG142" i="44"/>
  <c r="AF142" i="44"/>
  <c r="AC142" i="44"/>
  <c r="AB142" i="44"/>
  <c r="V142" i="44"/>
  <c r="U142" i="44"/>
  <c r="S142" i="44"/>
  <c r="L35" i="45" s="1"/>
  <c r="R142" i="44"/>
  <c r="K35" i="45" s="1"/>
  <c r="Q142" i="44"/>
  <c r="P142" i="44"/>
  <c r="O142" i="44"/>
  <c r="M142" i="44"/>
  <c r="L142" i="44"/>
  <c r="K142" i="44"/>
  <c r="J142" i="44"/>
  <c r="AJ141" i="44"/>
  <c r="AI141" i="44"/>
  <c r="AB34" i="45" s="1"/>
  <c r="AH141" i="44"/>
  <c r="AG141" i="44"/>
  <c r="AF141" i="44"/>
  <c r="AC141" i="44"/>
  <c r="AB141" i="44"/>
  <c r="V141" i="44"/>
  <c r="U141" i="44"/>
  <c r="S141" i="44"/>
  <c r="L34" i="45" s="1"/>
  <c r="R141" i="44"/>
  <c r="K34" i="45" s="1"/>
  <c r="Q141" i="44"/>
  <c r="P141" i="44"/>
  <c r="O141" i="44"/>
  <c r="M141" i="44"/>
  <c r="L141" i="44"/>
  <c r="K141" i="44"/>
  <c r="D34" i="45" s="1"/>
  <c r="J141" i="44"/>
  <c r="AJ140" i="44"/>
  <c r="AI140" i="44"/>
  <c r="AB33" i="45" s="1"/>
  <c r="AH140" i="44"/>
  <c r="AG140" i="44"/>
  <c r="AF140" i="44"/>
  <c r="AC140" i="44"/>
  <c r="AB140" i="44"/>
  <c r="V140" i="44"/>
  <c r="U140" i="44"/>
  <c r="S140" i="44"/>
  <c r="L33" i="45" s="1"/>
  <c r="R140" i="44"/>
  <c r="K33" i="45" s="1"/>
  <c r="Q140" i="44"/>
  <c r="P140" i="44"/>
  <c r="O140" i="44"/>
  <c r="M140" i="44"/>
  <c r="L140" i="44"/>
  <c r="K140" i="44"/>
  <c r="D33" i="45" s="1"/>
  <c r="J140" i="44"/>
  <c r="AV139" i="44"/>
  <c r="AU139" i="44"/>
  <c r="AT139" i="44"/>
  <c r="AS139" i="44"/>
  <c r="AR139" i="44"/>
  <c r="AQ139" i="44"/>
  <c r="AP139" i="44"/>
  <c r="AO139" i="44"/>
  <c r="AN139" i="44"/>
  <c r="AM139" i="44"/>
  <c r="AL139" i="44"/>
  <c r="AK139" i="44"/>
  <c r="AJ139" i="44"/>
  <c r="AI139" i="44"/>
  <c r="AB32" i="45" s="1"/>
  <c r="AH139" i="44"/>
  <c r="AG139" i="44"/>
  <c r="AF139" i="44"/>
  <c r="AE139" i="44"/>
  <c r="AD139" i="44"/>
  <c r="AC139" i="44"/>
  <c r="AB139" i="44"/>
  <c r="AA139" i="44"/>
  <c r="Z139" i="44"/>
  <c r="Y139" i="44"/>
  <c r="X139" i="44"/>
  <c r="V139" i="44"/>
  <c r="U139" i="44"/>
  <c r="T139" i="44"/>
  <c r="S139" i="44"/>
  <c r="L32" i="45" s="1"/>
  <c r="R139" i="44"/>
  <c r="K32" i="45" s="1"/>
  <c r="Q139" i="44"/>
  <c r="P139" i="44"/>
  <c r="O139" i="44"/>
  <c r="N139" i="44"/>
  <c r="M139" i="44"/>
  <c r="L139" i="44"/>
  <c r="K139" i="44"/>
  <c r="D32" i="45" s="1"/>
  <c r="J139" i="44"/>
  <c r="I139" i="44"/>
  <c r="B32" i="45" s="1"/>
  <c r="AV138" i="44"/>
  <c r="AU138" i="44"/>
  <c r="AT138" i="44"/>
  <c r="AS138" i="44"/>
  <c r="AR138" i="44"/>
  <c r="AQ138" i="44"/>
  <c r="AP138" i="44"/>
  <c r="AO138" i="44"/>
  <c r="AN138" i="44"/>
  <c r="AM138" i="44"/>
  <c r="AL138" i="44"/>
  <c r="AK138" i="44"/>
  <c r="AJ138" i="44"/>
  <c r="AI138" i="44"/>
  <c r="AB31" i="45" s="1"/>
  <c r="AH138" i="44"/>
  <c r="AG138" i="44"/>
  <c r="AF138" i="44"/>
  <c r="AE138" i="44"/>
  <c r="AD138" i="44"/>
  <c r="AC138" i="44"/>
  <c r="AB138" i="44"/>
  <c r="AA138" i="44"/>
  <c r="Z138" i="44"/>
  <c r="Y138" i="44"/>
  <c r="X138" i="44"/>
  <c r="V138" i="44"/>
  <c r="U138" i="44"/>
  <c r="T138" i="44"/>
  <c r="S138" i="44"/>
  <c r="L31" i="45" s="1"/>
  <c r="R138" i="44"/>
  <c r="K31" i="45" s="1"/>
  <c r="Q138" i="44"/>
  <c r="P138" i="44"/>
  <c r="O138" i="44"/>
  <c r="N138" i="44"/>
  <c r="M138" i="44"/>
  <c r="L138" i="44"/>
  <c r="K138" i="44"/>
  <c r="D31" i="45" s="1"/>
  <c r="J138" i="44"/>
  <c r="I138" i="44"/>
  <c r="B31" i="45" s="1"/>
  <c r="AJ137" i="44"/>
  <c r="AI137" i="44"/>
  <c r="AB30" i="45" s="1"/>
  <c r="AH137" i="44"/>
  <c r="AG137" i="44"/>
  <c r="AF137" i="44"/>
  <c r="AC137" i="44"/>
  <c r="AB137" i="44"/>
  <c r="V137" i="44"/>
  <c r="U137" i="44"/>
  <c r="S137" i="44"/>
  <c r="L30" i="45" s="1"/>
  <c r="R137" i="44"/>
  <c r="K30" i="45" s="1"/>
  <c r="Q137" i="44"/>
  <c r="P137" i="44"/>
  <c r="O137" i="44"/>
  <c r="M137" i="44"/>
  <c r="L137" i="44"/>
  <c r="K137" i="44"/>
  <c r="D30" i="45" s="1"/>
  <c r="J137" i="44"/>
  <c r="AJ136" i="44"/>
  <c r="AH136" i="44"/>
  <c r="AG136" i="44"/>
  <c r="AF136" i="44"/>
  <c r="AC136" i="44"/>
  <c r="AB136" i="44"/>
  <c r="V136" i="44"/>
  <c r="U136" i="44"/>
  <c r="R136" i="44"/>
  <c r="K29" i="45" s="1"/>
  <c r="Q136" i="44"/>
  <c r="P136" i="44"/>
  <c r="O136" i="44"/>
  <c r="M136" i="44"/>
  <c r="L136" i="44"/>
  <c r="K136" i="44"/>
  <c r="D29" i="45" s="1"/>
  <c r="J136" i="44"/>
  <c r="AJ135" i="44"/>
  <c r="AI135" i="44"/>
  <c r="AB28" i="45" s="1"/>
  <c r="AG135" i="44"/>
  <c r="AF135" i="44"/>
  <c r="AC135" i="44"/>
  <c r="V135" i="44"/>
  <c r="U135" i="44"/>
  <c r="S135" i="44"/>
  <c r="L28" i="45" s="1"/>
  <c r="Q135" i="44"/>
  <c r="P135" i="44"/>
  <c r="M135" i="44"/>
  <c r="L135" i="44"/>
  <c r="K135" i="44"/>
  <c r="D28" i="45" s="1"/>
  <c r="J135" i="44"/>
  <c r="AJ134" i="44"/>
  <c r="AI134" i="44"/>
  <c r="AB27" i="45" s="1"/>
  <c r="AH134" i="44"/>
  <c r="AG134" i="44"/>
  <c r="AF134" i="44"/>
  <c r="AC134" i="44"/>
  <c r="AB134" i="44"/>
  <c r="V134" i="44"/>
  <c r="U134" i="44"/>
  <c r="S134" i="44"/>
  <c r="L27" i="45" s="1"/>
  <c r="R134" i="44"/>
  <c r="K27" i="45" s="1"/>
  <c r="Q134" i="44"/>
  <c r="P134" i="44"/>
  <c r="O134" i="44"/>
  <c r="M134" i="44"/>
  <c r="L134" i="44"/>
  <c r="K134" i="44"/>
  <c r="D27" i="45" s="1"/>
  <c r="J134" i="44"/>
  <c r="J463" i="43"/>
  <c r="L463" i="43"/>
  <c r="M463" i="43"/>
  <c r="O463" i="43"/>
  <c r="P463" i="43"/>
  <c r="Q463" i="43"/>
  <c r="J27" i="45" s="1"/>
  <c r="U463" i="43"/>
  <c r="V463" i="43"/>
  <c r="AB463" i="43"/>
  <c r="AC463" i="43"/>
  <c r="V27" i="45" s="1"/>
  <c r="AF463" i="43"/>
  <c r="Y27" i="45" s="1"/>
  <c r="AG463" i="43"/>
  <c r="AH463" i="43"/>
  <c r="AJ463" i="43"/>
  <c r="AC27" i="45" s="1"/>
  <c r="J464" i="43"/>
  <c r="L464" i="43"/>
  <c r="E28" i="45" s="1"/>
  <c r="M464" i="43"/>
  <c r="O464" i="43"/>
  <c r="P464" i="43"/>
  <c r="Q464" i="43"/>
  <c r="U464" i="43"/>
  <c r="V464" i="43"/>
  <c r="O28" i="45" s="1"/>
  <c r="AC464" i="43"/>
  <c r="AF464" i="43"/>
  <c r="Y28" i="45" s="1"/>
  <c r="AG464" i="43"/>
  <c r="AJ464" i="43"/>
  <c r="AC28" i="45" s="1"/>
  <c r="J465" i="43"/>
  <c r="C29" i="45" s="1"/>
  <c r="L465" i="43"/>
  <c r="M465" i="43"/>
  <c r="F29" i="45" s="1"/>
  <c r="O465" i="43"/>
  <c r="H29" i="45" s="1"/>
  <c r="P465" i="43"/>
  <c r="I29" i="45" s="1"/>
  <c r="Q465" i="43"/>
  <c r="U465" i="43"/>
  <c r="N29" i="45" s="1"/>
  <c r="V465" i="43"/>
  <c r="O29" i="45" s="1"/>
  <c r="AB465" i="43"/>
  <c r="AC465" i="43"/>
  <c r="AF465" i="43"/>
  <c r="Y29" i="45" s="1"/>
  <c r="AG465" i="43"/>
  <c r="Z29" i="45" s="1"/>
  <c r="AH465" i="43"/>
  <c r="AJ465" i="43"/>
  <c r="J466" i="43"/>
  <c r="C30" i="45" s="1"/>
  <c r="L466" i="43"/>
  <c r="E30" i="45" s="1"/>
  <c r="M466" i="43"/>
  <c r="O466" i="43"/>
  <c r="H30" i="45" s="1"/>
  <c r="P466" i="43"/>
  <c r="I30" i="45" s="1"/>
  <c r="Q466" i="43"/>
  <c r="J30" i="45" s="1"/>
  <c r="U466" i="43"/>
  <c r="N30" i="45" s="1"/>
  <c r="V466" i="43"/>
  <c r="AB466" i="43"/>
  <c r="U30" i="45" s="1"/>
  <c r="AC466" i="43"/>
  <c r="V30" i="45" s="1"/>
  <c r="AF466" i="43"/>
  <c r="Y30" i="45" s="1"/>
  <c r="AG466" i="43"/>
  <c r="AJ466" i="43"/>
  <c r="AC30" i="45" s="1"/>
  <c r="J467" i="43"/>
  <c r="C31" i="45" s="1"/>
  <c r="L467" i="43"/>
  <c r="E31" i="45" s="1"/>
  <c r="M467" i="43"/>
  <c r="N467" i="43"/>
  <c r="G31" i="45" s="1"/>
  <c r="O467" i="43"/>
  <c r="H31" i="45" s="1"/>
  <c r="P467" i="43"/>
  <c r="I31" i="45" s="1"/>
  <c r="Q467" i="43"/>
  <c r="T467" i="43"/>
  <c r="M31" i="45" s="1"/>
  <c r="U467" i="43"/>
  <c r="N31" i="45" s="1"/>
  <c r="V467" i="43"/>
  <c r="X467" i="43"/>
  <c r="Q31" i="45" s="1"/>
  <c r="Y467" i="43"/>
  <c r="R31" i="45" s="1"/>
  <c r="Z467" i="43"/>
  <c r="S31" i="45" s="1"/>
  <c r="AA467" i="43"/>
  <c r="AB467" i="43"/>
  <c r="U31" i="45" s="1"/>
  <c r="AC467" i="43"/>
  <c r="V31" i="45" s="1"/>
  <c r="AD467" i="43"/>
  <c r="W31" i="45" s="1"/>
  <c r="AE467" i="43"/>
  <c r="AF467" i="43"/>
  <c r="Y31" i="45" s="1"/>
  <c r="AG467" i="43"/>
  <c r="Z31" i="45" s="1"/>
  <c r="AH467" i="43"/>
  <c r="AA31" i="45" s="1"/>
  <c r="AJ467" i="43"/>
  <c r="AC31" i="45" s="1"/>
  <c r="AK467" i="43"/>
  <c r="AL467" i="43"/>
  <c r="AM467" i="43"/>
  <c r="AF31" i="45" s="1"/>
  <c r="AN467" i="43"/>
  <c r="AG31" i="45" s="1"/>
  <c r="AO467" i="43"/>
  <c r="AH31" i="45" s="1"/>
  <c r="AP467" i="43"/>
  <c r="AQ467" i="43"/>
  <c r="AJ31" i="45" s="1"/>
  <c r="AR467" i="43"/>
  <c r="AK31" i="45" s="1"/>
  <c r="AS467" i="43"/>
  <c r="AL31" i="45" s="1"/>
  <c r="AT467" i="43"/>
  <c r="AU467" i="43"/>
  <c r="AN31" i="45" s="1"/>
  <c r="AV467" i="43"/>
  <c r="AO31" i="45" s="1"/>
  <c r="J468" i="43"/>
  <c r="L468" i="43"/>
  <c r="E32" i="45" s="1"/>
  <c r="M468" i="43"/>
  <c r="F32" i="45" s="1"/>
  <c r="N468" i="43"/>
  <c r="O468" i="43"/>
  <c r="P468" i="43"/>
  <c r="I32" i="45" s="1"/>
  <c r="Q468" i="43"/>
  <c r="J32" i="45" s="1"/>
  <c r="T468" i="43"/>
  <c r="M32" i="45" s="1"/>
  <c r="U468" i="43"/>
  <c r="N32" i="45" s="1"/>
  <c r="V468" i="43"/>
  <c r="X468" i="43"/>
  <c r="Q32" i="45" s="1"/>
  <c r="Y468" i="43"/>
  <c r="R32" i="45" s="1"/>
  <c r="Z468" i="43"/>
  <c r="S32" i="45" s="1"/>
  <c r="AA468" i="43"/>
  <c r="AB468" i="43"/>
  <c r="U32" i="45" s="1"/>
  <c r="AC468" i="43"/>
  <c r="V32" i="45" s="1"/>
  <c r="AD468" i="43"/>
  <c r="W32" i="45" s="1"/>
  <c r="AE468" i="43"/>
  <c r="AF468" i="43"/>
  <c r="Y32" i="45" s="1"/>
  <c r="AG468" i="43"/>
  <c r="Z32" i="45" s="1"/>
  <c r="AH468" i="43"/>
  <c r="AA32" i="45" s="1"/>
  <c r="AJ468" i="43"/>
  <c r="AC32" i="45" s="1"/>
  <c r="AK468" i="43"/>
  <c r="AD32" i="45" s="1"/>
  <c r="AL468" i="43"/>
  <c r="AE32" i="45" s="1"/>
  <c r="AM468" i="43"/>
  <c r="AN468" i="43"/>
  <c r="AG32" i="45" s="1"/>
  <c r="AO468" i="43"/>
  <c r="AH32" i="45" s="1"/>
  <c r="AP468" i="43"/>
  <c r="AI32" i="45" s="1"/>
  <c r="AQ468" i="43"/>
  <c r="AR468" i="43"/>
  <c r="AK32" i="45" s="1"/>
  <c r="AS468" i="43"/>
  <c r="AL32" i="45" s="1"/>
  <c r="AT468" i="43"/>
  <c r="AM32" i="45" s="1"/>
  <c r="AU468" i="43"/>
  <c r="AV468" i="43"/>
  <c r="AO32" i="45" s="1"/>
  <c r="J469" i="43"/>
  <c r="C33" i="45" s="1"/>
  <c r="L469" i="43"/>
  <c r="M469" i="43"/>
  <c r="O469" i="43"/>
  <c r="H33" i="45" s="1"/>
  <c r="P469" i="43"/>
  <c r="I33" i="45" s="1"/>
  <c r="Q469" i="43"/>
  <c r="U469" i="43"/>
  <c r="N33" i="45" s="1"/>
  <c r="V469" i="43"/>
  <c r="AB469" i="43"/>
  <c r="U33" i="45" s="1"/>
  <c r="AC469" i="43"/>
  <c r="V33" i="45" s="1"/>
  <c r="AF469" i="43"/>
  <c r="Y33" i="45" s="1"/>
  <c r="AG469" i="43"/>
  <c r="AH469" i="43"/>
  <c r="AA33" i="45" s="1"/>
  <c r="AJ469" i="43"/>
  <c r="AC33" i="45" s="1"/>
  <c r="J470" i="43"/>
  <c r="L470" i="43"/>
  <c r="E34" i="45" s="1"/>
  <c r="M470" i="43"/>
  <c r="F34" i="45" s="1"/>
  <c r="O470" i="43"/>
  <c r="P470" i="43"/>
  <c r="Q470" i="43"/>
  <c r="J34" i="45" s="1"/>
  <c r="U470" i="43"/>
  <c r="N34" i="45" s="1"/>
  <c r="V470" i="43"/>
  <c r="O34" i="45" s="1"/>
  <c r="AB470" i="43"/>
  <c r="U34" i="45" s="1"/>
  <c r="AC470" i="43"/>
  <c r="AF470" i="43"/>
  <c r="Y34" i="45" s="1"/>
  <c r="AG470" i="43"/>
  <c r="Z34" i="45" s="1"/>
  <c r="AH470" i="43"/>
  <c r="AA34" i="45" s="1"/>
  <c r="AJ470" i="43"/>
  <c r="AC34" i="45" s="1"/>
  <c r="J471" i="43"/>
  <c r="C35" i="45" s="1"/>
  <c r="K471" i="43"/>
  <c r="D35" i="45" s="1"/>
  <c r="L471" i="43"/>
  <c r="M471" i="43"/>
  <c r="F35" i="45" s="1"/>
  <c r="O471" i="43"/>
  <c r="H35" i="45" s="1"/>
  <c r="P471" i="43"/>
  <c r="I35" i="45" s="1"/>
  <c r="Q471" i="43"/>
  <c r="U471" i="43"/>
  <c r="N35" i="45" s="1"/>
  <c r="V471" i="43"/>
  <c r="O35" i="45" s="1"/>
  <c r="AB471" i="43"/>
  <c r="AC471" i="43"/>
  <c r="V35" i="45" s="1"/>
  <c r="AF471" i="43"/>
  <c r="Y35" i="45" s="1"/>
  <c r="AG471" i="43"/>
  <c r="Z35" i="45" s="1"/>
  <c r="AH471" i="43"/>
  <c r="AJ471" i="43"/>
  <c r="AC35" i="45" s="1"/>
  <c r="J472" i="43"/>
  <c r="K472" i="43"/>
  <c r="D36" i="45" s="1"/>
  <c r="L472" i="43"/>
  <c r="E36" i="45" s="1"/>
  <c r="M472" i="43"/>
  <c r="F36" i="45" s="1"/>
  <c r="P472" i="43"/>
  <c r="I36" i="45" s="1"/>
  <c r="Q472" i="43"/>
  <c r="J36" i="45" s="1"/>
  <c r="U472" i="43"/>
  <c r="V472" i="43"/>
  <c r="O36" i="45" s="1"/>
  <c r="AB472" i="43"/>
  <c r="U36" i="45" s="1"/>
  <c r="AC472" i="43"/>
  <c r="V36" i="45" s="1"/>
  <c r="AF472" i="43"/>
  <c r="AG472" i="43"/>
  <c r="Z36" i="45" s="1"/>
  <c r="AH472" i="43"/>
  <c r="AA36" i="45" s="1"/>
  <c r="AJ472" i="43"/>
  <c r="AC36" i="45" s="1"/>
  <c r="N142" i="44"/>
  <c r="I142" i="44"/>
  <c r="AI136" i="44"/>
  <c r="AB29" i="45" s="1"/>
  <c r="N141" i="44"/>
  <c r="N134" i="44"/>
  <c r="I143" i="44"/>
  <c r="N136" i="44"/>
  <c r="I140" i="44"/>
  <c r="I135" i="44"/>
  <c r="B28" i="45" s="1"/>
  <c r="N137" i="44"/>
  <c r="N140" i="44"/>
  <c r="S136" i="44"/>
  <c r="L29" i="45" s="1"/>
  <c r="I141" i="44"/>
  <c r="I134" i="44"/>
  <c r="B27" i="45" s="1"/>
  <c r="AH135" i="44"/>
  <c r="R135" i="44"/>
  <c r="K28" i="45" s="1"/>
  <c r="I136" i="44"/>
  <c r="B29" i="45" s="1"/>
  <c r="AB135" i="44"/>
  <c r="N143" i="44"/>
  <c r="I137" i="44"/>
  <c r="B30" i="45" s="1"/>
  <c r="N471" i="43"/>
  <c r="G35" i="45" s="1"/>
  <c r="I472" i="43"/>
  <c r="B36" i="45" s="1"/>
  <c r="N463" i="43"/>
  <c r="I471" i="43"/>
  <c r="B35" i="45" s="1"/>
  <c r="AB464" i="43"/>
  <c r="I469" i="43"/>
  <c r="N464" i="43"/>
  <c r="I470" i="43"/>
  <c r="B34" i="45" s="1"/>
  <c r="AH464" i="43"/>
  <c r="N466" i="43"/>
  <c r="N465" i="43"/>
  <c r="G29" i="45" s="1"/>
  <c r="N469" i="43"/>
  <c r="N470" i="43"/>
  <c r="AH466" i="43"/>
  <c r="AA27" i="45" l="1"/>
  <c r="N27" i="45"/>
  <c r="I34" i="45"/>
  <c r="F33" i="45"/>
  <c r="H32" i="45"/>
  <c r="AC29" i="45"/>
  <c r="V29" i="45"/>
  <c r="J28" i="45"/>
  <c r="AA30" i="45"/>
  <c r="G30" i="45"/>
  <c r="AA28" i="45"/>
  <c r="U28" i="45"/>
  <c r="Y36" i="45"/>
  <c r="N36" i="45"/>
  <c r="AA35" i="45"/>
  <c r="U35" i="45"/>
  <c r="J33" i="45"/>
  <c r="X31" i="45"/>
  <c r="T31" i="45"/>
  <c r="O31" i="45"/>
  <c r="V28" i="45"/>
  <c r="H27" i="45"/>
  <c r="U27" i="45"/>
  <c r="O33" i="45"/>
  <c r="V34" i="45"/>
  <c r="Z33" i="45"/>
  <c r="X32" i="45"/>
  <c r="T32" i="45"/>
  <c r="O32" i="45"/>
  <c r="AM31" i="45"/>
  <c r="AI31" i="45"/>
  <c r="AE31" i="45"/>
  <c r="Z28" i="45"/>
  <c r="N28" i="45"/>
  <c r="F28" i="45"/>
  <c r="J35" i="45"/>
  <c r="AN32" i="45"/>
  <c r="AJ32" i="45"/>
  <c r="AF32" i="45"/>
  <c r="AD31" i="45"/>
  <c r="J31" i="45"/>
  <c r="Z30" i="45"/>
  <c r="O30" i="45"/>
  <c r="J29" i="45"/>
  <c r="AA29" i="45"/>
  <c r="U29" i="45"/>
  <c r="E35" i="45"/>
  <c r="F31" i="45"/>
  <c r="E29" i="45"/>
  <c r="H34" i="45"/>
  <c r="E33" i="45"/>
  <c r="G32" i="45"/>
  <c r="F30" i="45"/>
  <c r="I28" i="45"/>
  <c r="G33" i="45"/>
  <c r="C36" i="45"/>
  <c r="C34" i="45"/>
  <c r="C32" i="45"/>
  <c r="C28" i="45"/>
  <c r="B33" i="45"/>
  <c r="G34" i="45"/>
  <c r="I27" i="45"/>
  <c r="E27" i="45"/>
  <c r="G27" i="45"/>
  <c r="C27" i="45"/>
  <c r="F27" i="45"/>
  <c r="Z27" i="45"/>
  <c r="O27" i="45"/>
  <c r="I462" i="43"/>
  <c r="K26" i="45"/>
  <c r="L26" i="45"/>
  <c r="AB26" i="45"/>
  <c r="K462" i="43"/>
  <c r="X143" i="44"/>
  <c r="T143" i="44"/>
  <c r="AD136" i="44"/>
  <c r="X142" i="44"/>
  <c r="AG130" i="44"/>
  <c r="Z14" i="45" s="1"/>
  <c r="X471" i="43"/>
  <c r="AD472" i="43"/>
  <c r="AF130" i="44"/>
  <c r="Y14" i="45" s="1"/>
  <c r="I131" i="44"/>
  <c r="AS136" i="44"/>
  <c r="T142" i="44"/>
  <c r="AK134" i="44"/>
  <c r="V130" i="44"/>
  <c r="O14" i="45" s="1"/>
  <c r="X136" i="44"/>
  <c r="AO143" i="44"/>
  <c r="AH130" i="44"/>
  <c r="AA14" i="45" s="1"/>
  <c r="AD469" i="43"/>
  <c r="AD471" i="43"/>
  <c r="AL472" i="43"/>
  <c r="AV136" i="44"/>
  <c r="AD137" i="44"/>
  <c r="AJ130" i="44"/>
  <c r="AC14" i="45" s="1"/>
  <c r="AK143" i="44"/>
  <c r="AK140" i="44"/>
  <c r="AK136" i="44"/>
  <c r="AD143" i="44"/>
  <c r="AC130" i="44"/>
  <c r="V14" i="45" s="1"/>
  <c r="T134" i="44"/>
  <c r="AK137" i="44"/>
  <c r="AH133" i="44"/>
  <c r="AL141" i="44"/>
  <c r="AU136" i="44"/>
  <c r="AK135" i="44"/>
  <c r="AL135" i="44"/>
  <c r="AK141" i="44"/>
  <c r="AL142" i="44"/>
  <c r="AL134" i="44"/>
  <c r="AL143" i="44"/>
  <c r="AP136" i="44"/>
  <c r="X140" i="44"/>
  <c r="AL140" i="44"/>
  <c r="AD140" i="44"/>
  <c r="AK142" i="44"/>
  <c r="AB130" i="44"/>
  <c r="U14" i="45" s="1"/>
  <c r="AD142" i="44"/>
  <c r="AD141" i="44"/>
  <c r="AL137" i="44"/>
  <c r="AL136" i="44"/>
  <c r="AP142" i="44"/>
  <c r="AG133" i="44"/>
  <c r="AF133" i="44"/>
  <c r="AJ133" i="44"/>
  <c r="S130" i="44"/>
  <c r="L14" i="45" s="1"/>
  <c r="AD134" i="44"/>
  <c r="U130" i="44"/>
  <c r="N14" i="45" s="1"/>
  <c r="Q130" i="44"/>
  <c r="J14" i="45" s="1"/>
  <c r="AD135" i="44"/>
  <c r="R130" i="44"/>
  <c r="K14" i="45" s="1"/>
  <c r="AI130" i="44"/>
  <c r="AB14" i="45" s="1"/>
  <c r="AB133" i="44"/>
  <c r="X141" i="44"/>
  <c r="X135" i="44"/>
  <c r="T135" i="44"/>
  <c r="T137" i="44"/>
  <c r="X137" i="44"/>
  <c r="T141" i="44"/>
  <c r="T140" i="44"/>
  <c r="R133" i="44"/>
  <c r="X134" i="44"/>
  <c r="U133" i="44"/>
  <c r="Q133" i="44"/>
  <c r="S133" i="44"/>
  <c r="P133" i="44"/>
  <c r="L133" i="44"/>
  <c r="K133" i="44"/>
  <c r="I133" i="44"/>
  <c r="J133" i="44"/>
  <c r="M133" i="44"/>
  <c r="X469" i="43"/>
  <c r="T469" i="43"/>
  <c r="T472" i="43"/>
  <c r="AO472" i="43"/>
  <c r="AH36" i="45" s="1"/>
  <c r="AL466" i="43"/>
  <c r="AE30" i="45" s="1"/>
  <c r="AL464" i="43"/>
  <c r="AK471" i="43"/>
  <c r="AD35" i="45" s="1"/>
  <c r="AL465" i="43"/>
  <c r="AL471" i="43"/>
  <c r="AL469" i="43"/>
  <c r="AL463" i="43"/>
  <c r="AK472" i="43"/>
  <c r="AD36" i="45" s="1"/>
  <c r="AK469" i="43"/>
  <c r="AK463" i="43"/>
  <c r="AK464" i="43"/>
  <c r="AD28" i="45" s="1"/>
  <c r="AK465" i="43"/>
  <c r="X466" i="43"/>
  <c r="AK470" i="43"/>
  <c r="AD34" i="45" s="1"/>
  <c r="AL470" i="43"/>
  <c r="AE34" i="45" s="1"/>
  <c r="AD470" i="43"/>
  <c r="T465" i="43"/>
  <c r="AK466" i="43"/>
  <c r="AU465" i="43"/>
  <c r="X465" i="43"/>
  <c r="Q29" i="45" s="1"/>
  <c r="AD465" i="43"/>
  <c r="W29" i="45" s="1"/>
  <c r="T471" i="43"/>
  <c r="M35" i="45" s="1"/>
  <c r="X472" i="43"/>
  <c r="Q36" i="45" s="1"/>
  <c r="AD466" i="43"/>
  <c r="AD464" i="43"/>
  <c r="AD463" i="43"/>
  <c r="T466" i="43"/>
  <c r="X464" i="43"/>
  <c r="Q28" i="45" s="1"/>
  <c r="T470" i="43"/>
  <c r="T464" i="43"/>
  <c r="M28" i="45" s="1"/>
  <c r="T463" i="43"/>
  <c r="X463" i="43"/>
  <c r="AI133" i="44"/>
  <c r="T136" i="44"/>
  <c r="B23" i="45"/>
  <c r="AP472" i="43"/>
  <c r="AP471" i="43"/>
  <c r="AJ462" i="43"/>
  <c r="P462" i="43"/>
  <c r="AC462" i="43"/>
  <c r="X470" i="43"/>
  <c r="AH462" i="43"/>
  <c r="J462" i="43"/>
  <c r="V462" i="43"/>
  <c r="L462" i="43"/>
  <c r="M462" i="43"/>
  <c r="AB462" i="43"/>
  <c r="AG462" i="43"/>
  <c r="AF462" i="43"/>
  <c r="U462" i="43"/>
  <c r="V133" i="44"/>
  <c r="Q462" i="43"/>
  <c r="AC133" i="44"/>
  <c r="AE27" i="45" l="1"/>
  <c r="AD30" i="45"/>
  <c r="W30" i="45"/>
  <c r="AD29" i="45"/>
  <c r="W34" i="45"/>
  <c r="M36" i="45"/>
  <c r="AE33" i="45"/>
  <c r="AE28" i="45"/>
  <c r="M33" i="45"/>
  <c r="Q34" i="45"/>
  <c r="AI35" i="45"/>
  <c r="M34" i="45"/>
  <c r="W28" i="45"/>
  <c r="Q30" i="45"/>
  <c r="M29" i="45"/>
  <c r="AD33" i="45"/>
  <c r="AE35" i="45"/>
  <c r="Q33" i="45"/>
  <c r="AE36" i="45"/>
  <c r="W36" i="45"/>
  <c r="AE29" i="45"/>
  <c r="W35" i="45"/>
  <c r="Q35" i="45"/>
  <c r="M30" i="45"/>
  <c r="AN29" i="45"/>
  <c r="W33" i="45"/>
  <c r="AD27" i="45"/>
  <c r="M27" i="45"/>
  <c r="W27" i="45"/>
  <c r="Q27" i="45"/>
  <c r="I461" i="43"/>
  <c r="I132" i="44"/>
  <c r="AL132" i="44"/>
  <c r="J26" i="45"/>
  <c r="N26" i="45"/>
  <c r="Z26" i="45"/>
  <c r="AC26" i="45"/>
  <c r="Y26" i="45"/>
  <c r="I26" i="45"/>
  <c r="O26" i="45"/>
  <c r="V26" i="45"/>
  <c r="AA26" i="45"/>
  <c r="U26" i="45"/>
  <c r="AB23" i="45"/>
  <c r="K23" i="45"/>
  <c r="L23" i="45"/>
  <c r="AA23" i="45"/>
  <c r="Z23" i="45"/>
  <c r="AC23" i="45"/>
  <c r="V23" i="45"/>
  <c r="AL461" i="43"/>
  <c r="AL460" i="43"/>
  <c r="AL131" i="44"/>
  <c r="AP143" i="44"/>
  <c r="AI36" i="45" s="1"/>
  <c r="AO471" i="43"/>
  <c r="AO136" i="44"/>
  <c r="AS472" i="43"/>
  <c r="AP465" i="43"/>
  <c r="AI29" i="45" s="1"/>
  <c r="AS471" i="43"/>
  <c r="AV465" i="43"/>
  <c r="AO29" i="45" s="1"/>
  <c r="Y142" i="44"/>
  <c r="AS143" i="44"/>
  <c r="AO465" i="43"/>
  <c r="AP466" i="43"/>
  <c r="AP464" i="43"/>
  <c r="AO469" i="43"/>
  <c r="AV463" i="43"/>
  <c r="AP469" i="43"/>
  <c r="AS469" i="43"/>
  <c r="AP137" i="44"/>
  <c r="AV140" i="44"/>
  <c r="AO135" i="44"/>
  <c r="AS140" i="44"/>
  <c r="AP135" i="44"/>
  <c r="AU142" i="44"/>
  <c r="AU143" i="44"/>
  <c r="AO140" i="44"/>
  <c r="AU140" i="44"/>
  <c r="AO142" i="44"/>
  <c r="AU134" i="44"/>
  <c r="AO141" i="44"/>
  <c r="AS137" i="44"/>
  <c r="AO137" i="44"/>
  <c r="Z142" i="44"/>
  <c r="AA137" i="44"/>
  <c r="AQ135" i="44"/>
  <c r="AS134" i="44"/>
  <c r="AA135" i="44"/>
  <c r="AA142" i="44"/>
  <c r="AU137" i="44"/>
  <c r="Z136" i="44"/>
  <c r="AS464" i="43"/>
  <c r="AS465" i="43"/>
  <c r="AL29" i="45" s="1"/>
  <c r="Y465" i="43"/>
  <c r="B26" i="45"/>
  <c r="AR136" i="44"/>
  <c r="AP141" i="44"/>
  <c r="AK133" i="44"/>
  <c r="AM132" i="44" s="1"/>
  <c r="AR135" i="44"/>
  <c r="AA136" i="44"/>
  <c r="AM140" i="44"/>
  <c r="AA143" i="44"/>
  <c r="AQ143" i="44"/>
  <c r="Z143" i="44"/>
  <c r="AO134" i="44"/>
  <c r="AU141" i="44"/>
  <c r="AV142" i="44"/>
  <c r="AL133" i="44"/>
  <c r="AT141" i="44"/>
  <c r="AM143" i="44"/>
  <c r="AV141" i="44"/>
  <c r="AV143" i="44"/>
  <c r="AD133" i="44"/>
  <c r="AE132" i="44" s="1"/>
  <c r="AT137" i="44"/>
  <c r="AM137" i="44"/>
  <c r="AM134" i="44"/>
  <c r="AM141" i="44"/>
  <c r="D26" i="45"/>
  <c r="T130" i="44"/>
  <c r="M14" i="45" s="1"/>
  <c r="Y137" i="44"/>
  <c r="Y141" i="44"/>
  <c r="AL130" i="44"/>
  <c r="AE14" i="45" s="1"/>
  <c r="AS142" i="44"/>
  <c r="AP140" i="44"/>
  <c r="AS141" i="44"/>
  <c r="Y135" i="44"/>
  <c r="X133" i="44"/>
  <c r="Y132" i="44" s="1"/>
  <c r="AD130" i="44"/>
  <c r="W14" i="45" s="1"/>
  <c r="AK130" i="44"/>
  <c r="AD14" i="45" s="1"/>
  <c r="AM136" i="44"/>
  <c r="AM142" i="44"/>
  <c r="AM135" i="44"/>
  <c r="Z135" i="44"/>
  <c r="AV137" i="44"/>
  <c r="AP134" i="44"/>
  <c r="AA140" i="44"/>
  <c r="AS135" i="44"/>
  <c r="Y143" i="44"/>
  <c r="AV134" i="44"/>
  <c r="X130" i="44"/>
  <c r="Q14" i="45" s="1"/>
  <c r="Y140" i="44"/>
  <c r="Z140" i="44"/>
  <c r="Z137" i="44"/>
  <c r="AA141" i="44"/>
  <c r="Z141" i="44"/>
  <c r="Y134" i="44"/>
  <c r="Z134" i="44"/>
  <c r="AA134" i="44"/>
  <c r="F26" i="45"/>
  <c r="E26" i="45"/>
  <c r="AU471" i="43"/>
  <c r="AN35" i="45" s="1"/>
  <c r="AV469" i="43"/>
  <c r="AO33" i="45" s="1"/>
  <c r="AO464" i="43"/>
  <c r="AO470" i="43"/>
  <c r="AS466" i="43"/>
  <c r="AL30" i="45" s="1"/>
  <c r="AU464" i="43"/>
  <c r="AU466" i="43"/>
  <c r="AN30" i="45" s="1"/>
  <c r="AV466" i="43"/>
  <c r="AO30" i="45" s="1"/>
  <c r="AU470" i="43"/>
  <c r="AN34" i="45" s="1"/>
  <c r="AU463" i="43"/>
  <c r="AV470" i="43"/>
  <c r="AO34" i="45" s="1"/>
  <c r="AL462" i="43"/>
  <c r="AS463" i="43"/>
  <c r="AU469" i="43"/>
  <c r="AN33" i="45" s="1"/>
  <c r="AP470" i="43"/>
  <c r="AV471" i="43"/>
  <c r="AO466" i="43"/>
  <c r="AH30" i="45" s="1"/>
  <c r="AS470" i="43"/>
  <c r="AK462" i="43"/>
  <c r="AM461" i="43" s="1"/>
  <c r="AV464" i="43"/>
  <c r="AD462" i="43"/>
  <c r="AE461" i="43" s="1"/>
  <c r="Z464" i="43"/>
  <c r="T462" i="43"/>
  <c r="U461" i="43" s="1"/>
  <c r="X462" i="43"/>
  <c r="Y461" i="43" s="1"/>
  <c r="C26" i="45"/>
  <c r="Y136" i="44"/>
  <c r="T133" i="44"/>
  <c r="U132" i="44" s="1"/>
  <c r="AQ136" i="44"/>
  <c r="AA465" i="43"/>
  <c r="AM472" i="43"/>
  <c r="AF36" i="45" s="1"/>
  <c r="AT470" i="43"/>
  <c r="AM34" i="45" s="1"/>
  <c r="Y472" i="43"/>
  <c r="R36" i="45" s="1"/>
  <c r="AM471" i="43"/>
  <c r="AF35" i="45" s="1"/>
  <c r="Z471" i="43"/>
  <c r="S35" i="45" s="1"/>
  <c r="Y469" i="43"/>
  <c r="AM464" i="43"/>
  <c r="AM470" i="43"/>
  <c r="Z470" i="43"/>
  <c r="AM469" i="43"/>
  <c r="AF33" i="45" s="1"/>
  <c r="AA469" i="43"/>
  <c r="Z463" i="43"/>
  <c r="Z469" i="43"/>
  <c r="S33" i="45" s="1"/>
  <c r="AM463" i="43"/>
  <c r="Y466" i="43"/>
  <c r="AA463" i="43"/>
  <c r="AA471" i="43"/>
  <c r="AA470" i="43"/>
  <c r="AM465" i="43"/>
  <c r="AF29" i="45" s="1"/>
  <c r="AA472" i="43"/>
  <c r="T36" i="45" s="1"/>
  <c r="Z466" i="43"/>
  <c r="Y464" i="43"/>
  <c r="R28" i="45" s="1"/>
  <c r="Y471" i="43"/>
  <c r="AM466" i="43"/>
  <c r="AF30" i="45" s="1"/>
  <c r="AT466" i="43"/>
  <c r="AM30" i="45" s="1"/>
  <c r="AO463" i="43"/>
  <c r="AP463" i="43"/>
  <c r="Z465" i="43"/>
  <c r="S29" i="45" s="1"/>
  <c r="Z472" i="43"/>
  <c r="S36" i="45" s="1"/>
  <c r="Y463" i="43"/>
  <c r="AA466" i="43"/>
  <c r="Y470" i="43"/>
  <c r="AA464" i="43"/>
  <c r="T28" i="45" s="1"/>
  <c r="AL27" i="45" l="1"/>
  <c r="S27" i="45"/>
  <c r="S30" i="45"/>
  <c r="T35" i="45"/>
  <c r="R33" i="45"/>
  <c r="T30" i="45"/>
  <c r="R35" i="45"/>
  <c r="T29" i="45"/>
  <c r="R30" i="45"/>
  <c r="AO35" i="45"/>
  <c r="T34" i="45"/>
  <c r="AH28" i="45"/>
  <c r="AI28" i="45"/>
  <c r="AL36" i="45"/>
  <c r="AL33" i="45"/>
  <c r="S34" i="45"/>
  <c r="AL28" i="45"/>
  <c r="AI33" i="45"/>
  <c r="AI30" i="45"/>
  <c r="AI34" i="45"/>
  <c r="AH29" i="45"/>
  <c r="AL35" i="45"/>
  <c r="AH35" i="45"/>
  <c r="S28" i="45"/>
  <c r="AL34" i="45"/>
  <c r="R34" i="45"/>
  <c r="AF34" i="45"/>
  <c r="T33" i="45"/>
  <c r="AF28" i="45"/>
  <c r="AH34" i="45"/>
  <c r="R29" i="45"/>
  <c r="AH33" i="45"/>
  <c r="R27" i="45"/>
  <c r="AH27" i="45"/>
  <c r="AN27" i="45"/>
  <c r="T27" i="45"/>
  <c r="AF27" i="45"/>
  <c r="AI27" i="45"/>
  <c r="AO27" i="45"/>
  <c r="AE26" i="45"/>
  <c r="Q26" i="45"/>
  <c r="AD26" i="45"/>
  <c r="AF25" i="45" s="1"/>
  <c r="M26" i="45"/>
  <c r="W26" i="45"/>
  <c r="X25" i="45" s="1"/>
  <c r="AE25" i="45"/>
  <c r="AE24" i="45"/>
  <c r="Q23" i="45"/>
  <c r="W23" i="45"/>
  <c r="X24" i="45" s="1"/>
  <c r="M23" i="45"/>
  <c r="AD23" i="45"/>
  <c r="AF24" i="45" s="1"/>
  <c r="AE23" i="45"/>
  <c r="B25" i="45"/>
  <c r="AE460" i="43"/>
  <c r="AM460" i="43"/>
  <c r="Y460" i="43"/>
  <c r="U460" i="43"/>
  <c r="AE131" i="44"/>
  <c r="Y131" i="44"/>
  <c r="AM131" i="44"/>
  <c r="U131" i="44"/>
  <c r="AR140" i="44"/>
  <c r="AE142" i="44"/>
  <c r="AS130" i="44"/>
  <c r="AL14" i="45" s="1"/>
  <c r="AT140" i="44"/>
  <c r="AE472" i="43"/>
  <c r="AR143" i="44"/>
  <c r="AP133" i="44"/>
  <c r="AS133" i="44"/>
  <c r="AR142" i="44"/>
  <c r="AO130" i="44"/>
  <c r="AH14" i="45" s="1"/>
  <c r="AR137" i="44"/>
  <c r="AO133" i="44"/>
  <c r="AQ142" i="44"/>
  <c r="AT143" i="44"/>
  <c r="Z130" i="44"/>
  <c r="S14" i="45" s="1"/>
  <c r="AP130" i="44"/>
  <c r="AI14" i="45" s="1"/>
  <c r="Y130" i="44"/>
  <c r="R14" i="45" s="1"/>
  <c r="AT142" i="44"/>
  <c r="AT134" i="44"/>
  <c r="AT136" i="44"/>
  <c r="AM133" i="44"/>
  <c r="AN132" i="44" s="1"/>
  <c r="AA130" i="44"/>
  <c r="T14" i="45" s="1"/>
  <c r="AE143" i="44"/>
  <c r="AM130" i="44"/>
  <c r="AF14" i="45" s="1"/>
  <c r="AT135" i="44"/>
  <c r="Y133" i="44"/>
  <c r="Z132" i="44" s="1"/>
  <c r="Z133" i="44"/>
  <c r="AE135" i="44"/>
  <c r="AN140" i="44"/>
  <c r="AE140" i="44"/>
  <c r="AQ140" i="44"/>
  <c r="AQ137" i="44"/>
  <c r="AE137" i="44"/>
  <c r="AA133" i="44"/>
  <c r="AE141" i="44"/>
  <c r="AR141" i="44"/>
  <c r="AQ141" i="44"/>
  <c r="AR134" i="44"/>
  <c r="AQ134" i="44"/>
  <c r="AE134" i="44"/>
  <c r="AS462" i="43"/>
  <c r="AE470" i="43"/>
  <c r="AE463" i="43"/>
  <c r="AE136" i="44"/>
  <c r="AR465" i="43"/>
  <c r="AK29" i="45" s="1"/>
  <c r="AQ471" i="43"/>
  <c r="AJ35" i="45" s="1"/>
  <c r="AT471" i="43"/>
  <c r="AT472" i="43"/>
  <c r="AE469" i="43"/>
  <c r="AR470" i="43"/>
  <c r="AP462" i="43"/>
  <c r="AR463" i="43"/>
  <c r="Z462" i="43"/>
  <c r="AE466" i="43"/>
  <c r="AQ472" i="43"/>
  <c r="AJ36" i="45" s="1"/>
  <c r="AE471" i="43"/>
  <c r="X35" i="45" s="1"/>
  <c r="AR469" i="43"/>
  <c r="AK33" i="45" s="1"/>
  <c r="AQ470" i="43"/>
  <c r="AQ466" i="43"/>
  <c r="AE464" i="43"/>
  <c r="X28" i="45" s="1"/>
  <c r="AR466" i="43"/>
  <c r="AK30" i="45" s="1"/>
  <c r="AR472" i="43"/>
  <c r="AK36" i="45" s="1"/>
  <c r="AT465" i="43"/>
  <c r="AR471" i="43"/>
  <c r="AK35" i="45" s="1"/>
  <c r="AM462" i="43"/>
  <c r="AN461" i="43" s="1"/>
  <c r="AQ469" i="43"/>
  <c r="AJ33" i="45" s="1"/>
  <c r="AQ463" i="43"/>
  <c r="AJ27" i="45" s="1"/>
  <c r="AQ465" i="43"/>
  <c r="AJ29" i="45" s="1"/>
  <c r="AO462" i="43"/>
  <c r="AQ464" i="43"/>
  <c r="AJ28" i="45" s="1"/>
  <c r="AE465" i="43"/>
  <c r="AT463" i="43"/>
  <c r="AT469" i="43"/>
  <c r="AT464" i="43"/>
  <c r="AM28" i="45" s="1"/>
  <c r="Y462" i="43"/>
  <c r="Z461" i="43" s="1"/>
  <c r="AA462" i="43"/>
  <c r="AR464" i="43"/>
  <c r="AK28" i="45" s="1"/>
  <c r="X30" i="45" l="1"/>
  <c r="X34" i="45"/>
  <c r="X33" i="45"/>
  <c r="AM36" i="45"/>
  <c r="AM35" i="45"/>
  <c r="AJ34" i="45"/>
  <c r="X29" i="45"/>
  <c r="AM29" i="45"/>
  <c r="AJ30" i="45"/>
  <c r="AK34" i="45"/>
  <c r="AM33" i="45"/>
  <c r="X36" i="45"/>
  <c r="AM27" i="45"/>
  <c r="AK27" i="45"/>
  <c r="X27" i="45"/>
  <c r="R26" i="45"/>
  <c r="S26" i="45"/>
  <c r="AF26" i="45"/>
  <c r="AG25" i="45" s="1"/>
  <c r="AI26" i="45"/>
  <c r="AL26" i="45"/>
  <c r="AH26" i="45"/>
  <c r="T26" i="45"/>
  <c r="AF23" i="45"/>
  <c r="AG24" i="45" s="1"/>
  <c r="R23" i="45"/>
  <c r="Z460" i="43"/>
  <c r="AN460" i="43"/>
  <c r="Z131" i="44"/>
  <c r="AN131" i="44"/>
  <c r="AN142" i="44"/>
  <c r="AT130" i="44"/>
  <c r="AM14" i="45" s="1"/>
  <c r="AN143" i="44"/>
  <c r="AT133" i="44"/>
  <c r="AN135" i="44"/>
  <c r="AQ133" i="44"/>
  <c r="AQ130" i="44"/>
  <c r="AJ14" i="45" s="1"/>
  <c r="AR133" i="44"/>
  <c r="AN137" i="44"/>
  <c r="AR130" i="44"/>
  <c r="AK14" i="45" s="1"/>
  <c r="AN141" i="44"/>
  <c r="AE133" i="44"/>
  <c r="AF132" i="44" s="1"/>
  <c r="AE130" i="44"/>
  <c r="X14" i="45" s="1"/>
  <c r="AN134" i="44"/>
  <c r="AN464" i="43"/>
  <c r="AG28" i="45" s="1"/>
  <c r="AN136" i="44"/>
  <c r="AN471" i="43"/>
  <c r="AG35" i="45" s="1"/>
  <c r="AN463" i="43"/>
  <c r="AG27" i="45" s="1"/>
  <c r="AT462" i="43"/>
  <c r="AN465" i="43"/>
  <c r="AG29" i="45" s="1"/>
  <c r="AN466" i="43"/>
  <c r="AN470" i="43"/>
  <c r="AN469" i="43"/>
  <c r="AG33" i="45" s="1"/>
  <c r="AE462" i="43"/>
  <c r="AF461" i="43" s="1"/>
  <c r="AQ462" i="43"/>
  <c r="AN472" i="43"/>
  <c r="AG36" i="45" s="1"/>
  <c r="AR462" i="43"/>
  <c r="AG34" i="45" l="1"/>
  <c r="AG30" i="45"/>
  <c r="AO132" i="44"/>
  <c r="AK26" i="45"/>
  <c r="AM26" i="45"/>
  <c r="AJ26" i="45"/>
  <c r="X26" i="45"/>
  <c r="AJ23" i="45"/>
  <c r="X23" i="45"/>
  <c r="AF460" i="43"/>
  <c r="AO460" i="43"/>
  <c r="AF131" i="44"/>
  <c r="AO131" i="44"/>
  <c r="AO461" i="43"/>
  <c r="AN130" i="44"/>
  <c r="AG14" i="45" s="1"/>
  <c r="AN133" i="44"/>
  <c r="AN462" i="43"/>
  <c r="AG26" i="45" l="1"/>
  <c r="AG23" i="45"/>
  <c r="O23" i="45" l="1"/>
  <c r="R24" i="45" s="1"/>
  <c r="R25" i="45"/>
  <c r="U23" i="45" l="1"/>
  <c r="T23" i="45"/>
  <c r="AK23" i="45"/>
  <c r="N23" i="45"/>
  <c r="S24" i="45" s="1"/>
  <c r="AI23" i="45"/>
  <c r="S25" i="45"/>
  <c r="AM23" i="45"/>
  <c r="S23" i="45"/>
  <c r="N25" i="45"/>
  <c r="J23" i="45"/>
  <c r="N24" i="45" s="1"/>
  <c r="Y23" i="45" l="1"/>
  <c r="Y24" i="45"/>
  <c r="AH23" i="45"/>
  <c r="AL23" i="45"/>
  <c r="AH24" i="45" s="1"/>
  <c r="AP23" i="45"/>
  <c r="Y25" i="45" l="1"/>
  <c r="AH25" i="45"/>
  <c r="O135" i="44" l="1"/>
  <c r="H28" i="45" s="1"/>
  <c r="N135" i="44"/>
  <c r="G28" i="45" s="1"/>
  <c r="AU135" i="44" l="1"/>
  <c r="AN28" i="45" s="1"/>
  <c r="AU130" i="44"/>
  <c r="AN14" i="45" s="1"/>
  <c r="O133" i="44"/>
  <c r="N132" i="44" s="1"/>
  <c r="N133" i="44"/>
  <c r="O130" i="44"/>
  <c r="H14" i="45" s="1"/>
  <c r="AU133" i="44" l="1"/>
  <c r="AV135" i="44"/>
  <c r="AO28" i="45" s="1"/>
  <c r="AV130" i="44"/>
  <c r="AO14" i="45" s="1"/>
  <c r="N131" i="44"/>
  <c r="AU131" i="44" l="1"/>
  <c r="AV133" i="44"/>
  <c r="AU132" i="44" s="1"/>
  <c r="AV12" i="43"/>
  <c r="O459" i="43"/>
  <c r="H13" i="45" s="1"/>
  <c r="O472" i="43"/>
  <c r="N459" i="43"/>
  <c r="G13" i="45" s="1"/>
  <c r="N472" i="43"/>
  <c r="G36" i="45" l="1"/>
  <c r="G26" i="45" s="1"/>
  <c r="H36" i="45"/>
  <c r="H26" i="45" s="1"/>
  <c r="G25" i="45" s="1"/>
  <c r="AV472" i="43"/>
  <c r="AV13" i="43"/>
  <c r="AV459" i="43" s="1"/>
  <c r="AO13" i="45" s="1"/>
  <c r="G23" i="45"/>
  <c r="H23" i="45"/>
  <c r="G24" i="45" s="1"/>
  <c r="N460" i="43"/>
  <c r="N462" i="43"/>
  <c r="O462" i="43"/>
  <c r="N461" i="43" s="1"/>
  <c r="AU12" i="43"/>
  <c r="AU13" i="43" s="1"/>
  <c r="AO36" i="45" l="1"/>
  <c r="AO26" i="45" s="1"/>
  <c r="AN25" i="45" s="1"/>
  <c r="AV462" i="43"/>
  <c r="AU461" i="43" s="1"/>
  <c r="AO23" i="45"/>
  <c r="AN24" i="45" s="1"/>
  <c r="AU460" i="43"/>
  <c r="AU472" i="43"/>
  <c r="AU459" i="43"/>
  <c r="AN13" i="45" s="1"/>
  <c r="AN36" i="45" l="1"/>
  <c r="AN26" i="45" s="1"/>
  <c r="AN23" i="45"/>
  <c r="AU462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T151" authorId="0" shapeId="0" xr:uid="{BB5F1CEB-5F2C-47A2-8C8C-E7430789F7A9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nárůst žáků ke stravování ze ZŠ Kaplického, Lbc</t>
        </r>
      </text>
    </comment>
    <comment ref="AD151" authorId="0" shapeId="0" xr:uid="{3A667091-8D1C-4A84-8CE2-F387378A257B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nárůst žáků ke stravování ze ZŠ Kaplického, Lbc</t>
        </r>
      </text>
    </comment>
    <comment ref="AK151" authorId="0" shapeId="0" xr:uid="{23D58FE0-1583-4047-BC55-E9C5D2D5D0CA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nárůst žáků ke stravování ze ZŠ Kaplického, Lbc</t>
        </r>
      </text>
    </comment>
    <comment ref="T160" authorId="0" shapeId="0" xr:uid="{8AACAC22-978C-4570-9944-BF466407933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výuka ČJ cizinci
● 798 HOD na období leden - červen
● 455 658 Kč 
● 1,51 na celorok - 0,75 přepočet na 6M
KULK_29821/2022 ze dne 22. 4. 2022</t>
        </r>
      </text>
    </comment>
    <comment ref="AJ160" authorId="0" shapeId="0" xr:uid="{F12EA019-3541-4FE9-A6C4-6CDFC21856A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výuka ČJ Cizinci
● 798 HOD na období leden - červen
● 455 658 Kč 
● 1,51 na celorok - 0,75 přepočet na 6M</t>
        </r>
      </text>
    </comment>
    <comment ref="W264" authorId="0" shapeId="0" xr:uid="{2123D507-D483-47A9-8857-CF28A93B5C6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11 HOD * 571 * 4 * 10M = 251 240 Kč na celorok (10 měsíců)
Pozn: 
Z důvodu nedostatku rezervy kráceno na 80 %, doplatek do 100% po změně závazných ukazatelů ze strany MŠMT</t>
        </r>
      </text>
    </comment>
    <comment ref="T286" authorId="0" shapeId="0" xr:uid="{D1F57C55-4DF8-4791-A1B5-FB8ECD02FD7C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 na 8 měsíců (5 HOD/týden)</t>
        </r>
      </text>
    </comment>
    <comment ref="AJ286" authorId="0" shapeId="0" xr:uid="{087BBDDD-A641-4D29-B292-9241FA075723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 na 8 měsíců (5 HOD/týden)</t>
        </r>
      </text>
    </comment>
    <comment ref="T369" authorId="0" shapeId="0" xr:uid="{EFE361BB-D904-457C-809C-C7553C687B5C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sam. ŠJ</t>
        </r>
      </text>
    </comment>
    <comment ref="AK369" authorId="0" shapeId="0" xr:uid="{1D7D643C-A3B3-433C-872C-6857A8007C5C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sam. ŠJ</t>
        </r>
      </text>
    </comment>
    <comment ref="W395" authorId="0" shapeId="0" xr:uid="{17763272-87B6-4027-B1C2-3414E0922CA5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4 HOD * 571 * 4 * 10M = 91 360 Kč
Pozn: 
Z důvodu nedostatku rezervy kráceno na 80 %, doplatek do 100% po změně závazných ukazatelů ze strany MŠMT</t>
        </r>
      </text>
    </comment>
    <comment ref="T411" authorId="0" shapeId="0" xr:uid="{CA073430-93F8-4775-94A6-4C9A058E9BCD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snížení počet tříd MŠ (-1 třída)</t>
        </r>
      </text>
    </comment>
    <comment ref="AJ411" authorId="0" shapeId="0" xr:uid="{4B843B22-AE8E-4002-9603-3CEA90EBAC6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snížení počet tříd MŠ (-1 třída)</t>
        </r>
      </text>
    </comment>
    <comment ref="V460" authorId="0" shapeId="0" xr:uid="{9F5E755D-9AB5-4D4D-B553-BB4211F4865A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odstupné převodem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T12" authorId="0" shapeId="0" xr:uid="{1FAE93B5-D0AA-47C8-895E-C7F0E55D8A25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sam. ŠJ</t>
        </r>
      </text>
    </comment>
    <comment ref="AK12" authorId="0" shapeId="0" xr:uid="{7F89862E-3A77-4CE7-98EB-0E9BA0388907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sam. ŠJ</t>
        </r>
      </text>
    </comment>
    <comment ref="T14" authorId="0" shapeId="0" xr:uid="{CD04EEA3-D0DB-4D28-8E77-6B867562DE07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 na 8 měsíců (4 HOD/týden)</t>
        </r>
      </text>
    </comment>
    <comment ref="AJ14" authorId="0" shapeId="0" xr:uid="{BDB54869-7A76-44E6-B2E6-FAB3F03AA142}">
      <text>
        <r>
          <rPr>
            <b/>
            <sz val="9"/>
            <color indexed="81"/>
            <rFont val="Tahoma"/>
            <family val="2"/>
            <charset val="238"/>
          </rPr>
          <t xml:space="preserve">Parmová Kateřina
</t>
        </r>
        <r>
          <rPr>
            <sz val="9"/>
            <color indexed="81"/>
            <rFont val="Tahoma"/>
            <family val="2"/>
            <charset val="238"/>
          </rPr>
          <t>§ 42 na 8 měsíců (4 HOD/týden)</t>
        </r>
      </text>
    </comment>
    <comment ref="T46" authorId="0" shapeId="0" xr:uid="{5C567FB1-89BE-47A0-81F3-807FBD685EE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přepračování kapacity ŠD
Rozpočet MŠMT - snížení nadtarifní složky platu</t>
        </r>
      </text>
    </comment>
    <comment ref="T77" authorId="0" shapeId="0" xr:uid="{0EC6B597-E388-4E1F-B82C-8B9574AA112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od 1. 1. 2022 zrušení krácení z důvodu zániku nutnosti výjimky (1 třída/15 dětí)
MŠ PED - 181 183 Kč
MŠ NEPED - 15 912 Kč</t>
        </r>
      </text>
    </comment>
    <comment ref="AJ77" authorId="0" shapeId="0" xr:uid="{8CD1B59B-6B52-41E0-AF26-EA3ABB32FCC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zrušení krácení z důvodu zániku nutnosti výjimky (1 třída/15 dětí)
MŠ PED - 0,31
MŠ NEPED - 0,07</t>
        </r>
      </text>
    </comment>
    <comment ref="AK77" authorId="0" shapeId="0" xr:uid="{63A13F43-A9C5-4E9E-B22B-9B88CA92B3C5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zrušení krácení z důvodu zániku nutnosti výjimky (1 třída/15 dětí)
MŠ PED - 0,31
MŠ NEPED - 0,07</t>
        </r>
      </text>
    </comment>
    <comment ref="T81" authorId="0" shapeId="0" xr:uid="{DD1D4685-BFD3-470A-9D35-C773A7032A89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od 1. 3. 2022 zvýšení PHMAX a Phškoly </t>
        </r>
      </text>
    </comment>
    <comment ref="AJ81" authorId="0" shapeId="0" xr:uid="{B01E13D7-362D-4BE4-9438-EC055AECEC3C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od 1. 3. 2022 zvýšení PHMAX a Phškoly </t>
        </r>
      </text>
    </comment>
    <comment ref="T116" authorId="0" shapeId="0" xr:uid="{F668D5B0-5CFD-469F-9E62-49472B0587F9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 na 8 měsíců (2 HOD/týden)</t>
        </r>
      </text>
    </comment>
    <comment ref="AJ116" authorId="0" shapeId="0" xr:uid="{0DA6EE56-8AC7-4063-A77E-5FCE9602A3C0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 na 8 měsíců (2 HOD/týden)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T54" authorId="0" shapeId="0" xr:uid="{15F19AEA-263F-40F9-B802-379421144EC5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hodiny z DPČ do PHmax převedeny do platů + úvazek</t>
        </r>
      </text>
    </comment>
    <comment ref="T77" authorId="0" shapeId="0" xr:uid="{66FB2EFF-AA07-484D-B547-30030A924833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vzdělávání žáků cizinců leden - červen 2022 = +44 538,- Kč; snížení PHškoly o 5 hodin od 1.3.2022 = -104 657,- Kč
</t>
        </r>
      </text>
    </comment>
    <comment ref="AJ77" authorId="0" shapeId="0" xr:uid="{ADA77162-C28B-45CB-827A-B56A40C98F53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jazykové vzdělávání +0,08;, snížení PHškoly -0,19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T24" authorId="0" shapeId="0" xr:uid="{C2175998-AEEC-4D47-80E3-327B98C900E8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vzdělávání žáků cizinců leden - červen 2022</t>
        </r>
      </text>
    </comment>
    <comment ref="T39" authorId="0" shapeId="0" xr:uid="{5544A6C7-6DB0-4747-8750-DFDD20965B2F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nová třída od 1.4. do 31.8.2022 - UK</t>
        </r>
      </text>
    </comment>
    <comment ref="W39" authorId="0" shapeId="0" xr:uid="{73D630FF-B70B-40C9-8F61-E6F0F8174BCB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rozpočtovaná částka na rok 91360,- Kč, přiděleno zatím 80 %</t>
        </r>
      </text>
    </comment>
    <comment ref="AD39" authorId="0" shapeId="0" xr:uid="{0601E92A-4A70-4282-8994-54BB5A4786A4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25 žáků UK 5-8/22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T19" authorId="0" shapeId="0" xr:uid="{7FBC6A38-9A23-4C6A-B17D-3559C72DD75C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vzdělávání cizinců v MŠ
</t>
        </r>
      </text>
    </comment>
    <comment ref="T38" authorId="0" shapeId="0" xr:uid="{BBD80575-0580-401C-9F6A-3DF88CBC5DA2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rozpočet z MŠMT stanoven na žáky nad kapacitu školy</t>
        </r>
      </text>
    </comment>
    <comment ref="T52" authorId="0" shapeId="0" xr:uid="{F9E941EC-29DB-40F9-9EE2-54D214E2FE5B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snížení PHškoly</t>
        </r>
      </text>
    </comment>
    <comment ref="T54" authorId="0" shapeId="0" xr:uid="{AD4B745E-EC82-4D75-BB48-E301E8136E2B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snížení PHškoly ŠD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T32" authorId="0" shapeId="0" xr:uid="{0D80FE52-43B1-4A34-817E-858A4B3BA6E4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vzdělávání cizinců v MŠ, 1 hod./týdně</t>
        </r>
      </text>
    </comment>
    <comment ref="T42" authorId="0" shapeId="0" xr:uid="{3565FF7C-8728-4902-AAB6-A1B0D27F2745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dofinancování samostatné ŠJ</t>
        </r>
      </text>
    </comment>
    <comment ref="T51" authorId="0" shapeId="0" xr:uid="{9B307306-2A04-4462-8C22-1768C5F9DF4E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vzdělávání žáků cizinců leden - červen 2022</t>
        </r>
      </text>
    </comment>
    <comment ref="T57" authorId="0" shapeId="0" xr:uid="{636519DA-8D36-42D9-B088-60DBF0A534FB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vzdělávání žáků cizinců leden - červen 2022</t>
        </r>
      </text>
    </comment>
    <comment ref="T64" authorId="0" shapeId="0" xr:uid="{0F29839B-5123-4EAA-9263-94AFFB495521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vzdělávání žáků cizinců leden - červen 2022</t>
        </r>
      </text>
    </comment>
    <comment ref="T84" authorId="0" shapeId="0" xr:uid="{00BE3684-59CC-4ADD-B1ED-836C3C531A8D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vzdělávání žáků cizinců leden - červen 2022</t>
        </r>
      </text>
    </comment>
    <comment ref="T90" authorId="0" shapeId="0" xr:uid="{C0D01041-4E1A-4886-8D37-E8BBBCE0AE62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vzdělávání žáků cizinců leden - červen 2022</t>
        </r>
      </text>
    </comment>
    <comment ref="T97" authorId="0" shapeId="0" xr:uid="{3D0E960F-4DB8-442C-A00B-61CC64BE493C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vzdělávání žáka podle §42, květen - srpen 22</t>
        </r>
      </text>
    </comment>
    <comment ref="T156" authorId="0" shapeId="0" xr:uid="{F96F17FA-9859-4B02-8243-786D4350FA7F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nárůst hodin PPČ do PHmax</t>
        </r>
      </text>
    </comment>
    <comment ref="W171" authorId="0" shapeId="0" xr:uid="{5968DFF3-F781-4BA4-BF09-39965B2A34A6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rozpočtováno 22840,- Kč, přiděleno zatím 80 %</t>
        </r>
      </text>
    </comment>
    <comment ref="W214" authorId="0" shapeId="0" xr:uid="{927333B9-AA02-4E50-BAF4-3C5425F4C588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rozpočtováno 68520,- Kč, zatím přiděleno 80 %</t>
        </r>
      </text>
    </comment>
    <comment ref="W288" authorId="0" shapeId="0" xr:uid="{5A36645E-C86F-4C4D-B960-75DAB0A3AF28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rozpočtováno na rok  2022 65000,- Kč, zatím přiděleno 80%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T73" authorId="0" shapeId="0" xr:uid="{13432035-E90C-4B8E-8A5B-0376E569F824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dofinancování MŠ</t>
        </r>
      </text>
    </comment>
    <comment ref="T77" authorId="0" shapeId="0" xr:uid="{60B2B0EB-2E1E-49A3-8D98-3173791E721C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Dofinancování ŠD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T118" authorId="0" shapeId="0" xr:uid="{286BA405-8311-4D0A-9A48-9C53099EA237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leden- červen 2022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T53" authorId="0" shapeId="0" xr:uid="{8E53F87B-3E52-4A5B-B1B8-F6BF3F39E32A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leden-červen 2022</t>
        </r>
      </text>
    </comment>
    <comment ref="AJ53" authorId="0" shapeId="0" xr:uid="{1261DC4E-995A-4153-99AF-ED8103926539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připrava</t>
        </r>
      </text>
    </comment>
  </commentList>
</comments>
</file>

<file path=xl/sharedStrings.xml><?xml version="1.0" encoding="utf-8"?>
<sst xmlns="http://schemas.openxmlformats.org/spreadsheetml/2006/main" count="5918" uniqueCount="869">
  <si>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</si>
  <si>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</si>
  <si>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</si>
  <si>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</si>
  <si>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</si>
  <si>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</si>
  <si>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</si>
  <si>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</si>
  <si>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</si>
  <si>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</si>
  <si>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</si>
  <si>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</si>
  <si>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</si>
  <si>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</si>
  <si>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</si>
  <si>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</si>
  <si>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</si>
  <si>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</si>
  <si>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</si>
  <si>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</si>
  <si>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</si>
  <si>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</si>
  <si>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</si>
  <si>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</si>
  <si>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</si>
  <si>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</si>
  <si>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</si>
  <si>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</si>
  <si>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</si>
  <si>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</si>
  <si>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</si>
  <si>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</si>
  <si>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</si>
  <si>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</si>
  <si>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</si>
  <si>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</si>
  <si>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</si>
  <si>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</si>
  <si>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</si>
  <si>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</si>
  <si>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</si>
  <si>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</si>
  <si>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</si>
  <si>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</si>
  <si>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</si>
  <si>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</si>
  <si>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</si>
  <si>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</si>
  <si>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</si>
  <si>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</si>
  <si>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</si>
  <si>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</si>
  <si>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</si>
  <si>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</si>
  <si>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</si>
  <si>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</si>
  <si>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</si>
  <si>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</si>
  <si>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</si>
  <si>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</si>
  <si>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</si>
  <si>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</si>
  <si>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</si>
  <si>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</si>
  <si>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</si>
  <si>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</si>
  <si>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</si>
  <si>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</si>
  <si>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</si>
  <si>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</si>
  <si>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</si>
  <si>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</si>
  <si>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</si>
  <si>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</si>
  <si>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</si>
  <si>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</si>
  <si>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</si>
  <si>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</si>
  <si>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</si>
  <si>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</si>
  <si>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</si>
  <si>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</si>
  <si>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</si>
  <si>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</si>
  <si>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</si>
  <si>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</si>
  <si>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</si>
  <si>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</si>
  <si>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</si>
  <si>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</si>
  <si>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</si>
  <si>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</si>
  <si>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</si>
  <si>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</si>
  <si>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</si>
  <si>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</si>
  <si>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</si>
  <si>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</si>
  <si>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</si>
  <si>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</si>
  <si>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</si>
  <si>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</si>
  <si>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</si>
  <si>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</si>
  <si>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</si>
  <si>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</si>
  <si>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</si>
  <si>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</si>
  <si>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</si>
  <si>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</si>
  <si>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</si>
  <si>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</si>
  <si>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</si>
  <si>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</si>
  <si>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</si>
  <si>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</si>
  <si>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</si>
  <si>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</si>
  <si>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</si>
  <si>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</si>
  <si>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</si>
  <si>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</si>
  <si>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</si>
  <si>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</si>
  <si>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</si>
  <si>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</si>
  <si>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</si>
  <si>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</si>
  <si>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</si>
  <si>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</si>
  <si>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</si>
  <si>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</si>
  <si>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</si>
  <si>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</si>
  <si>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</si>
  <si>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</si>
  <si>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</si>
  <si>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</si>
  <si>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</si>
  <si>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</si>
  <si>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</si>
  <si>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</si>
  <si>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</si>
  <si>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</si>
  <si>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</si>
  <si>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</si>
  <si>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</si>
  <si>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</si>
  <si>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</si>
  <si>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</si>
  <si>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</si>
  <si>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</si>
  <si>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</si>
  <si>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</si>
  <si>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</si>
  <si>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</si>
  <si>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</si>
  <si>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</si>
  <si>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</si>
  <si>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</si>
  <si>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</si>
  <si>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</si>
  <si>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</si>
  <si>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</si>
  <si>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</si>
  <si>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</si>
  <si>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</si>
  <si>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</si>
  <si>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</si>
  <si>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</si>
  <si>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</si>
  <si>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</si>
  <si>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</si>
  <si>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</si>
  <si>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</si>
  <si>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</si>
  <si>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</si>
  <si>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</si>
  <si>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</si>
  <si>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</si>
  <si>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</si>
  <si>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</si>
  <si>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</si>
  <si>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</si>
  <si>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</si>
  <si>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</si>
  <si>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</si>
  <si>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</si>
  <si>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</si>
  <si>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</si>
  <si>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</si>
  <si>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</si>
  <si>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</si>
  <si>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</si>
  <si>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</si>
  <si>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</si>
  <si>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</si>
  <si>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</si>
  <si>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</si>
  <si>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</si>
  <si>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</si>
  <si>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</si>
  <si>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</si>
  <si>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</si>
  <si>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</si>
  <si>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</si>
  <si>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</si>
  <si>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</si>
  <si>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</si>
  <si>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</si>
  <si>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</si>
  <si>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</si>
  <si>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</si>
  <si>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</si>
  <si>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</si>
  <si>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</si>
  <si>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</si>
  <si>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</si>
  <si>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</si>
  <si>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</si>
  <si>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</si>
  <si>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</si>
  <si>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</si>
  <si>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</si>
  <si>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</si>
  <si>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</si>
  <si>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</si>
  <si>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</si>
  <si>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</si>
  <si>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</si>
  <si>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</si>
  <si>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</si>
  <si>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</si>
  <si>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</si>
  <si>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</si>
  <si>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</si>
  <si>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</si>
  <si>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</si>
  <si>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</si>
  <si>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</si>
  <si>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</si>
  <si>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MŠ Stružnice 69</t>
  </si>
  <si>
    <t>MŠ Stružnice 69 Celkem</t>
  </si>
  <si>
    <t>ZŠ Stružnice</t>
  </si>
  <si>
    <t xml:space="preserve">ZŠ Stružnice </t>
  </si>
  <si>
    <t>ZŠ Stružnice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</si>
  <si>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</si>
  <si>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</si>
  <si>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</si>
  <si>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</si>
  <si>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</si>
  <si>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</si>
  <si>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</si>
  <si>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</si>
  <si>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</si>
  <si>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</si>
  <si>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</si>
  <si>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</si>
  <si>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</si>
  <si>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</si>
  <si>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</si>
  <si>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</si>
  <si>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</si>
  <si>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</si>
  <si>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</si>
  <si>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</si>
  <si>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</si>
  <si>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</si>
  <si>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</si>
  <si>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</si>
  <si>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</si>
  <si>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</si>
  <si>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</si>
  <si>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</si>
  <si>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</si>
  <si>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</si>
  <si>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</si>
  <si>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</si>
  <si>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</si>
  <si>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</si>
  <si>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</si>
  <si>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</si>
  <si>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</si>
  <si>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</si>
  <si>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</si>
  <si>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</si>
  <si>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Limit počtu zaměstnanců</t>
  </si>
  <si>
    <t>ped.</t>
  </si>
  <si>
    <t>neped.</t>
  </si>
  <si>
    <t>PLATY</t>
  </si>
  <si>
    <t>OON</t>
  </si>
  <si>
    <t>Mzdové prostředky celkem</t>
  </si>
  <si>
    <t xml:space="preserve">FKSP          </t>
  </si>
  <si>
    <t>ONIV</t>
  </si>
  <si>
    <t>LIMIT ZAMĚSTNANCŮ</t>
  </si>
  <si>
    <t>převody (platy-dohody)</t>
  </si>
  <si>
    <t>Podpůrná opatření</t>
  </si>
  <si>
    <t>Individuální úpravy</t>
  </si>
  <si>
    <t>celkem úprava limitu zaměstnanců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</si>
  <si>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</si>
  <si>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</si>
  <si>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</si>
  <si>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</si>
  <si>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</si>
  <si>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</si>
  <si>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</si>
  <si>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</si>
  <si>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</si>
  <si>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</si>
  <si>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</si>
  <si>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</si>
  <si>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</si>
  <si>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</si>
  <si>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</si>
  <si>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</si>
  <si>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</si>
  <si>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</si>
  <si>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</si>
  <si>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</si>
  <si>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</si>
  <si>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</si>
  <si>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</si>
  <si>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</si>
  <si>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</si>
  <si>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</si>
  <si>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</si>
  <si>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</si>
  <si>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</si>
  <si>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</si>
  <si>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</si>
  <si>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</si>
  <si>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</si>
  <si>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</si>
  <si>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</si>
  <si>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</si>
  <si>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</si>
  <si>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</si>
  <si>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</si>
  <si>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</si>
  <si>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</si>
  <si>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</si>
  <si>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</si>
  <si>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</si>
  <si>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</si>
  <si>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</si>
  <si>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</si>
  <si>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</si>
  <si>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</si>
  <si>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</si>
  <si>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</si>
  <si>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</si>
  <si>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</si>
  <si>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</si>
  <si>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</si>
  <si>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</si>
  <si>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</si>
  <si>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</si>
  <si>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</si>
  <si>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</si>
  <si>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</si>
  <si>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</si>
  <si>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</si>
  <si>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</si>
  <si>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</si>
  <si>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</si>
  <si>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</si>
  <si>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</si>
  <si>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</si>
  <si>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</si>
  <si>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</si>
  <si>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</si>
  <si>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</si>
  <si>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</si>
  <si>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</si>
  <si>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</si>
  <si>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</si>
  <si>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</si>
  <si>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</si>
  <si>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</si>
  <si>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</si>
  <si>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</si>
  <si>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</si>
  <si>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</si>
  <si>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</si>
  <si>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</si>
  <si>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</si>
  <si>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</si>
  <si>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</si>
  <si>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</si>
  <si>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</si>
  <si>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</si>
  <si>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</si>
  <si>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</si>
  <si>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</si>
  <si>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</si>
  <si>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</si>
  <si>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</si>
  <si>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</si>
  <si>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</si>
  <si>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</si>
  <si>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</si>
  <si>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</si>
  <si>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</si>
  <si>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</si>
  <si>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</si>
  <si>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</si>
  <si>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</si>
  <si>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</si>
  <si>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</si>
  <si>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</si>
  <si>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</si>
  <si>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</si>
  <si>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</si>
  <si>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</si>
  <si>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</si>
  <si>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</si>
  <si>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</si>
  <si>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</si>
  <si>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</si>
  <si>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</si>
  <si>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</si>
  <si>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</si>
  <si>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</si>
  <si>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</si>
  <si>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</si>
  <si>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</si>
  <si>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</si>
  <si>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</si>
  <si>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</si>
  <si>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</si>
  <si>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</si>
  <si>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</si>
  <si>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</si>
  <si>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</si>
  <si>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</si>
  <si>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</si>
  <si>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</si>
  <si>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</si>
  <si>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MŠ Jilemnice, Spořilovská 994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</si>
  <si>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</si>
  <si>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</si>
  <si>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</si>
  <si>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</si>
  <si>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</si>
  <si>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</si>
  <si>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</si>
  <si>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MŠ Benecko 104</t>
  </si>
  <si>
    <t>MŠ Benecko 104 Celkem</t>
  </si>
  <si>
    <t>ZŠ Benecko 150</t>
  </si>
  <si>
    <t>ZŠ Benecko 150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</si>
  <si>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</si>
  <si>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</si>
  <si>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</si>
  <si>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</si>
  <si>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</si>
  <si>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</si>
  <si>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</si>
  <si>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</si>
  <si>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</si>
  <si>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</si>
  <si>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</si>
  <si>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</si>
  <si>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</si>
  <si>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</si>
  <si>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</si>
  <si>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</si>
  <si>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</si>
  <si>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</si>
  <si>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</si>
  <si>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</si>
  <si>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DDM Rokytnice n. J., Horní 467</t>
  </si>
  <si>
    <t>DDM Rokytnice n. J., Horní 467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</si>
  <si>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</si>
  <si>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</si>
  <si>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</si>
  <si>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</si>
  <si>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Rokytnice n. J., Dolní 172</t>
  </si>
  <si>
    <t>ZŠ Rokytnice n. J., Dolní 172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</si>
  <si>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</si>
  <si>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</si>
  <si>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</si>
  <si>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</si>
  <si>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</si>
  <si>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</si>
  <si>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</si>
  <si>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</si>
  <si>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</si>
  <si>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</si>
  <si>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</si>
  <si>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</si>
  <si>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</si>
  <si>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</si>
  <si>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</si>
  <si>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</si>
  <si>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</si>
  <si>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</si>
  <si>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</si>
  <si>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</si>
  <si>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</si>
  <si>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</si>
  <si>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</si>
  <si>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</si>
  <si>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</si>
  <si>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</si>
  <si>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</si>
  <si>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</si>
  <si>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</si>
  <si>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</si>
  <si>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</si>
  <si>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</si>
  <si>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</si>
  <si>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</si>
  <si>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</si>
  <si>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</si>
  <si>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</si>
  <si>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</si>
  <si>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</si>
  <si>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</si>
  <si>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</si>
  <si>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</si>
  <si>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</si>
  <si>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</si>
  <si>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</si>
  <si>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</si>
  <si>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</si>
  <si>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</si>
  <si>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</si>
  <si>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</si>
  <si>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</si>
  <si>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</si>
  <si>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</si>
  <si>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</si>
  <si>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</si>
  <si>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</si>
  <si>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</si>
  <si>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</si>
  <si>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</si>
  <si>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</si>
  <si>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</si>
  <si>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</si>
  <si>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</si>
  <si>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</si>
  <si>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</si>
  <si>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</si>
  <si>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</si>
  <si>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</si>
  <si>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</si>
  <si>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</si>
  <si>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</si>
  <si>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</si>
  <si>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</si>
  <si>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</si>
  <si>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</si>
  <si>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</si>
  <si>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</si>
  <si>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</si>
  <si>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</si>
  <si>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</si>
  <si>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</si>
  <si>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</si>
  <si>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</si>
  <si>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</si>
  <si>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</si>
  <si>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</si>
  <si>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</si>
  <si>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</si>
  <si>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</si>
  <si>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</si>
  <si>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</si>
  <si>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</si>
  <si>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</si>
  <si>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</si>
  <si>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</si>
  <si>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</si>
  <si>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</si>
  <si>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</si>
  <si>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</si>
  <si>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</si>
  <si>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</si>
  <si>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</si>
  <si>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</si>
  <si>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</si>
  <si>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</si>
  <si>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</si>
  <si>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</si>
  <si>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</si>
  <si>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</si>
  <si>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</si>
  <si>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</si>
  <si>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</si>
  <si>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</si>
  <si>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</si>
  <si>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</si>
  <si>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</si>
  <si>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</si>
  <si>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</si>
  <si>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</si>
  <si>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</si>
  <si>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</si>
  <si>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</si>
  <si>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</si>
  <si>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</si>
  <si>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</si>
  <si>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</si>
  <si>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</si>
  <si>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</si>
  <si>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</si>
  <si>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</si>
  <si>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</si>
  <si>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</si>
  <si>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</si>
  <si>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</si>
  <si>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</si>
  <si>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</si>
  <si>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</si>
  <si>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</si>
  <si>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</si>
  <si>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</si>
  <si>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</si>
  <si>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</si>
  <si>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</si>
  <si>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</si>
  <si>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</si>
  <si>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</si>
  <si>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</si>
  <si>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</si>
  <si>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</si>
  <si>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</si>
  <si>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</si>
  <si>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</si>
  <si>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</si>
  <si>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</si>
  <si>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</si>
  <si>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</si>
  <si>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</si>
  <si>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</si>
  <si>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</si>
  <si>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</si>
  <si>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</si>
  <si>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</si>
  <si>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</si>
  <si>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</si>
  <si>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</si>
  <si>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</si>
  <si>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</si>
  <si>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</si>
  <si>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</si>
  <si>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</si>
  <si>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</si>
  <si>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</si>
  <si>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</si>
  <si>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</si>
  <si>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</si>
  <si>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</si>
  <si>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</si>
  <si>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</si>
  <si>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</si>
  <si>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</si>
  <si>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</si>
  <si>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</si>
  <si>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</si>
  <si>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</si>
  <si>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</si>
  <si>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</si>
  <si>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</si>
  <si>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</si>
  <si>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</si>
  <si>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</si>
  <si>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</si>
  <si>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</si>
  <si>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</si>
  <si>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</si>
  <si>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</si>
  <si>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</si>
  <si>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</si>
  <si>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</si>
  <si>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</si>
  <si>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</si>
  <si>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</si>
  <si>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</si>
  <si>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</si>
  <si>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</si>
  <si>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</si>
  <si>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</si>
  <si>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</si>
  <si>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</si>
  <si>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</si>
  <si>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</si>
  <si>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</si>
  <si>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</si>
  <si>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</si>
  <si>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</si>
  <si>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</si>
  <si>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</si>
  <si>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</si>
  <si>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</si>
  <si>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</si>
  <si>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</si>
  <si>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</si>
  <si>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</si>
  <si>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</si>
  <si>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</si>
  <si>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</si>
  <si>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</si>
  <si>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</si>
  <si>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</si>
  <si>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</si>
  <si>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</si>
  <si>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</si>
  <si>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</si>
  <si>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</si>
  <si>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</si>
  <si>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</si>
  <si>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</si>
  <si>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</si>
  <si>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</si>
  <si>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</si>
  <si>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</si>
  <si>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</si>
  <si>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</si>
  <si>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</si>
  <si>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</si>
  <si>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</si>
  <si>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</si>
  <si>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</si>
  <si>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</si>
  <si>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</si>
  <si>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</si>
  <si>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</si>
  <si>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</si>
  <si>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</si>
  <si>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</si>
  <si>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</si>
  <si>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MŠ Křižany 342</t>
  </si>
  <si>
    <t>MŠ Křižany 342 Celkem</t>
  </si>
  <si>
    <t>ZŠ Křižany, Žibřidice 271</t>
  </si>
  <si>
    <t>ZŠ Křižany, Žibřidice 271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</si>
  <si>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</si>
  <si>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</si>
  <si>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</si>
  <si>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</si>
  <si>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</si>
  <si>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</si>
  <si>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</si>
  <si>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</si>
  <si>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</si>
  <si>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</si>
  <si>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</si>
  <si>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</si>
  <si>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</si>
  <si>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</si>
  <si>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</si>
  <si>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</si>
  <si>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</si>
  <si>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</si>
  <si>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</si>
  <si>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</si>
  <si>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</si>
  <si>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</si>
  <si>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</si>
  <si>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</si>
  <si>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</si>
  <si>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</si>
  <si>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</si>
  <si>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</si>
  <si>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</si>
  <si>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</si>
  <si>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</si>
  <si>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</si>
  <si>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</si>
  <si>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</si>
  <si>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</si>
  <si>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</si>
  <si>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</si>
  <si>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</si>
  <si>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</si>
  <si>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</si>
  <si>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</si>
  <si>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</si>
  <si>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</si>
  <si>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</si>
  <si>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</si>
  <si>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</si>
  <si>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</si>
  <si>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</si>
  <si>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</si>
  <si>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</si>
  <si>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</si>
  <si>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</si>
  <si>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</si>
  <si>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</si>
  <si>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Platy úprava celkem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</si>
  <si>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</si>
  <si>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</si>
  <si>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</si>
  <si>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</si>
  <si>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</si>
  <si>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</si>
  <si>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</si>
  <si>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</si>
  <si>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</si>
  <si>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</si>
  <si>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</si>
  <si>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</si>
  <si>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</si>
  <si>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</si>
  <si>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</si>
  <si>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</si>
  <si>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</si>
  <si>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</si>
  <si>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</si>
  <si>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</si>
  <si>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Masarykova ZŠ Tanvald, Školní 416</t>
  </si>
  <si>
    <t xml:space="preserve">AP ŠD </t>
  </si>
  <si>
    <t>MŠ Jilemnice, Roztocká 994</t>
  </si>
  <si>
    <t>Dohodovací řízení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</si>
  <si>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</si>
  <si>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</si>
  <si>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</si>
  <si>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</si>
  <si>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</si>
  <si>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</si>
  <si>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</si>
  <si>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</si>
  <si>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</si>
  <si>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</si>
  <si>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OON do Phmax</t>
  </si>
  <si>
    <t>z toho v Kč:</t>
  </si>
  <si>
    <t>z toho:</t>
  </si>
  <si>
    <t xml:space="preserve">z toho:           </t>
  </si>
  <si>
    <r>
      <t xml:space="preserve">MŠ Treperka a waldorfská Semily, Komenského nám.146 </t>
    </r>
    <r>
      <rPr>
        <sz val="8"/>
        <color rgb="FFFF0000"/>
        <rFont val="Arial"/>
        <family val="2"/>
        <charset val="238"/>
      </rPr>
      <t>nově od 1.1.2021</t>
    </r>
  </si>
  <si>
    <t>Vážená paní ředitelko, vážený pane řediteli,</t>
  </si>
  <si>
    <t>Zpracoval: OŠMTS KÚ LK, oddělení financování přímých nákladů</t>
  </si>
  <si>
    <t>MŠ Treperka a waldorfská Semily, Komenského nám.146 nově od 1.1.2021</t>
  </si>
  <si>
    <t xml:space="preserve">MŠ Šimonovice 482 </t>
  </si>
  <si>
    <t>MŠ Šimonovice 482 Celkem</t>
  </si>
  <si>
    <t>ZŠ Jablonné v Podj., Komenského 453 Celkem</t>
  </si>
  <si>
    <t>Normativní rozpis rozpočtu na rok 2022</t>
  </si>
  <si>
    <t>Rozpis rozpočtu přímých NIV na rok 2022</t>
  </si>
  <si>
    <t>Rozpis rozpočtu - úprava</t>
  </si>
  <si>
    <t>dostupné na www.EDULK.cz</t>
  </si>
  <si>
    <t>1)</t>
  </si>
  <si>
    <t>2)</t>
  </si>
  <si>
    <t>3)</t>
  </si>
  <si>
    <t>4)</t>
  </si>
  <si>
    <t>5)</t>
  </si>
  <si>
    <t>6)</t>
  </si>
  <si>
    <t>7)</t>
  </si>
  <si>
    <t>Další podrobnosti k normativnímu rozpisu rozpočtu jsou uvedeny v "Informaci k rozpisu rozpočtu přímých NIV na rok 2022"</t>
  </si>
  <si>
    <t>a v „Krajské metodice rozpisu přímých výdajů právnických osob vykonávajících činnost škol a školských zařízení zřizovaných obcemi a krajem pro rok 2022"</t>
  </si>
  <si>
    <t>POZN:</t>
  </si>
  <si>
    <t>8)</t>
  </si>
  <si>
    <t>Vzhledem k výši rezervy na OON bylo nutno krátit požadavky na 80% jejich výše. Rozdíl bude dorovnán po obdržení nových závazných úkazatelů ze strany MŠMT.</t>
  </si>
  <si>
    <t>přesuny z prostředků na platy do OON (dohody) a s tím spojenou úpravu limitu zaměstnanců, na základě požadavků ze škol k termínu sběru 18. 2. 2022;</t>
  </si>
  <si>
    <t>zohlednění požadavku na odstupné (OON), pokud škola předložila písemně podrobné zdůvodnění požadavku;</t>
  </si>
  <si>
    <t>individuální úpravy (důvod změny uveden v komentáři v příslušné buňce), pouze dle Směrnice č. j. MSMT-14281/2018 ze dne 11. 4. 2019 ve znění pozdějších předpisů;</t>
  </si>
  <si>
    <t>zvýšení rozpočtu - řešení § 42 ŠZ, prostředky přiděleny na 8 měsíců;</t>
  </si>
  <si>
    <t>zvýšení rozpočtu samostatných ŠJ (na ředitele a THP), na 850 přepočtených strávníků 1,5 úvazku;</t>
  </si>
  <si>
    <t>zvýšení rozpočtu na bezplatnou jazykovou přípravu organizovanou podle § 10 a § 11 vyhlášky 48/2005 Sb. dle předložených požadavků na počet hodin od tzv. "určených škol"</t>
  </si>
  <si>
    <t>na období leden - červen s hodinovou dotací 571 Kč/hod;</t>
  </si>
  <si>
    <t>MŠ - 330 Kč/hod a ŠD - 325 Kč/hod, SŠ - 605 Kč/hod;</t>
  </si>
  <si>
    <t>OON (dohody) na hodiny do PHMax - hodiny vykázané v odd. VIII. výkazu P1c-01 k 30. 9. 2021, prostředky přiděleny na celorok (počítáno na 10 měsíců) s hodinovou dotací ZŠ -571 Kč/hod,</t>
  </si>
  <si>
    <t>dále Vám předkládáme úpravu rozpisu rozpočtu přímých NIV, která obsahuje:</t>
  </si>
  <si>
    <t>a limity počtu zaměstnanců stanovených krajským úřadem.</t>
  </si>
  <si>
    <t xml:space="preserve">předkládáme Vám roční výši finančních prostředků pro školy a školní družiny a limity počtu zaměstnanců stanovených MŠMT na rok 2022 a rozpis dalších finančních prostředků </t>
  </si>
  <si>
    <t>navýšení rozpočtu o prostředky na podpůrná opatření (PO) podle stavu personálních PO k 1. 1. 2022 a násl. za sběr měsíců leden, únor, březen a případně korekce vykázaných PO;</t>
  </si>
  <si>
    <t>Komentář k normativnímu rozpisu rozpočtu přímých NIV k 4. 5. 2022  (obecní školství)</t>
  </si>
  <si>
    <t>V Liberci dne 4. 5. 2022</t>
  </si>
  <si>
    <t xml:space="preserve">Závazné ukazatele pro rok 2022 - přímé náklady k 4. 5. 2022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</si>
</sst>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0.0000"/>
  </numFmts>
  <fonts count="46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sz val="8"/>
      <color rgb="FFFF000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u/>
      <sz val="10"/>
      <name val="Arial"/>
      <family val="2"/>
      <charset val="238"/>
    </font>
    <font>
      <b/>
      <i/>
      <sz val="1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0">
    <xf numFmtId="0" fontId="0" fillId="0" borderId="0"/>
    <xf numFmtId="164" fontId="14" fillId="0" borderId="0" applyFont="0" applyFill="0" applyBorder="0" applyAlignment="0" applyProtection="0"/>
    <xf numFmtId="0" fontId="14" fillId="0" borderId="0"/>
    <xf numFmtId="0" fontId="4" fillId="0" borderId="0"/>
    <xf numFmtId="0" fontId="9" fillId="0" borderId="0"/>
    <xf numFmtId="0" fontId="3" fillId="0" borderId="0"/>
    <xf numFmtId="0" fontId="36" fillId="0" borderId="0"/>
    <xf numFmtId="0" fontId="9" fillId="0" borderId="0"/>
    <xf numFmtId="0" fontId="1" fillId="0" borderId="0"/>
    <xf numFmtId="0" fontId="1" fillId="0" borderId="0"/>
  </cellStyleXfs>
  <cellXfs count="1313">
    <xf numFmtId="0" fontId="0" fillId="0" borderId="0" xfId="0"/>
    <xf numFmtId="0" fontId="12" fillId="0" borderId="2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5" fillId="0" borderId="0" xfId="0" applyFont="1"/>
    <xf numFmtId="3" fontId="7" fillId="0" borderId="8" xfId="0" applyNumberFormat="1" applyFont="1" applyFill="1" applyBorder="1" applyAlignment="1">
      <alignment horizontal="right"/>
    </xf>
    <xf numFmtId="3" fontId="11" fillId="3" borderId="8" xfId="0" applyNumberFormat="1" applyFont="1" applyFill="1" applyBorder="1"/>
    <xf numFmtId="3" fontId="11" fillId="3" borderId="8" xfId="0" applyNumberFormat="1" applyFont="1" applyFill="1" applyBorder="1" applyAlignment="1">
      <alignment horizontal="right"/>
    </xf>
    <xf numFmtId="4" fontId="6" fillId="0" borderId="0" xfId="0" applyNumberFormat="1" applyFont="1"/>
    <xf numFmtId="3" fontId="11" fillId="3" borderId="1" xfId="0" applyNumberFormat="1" applyFont="1" applyFill="1" applyBorder="1"/>
    <xf numFmtId="4" fontId="11" fillId="3" borderId="1" xfId="0" applyNumberFormat="1" applyFont="1" applyFill="1" applyBorder="1"/>
    <xf numFmtId="3" fontId="11" fillId="3" borderId="1" xfId="0" applyNumberFormat="1" applyFont="1" applyFill="1" applyBorder="1" applyAlignment="1">
      <alignment horizontal="right"/>
    </xf>
    <xf numFmtId="4" fontId="11" fillId="3" borderId="1" xfId="0" applyNumberFormat="1" applyFont="1" applyFill="1" applyBorder="1" applyAlignment="1">
      <alignment horizontal="right"/>
    </xf>
    <xf numFmtId="0" fontId="6" fillId="0" borderId="0" xfId="0" applyFont="1"/>
    <xf numFmtId="0" fontId="8" fillId="0" borderId="0" xfId="0" applyFont="1" applyAlignment="1"/>
    <xf numFmtId="0" fontId="0" fillId="0" borderId="0" xfId="0" applyAlignment="1"/>
    <xf numFmtId="4" fontId="0" fillId="0" borderId="0" xfId="0" applyNumberFormat="1"/>
    <xf numFmtId="3" fontId="0" fillId="0" borderId="0" xfId="0" applyNumberFormat="1"/>
    <xf numFmtId="0" fontId="6" fillId="0" borderId="0" xfId="0" applyFont="1" applyAlignment="1">
      <alignment horizontal="center"/>
    </xf>
    <xf numFmtId="0" fontId="17" fillId="0" borderId="0" xfId="0" applyFont="1" applyAlignment="1"/>
    <xf numFmtId="4" fontId="7" fillId="0" borderId="0" xfId="0" applyNumberFormat="1" applyFont="1" applyFill="1" applyBorder="1"/>
    <xf numFmtId="3" fontId="7" fillId="0" borderId="0" xfId="0" applyNumberFormat="1" applyFont="1" applyFill="1" applyBorder="1"/>
    <xf numFmtId="0" fontId="18" fillId="0" borderId="0" xfId="0" applyFont="1" applyAlignment="1"/>
    <xf numFmtId="4" fontId="6" fillId="0" borderId="1" xfId="0" applyNumberFormat="1" applyFont="1" applyFill="1" applyBorder="1"/>
    <xf numFmtId="0" fontId="10" fillId="3" borderId="1" xfId="2" applyFont="1" applyFill="1" applyBorder="1" applyAlignment="1">
      <alignment horizontal="center"/>
    </xf>
    <xf numFmtId="3" fontId="10" fillId="3" borderId="1" xfId="2" applyNumberFormat="1" applyFont="1" applyFill="1" applyBorder="1"/>
    <xf numFmtId="4" fontId="10" fillId="3" borderId="1" xfId="2" applyNumberFormat="1" applyFont="1" applyFill="1" applyBorder="1"/>
    <xf numFmtId="3" fontId="10" fillId="4" borderId="18" xfId="2" applyNumberFormat="1" applyFont="1" applyFill="1" applyBorder="1"/>
    <xf numFmtId="4" fontId="10" fillId="4" borderId="18" xfId="2" applyNumberFormat="1" applyFont="1" applyFill="1" applyBorder="1"/>
    <xf numFmtId="3" fontId="6" fillId="0" borderId="0" xfId="0" applyNumberFormat="1" applyFont="1"/>
    <xf numFmtId="3" fontId="6" fillId="0" borderId="1" xfId="0" applyNumberFormat="1" applyFont="1" applyFill="1" applyBorder="1"/>
    <xf numFmtId="4" fontId="6" fillId="0" borderId="10" xfId="0" applyNumberFormat="1" applyFont="1" applyFill="1" applyBorder="1"/>
    <xf numFmtId="3" fontId="5" fillId="0" borderId="1" xfId="0" applyNumberFormat="1" applyFont="1" applyFill="1" applyBorder="1"/>
    <xf numFmtId="0" fontId="11" fillId="3" borderId="1" xfId="0" applyFont="1" applyFill="1" applyBorder="1" applyAlignment="1">
      <alignment horizontal="center"/>
    </xf>
    <xf numFmtId="0" fontId="12" fillId="0" borderId="15" xfId="0" applyFont="1" applyBorder="1" applyAlignment="1">
      <alignment horizontal="left"/>
    </xf>
    <xf numFmtId="4" fontId="5" fillId="0" borderId="9" xfId="0" applyNumberFormat="1" applyFont="1" applyFill="1" applyBorder="1"/>
    <xf numFmtId="3" fontId="10" fillId="3" borderId="8" xfId="2" applyNumberFormat="1" applyFont="1" applyFill="1" applyBorder="1"/>
    <xf numFmtId="3" fontId="10" fillId="4" borderId="17" xfId="2" applyNumberFormat="1" applyFont="1" applyFill="1" applyBorder="1"/>
    <xf numFmtId="3" fontId="5" fillId="0" borderId="8" xfId="0" applyNumberFormat="1" applyFont="1" applyFill="1" applyBorder="1"/>
    <xf numFmtId="4" fontId="11" fillId="3" borderId="9" xfId="0" applyNumberFormat="1" applyFont="1" applyFill="1" applyBorder="1" applyAlignment="1">
      <alignment horizontal="right"/>
    </xf>
    <xf numFmtId="4" fontId="11" fillId="3" borderId="9" xfId="0" applyNumberFormat="1" applyFont="1" applyFill="1" applyBorder="1"/>
    <xf numFmtId="0" fontId="10" fillId="0" borderId="39" xfId="0" applyFont="1" applyBorder="1" applyAlignment="1">
      <alignment vertical="center" wrapText="1"/>
    </xf>
    <xf numFmtId="3" fontId="7" fillId="0" borderId="25" xfId="0" applyNumberFormat="1" applyFont="1" applyFill="1" applyBorder="1" applyAlignment="1">
      <alignment horizontal="right"/>
    </xf>
    <xf numFmtId="0" fontId="6" fillId="0" borderId="0" xfId="0" applyFont="1" applyAlignment="1">
      <alignment horizontal="left"/>
    </xf>
    <xf numFmtId="3" fontId="6" fillId="0" borderId="0" xfId="0" applyNumberFormat="1" applyFont="1" applyBorder="1"/>
    <xf numFmtId="4" fontId="6" fillId="0" borderId="0" xfId="0" applyNumberFormat="1" applyFont="1" applyBorder="1"/>
    <xf numFmtId="0" fontId="0" fillId="0" borderId="0" xfId="0" applyAlignment="1">
      <alignment horizontal="center"/>
    </xf>
    <xf numFmtId="3" fontId="11" fillId="3" borderId="22" xfId="0" applyNumberFormat="1" applyFont="1" applyFill="1" applyBorder="1"/>
    <xf numFmtId="0" fontId="12" fillId="0" borderId="43" xfId="0" applyFont="1" applyBorder="1" applyAlignment="1">
      <alignment horizontal="left"/>
    </xf>
    <xf numFmtId="4" fontId="11" fillId="3" borderId="22" xfId="0" applyNumberFormat="1" applyFont="1" applyFill="1" applyBorder="1"/>
    <xf numFmtId="0" fontId="19" fillId="0" borderId="0" xfId="0" applyFont="1" applyAlignment="1">
      <alignment horizontal="center"/>
    </xf>
    <xf numFmtId="0" fontId="19" fillId="0" borderId="0" xfId="0" applyFont="1"/>
    <xf numFmtId="0" fontId="12" fillId="0" borderId="39" xfId="0" applyFont="1" applyBorder="1" applyAlignment="1">
      <alignment horizontal="left"/>
    </xf>
    <xf numFmtId="3" fontId="19" fillId="0" borderId="8" xfId="0" applyNumberFormat="1" applyFont="1" applyBorder="1"/>
    <xf numFmtId="3" fontId="19" fillId="0" borderId="1" xfId="0" applyNumberFormat="1" applyFont="1" applyBorder="1"/>
    <xf numFmtId="4" fontId="19" fillId="0" borderId="1" xfId="0" applyNumberFormat="1" applyFont="1" applyBorder="1"/>
    <xf numFmtId="3" fontId="19" fillId="0" borderId="11" xfId="0" applyNumberFormat="1" applyFont="1" applyBorder="1"/>
    <xf numFmtId="3" fontId="19" fillId="0" borderId="12" xfId="0" applyNumberFormat="1" applyFont="1" applyBorder="1"/>
    <xf numFmtId="0" fontId="11" fillId="4" borderId="18" xfId="0" applyFont="1" applyFill="1" applyBorder="1" applyAlignment="1">
      <alignment horizontal="center"/>
    </xf>
    <xf numFmtId="3" fontId="11" fillId="4" borderId="18" xfId="0" applyNumberFormat="1" applyFont="1" applyFill="1" applyBorder="1" applyAlignment="1">
      <alignment horizontal="right"/>
    </xf>
    <xf numFmtId="4" fontId="11" fillId="4" borderId="18" xfId="0" applyNumberFormat="1" applyFont="1" applyFill="1" applyBorder="1" applyAlignment="1">
      <alignment horizontal="right"/>
    </xf>
    <xf numFmtId="3" fontId="19" fillId="0" borderId="4" xfId="0" applyNumberFormat="1" applyFont="1" applyBorder="1"/>
    <xf numFmtId="3" fontId="19" fillId="0" borderId="40" xfId="0" applyNumberFormat="1" applyFont="1" applyBorder="1"/>
    <xf numFmtId="0" fontId="11" fillId="3" borderId="22" xfId="0" applyFont="1" applyFill="1" applyBorder="1" applyAlignment="1">
      <alignment horizontal="center"/>
    </xf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4" fontId="13" fillId="4" borderId="19" xfId="0" applyNumberFormat="1" applyFont="1" applyFill="1" applyBorder="1"/>
    <xf numFmtId="3" fontId="11" fillId="4" borderId="18" xfId="0" applyNumberFormat="1" applyFont="1" applyFill="1" applyBorder="1"/>
    <xf numFmtId="4" fontId="11" fillId="4" borderId="18" xfId="0" applyNumberFormat="1" applyFont="1" applyFill="1" applyBorder="1"/>
    <xf numFmtId="4" fontId="11" fillId="3" borderId="32" xfId="0" applyNumberFormat="1" applyFont="1" applyFill="1" applyBorder="1"/>
    <xf numFmtId="4" fontId="11" fillId="4" borderId="20" xfId="0" applyNumberFormat="1" applyFont="1" applyFill="1" applyBorder="1"/>
    <xf numFmtId="3" fontId="11" fillId="4" borderId="17" xfId="0" applyNumberFormat="1" applyFont="1" applyFill="1" applyBorder="1" applyAlignment="1">
      <alignment horizontal="right"/>
    </xf>
    <xf numFmtId="4" fontId="11" fillId="4" borderId="20" xfId="0" applyNumberFormat="1" applyFont="1" applyFill="1" applyBorder="1" applyAlignment="1">
      <alignment horizontal="right"/>
    </xf>
    <xf numFmtId="4" fontId="10" fillId="3" borderId="10" xfId="2" applyNumberFormat="1" applyFont="1" applyFill="1" applyBorder="1"/>
    <xf numFmtId="4" fontId="10" fillId="4" borderId="19" xfId="2" applyNumberFormat="1" applyFont="1" applyFill="1" applyBorder="1"/>
    <xf numFmtId="0" fontId="10" fillId="2" borderId="20" xfId="2" applyFont="1" applyFill="1" applyBorder="1" applyAlignment="1">
      <alignment horizontal="center" vertical="center" wrapText="1"/>
    </xf>
    <xf numFmtId="4" fontId="11" fillId="4" borderId="12" xfId="2" applyNumberFormat="1" applyFont="1" applyFill="1" applyBorder="1" applyAlignment="1">
      <alignment horizontal="center" vertical="center" wrapText="1"/>
    </xf>
    <xf numFmtId="3" fontId="10" fillId="4" borderId="12" xfId="2" applyNumberFormat="1" applyFont="1" applyFill="1" applyBorder="1" applyAlignment="1">
      <alignment horizontal="center" vertical="center" wrapText="1"/>
    </xf>
    <xf numFmtId="4" fontId="10" fillId="0" borderId="12" xfId="0" applyNumberFormat="1" applyFont="1" applyFill="1" applyBorder="1" applyAlignment="1">
      <alignment horizontal="center" vertical="center" wrapText="1"/>
    </xf>
    <xf numFmtId="4" fontId="10" fillId="0" borderId="14" xfId="0" applyNumberFormat="1" applyFont="1" applyFill="1" applyBorder="1" applyAlignment="1">
      <alignment horizontal="center" vertical="center" wrapText="1"/>
    </xf>
    <xf numFmtId="3" fontId="11" fillId="5" borderId="12" xfId="2" applyNumberFormat="1" applyFont="1" applyFill="1" applyBorder="1" applyAlignment="1">
      <alignment horizontal="center" vertical="center" wrapText="1"/>
    </xf>
    <xf numFmtId="3" fontId="11" fillId="4" borderId="12" xfId="2" applyNumberFormat="1" applyFont="1" applyFill="1" applyBorder="1" applyAlignment="1">
      <alignment horizontal="center" vertical="center" wrapText="1"/>
    </xf>
    <xf numFmtId="3" fontId="12" fillId="0" borderId="22" xfId="0" applyNumberFormat="1" applyFont="1" applyBorder="1" applyAlignment="1">
      <alignment horizontal="center" vertical="center" wrapText="1"/>
    </xf>
    <xf numFmtId="3" fontId="12" fillId="0" borderId="22" xfId="0" applyNumberFormat="1" applyFont="1" applyFill="1" applyBorder="1" applyAlignment="1">
      <alignment horizontal="center" vertical="center" wrapText="1"/>
    </xf>
    <xf numFmtId="3" fontId="10" fillId="3" borderId="28" xfId="2" applyNumberFormat="1" applyFont="1" applyFill="1" applyBorder="1"/>
    <xf numFmtId="3" fontId="10" fillId="3" borderId="22" xfId="2" applyNumberFormat="1" applyFont="1" applyFill="1" applyBorder="1"/>
    <xf numFmtId="3" fontId="12" fillId="0" borderId="22" xfId="0" applyNumberFormat="1" applyFont="1" applyBorder="1" applyAlignment="1">
      <alignment horizontal="center" vertical="center"/>
    </xf>
    <xf numFmtId="4" fontId="10" fillId="3" borderId="22" xfId="2" applyNumberFormat="1" applyFont="1" applyFill="1" applyBorder="1"/>
    <xf numFmtId="4" fontId="10" fillId="3" borderId="29" xfId="2" applyNumberFormat="1" applyFont="1" applyFill="1" applyBorder="1"/>
    <xf numFmtId="3" fontId="19" fillId="0" borderId="30" xfId="0" applyNumberFormat="1" applyFont="1" applyBorder="1"/>
    <xf numFmtId="3" fontId="11" fillId="3" borderId="22" xfId="0" applyNumberFormat="1" applyFont="1" applyFill="1" applyBorder="1" applyAlignment="1">
      <alignment horizontal="right"/>
    </xf>
    <xf numFmtId="3" fontId="11" fillId="4" borderId="24" xfId="0" applyNumberFormat="1" applyFont="1" applyFill="1" applyBorder="1" applyAlignment="1">
      <alignment horizontal="right"/>
    </xf>
    <xf numFmtId="4" fontId="11" fillId="4" borderId="19" xfId="0" applyNumberFormat="1" applyFont="1" applyFill="1" applyBorder="1" applyAlignment="1">
      <alignment horizontal="right"/>
    </xf>
    <xf numFmtId="4" fontId="11" fillId="3" borderId="10" xfId="0" applyNumberFormat="1" applyFont="1" applyFill="1" applyBorder="1"/>
    <xf numFmtId="4" fontId="11" fillId="3" borderId="10" xfId="0" applyNumberFormat="1" applyFont="1" applyFill="1" applyBorder="1" applyAlignment="1">
      <alignment horizontal="right"/>
    </xf>
    <xf numFmtId="4" fontId="11" fillId="3" borderId="29" xfId="0" applyNumberFormat="1" applyFont="1" applyFill="1" applyBorder="1"/>
    <xf numFmtId="4" fontId="11" fillId="4" borderId="19" xfId="0" applyNumberFormat="1" applyFont="1" applyFill="1" applyBorder="1"/>
    <xf numFmtId="0" fontId="19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9" xfId="0" applyFont="1" applyFill="1" applyBorder="1" applyAlignment="1">
      <alignment horizontal="left"/>
    </xf>
    <xf numFmtId="0" fontId="16" fillId="0" borderId="0" xfId="0" applyFont="1" applyAlignment="1"/>
    <xf numFmtId="0" fontId="30" fillId="3" borderId="1" xfId="4" applyFont="1" applyFill="1" applyBorder="1" applyAlignment="1">
      <alignment horizontal="center"/>
    </xf>
    <xf numFmtId="0" fontId="11" fillId="3" borderId="1" xfId="4" applyFont="1" applyFill="1" applyBorder="1" applyAlignment="1">
      <alignment horizontal="center"/>
    </xf>
    <xf numFmtId="0" fontId="32" fillId="3" borderId="1" xfId="4" applyFont="1" applyFill="1" applyBorder="1" applyAlignment="1">
      <alignment horizontal="center"/>
    </xf>
    <xf numFmtId="0" fontId="29" fillId="3" borderId="1" xfId="4" applyFont="1" applyFill="1" applyBorder="1" applyAlignment="1">
      <alignment horizontal="center"/>
    </xf>
    <xf numFmtId="0" fontId="30" fillId="3" borderId="22" xfId="4" applyFont="1" applyFill="1" applyBorder="1" applyAlignment="1">
      <alignment horizontal="center"/>
    </xf>
    <xf numFmtId="0" fontId="17" fillId="0" borderId="0" xfId="3" applyFont="1" applyAlignment="1">
      <alignment horizontal="left"/>
    </xf>
    <xf numFmtId="0" fontId="16" fillId="0" borderId="0" xfId="0" applyFont="1" applyAlignment="1">
      <alignment horizontal="left"/>
    </xf>
    <xf numFmtId="0" fontId="34" fillId="0" borderId="0" xfId="5" applyFont="1" applyFill="1" applyAlignment="1">
      <alignment horizontal="right"/>
    </xf>
    <xf numFmtId="0" fontId="34" fillId="0" borderId="0" xfId="5" applyFont="1" applyFill="1" applyAlignment="1">
      <alignment horizontal="center"/>
    </xf>
    <xf numFmtId="3" fontId="34" fillId="0" borderId="0" xfId="5" applyNumberFormat="1" applyFont="1" applyAlignment="1"/>
    <xf numFmtId="3" fontId="35" fillId="0" borderId="0" xfId="5" applyNumberFormat="1" applyFont="1" applyAlignment="1"/>
    <xf numFmtId="4" fontId="35" fillId="0" borderId="0" xfId="5" applyNumberFormat="1" applyFont="1" applyAlignment="1"/>
    <xf numFmtId="3" fontId="3" fillId="0" borderId="0" xfId="5" applyNumberFormat="1"/>
    <xf numFmtId="4" fontId="3" fillId="0" borderId="0" xfId="5" applyNumberFormat="1"/>
    <xf numFmtId="0" fontId="34" fillId="0" borderId="0" xfId="5" applyFont="1"/>
    <xf numFmtId="0" fontId="35" fillId="0" borderId="0" xfId="5" applyFont="1" applyFill="1" applyAlignment="1">
      <alignment horizontal="right"/>
    </xf>
    <xf numFmtId="0" fontId="35" fillId="0" borderId="0" xfId="5" applyFont="1" applyFill="1"/>
    <xf numFmtId="0" fontId="34" fillId="0" borderId="0" xfId="5" applyFont="1" applyFill="1" applyAlignment="1">
      <alignment horizontal="center" vertical="center"/>
    </xf>
    <xf numFmtId="0" fontId="35" fillId="0" borderId="0" xfId="5" applyFont="1" applyFill="1" applyBorder="1" applyAlignment="1">
      <alignment vertical="center"/>
    </xf>
    <xf numFmtId="0" fontId="35" fillId="0" borderId="17" xfId="5" applyFont="1" applyFill="1" applyBorder="1" applyAlignment="1">
      <alignment horizontal="center" vertical="center"/>
    </xf>
    <xf numFmtId="0" fontId="35" fillId="0" borderId="18" xfId="5" applyFont="1" applyFill="1" applyBorder="1" applyAlignment="1">
      <alignment horizontal="center" vertical="center"/>
    </xf>
    <xf numFmtId="0" fontId="5" fillId="0" borderId="1" xfId="5" applyFont="1" applyFill="1" applyBorder="1" applyAlignment="1">
      <alignment horizontal="right"/>
    </xf>
    <xf numFmtId="0" fontId="5" fillId="0" borderId="1" xfId="5" applyFont="1" applyFill="1" applyBorder="1" applyAlignment="1" applyProtection="1">
      <alignment horizontal="right"/>
      <protection locked="0"/>
    </xf>
    <xf numFmtId="0" fontId="5" fillId="0" borderId="1" xfId="5" applyFont="1" applyFill="1" applyBorder="1" applyAlignment="1"/>
    <xf numFmtId="0" fontId="5" fillId="0" borderId="1" xfId="5" applyFont="1" applyFill="1" applyBorder="1" applyAlignment="1">
      <alignment horizontal="center"/>
    </xf>
    <xf numFmtId="0" fontId="5" fillId="0" borderId="9" xfId="5" applyFont="1" applyFill="1" applyBorder="1" applyAlignment="1"/>
    <xf numFmtId="3" fontId="34" fillId="0" borderId="8" xfId="5" applyNumberFormat="1" applyFont="1" applyBorder="1" applyAlignment="1"/>
    <xf numFmtId="3" fontId="34" fillId="0" borderId="1" xfId="5" applyNumberFormat="1" applyFont="1" applyFill="1" applyBorder="1" applyAlignment="1"/>
    <xf numFmtId="3" fontId="6" fillId="0" borderId="8" xfId="5" applyNumberFormat="1" applyFont="1" applyFill="1" applyBorder="1"/>
    <xf numFmtId="3" fontId="6" fillId="0" borderId="30" xfId="5" applyNumberFormat="1" applyFont="1" applyFill="1" applyBorder="1"/>
    <xf numFmtId="3" fontId="6" fillId="0" borderId="1" xfId="5" applyNumberFormat="1" applyFont="1" applyFill="1" applyBorder="1"/>
    <xf numFmtId="3" fontId="5" fillId="0" borderId="1" xfId="5" applyNumberFormat="1" applyFont="1" applyBorder="1"/>
    <xf numFmtId="4" fontId="6" fillId="0" borderId="1" xfId="5" applyNumberFormat="1" applyFont="1" applyFill="1" applyBorder="1"/>
    <xf numFmtId="4" fontId="6" fillId="0" borderId="10" xfId="5" applyNumberFormat="1" applyFont="1" applyFill="1" applyBorder="1"/>
    <xf numFmtId="0" fontId="11" fillId="3" borderId="1" xfId="5" applyFont="1" applyFill="1" applyBorder="1" applyAlignment="1">
      <alignment horizontal="right"/>
    </xf>
    <xf numFmtId="0" fontId="11" fillId="3" borderId="1" xfId="5" applyFont="1" applyFill="1" applyBorder="1" applyAlignment="1" applyProtection="1">
      <alignment horizontal="right"/>
      <protection locked="0"/>
    </xf>
    <xf numFmtId="0" fontId="11" fillId="3" borderId="1" xfId="5" applyFont="1" applyFill="1" applyBorder="1" applyAlignment="1"/>
    <xf numFmtId="0" fontId="11" fillId="3" borderId="1" xfId="5" applyFont="1" applyFill="1" applyBorder="1" applyAlignment="1">
      <alignment horizontal="center"/>
    </xf>
    <xf numFmtId="0" fontId="11" fillId="3" borderId="9" xfId="5" applyFont="1" applyFill="1" applyBorder="1" applyAlignment="1"/>
    <xf numFmtId="3" fontId="11" fillId="3" borderId="8" xfId="5" applyNumberFormat="1" applyFont="1" applyFill="1" applyBorder="1" applyAlignment="1"/>
    <xf numFmtId="3" fontId="11" fillId="3" borderId="1" xfId="5" applyNumberFormat="1" applyFont="1" applyFill="1" applyBorder="1" applyAlignment="1"/>
    <xf numFmtId="4" fontId="11" fillId="3" borderId="1" xfId="5" applyNumberFormat="1" applyFont="1" applyFill="1" applyBorder="1" applyAlignment="1"/>
    <xf numFmtId="4" fontId="11" fillId="3" borderId="10" xfId="5" applyNumberFormat="1" applyFont="1" applyFill="1" applyBorder="1" applyAlignment="1"/>
    <xf numFmtId="0" fontId="6" fillId="0" borderId="1" xfId="5" applyFont="1" applyFill="1" applyBorder="1" applyAlignment="1"/>
    <xf numFmtId="0" fontId="5" fillId="0" borderId="1" xfId="5" applyNumberFormat="1" applyFont="1" applyFill="1" applyBorder="1" applyAlignment="1" applyProtection="1">
      <alignment horizontal="right"/>
      <protection locked="0"/>
    </xf>
    <xf numFmtId="0" fontId="6" fillId="0" borderId="1" xfId="5" applyFont="1" applyFill="1" applyBorder="1"/>
    <xf numFmtId="0" fontId="11" fillId="3" borderId="1" xfId="5" applyNumberFormat="1" applyFont="1" applyFill="1" applyBorder="1" applyAlignment="1" applyProtection="1">
      <alignment horizontal="right"/>
      <protection locked="0"/>
    </xf>
    <xf numFmtId="3" fontId="11" fillId="3" borderId="8" xfId="5" applyNumberFormat="1" applyFont="1" applyFill="1" applyBorder="1" applyAlignment="1">
      <alignment horizontal="right"/>
    </xf>
    <xf numFmtId="3" fontId="11" fillId="3" borderId="1" xfId="5" applyNumberFormat="1" applyFont="1" applyFill="1" applyBorder="1" applyAlignment="1">
      <alignment horizontal="right"/>
    </xf>
    <xf numFmtId="4" fontId="11" fillId="3" borderId="1" xfId="5" applyNumberFormat="1" applyFont="1" applyFill="1" applyBorder="1" applyAlignment="1">
      <alignment horizontal="right"/>
    </xf>
    <xf numFmtId="4" fontId="11" fillId="3" borderId="10" xfId="5" applyNumberFormat="1" applyFont="1" applyFill="1" applyBorder="1" applyAlignment="1">
      <alignment horizontal="right"/>
    </xf>
    <xf numFmtId="0" fontId="34" fillId="0" borderId="0" xfId="5" applyFont="1" applyFill="1"/>
    <xf numFmtId="0" fontId="5" fillId="0" borderId="1" xfId="5" applyFont="1" applyFill="1" applyBorder="1" applyAlignment="1">
      <alignment wrapText="1"/>
    </xf>
    <xf numFmtId="3" fontId="35" fillId="3" borderId="8" xfId="5" applyNumberFormat="1" applyFont="1" applyFill="1" applyBorder="1" applyAlignment="1"/>
    <xf numFmtId="3" fontId="35" fillId="3" borderId="1" xfId="5" applyNumberFormat="1" applyFont="1" applyFill="1" applyBorder="1" applyAlignment="1"/>
    <xf numFmtId="4" fontId="35" fillId="3" borderId="1" xfId="5" applyNumberFormat="1" applyFont="1" applyFill="1" applyBorder="1" applyAlignment="1"/>
    <xf numFmtId="4" fontId="35" fillId="3" borderId="10" xfId="5" applyNumberFormat="1" applyFont="1" applyFill="1" applyBorder="1" applyAlignment="1"/>
    <xf numFmtId="3" fontId="11" fillId="7" borderId="18" xfId="5" applyNumberFormat="1" applyFont="1" applyFill="1" applyBorder="1"/>
    <xf numFmtId="4" fontId="6" fillId="0" borderId="0" xfId="5" applyNumberFormat="1" applyFont="1" applyFill="1" applyBorder="1"/>
    <xf numFmtId="4" fontId="12" fillId="0" borderId="0" xfId="5" applyNumberFormat="1" applyFont="1" applyFill="1" applyBorder="1"/>
    <xf numFmtId="0" fontId="34" fillId="0" borderId="0" xfId="5" applyFont="1" applyBorder="1"/>
    <xf numFmtId="4" fontId="35" fillId="0" borderId="0" xfId="5" applyNumberFormat="1" applyFont="1" applyBorder="1"/>
    <xf numFmtId="3" fontId="35" fillId="0" borderId="0" xfId="5" applyNumberFormat="1" applyFont="1" applyAlignment="1">
      <alignment horizontal="right"/>
    </xf>
    <xf numFmtId="0" fontId="34" fillId="0" borderId="0" xfId="5" applyFont="1" applyAlignment="1">
      <alignment horizontal="right"/>
    </xf>
    <xf numFmtId="4" fontId="35" fillId="0" borderId="0" xfId="5" applyNumberFormat="1" applyFont="1" applyAlignment="1">
      <alignment horizontal="right"/>
    </xf>
    <xf numFmtId="3" fontId="34" fillId="0" borderId="0" xfId="5" applyNumberFormat="1" applyFont="1"/>
    <xf numFmtId="4" fontId="34" fillId="0" borderId="0" xfId="5" applyNumberFormat="1" applyFont="1"/>
    <xf numFmtId="0" fontId="34" fillId="0" borderId="0" xfId="5" applyFont="1" applyFill="1" applyAlignment="1">
      <alignment horizontal="left"/>
    </xf>
    <xf numFmtId="0" fontId="34" fillId="0" borderId="0" xfId="5" applyFont="1" applyAlignment="1"/>
    <xf numFmtId="0" fontId="34" fillId="0" borderId="0" xfId="5" applyFont="1" applyFill="1" applyBorder="1" applyAlignment="1">
      <alignment horizontal="right"/>
    </xf>
    <xf numFmtId="0" fontId="34" fillId="0" borderId="0" xfId="5" applyFont="1" applyFill="1" applyBorder="1" applyAlignment="1">
      <alignment horizontal="center"/>
    </xf>
    <xf numFmtId="0" fontId="34" fillId="0" borderId="0" xfId="5" applyFont="1" applyBorder="1" applyAlignment="1"/>
    <xf numFmtId="3" fontId="34" fillId="0" borderId="0" xfId="5" applyNumberFormat="1" applyFont="1" applyBorder="1"/>
    <xf numFmtId="4" fontId="34" fillId="0" borderId="0" xfId="5" applyNumberFormat="1" applyFont="1" applyBorder="1"/>
    <xf numFmtId="3" fontId="34" fillId="0" borderId="0" xfId="5" applyNumberFormat="1" applyFont="1" applyBorder="1" applyAlignment="1"/>
    <xf numFmtId="3" fontId="35" fillId="0" borderId="0" xfId="5" applyNumberFormat="1" applyFont="1" applyBorder="1" applyAlignment="1"/>
    <xf numFmtId="4" fontId="35" fillId="0" borderId="0" xfId="5" applyNumberFormat="1" applyFont="1" applyBorder="1" applyAlignment="1"/>
    <xf numFmtId="0" fontId="34" fillId="0" borderId="0" xfId="5" applyFont="1" applyAlignment="1">
      <alignment horizontal="center"/>
    </xf>
    <xf numFmtId="0" fontId="3" fillId="0" borderId="0" xfId="5" applyAlignment="1"/>
    <xf numFmtId="0" fontId="3" fillId="0" borderId="0" xfId="5" applyAlignment="1">
      <alignment horizontal="center"/>
    </xf>
    <xf numFmtId="3" fontId="3" fillId="0" borderId="0" xfId="5" applyNumberFormat="1" applyFont="1"/>
    <xf numFmtId="3" fontId="23" fillId="0" borderId="0" xfId="5" applyNumberFormat="1" applyFont="1"/>
    <xf numFmtId="4" fontId="23" fillId="0" borderId="0" xfId="5" applyNumberFormat="1" applyFont="1"/>
    <xf numFmtId="0" fontId="3" fillId="0" borderId="0" xfId="5"/>
    <xf numFmtId="0" fontId="23" fillId="0" borderId="0" xfId="5" applyFont="1" applyAlignment="1"/>
    <xf numFmtId="0" fontId="23" fillId="0" borderId="0" xfId="5" applyFont="1"/>
    <xf numFmtId="0" fontId="34" fillId="0" borderId="0" xfId="5" applyFont="1" applyAlignment="1">
      <alignment horizontal="center" vertical="center"/>
    </xf>
    <xf numFmtId="0" fontId="35" fillId="0" borderId="0" xfId="5" applyFont="1" applyBorder="1" applyAlignment="1">
      <alignment vertical="center"/>
    </xf>
    <xf numFmtId="0" fontId="23" fillId="0" borderId="0" xfId="5" applyFont="1" applyBorder="1" applyAlignment="1">
      <alignment horizontal="center" vertical="center" wrapText="1"/>
    </xf>
    <xf numFmtId="0" fontId="35" fillId="0" borderId="17" xfId="5" applyFont="1" applyBorder="1" applyAlignment="1">
      <alignment horizontal="center" vertical="center"/>
    </xf>
    <xf numFmtId="0" fontId="35" fillId="0" borderId="18" xfId="5" applyFont="1" applyBorder="1" applyAlignment="1">
      <alignment horizontal="center" vertical="center"/>
    </xf>
    <xf numFmtId="0" fontId="6" fillId="0" borderId="1" xfId="5" applyFont="1" applyBorder="1" applyAlignment="1"/>
    <xf numFmtId="0" fontId="6" fillId="0" borderId="1" xfId="5" applyFont="1" applyBorder="1" applyAlignment="1" applyProtection="1">
      <protection locked="0"/>
    </xf>
    <xf numFmtId="0" fontId="6" fillId="0" borderId="1" xfId="5" applyFont="1" applyBorder="1"/>
    <xf numFmtId="0" fontId="6" fillId="0" borderId="1" xfId="5" applyFont="1" applyBorder="1" applyAlignment="1">
      <alignment horizontal="center"/>
    </xf>
    <xf numFmtId="0" fontId="6" fillId="0" borderId="9" xfId="5" applyFont="1" applyFill="1" applyBorder="1" applyAlignment="1"/>
    <xf numFmtId="0" fontId="25" fillId="0" borderId="0" xfId="5" applyFont="1"/>
    <xf numFmtId="3" fontId="12" fillId="3" borderId="8" xfId="5" applyNumberFormat="1" applyFont="1" applyFill="1" applyBorder="1" applyAlignment="1"/>
    <xf numFmtId="0" fontId="12" fillId="3" borderId="1" xfId="5" applyFont="1" applyFill="1" applyBorder="1" applyAlignment="1"/>
    <xf numFmtId="0" fontId="12" fillId="3" borderId="1" xfId="5" applyFont="1" applyFill="1" applyBorder="1" applyAlignment="1" applyProtection="1">
      <protection locked="0"/>
    </xf>
    <xf numFmtId="0" fontId="12" fillId="3" borderId="1" xfId="5" applyFont="1" applyFill="1" applyBorder="1"/>
    <xf numFmtId="0" fontId="12" fillId="3" borderId="1" xfId="5" applyFont="1" applyFill="1" applyBorder="1" applyAlignment="1">
      <alignment horizontal="center"/>
    </xf>
    <xf numFmtId="0" fontId="6" fillId="3" borderId="1" xfId="5" applyFont="1" applyFill="1" applyBorder="1"/>
    <xf numFmtId="0" fontId="6" fillId="3" borderId="9" xfId="5" applyFont="1" applyFill="1" applyBorder="1"/>
    <xf numFmtId="0" fontId="6" fillId="0" borderId="1" xfId="5" applyFont="1" applyFill="1" applyBorder="1" applyAlignment="1" applyProtection="1">
      <protection locked="0"/>
    </xf>
    <xf numFmtId="0" fontId="6" fillId="0" borderId="9" xfId="5" applyFont="1" applyFill="1" applyBorder="1"/>
    <xf numFmtId="0" fontId="6" fillId="0" borderId="1" xfId="5" applyFont="1" applyFill="1" applyBorder="1" applyAlignment="1">
      <alignment horizontal="center"/>
    </xf>
    <xf numFmtId="0" fontId="6" fillId="2" borderId="1" xfId="5" applyFont="1" applyFill="1" applyBorder="1" applyAlignment="1"/>
    <xf numFmtId="0" fontId="6" fillId="2" borderId="1" xfId="5" applyFont="1" applyFill="1" applyBorder="1"/>
    <xf numFmtId="3" fontId="12" fillId="3" borderId="1" xfId="5" applyNumberFormat="1" applyFont="1" applyFill="1" applyBorder="1" applyAlignment="1"/>
    <xf numFmtId="4" fontId="12" fillId="3" borderId="1" xfId="5" applyNumberFormat="1" applyFont="1" applyFill="1" applyBorder="1" applyAlignment="1"/>
    <xf numFmtId="4" fontId="12" fillId="3" borderId="10" xfId="5" applyNumberFormat="1" applyFont="1" applyFill="1" applyBorder="1" applyAlignment="1"/>
    <xf numFmtId="0" fontId="6" fillId="0" borderId="1" xfId="5" applyNumberFormat="1" applyFont="1" applyBorder="1" applyAlignment="1" applyProtection="1">
      <protection locked="0"/>
    </xf>
    <xf numFmtId="0" fontId="12" fillId="3" borderId="1" xfId="5" applyNumberFormat="1" applyFont="1" applyFill="1" applyBorder="1" applyAlignment="1" applyProtection="1">
      <protection locked="0"/>
    </xf>
    <xf numFmtId="0" fontId="6" fillId="0" borderId="1" xfId="5" applyFont="1" applyBorder="1" applyAlignment="1">
      <alignment wrapText="1"/>
    </xf>
    <xf numFmtId="0" fontId="6" fillId="0" borderId="1" xfId="5" applyFont="1" applyBorder="1" applyAlignment="1">
      <alignment horizontal="center" wrapText="1"/>
    </xf>
    <xf numFmtId="0" fontId="12" fillId="3" borderId="1" xfId="5" applyFont="1" applyFill="1" applyBorder="1" applyAlignment="1">
      <alignment horizontal="center" wrapText="1"/>
    </xf>
    <xf numFmtId="3" fontId="12" fillId="3" borderId="8" xfId="5" applyNumberFormat="1" applyFont="1" applyFill="1" applyBorder="1" applyAlignment="1">
      <alignment horizontal="right"/>
    </xf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12" fillId="3" borderId="22" xfId="5" applyFont="1" applyFill="1" applyBorder="1" applyAlignment="1"/>
    <xf numFmtId="0" fontId="12" fillId="3" borderId="22" xfId="5" applyNumberFormat="1" applyFont="1" applyFill="1" applyBorder="1" applyAlignment="1" applyProtection="1">
      <protection locked="0"/>
    </xf>
    <xf numFmtId="0" fontId="12" fillId="3" borderId="22" xfId="5" applyFont="1" applyFill="1" applyBorder="1"/>
    <xf numFmtId="0" fontId="12" fillId="3" borderId="22" xfId="5" applyFont="1" applyFill="1" applyBorder="1" applyAlignment="1">
      <alignment horizontal="center" wrapText="1"/>
    </xf>
    <xf numFmtId="0" fontId="6" fillId="3" borderId="22" xfId="5" applyFont="1" applyFill="1" applyBorder="1"/>
    <xf numFmtId="0" fontId="6" fillId="3" borderId="32" xfId="5" applyFont="1" applyFill="1" applyBorder="1"/>
    <xf numFmtId="0" fontId="25" fillId="0" borderId="0" xfId="5" applyFont="1" applyAlignment="1"/>
    <xf numFmtId="0" fontId="25" fillId="0" borderId="0" xfId="5" applyFont="1" applyAlignment="1">
      <alignment horizontal="center"/>
    </xf>
    <xf numFmtId="3" fontId="3" fillId="0" borderId="0" xfId="5" applyNumberFormat="1" applyAlignment="1">
      <alignment horizontal="center"/>
    </xf>
    <xf numFmtId="3" fontId="12" fillId="0" borderId="0" xfId="5" applyNumberFormat="1" applyFont="1" applyFill="1" applyBorder="1" applyAlignment="1">
      <alignment horizontal="center"/>
    </xf>
    <xf numFmtId="3" fontId="21" fillId="0" borderId="0" xfId="5" applyNumberFormat="1" applyFont="1" applyFill="1" applyBorder="1" applyAlignment="1">
      <alignment vertical="center"/>
    </xf>
    <xf numFmtId="4" fontId="12" fillId="0" borderId="0" xfId="5" applyNumberFormat="1" applyFont="1" applyFill="1" applyBorder="1" applyAlignment="1">
      <alignment vertical="center"/>
    </xf>
    <xf numFmtId="4" fontId="12" fillId="0" borderId="0" xfId="5" applyNumberFormat="1" applyFont="1" applyFill="1" applyBorder="1" applyAlignment="1">
      <alignment horizontal="center" vertical="center"/>
    </xf>
    <xf numFmtId="3" fontId="22" fillId="0" borderId="0" xfId="5" applyNumberFormat="1" applyFont="1" applyFill="1" applyBorder="1" applyAlignment="1">
      <alignment vertical="center" wrapText="1"/>
    </xf>
    <xf numFmtId="3" fontId="12" fillId="0" borderId="0" xfId="5" applyNumberFormat="1" applyFont="1" applyFill="1" applyBorder="1" applyAlignment="1">
      <alignment vertical="center" wrapText="1"/>
    </xf>
    <xf numFmtId="3" fontId="12" fillId="0" borderId="0" xfId="5" applyNumberFormat="1" applyFont="1" applyFill="1" applyBorder="1" applyAlignment="1">
      <alignment vertical="center"/>
    </xf>
    <xf numFmtId="3" fontId="21" fillId="0" borderId="0" xfId="5" applyNumberFormat="1" applyFont="1" applyFill="1" applyBorder="1" applyAlignment="1">
      <alignment horizontal="center" vertical="center"/>
    </xf>
    <xf numFmtId="0" fontId="35" fillId="0" borderId="0" xfId="5" applyFont="1" applyFill="1" applyAlignment="1">
      <alignment horizontal="center"/>
    </xf>
    <xf numFmtId="0" fontId="18" fillId="0" borderId="0" xfId="0" applyFont="1" applyAlignment="1">
      <alignment horizontal="center"/>
    </xf>
    <xf numFmtId="0" fontId="23" fillId="0" borderId="0" xfId="5" applyFont="1" applyAlignment="1">
      <alignment horizontal="center"/>
    </xf>
    <xf numFmtId="3" fontId="6" fillId="0" borderId="8" xfId="5" applyNumberFormat="1" applyFont="1" applyFill="1" applyBorder="1" applyAlignment="1">
      <alignment horizontal="center"/>
    </xf>
    <xf numFmtId="3" fontId="12" fillId="3" borderId="8" xfId="5" applyNumberFormat="1" applyFont="1" applyFill="1" applyBorder="1" applyAlignment="1">
      <alignment horizontal="center"/>
    </xf>
    <xf numFmtId="3" fontId="12" fillId="3" borderId="28" xfId="5" applyNumberFormat="1" applyFont="1" applyFill="1" applyBorder="1" applyAlignment="1">
      <alignment horizontal="center"/>
    </xf>
    <xf numFmtId="0" fontId="35" fillId="0" borderId="18" xfId="5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0" fillId="0" borderId="0" xfId="5" applyFont="1"/>
    <xf numFmtId="0" fontId="5" fillId="0" borderId="5" xfId="5" applyFont="1" applyFill="1" applyBorder="1" applyAlignment="1">
      <alignment horizontal="center"/>
    </xf>
    <xf numFmtId="0" fontId="5" fillId="0" borderId="5" xfId="5" applyFont="1" applyFill="1" applyBorder="1" applyAlignment="1">
      <alignment horizontal="right"/>
    </xf>
    <xf numFmtId="0" fontId="5" fillId="0" borderId="5" xfId="5" applyFont="1" applyFill="1" applyBorder="1" applyAlignment="1" applyProtection="1">
      <alignment horizontal="right"/>
      <protection locked="0"/>
    </xf>
    <xf numFmtId="0" fontId="5" fillId="0" borderId="5" xfId="5" applyFont="1" applyFill="1" applyBorder="1" applyAlignment="1"/>
    <xf numFmtId="0" fontId="5" fillId="0" borderId="6" xfId="5" applyFont="1" applyFill="1" applyBorder="1" applyAlignment="1"/>
    <xf numFmtId="3" fontId="6" fillId="0" borderId="5" xfId="5" applyNumberFormat="1" applyFont="1" applyFill="1" applyBorder="1"/>
    <xf numFmtId="4" fontId="6" fillId="0" borderId="5" xfId="5" applyNumberFormat="1" applyFont="1" applyFill="1" applyBorder="1"/>
    <xf numFmtId="3" fontId="6" fillId="0" borderId="4" xfId="5" applyNumberFormat="1" applyFont="1" applyFill="1" applyBorder="1" applyAlignment="1">
      <alignment horizontal="center"/>
    </xf>
    <xf numFmtId="0" fontId="6" fillId="0" borderId="5" xfId="5" applyFont="1" applyBorder="1" applyAlignment="1"/>
    <xf numFmtId="0" fontId="6" fillId="0" borderId="5" xfId="5" applyFont="1" applyBorder="1" applyAlignment="1" applyProtection="1">
      <protection locked="0"/>
    </xf>
    <xf numFmtId="0" fontId="6" fillId="0" borderId="5" xfId="5" applyFont="1" applyFill="1" applyBorder="1" applyAlignment="1"/>
    <xf numFmtId="0" fontId="6" fillId="0" borderId="5" xfId="5" applyFont="1" applyBorder="1"/>
    <xf numFmtId="0" fontId="6" fillId="0" borderId="5" xfId="5" applyFont="1" applyBorder="1" applyAlignment="1">
      <alignment horizontal="center"/>
    </xf>
    <xf numFmtId="0" fontId="6" fillId="0" borderId="5" xfId="5" applyFont="1" applyFill="1" applyBorder="1"/>
    <xf numFmtId="0" fontId="6" fillId="0" borderId="6" xfId="5" applyFont="1" applyFill="1" applyBorder="1" applyAlignment="1"/>
    <xf numFmtId="0" fontId="20" fillId="8" borderId="17" xfId="5" applyFont="1" applyFill="1" applyBorder="1" applyAlignment="1">
      <alignment horizontal="center"/>
    </xf>
    <xf numFmtId="0" fontId="20" fillId="8" borderId="18" xfId="5" applyFont="1" applyFill="1" applyBorder="1" applyAlignment="1">
      <alignment horizontal="center"/>
    </xf>
    <xf numFmtId="0" fontId="20" fillId="8" borderId="20" xfId="5" applyFont="1" applyFill="1" applyBorder="1" applyAlignment="1">
      <alignment horizontal="center"/>
    </xf>
    <xf numFmtId="3" fontId="20" fillId="8" borderId="17" xfId="5" applyNumberFormat="1" applyFont="1" applyFill="1" applyBorder="1" applyAlignment="1">
      <alignment horizontal="center"/>
    </xf>
    <xf numFmtId="3" fontId="20" fillId="8" borderId="18" xfId="5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left"/>
    </xf>
    <xf numFmtId="0" fontId="12" fillId="0" borderId="69" xfId="0" applyFont="1" applyBorder="1" applyAlignment="1">
      <alignment horizontal="left"/>
    </xf>
    <xf numFmtId="0" fontId="12" fillId="0" borderId="47" xfId="0" applyFont="1" applyBorder="1" applyAlignment="1">
      <alignment horizontal="left"/>
    </xf>
    <xf numFmtId="3" fontId="13" fillId="4" borderId="17" xfId="0" applyNumberFormat="1" applyFont="1" applyFill="1" applyBorder="1"/>
    <xf numFmtId="3" fontId="20" fillId="8" borderId="35" xfId="5" applyNumberFormat="1" applyFont="1" applyFill="1" applyBorder="1" applyAlignment="1">
      <alignment horizontal="center"/>
    </xf>
    <xf numFmtId="3" fontId="20" fillId="8" borderId="36" xfId="5" applyNumberFormat="1" applyFont="1" applyFill="1" applyBorder="1" applyAlignment="1">
      <alignment horizontal="center"/>
    </xf>
    <xf numFmtId="4" fontId="20" fillId="8" borderId="36" xfId="5" applyNumberFormat="1" applyFont="1" applyFill="1" applyBorder="1" applyAlignment="1">
      <alignment horizontal="center"/>
    </xf>
    <xf numFmtId="4" fontId="20" fillId="8" borderId="38" xfId="5" applyNumberFormat="1" applyFont="1" applyFill="1" applyBorder="1" applyAlignment="1">
      <alignment horizontal="center"/>
    </xf>
    <xf numFmtId="3" fontId="12" fillId="0" borderId="0" xfId="5" applyNumberFormat="1" applyFont="1" applyFill="1" applyBorder="1"/>
    <xf numFmtId="3" fontId="6" fillId="0" borderId="0" xfId="5" applyNumberFormat="1" applyFont="1" applyFill="1" applyBorder="1"/>
    <xf numFmtId="3" fontId="5" fillId="0" borderId="0" xfId="5" applyNumberFormat="1" applyFont="1" applyBorder="1"/>
    <xf numFmtId="3" fontId="6" fillId="0" borderId="26" xfId="5" applyNumberFormat="1" applyFont="1" applyFill="1" applyBorder="1"/>
    <xf numFmtId="3" fontId="5" fillId="0" borderId="26" xfId="5" applyNumberFormat="1" applyFont="1" applyBorder="1"/>
    <xf numFmtId="4" fontId="6" fillId="0" borderId="26" xfId="5" applyNumberFormat="1" applyFont="1" applyFill="1" applyBorder="1"/>
    <xf numFmtId="4" fontId="6" fillId="0" borderId="27" xfId="5" applyNumberFormat="1" applyFont="1" applyFill="1" applyBorder="1"/>
    <xf numFmtId="4" fontId="21" fillId="0" borderId="0" xfId="5" applyNumberFormat="1" applyFont="1" applyFill="1" applyBorder="1" applyAlignment="1">
      <alignment vertical="center"/>
    </xf>
    <xf numFmtId="4" fontId="19" fillId="0" borderId="12" xfId="0" applyNumberFormat="1" applyFont="1" applyBorder="1"/>
    <xf numFmtId="3" fontId="19" fillId="0" borderId="5" xfId="0" applyNumberFormat="1" applyFont="1" applyBorder="1"/>
    <xf numFmtId="4" fontId="19" fillId="0" borderId="5" xfId="0" applyNumberFormat="1" applyFont="1" applyBorder="1"/>
    <xf numFmtId="0" fontId="12" fillId="0" borderId="44" xfId="0" applyFont="1" applyBorder="1" applyAlignment="1">
      <alignment horizontal="left"/>
    </xf>
    <xf numFmtId="4" fontId="13" fillId="4" borderId="20" xfId="0" applyNumberFormat="1" applyFont="1" applyFill="1" applyBorder="1"/>
    <xf numFmtId="3" fontId="13" fillId="4" borderId="24" xfId="0" applyNumberFormat="1" applyFont="1" applyFill="1" applyBorder="1"/>
    <xf numFmtId="3" fontId="19" fillId="0" borderId="45" xfId="0" applyNumberFormat="1" applyFont="1" applyBorder="1"/>
    <xf numFmtId="0" fontId="12" fillId="0" borderId="16" xfId="0" applyFont="1" applyBorder="1" applyAlignment="1">
      <alignment horizontal="left"/>
    </xf>
    <xf numFmtId="3" fontId="10" fillId="3" borderId="31" xfId="2" applyNumberFormat="1" applyFont="1" applyFill="1" applyBorder="1"/>
    <xf numFmtId="4" fontId="11" fillId="3" borderId="22" xfId="0" applyNumberFormat="1" applyFont="1" applyFill="1" applyBorder="1" applyAlignment="1">
      <alignment horizontal="right"/>
    </xf>
    <xf numFmtId="4" fontId="11" fillId="3" borderId="29" xfId="0" applyNumberFormat="1" applyFont="1" applyFill="1" applyBorder="1" applyAlignment="1">
      <alignment horizontal="right"/>
    </xf>
    <xf numFmtId="3" fontId="11" fillId="3" borderId="30" xfId="0" applyNumberFormat="1" applyFont="1" applyFill="1" applyBorder="1"/>
    <xf numFmtId="3" fontId="11" fillId="3" borderId="30" xfId="0" applyNumberFormat="1" applyFont="1" applyFill="1" applyBorder="1" applyAlignment="1">
      <alignment horizontal="right"/>
    </xf>
    <xf numFmtId="3" fontId="11" fillId="3" borderId="31" xfId="0" applyNumberFormat="1" applyFont="1" applyFill="1" applyBorder="1"/>
    <xf numFmtId="0" fontId="11" fillId="3" borderId="1" xfId="2" applyFont="1" applyFill="1" applyBorder="1" applyAlignment="1">
      <alignment horizontal="center"/>
    </xf>
    <xf numFmtId="0" fontId="10" fillId="3" borderId="8" xfId="2" applyFont="1" applyFill="1" applyBorder="1" applyAlignment="1">
      <alignment horizontal="center"/>
    </xf>
    <xf numFmtId="3" fontId="11" fillId="3" borderId="31" xfId="0" applyNumberFormat="1" applyFont="1" applyFill="1" applyBorder="1" applyAlignment="1">
      <alignment horizontal="right"/>
    </xf>
    <xf numFmtId="0" fontId="11" fillId="3" borderId="1" xfId="0" applyFont="1" applyFill="1" applyBorder="1" applyAlignment="1">
      <alignment horizontal="left"/>
    </xf>
    <xf numFmtId="0" fontId="11" fillId="3" borderId="8" xfId="0" applyFont="1" applyFill="1" applyBorder="1" applyAlignment="1">
      <alignment horizontal="center"/>
    </xf>
    <xf numFmtId="0" fontId="10" fillId="3" borderId="28" xfId="2" applyFont="1" applyFill="1" applyBorder="1" applyAlignment="1">
      <alignment horizontal="center"/>
    </xf>
    <xf numFmtId="0" fontId="10" fillId="3" borderId="22" xfId="2" applyFont="1" applyFill="1" applyBorder="1" applyAlignment="1">
      <alignment horizontal="center"/>
    </xf>
    <xf numFmtId="0" fontId="11" fillId="3" borderId="22" xfId="2" applyFont="1" applyFill="1" applyBorder="1" applyAlignment="1">
      <alignment horizontal="center"/>
    </xf>
    <xf numFmtId="0" fontId="11" fillId="3" borderId="28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left"/>
    </xf>
    <xf numFmtId="0" fontId="11" fillId="4" borderId="17" xfId="0" applyFont="1" applyFill="1" applyBorder="1" applyAlignment="1">
      <alignment horizontal="center"/>
    </xf>
    <xf numFmtId="0" fontId="11" fillId="4" borderId="18" xfId="0" applyFont="1" applyFill="1" applyBorder="1" applyAlignment="1">
      <alignment horizontal="left"/>
    </xf>
    <xf numFmtId="0" fontId="10" fillId="2" borderId="36" xfId="2" applyFont="1" applyFill="1" applyBorder="1" applyAlignment="1">
      <alignment horizontal="center" vertical="center"/>
    </xf>
    <xf numFmtId="0" fontId="11" fillId="3" borderId="1" xfId="0" applyFont="1" applyFill="1" applyBorder="1"/>
    <xf numFmtId="3" fontId="11" fillId="4" borderId="24" xfId="0" applyNumberFormat="1" applyFont="1" applyFill="1" applyBorder="1"/>
    <xf numFmtId="0" fontId="7" fillId="0" borderId="1" xfId="0" applyFont="1" applyFill="1" applyBorder="1" applyAlignment="1">
      <alignment horizontal="left"/>
    </xf>
    <xf numFmtId="0" fontId="11" fillId="3" borderId="22" xfId="4" applyFont="1" applyFill="1" applyBorder="1" applyAlignment="1">
      <alignment horizontal="center"/>
    </xf>
    <xf numFmtId="3" fontId="35" fillId="0" borderId="0" xfId="5" applyNumberFormat="1" applyFont="1" applyBorder="1"/>
    <xf numFmtId="3" fontId="5" fillId="0" borderId="5" xfId="5" applyNumberFormat="1" applyFont="1" applyBorder="1"/>
    <xf numFmtId="4" fontId="22" fillId="0" borderId="22" xfId="0" applyNumberFormat="1" applyFont="1" applyFill="1" applyBorder="1" applyAlignment="1">
      <alignment horizontal="center" vertical="center" wrapText="1"/>
    </xf>
    <xf numFmtId="3" fontId="6" fillId="0" borderId="4" xfId="0" applyNumberFormat="1" applyFont="1" applyBorder="1"/>
    <xf numFmtId="3" fontId="6" fillId="0" borderId="5" xfId="0" applyNumberFormat="1" applyFont="1" applyBorder="1"/>
    <xf numFmtId="4" fontId="6" fillId="0" borderId="5" xfId="0" applyNumberFormat="1" applyFont="1" applyBorder="1"/>
    <xf numFmtId="4" fontId="6" fillId="0" borderId="7" xfId="0" applyNumberFormat="1" applyFont="1" applyBorder="1"/>
    <xf numFmtId="3" fontId="6" fillId="0" borderId="40" xfId="0" applyNumberFormat="1" applyFont="1" applyBorder="1"/>
    <xf numFmtId="4" fontId="6" fillId="0" borderId="6" xfId="0" applyNumberFormat="1" applyFont="1" applyBorder="1"/>
    <xf numFmtId="3" fontId="6" fillId="0" borderId="8" xfId="0" applyNumberFormat="1" applyFont="1" applyBorder="1"/>
    <xf numFmtId="3" fontId="6" fillId="0" borderId="1" xfId="0" applyNumberFormat="1" applyFont="1" applyBorder="1"/>
    <xf numFmtId="4" fontId="6" fillId="0" borderId="1" xfId="0" applyNumberFormat="1" applyFont="1" applyBorder="1"/>
    <xf numFmtId="4" fontId="6" fillId="0" borderId="10" xfId="0" applyNumberFormat="1" applyFont="1" applyBorder="1"/>
    <xf numFmtId="3" fontId="6" fillId="0" borderId="30" xfId="0" applyNumberFormat="1" applyFont="1" applyBorder="1"/>
    <xf numFmtId="4" fontId="6" fillId="0" borderId="9" xfId="0" applyNumberFormat="1" applyFont="1" applyBorder="1"/>
    <xf numFmtId="3" fontId="6" fillId="0" borderId="11" xfId="0" applyNumberFormat="1" applyFont="1" applyBorder="1"/>
    <xf numFmtId="3" fontId="6" fillId="0" borderId="12" xfId="0" applyNumberFormat="1" applyFont="1" applyBorder="1"/>
    <xf numFmtId="4" fontId="6" fillId="0" borderId="12" xfId="0" applyNumberFormat="1" applyFont="1" applyBorder="1"/>
    <xf numFmtId="4" fontId="6" fillId="0" borderId="14" xfId="0" applyNumberFormat="1" applyFont="1" applyBorder="1"/>
    <xf numFmtId="3" fontId="6" fillId="0" borderId="45" xfId="0" applyNumberFormat="1" applyFont="1" applyBorder="1"/>
    <xf numFmtId="4" fontId="6" fillId="0" borderId="13" xfId="0" applyNumberFormat="1" applyFont="1" applyBorder="1"/>
    <xf numFmtId="4" fontId="34" fillId="0" borderId="0" xfId="5" applyNumberFormat="1" applyFont="1" applyAlignment="1">
      <alignment horizontal="right"/>
    </xf>
    <xf numFmtId="4" fontId="22" fillId="0" borderId="32" xfId="0" applyNumberFormat="1" applyFont="1" applyFill="1" applyBorder="1" applyAlignment="1">
      <alignment horizontal="center" vertical="center" wrapText="1"/>
    </xf>
    <xf numFmtId="0" fontId="13" fillId="0" borderId="70" xfId="0" applyFont="1" applyBorder="1" applyAlignment="1"/>
    <xf numFmtId="0" fontId="13" fillId="0" borderId="3" xfId="0" applyFont="1" applyBorder="1" applyAlignment="1"/>
    <xf numFmtId="0" fontId="13" fillId="0" borderId="16" xfId="0" applyFont="1" applyBorder="1" applyAlignment="1"/>
    <xf numFmtId="0" fontId="13" fillId="0" borderId="43" xfId="0" applyFont="1" applyBorder="1" applyAlignment="1"/>
    <xf numFmtId="3" fontId="11" fillId="3" borderId="30" xfId="5" applyNumberFormat="1" applyFont="1" applyFill="1" applyBorder="1" applyAlignment="1"/>
    <xf numFmtId="3" fontId="11" fillId="3" borderId="30" xfId="5" applyNumberFormat="1" applyFont="1" applyFill="1" applyBorder="1" applyAlignment="1">
      <alignment horizontal="right"/>
    </xf>
    <xf numFmtId="3" fontId="35" fillId="3" borderId="30" xfId="5" applyNumberFormat="1" applyFont="1" applyFill="1" applyBorder="1" applyAlignment="1"/>
    <xf numFmtId="4" fontId="22" fillId="0" borderId="29" xfId="0" applyNumberFormat="1" applyFont="1" applyFill="1" applyBorder="1" applyAlignment="1">
      <alignment horizontal="center" vertical="center" wrapText="1"/>
    </xf>
    <xf numFmtId="4" fontId="21" fillId="0" borderId="0" xfId="5" applyNumberFormat="1" applyFont="1" applyFill="1" applyBorder="1" applyAlignment="1">
      <alignment horizontal="center" vertical="center"/>
    </xf>
    <xf numFmtId="4" fontId="20" fillId="8" borderId="61" xfId="5" applyNumberFormat="1" applyFont="1" applyFill="1" applyBorder="1" applyAlignment="1">
      <alignment horizontal="center"/>
    </xf>
    <xf numFmtId="4" fontId="20" fillId="8" borderId="37" xfId="5" applyNumberFormat="1" applyFont="1" applyFill="1" applyBorder="1" applyAlignment="1">
      <alignment horizontal="center"/>
    </xf>
    <xf numFmtId="4" fontId="25" fillId="0" borderId="1" xfId="5" applyNumberFormat="1" applyFont="1" applyFill="1" applyBorder="1" applyAlignment="1"/>
    <xf numFmtId="3" fontId="34" fillId="0" borderId="25" xfId="5" applyNumberFormat="1" applyFont="1" applyBorder="1" applyAlignment="1"/>
    <xf numFmtId="3" fontId="34" fillId="0" borderId="26" xfId="5" applyNumberFormat="1" applyFont="1" applyFill="1" applyBorder="1" applyAlignment="1"/>
    <xf numFmtId="4" fontId="25" fillId="0" borderId="26" xfId="5" applyNumberFormat="1" applyFont="1" applyFill="1" applyBorder="1" applyAlignment="1"/>
    <xf numFmtId="3" fontId="12" fillId="3" borderId="28" xfId="5" applyNumberFormat="1" applyFont="1" applyFill="1" applyBorder="1" applyAlignment="1"/>
    <xf numFmtId="3" fontId="12" fillId="3" borderId="22" xfId="5" applyNumberFormat="1" applyFont="1" applyFill="1" applyBorder="1" applyAlignment="1"/>
    <xf numFmtId="4" fontId="12" fillId="3" borderId="22" xfId="5" applyNumberFormat="1" applyFont="1" applyFill="1" applyBorder="1" applyAlignment="1"/>
    <xf numFmtId="4" fontId="12" fillId="3" borderId="29" xfId="5" applyNumberFormat="1" applyFont="1" applyFill="1" applyBorder="1" applyAlignment="1"/>
    <xf numFmtId="3" fontId="12" fillId="3" borderId="30" xfId="5" applyNumberFormat="1" applyFont="1" applyFill="1" applyBorder="1" applyAlignment="1"/>
    <xf numFmtId="3" fontId="12" fillId="3" borderId="30" xfId="5" applyNumberFormat="1" applyFont="1" applyFill="1" applyBorder="1" applyAlignment="1">
      <alignment horizontal="right"/>
    </xf>
    <xf numFmtId="3" fontId="12" fillId="3" borderId="31" xfId="5" applyNumberFormat="1" applyFont="1" applyFill="1" applyBorder="1" applyAlignment="1"/>
    <xf numFmtId="3" fontId="12" fillId="6" borderId="17" xfId="5" applyNumberFormat="1" applyFont="1" applyFill="1" applyBorder="1" applyAlignment="1"/>
    <xf numFmtId="3" fontId="12" fillId="6" borderId="18" xfId="5" applyNumberFormat="1" applyFont="1" applyFill="1" applyBorder="1" applyAlignment="1"/>
    <xf numFmtId="4" fontId="12" fillId="6" borderId="18" xfId="5" applyNumberFormat="1" applyFont="1" applyFill="1" applyBorder="1" applyAlignment="1"/>
    <xf numFmtId="4" fontId="12" fillId="6" borderId="19" xfId="5" applyNumberFormat="1" applyFont="1" applyFill="1" applyBorder="1" applyAlignment="1"/>
    <xf numFmtId="3" fontId="12" fillId="6" borderId="24" xfId="5" applyNumberFormat="1" applyFont="1" applyFill="1" applyBorder="1" applyAlignment="1"/>
    <xf numFmtId="3" fontId="13" fillId="4" borderId="17" xfId="0" applyNumberFormat="1" applyFont="1" applyFill="1" applyBorder="1" applyAlignment="1"/>
    <xf numFmtId="3" fontId="13" fillId="4" borderId="18" xfId="0" applyNumberFormat="1" applyFont="1" applyFill="1" applyBorder="1" applyAlignment="1"/>
    <xf numFmtId="4" fontId="13" fillId="4" borderId="18" xfId="0" applyNumberFormat="1" applyFont="1" applyFill="1" applyBorder="1" applyAlignment="1"/>
    <xf numFmtId="3" fontId="13" fillId="4" borderId="24" xfId="0" applyNumberFormat="1" applyFont="1" applyFill="1" applyBorder="1" applyAlignment="1"/>
    <xf numFmtId="3" fontId="19" fillId="0" borderId="4" xfId="0" applyNumberFormat="1" applyFont="1" applyBorder="1" applyAlignment="1"/>
    <xf numFmtId="3" fontId="19" fillId="0" borderId="5" xfId="0" applyNumberFormat="1" applyFont="1" applyBorder="1" applyAlignment="1"/>
    <xf numFmtId="4" fontId="19" fillId="0" borderId="5" xfId="0" applyNumberFormat="1" applyFont="1" applyBorder="1" applyAlignment="1"/>
    <xf numFmtId="3" fontId="19" fillId="0" borderId="40" xfId="0" applyNumberFormat="1" applyFont="1" applyBorder="1" applyAlignment="1"/>
    <xf numFmtId="3" fontId="19" fillId="0" borderId="8" xfId="0" applyNumberFormat="1" applyFont="1" applyBorder="1" applyAlignment="1"/>
    <xf numFmtId="3" fontId="19" fillId="0" borderId="1" xfId="0" applyNumberFormat="1" applyFont="1" applyBorder="1" applyAlignment="1"/>
    <xf numFmtId="4" fontId="19" fillId="0" borderId="1" xfId="0" applyNumberFormat="1" applyFont="1" applyBorder="1" applyAlignment="1"/>
    <xf numFmtId="3" fontId="19" fillId="0" borderId="30" xfId="0" applyNumberFormat="1" applyFont="1" applyBorder="1" applyAlignment="1"/>
    <xf numFmtId="3" fontId="19" fillId="0" borderId="11" xfId="0" applyNumberFormat="1" applyFont="1" applyBorder="1" applyAlignment="1"/>
    <xf numFmtId="3" fontId="19" fillId="0" borderId="12" xfId="0" applyNumberFormat="1" applyFont="1" applyBorder="1" applyAlignment="1"/>
    <xf numFmtId="4" fontId="19" fillId="0" borderId="12" xfId="0" applyNumberFormat="1" applyFont="1" applyBorder="1" applyAlignment="1"/>
    <xf numFmtId="3" fontId="19" fillId="0" borderId="45" xfId="0" applyNumberFormat="1" applyFont="1" applyBorder="1" applyAlignment="1"/>
    <xf numFmtId="3" fontId="3" fillId="0" borderId="0" xfId="5" applyNumberFormat="1" applyAlignment="1"/>
    <xf numFmtId="4" fontId="3" fillId="0" borderId="0" xfId="5" applyNumberFormat="1" applyAlignment="1"/>
    <xf numFmtId="4" fontId="12" fillId="3" borderId="9" xfId="5" applyNumberFormat="1" applyFont="1" applyFill="1" applyBorder="1" applyAlignment="1"/>
    <xf numFmtId="4" fontId="12" fillId="3" borderId="9" xfId="5" applyNumberFormat="1" applyFont="1" applyFill="1" applyBorder="1" applyAlignment="1">
      <alignment horizontal="right"/>
    </xf>
    <xf numFmtId="4" fontId="12" fillId="3" borderId="32" xfId="5" applyNumberFormat="1" applyFont="1" applyFill="1" applyBorder="1" applyAlignment="1"/>
    <xf numFmtId="4" fontId="13" fillId="4" borderId="52" xfId="0" applyNumberFormat="1" applyFont="1" applyFill="1" applyBorder="1" applyAlignment="1"/>
    <xf numFmtId="3" fontId="6" fillId="0" borderId="40" xfId="5" applyNumberFormat="1" applyFont="1" applyFill="1" applyBorder="1"/>
    <xf numFmtId="4" fontId="34" fillId="0" borderId="0" xfId="5" applyNumberFormat="1" applyFont="1" applyFill="1" applyAlignment="1">
      <alignment horizontal="center"/>
    </xf>
    <xf numFmtId="4" fontId="34" fillId="0" borderId="26" xfId="5" applyNumberFormat="1" applyFont="1" applyFill="1" applyBorder="1" applyAlignment="1"/>
    <xf numFmtId="4" fontId="34" fillId="0" borderId="1" xfId="5" applyNumberFormat="1" applyFont="1" applyFill="1" applyBorder="1" applyAlignment="1"/>
    <xf numFmtId="4" fontId="10" fillId="3" borderId="30" xfId="2" applyNumberFormat="1" applyFont="1" applyFill="1" applyBorder="1"/>
    <xf numFmtId="4" fontId="10" fillId="3" borderId="9" xfId="2" applyNumberFormat="1" applyFont="1" applyFill="1" applyBorder="1"/>
    <xf numFmtId="4" fontId="10" fillId="4" borderId="24" xfId="2" applyNumberFormat="1" applyFont="1" applyFill="1" applyBorder="1"/>
    <xf numFmtId="4" fontId="10" fillId="4" borderId="20" xfId="2" applyNumberFormat="1" applyFont="1" applyFill="1" applyBorder="1"/>
    <xf numFmtId="3" fontId="6" fillId="0" borderId="8" xfId="0" applyNumberFormat="1" applyFont="1" applyFill="1" applyBorder="1"/>
    <xf numFmtId="3" fontId="6" fillId="0" borderId="11" xfId="0" applyNumberFormat="1" applyFont="1" applyFill="1" applyBorder="1"/>
    <xf numFmtId="3" fontId="6" fillId="0" borderId="12" xfId="0" applyNumberFormat="1" applyFont="1" applyFill="1" applyBorder="1"/>
    <xf numFmtId="4" fontId="6" fillId="0" borderId="12" xfId="0" applyNumberFormat="1" applyFont="1" applyFill="1" applyBorder="1"/>
    <xf numFmtId="4" fontId="6" fillId="0" borderId="14" xfId="0" applyNumberFormat="1" applyFont="1" applyFill="1" applyBorder="1"/>
    <xf numFmtId="0" fontId="17" fillId="0" borderId="0" xfId="0" applyFont="1" applyAlignment="1">
      <alignment horizontal="left"/>
    </xf>
    <xf numFmtId="3" fontId="6" fillId="0" borderId="25" xfId="5" applyNumberFormat="1" applyFont="1" applyFill="1" applyBorder="1"/>
    <xf numFmtId="4" fontId="6" fillId="0" borderId="34" xfId="5" applyNumberFormat="1" applyFont="1" applyFill="1" applyBorder="1"/>
    <xf numFmtId="4" fontId="6" fillId="0" borderId="9" xfId="5" applyNumberFormat="1" applyFont="1" applyFill="1" applyBorder="1"/>
    <xf numFmtId="4" fontId="19" fillId="0" borderId="33" xfId="0" applyNumberFormat="1" applyFont="1" applyBorder="1"/>
    <xf numFmtId="4" fontId="19" fillId="0" borderId="75" xfId="0" applyNumberFormat="1" applyFont="1" applyBorder="1"/>
    <xf numFmtId="4" fontId="19" fillId="0" borderId="76" xfId="0" applyNumberFormat="1" applyFont="1" applyBorder="1"/>
    <xf numFmtId="4" fontId="35" fillId="0" borderId="60" xfId="5" applyNumberFormat="1" applyFont="1" applyBorder="1" applyAlignment="1"/>
    <xf numFmtId="3" fontId="12" fillId="0" borderId="60" xfId="5" applyNumberFormat="1" applyFont="1" applyFill="1" applyBorder="1"/>
    <xf numFmtId="3" fontId="6" fillId="0" borderId="60" xfId="5" applyNumberFormat="1" applyFont="1" applyFill="1" applyBorder="1"/>
    <xf numFmtId="3" fontId="5" fillId="0" borderId="60" xfId="5" applyNumberFormat="1" applyFont="1" applyBorder="1"/>
    <xf numFmtId="4" fontId="6" fillId="0" borderId="60" xfId="5" applyNumberFormat="1" applyFont="1" applyFill="1" applyBorder="1"/>
    <xf numFmtId="4" fontId="12" fillId="0" borderId="60" xfId="5" applyNumberFormat="1" applyFont="1" applyFill="1" applyBorder="1"/>
    <xf numFmtId="3" fontId="35" fillId="0" borderId="60" xfId="5" applyNumberFormat="1" applyFont="1" applyBorder="1"/>
    <xf numFmtId="0" fontId="34" fillId="0" borderId="60" xfId="5" applyFont="1" applyBorder="1"/>
    <xf numFmtId="3" fontId="12" fillId="0" borderId="50" xfId="5" applyNumberFormat="1" applyFont="1" applyFill="1" applyBorder="1"/>
    <xf numFmtId="3" fontId="6" fillId="0" borderId="50" xfId="5" applyNumberFormat="1" applyFont="1" applyFill="1" applyBorder="1"/>
    <xf numFmtId="3" fontId="5" fillId="0" borderId="50" xfId="5" applyNumberFormat="1" applyFont="1" applyBorder="1"/>
    <xf numFmtId="4" fontId="6" fillId="0" borderId="50" xfId="5" applyNumberFormat="1" applyFont="1" applyFill="1" applyBorder="1"/>
    <xf numFmtId="4" fontId="12" fillId="0" borderId="50" xfId="5" applyNumberFormat="1" applyFont="1" applyFill="1" applyBorder="1"/>
    <xf numFmtId="4" fontId="35" fillId="0" borderId="50" xfId="5" applyNumberFormat="1" applyFont="1" applyBorder="1"/>
    <xf numFmtId="4" fontId="19" fillId="0" borderId="42" xfId="0" applyNumberFormat="1" applyFont="1" applyBorder="1"/>
    <xf numFmtId="4" fontId="19" fillId="0" borderId="53" xfId="0" applyNumberFormat="1" applyFont="1" applyBorder="1"/>
    <xf numFmtId="4" fontId="19" fillId="0" borderId="65" xfId="0" applyNumberFormat="1" applyFont="1" applyBorder="1"/>
    <xf numFmtId="3" fontId="13" fillId="4" borderId="48" xfId="0" applyNumberFormat="1" applyFont="1" applyFill="1" applyBorder="1"/>
    <xf numFmtId="3" fontId="13" fillId="4" borderId="52" xfId="0" applyNumberFormat="1" applyFont="1" applyFill="1" applyBorder="1"/>
    <xf numFmtId="4" fontId="13" fillId="4" borderId="52" xfId="0" applyNumberFormat="1" applyFont="1" applyFill="1" applyBorder="1"/>
    <xf numFmtId="4" fontId="13" fillId="4" borderId="50" xfId="0" applyNumberFormat="1" applyFont="1" applyFill="1" applyBorder="1"/>
    <xf numFmtId="3" fontId="13" fillId="4" borderId="41" xfId="0" applyNumberFormat="1" applyFont="1" applyFill="1" applyBorder="1"/>
    <xf numFmtId="4" fontId="13" fillId="4" borderId="49" xfId="0" applyNumberFormat="1" applyFont="1" applyFill="1" applyBorder="1"/>
    <xf numFmtId="4" fontId="35" fillId="0" borderId="60" xfId="5" applyNumberFormat="1" applyFont="1" applyBorder="1"/>
    <xf numFmtId="4" fontId="35" fillId="0" borderId="50" xfId="5" applyNumberFormat="1" applyFont="1" applyBorder="1" applyAlignment="1"/>
    <xf numFmtId="3" fontId="35" fillId="0" borderId="50" xfId="5" applyNumberFormat="1" applyFont="1" applyBorder="1"/>
    <xf numFmtId="0" fontId="34" fillId="0" borderId="50" xfId="5" applyFont="1" applyBorder="1"/>
    <xf numFmtId="4" fontId="6" fillId="0" borderId="6" xfId="5" applyNumberFormat="1" applyFont="1" applyFill="1" applyBorder="1"/>
    <xf numFmtId="4" fontId="13" fillId="4" borderId="21" xfId="0" applyNumberFormat="1" applyFont="1" applyFill="1" applyBorder="1" applyAlignment="1"/>
    <xf numFmtId="4" fontId="19" fillId="0" borderId="33" xfId="0" applyNumberFormat="1" applyFont="1" applyBorder="1" applyAlignment="1"/>
    <xf numFmtId="4" fontId="19" fillId="0" borderId="75" xfId="0" applyNumberFormat="1" applyFont="1" applyBorder="1" applyAlignment="1"/>
    <xf numFmtId="4" fontId="19" fillId="0" borderId="76" xfId="0" applyNumberFormat="1" applyFont="1" applyBorder="1" applyAlignment="1"/>
    <xf numFmtId="4" fontId="34" fillId="0" borderId="10" xfId="5" applyNumberFormat="1" applyFont="1" applyFill="1" applyBorder="1" applyAlignment="1"/>
    <xf numFmtId="4" fontId="34" fillId="0" borderId="27" xfId="5" applyNumberFormat="1" applyFont="1" applyFill="1" applyBorder="1" applyAlignment="1"/>
    <xf numFmtId="3" fontId="6" fillId="0" borderId="51" xfId="5" applyNumberFormat="1" applyFont="1" applyFill="1" applyBorder="1"/>
    <xf numFmtId="4" fontId="13" fillId="4" borderId="46" xfId="0" applyNumberFormat="1" applyFont="1" applyFill="1" applyBorder="1"/>
    <xf numFmtId="4" fontId="6" fillId="0" borderId="42" xfId="0" applyNumberFormat="1" applyFont="1" applyBorder="1"/>
    <xf numFmtId="4" fontId="6" fillId="0" borderId="53" xfId="0" applyNumberFormat="1" applyFont="1" applyBorder="1"/>
    <xf numFmtId="4" fontId="6" fillId="0" borderId="65" xfId="0" applyNumberFormat="1" applyFont="1" applyBorder="1"/>
    <xf numFmtId="4" fontId="6" fillId="0" borderId="40" xfId="0" applyNumberFormat="1" applyFont="1" applyBorder="1"/>
    <xf numFmtId="4" fontId="6" fillId="0" borderId="30" xfId="0" applyNumberFormat="1" applyFont="1" applyBorder="1"/>
    <xf numFmtId="4" fontId="6" fillId="0" borderId="45" xfId="0" applyNumberFormat="1" applyFont="1" applyBorder="1"/>
    <xf numFmtId="0" fontId="30" fillId="3" borderId="9" xfId="4" applyFont="1" applyFill="1" applyBorder="1" applyAlignment="1">
      <alignment horizontal="left"/>
    </xf>
    <xf numFmtId="0" fontId="11" fillId="3" borderId="9" xfId="4" applyFont="1" applyFill="1" applyBorder="1" applyAlignment="1">
      <alignment horizontal="left"/>
    </xf>
    <xf numFmtId="0" fontId="32" fillId="3" borderId="9" xfId="4" applyFont="1" applyFill="1" applyBorder="1" applyAlignment="1">
      <alignment horizontal="left"/>
    </xf>
    <xf numFmtId="0" fontId="29" fillId="3" borderId="9" xfId="4" applyFont="1" applyFill="1" applyBorder="1" applyAlignment="1">
      <alignment horizontal="left"/>
    </xf>
    <xf numFmtId="0" fontId="30" fillId="3" borderId="32" xfId="4" applyFont="1" applyFill="1" applyBorder="1" applyAlignment="1">
      <alignment horizontal="left"/>
    </xf>
    <xf numFmtId="0" fontId="11" fillId="3" borderId="9" xfId="0" applyFont="1" applyFill="1" applyBorder="1"/>
    <xf numFmtId="4" fontId="10" fillId="3" borderId="31" xfId="2" applyNumberFormat="1" applyFont="1" applyFill="1" applyBorder="1"/>
    <xf numFmtId="4" fontId="10" fillId="3" borderId="75" xfId="2" applyNumberFormat="1" applyFont="1" applyFill="1" applyBorder="1"/>
    <xf numFmtId="4" fontId="10" fillId="3" borderId="59" xfId="2" applyNumberFormat="1" applyFont="1" applyFill="1" applyBorder="1"/>
    <xf numFmtId="4" fontId="10" fillId="3" borderId="32" xfId="2" applyNumberFormat="1" applyFont="1" applyFill="1" applyBorder="1"/>
    <xf numFmtId="4" fontId="13" fillId="4" borderId="24" xfId="0" applyNumberFormat="1" applyFont="1" applyFill="1" applyBorder="1"/>
    <xf numFmtId="4" fontId="13" fillId="4" borderId="21" xfId="0" applyNumberFormat="1" applyFont="1" applyFill="1" applyBorder="1"/>
    <xf numFmtId="4" fontId="6" fillId="0" borderId="33" xfId="0" applyNumberFormat="1" applyFont="1" applyBorder="1"/>
    <xf numFmtId="4" fontId="6" fillId="0" borderId="75" xfId="0" applyNumberFormat="1" applyFont="1" applyBorder="1"/>
    <xf numFmtId="4" fontId="6" fillId="0" borderId="76" xfId="0" applyNumberFormat="1" applyFont="1" applyBorder="1"/>
    <xf numFmtId="3" fontId="11" fillId="3" borderId="28" xfId="0" applyNumberFormat="1" applyFont="1" applyFill="1" applyBorder="1" applyAlignment="1">
      <alignment horizontal="right"/>
    </xf>
    <xf numFmtId="4" fontId="11" fillId="3" borderId="32" xfId="0" applyNumberFormat="1" applyFont="1" applyFill="1" applyBorder="1" applyAlignment="1">
      <alignment horizontal="right"/>
    </xf>
    <xf numFmtId="0" fontId="11" fillId="4" borderId="20" xfId="0" applyFont="1" applyFill="1" applyBorder="1"/>
    <xf numFmtId="3" fontId="11" fillId="3" borderId="28" xfId="0" applyNumberFormat="1" applyFont="1" applyFill="1" applyBorder="1"/>
    <xf numFmtId="3" fontId="11" fillId="4" borderId="17" xfId="0" applyNumberFormat="1" applyFont="1" applyFill="1" applyBorder="1"/>
    <xf numFmtId="3" fontId="7" fillId="0" borderId="28" xfId="0" applyNumberFormat="1" applyFont="1" applyFill="1" applyBorder="1" applyAlignment="1">
      <alignment horizontal="right"/>
    </xf>
    <xf numFmtId="3" fontId="10" fillId="4" borderId="17" xfId="0" applyNumberFormat="1" applyFont="1" applyFill="1" applyBorder="1" applyAlignment="1">
      <alignment horizontal="right"/>
    </xf>
    <xf numFmtId="3" fontId="10" fillId="4" borderId="18" xfId="0" applyNumberFormat="1" applyFont="1" applyFill="1" applyBorder="1" applyAlignment="1">
      <alignment horizontal="right"/>
    </xf>
    <xf numFmtId="4" fontId="10" fillId="4" borderId="18" xfId="0" applyNumberFormat="1" applyFont="1" applyFill="1" applyBorder="1" applyAlignment="1">
      <alignment horizontal="right"/>
    </xf>
    <xf numFmtId="3" fontId="10" fillId="4" borderId="24" xfId="0" applyNumberFormat="1" applyFont="1" applyFill="1" applyBorder="1" applyAlignment="1">
      <alignment horizontal="right"/>
    </xf>
    <xf numFmtId="4" fontId="10" fillId="4" borderId="19" xfId="0" applyNumberFormat="1" applyFont="1" applyFill="1" applyBorder="1" applyAlignment="1">
      <alignment horizontal="right"/>
    </xf>
    <xf numFmtId="4" fontId="10" fillId="4" borderId="20" xfId="0" applyNumberFormat="1" applyFont="1" applyFill="1" applyBorder="1" applyAlignment="1">
      <alignment horizontal="right"/>
    </xf>
    <xf numFmtId="3" fontId="34" fillId="0" borderId="0" xfId="5" applyNumberFormat="1" applyFont="1" applyFill="1" applyAlignment="1">
      <alignment horizontal="center"/>
    </xf>
    <xf numFmtId="3" fontId="34" fillId="0" borderId="1" xfId="5" applyNumberFormat="1" applyFont="1" applyBorder="1" applyAlignment="1"/>
    <xf numFmtId="3" fontId="25" fillId="0" borderId="1" xfId="0" applyNumberFormat="1" applyFont="1" applyFill="1" applyBorder="1"/>
    <xf numFmtId="3" fontId="25" fillId="0" borderId="1" xfId="5" applyNumberFormat="1" applyFont="1" applyBorder="1" applyAlignment="1"/>
    <xf numFmtId="3" fontId="35" fillId="0" borderId="60" xfId="5" applyNumberFormat="1" applyFont="1" applyBorder="1" applyAlignment="1"/>
    <xf numFmtId="4" fontId="20" fillId="8" borderId="18" xfId="5" applyNumberFormat="1" applyFont="1" applyFill="1" applyBorder="1" applyAlignment="1">
      <alignment horizontal="center"/>
    </xf>
    <xf numFmtId="4" fontId="20" fillId="8" borderId="19" xfId="5" applyNumberFormat="1" applyFont="1" applyFill="1" applyBorder="1" applyAlignment="1">
      <alignment horizontal="center"/>
    </xf>
    <xf numFmtId="3" fontId="12" fillId="0" borderId="11" xfId="0" applyNumberFormat="1" applyFont="1" applyBorder="1" applyAlignment="1">
      <alignment horizontal="center" vertical="center" wrapText="1"/>
    </xf>
    <xf numFmtId="3" fontId="20" fillId="8" borderId="61" xfId="5" applyNumberFormat="1" applyFont="1" applyFill="1" applyBorder="1" applyAlignment="1">
      <alignment horizontal="center"/>
    </xf>
    <xf numFmtId="3" fontId="20" fillId="8" borderId="24" xfId="5" applyNumberFormat="1" applyFont="1" applyFill="1" applyBorder="1" applyAlignment="1">
      <alignment horizontal="center"/>
    </xf>
    <xf numFmtId="4" fontId="20" fillId="8" borderId="20" xfId="5" applyNumberFormat="1" applyFont="1" applyFill="1" applyBorder="1" applyAlignment="1">
      <alignment horizontal="center"/>
    </xf>
    <xf numFmtId="4" fontId="6" fillId="0" borderId="9" xfId="0" applyNumberFormat="1" applyFont="1" applyFill="1" applyBorder="1"/>
    <xf numFmtId="4" fontId="6" fillId="0" borderId="13" xfId="0" applyNumberFormat="1" applyFont="1" applyFill="1" applyBorder="1"/>
    <xf numFmtId="4" fontId="20" fillId="8" borderId="24" xfId="5" applyNumberFormat="1" applyFont="1" applyFill="1" applyBorder="1" applyAlignment="1">
      <alignment horizontal="center"/>
    </xf>
    <xf numFmtId="0" fontId="5" fillId="0" borderId="1" xfId="5" applyFont="1" applyBorder="1" applyAlignment="1">
      <alignment horizontal="center"/>
    </xf>
    <xf numFmtId="0" fontId="5" fillId="0" borderId="1" xfId="5" applyFont="1" applyBorder="1" applyAlignment="1">
      <alignment horizontal="right"/>
    </xf>
    <xf numFmtId="0" fontId="5" fillId="0" borderId="1" xfId="5" applyFont="1" applyBorder="1" applyAlignment="1" applyProtection="1">
      <alignment horizontal="right"/>
      <protection locked="0"/>
    </xf>
    <xf numFmtId="0" fontId="5" fillId="0" borderId="1" xfId="5" applyFont="1" applyBorder="1"/>
    <xf numFmtId="0" fontId="5" fillId="0" borderId="9" xfId="5" applyFont="1" applyBorder="1"/>
    <xf numFmtId="3" fontId="34" fillId="0" borderId="5" xfId="5" applyNumberFormat="1" applyFont="1" applyBorder="1"/>
    <xf numFmtId="3" fontId="34" fillId="0" borderId="1" xfId="5" applyNumberFormat="1" applyFont="1" applyBorder="1"/>
    <xf numFmtId="3" fontId="6" fillId="0" borderId="30" xfId="5" applyNumberFormat="1" applyFont="1" applyBorder="1"/>
    <xf numFmtId="3" fontId="6" fillId="0" borderId="1" xfId="5" applyNumberFormat="1" applyFont="1" applyBorder="1"/>
    <xf numFmtId="4" fontId="6" fillId="0" borderId="1" xfId="5" applyNumberFormat="1" applyFont="1" applyBorder="1"/>
    <xf numFmtId="4" fontId="6" fillId="0" borderId="10" xfId="5" applyNumberFormat="1" applyFont="1" applyBorder="1"/>
    <xf numFmtId="0" fontId="5" fillId="0" borderId="1" xfId="5" applyFont="1" applyBorder="1" applyAlignment="1">
      <alignment horizontal="left"/>
    </xf>
    <xf numFmtId="0" fontId="11" fillId="3" borderId="12" xfId="5" applyFont="1" applyFill="1" applyBorder="1" applyAlignment="1">
      <alignment horizontal="left"/>
    </xf>
    <xf numFmtId="0" fontId="7" fillId="0" borderId="9" xfId="0" applyFont="1" applyBorder="1" applyAlignment="1">
      <alignment horizontal="left"/>
    </xf>
    <xf numFmtId="1" fontId="5" fillId="0" borderId="1" xfId="5" applyNumberFormat="1" applyFont="1" applyBorder="1" applyAlignment="1">
      <alignment horizontal="right"/>
    </xf>
    <xf numFmtId="49" fontId="5" fillId="0" borderId="1" xfId="5" applyNumberFormat="1" applyFont="1" applyBorder="1" applyAlignment="1">
      <alignment horizontal="right"/>
    </xf>
    <xf numFmtId="0" fontId="5" fillId="0" borderId="55" xfId="5" applyFont="1" applyBorder="1" applyAlignment="1">
      <alignment horizontal="center"/>
    </xf>
    <xf numFmtId="1" fontId="5" fillId="0" borderId="58" xfId="5" applyNumberFormat="1" applyFont="1" applyBorder="1" applyAlignment="1">
      <alignment horizontal="right"/>
    </xf>
    <xf numFmtId="0" fontId="5" fillId="0" borderId="30" xfId="5" applyFont="1" applyBorder="1" applyAlignment="1" applyProtection="1">
      <alignment horizontal="center"/>
      <protection locked="0"/>
    </xf>
    <xf numFmtId="0" fontId="5" fillId="0" borderId="9" xfId="5" applyFont="1" applyBorder="1" applyProtection="1">
      <protection locked="0"/>
    </xf>
    <xf numFmtId="0" fontId="11" fillId="3" borderId="8" xfId="5" applyFont="1" applyFill="1" applyBorder="1" applyAlignment="1">
      <alignment horizontal="center"/>
    </xf>
    <xf numFmtId="1" fontId="11" fillId="3" borderId="1" xfId="5" applyNumberFormat="1" applyFont="1" applyFill="1" applyBorder="1" applyAlignment="1">
      <alignment horizontal="right"/>
    </xf>
    <xf numFmtId="49" fontId="11" fillId="3" borderId="1" xfId="5" applyNumberFormat="1" applyFont="1" applyFill="1" applyBorder="1" applyAlignment="1">
      <alignment horizontal="right"/>
    </xf>
    <xf numFmtId="0" fontId="11" fillId="3" borderId="45" xfId="0" applyFont="1" applyFill="1" applyBorder="1" applyAlignment="1" applyProtection="1">
      <alignment horizontal="center"/>
      <protection locked="0"/>
    </xf>
    <xf numFmtId="0" fontId="11" fillId="3" borderId="13" xfId="0" applyFont="1" applyFill="1" applyBorder="1" applyProtection="1">
      <protection locked="0"/>
    </xf>
    <xf numFmtId="3" fontId="11" fillId="3" borderId="12" xfId="5" applyNumberFormat="1" applyFont="1" applyFill="1" applyBorder="1"/>
    <xf numFmtId="4" fontId="11" fillId="3" borderId="12" xfId="5" applyNumberFormat="1" applyFont="1" applyFill="1" applyBorder="1"/>
    <xf numFmtId="0" fontId="5" fillId="3" borderId="1" xfId="5" applyFont="1" applyFill="1" applyBorder="1" applyAlignment="1">
      <alignment horizontal="center"/>
    </xf>
    <xf numFmtId="0" fontId="5" fillId="0" borderId="1" xfId="5" applyFont="1" applyBorder="1" applyAlignment="1" applyProtection="1">
      <alignment horizontal="center"/>
      <protection locked="0"/>
    </xf>
    <xf numFmtId="0" fontId="5" fillId="0" borderId="1" xfId="5" applyFont="1" applyBorder="1" applyProtection="1">
      <protection locked="0"/>
    </xf>
    <xf numFmtId="3" fontId="37" fillId="7" borderId="48" xfId="5" applyNumberFormat="1" applyFont="1" applyFill="1" applyBorder="1"/>
    <xf numFmtId="3" fontId="37" fillId="7" borderId="52" xfId="5" applyNumberFormat="1" applyFont="1" applyFill="1" applyBorder="1"/>
    <xf numFmtId="4" fontId="37" fillId="7" borderId="52" xfId="5" applyNumberFormat="1" applyFont="1" applyFill="1" applyBorder="1"/>
    <xf numFmtId="4" fontId="37" fillId="7" borderId="68" xfId="5" applyNumberFormat="1" applyFont="1" applyFill="1" applyBorder="1"/>
    <xf numFmtId="0" fontId="5" fillId="0" borderId="1" xfId="0" applyFont="1" applyBorder="1"/>
    <xf numFmtId="0" fontId="5" fillId="0" borderId="8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9" xfId="0" applyFont="1" applyBorder="1"/>
    <xf numFmtId="4" fontId="6" fillId="0" borderId="9" xfId="5" applyNumberFormat="1" applyFont="1" applyBorder="1"/>
    <xf numFmtId="0" fontId="7" fillId="0" borderId="1" xfId="0" applyFont="1" applyBorder="1"/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7" fillId="0" borderId="9" xfId="0" applyFont="1" applyBorder="1"/>
    <xf numFmtId="0" fontId="5" fillId="0" borderId="1" xfId="4" applyFont="1" applyBorder="1"/>
    <xf numFmtId="0" fontId="29" fillId="0" borderId="1" xfId="4" applyFont="1" applyBorder="1" applyAlignment="1">
      <alignment horizontal="center"/>
    </xf>
    <xf numFmtId="0" fontId="6" fillId="0" borderId="1" xfId="5" applyNumberFormat="1" applyFont="1" applyFill="1" applyBorder="1" applyAlignment="1" applyProtection="1">
      <protection locked="0"/>
    </xf>
    <xf numFmtId="0" fontId="12" fillId="3" borderId="8" xfId="4" applyFont="1" applyFill="1" applyBorder="1" applyAlignment="1">
      <alignment horizontal="center"/>
    </xf>
    <xf numFmtId="0" fontId="6" fillId="3" borderId="8" xfId="4" applyFont="1" applyFill="1" applyBorder="1" applyAlignment="1">
      <alignment horizontal="center"/>
    </xf>
    <xf numFmtId="0" fontId="6" fillId="3" borderId="28" xfId="4" applyFont="1" applyFill="1" applyBorder="1" applyAlignment="1">
      <alignment horizontal="center"/>
    </xf>
    <xf numFmtId="3" fontId="24" fillId="0" borderId="0" xfId="5" applyNumberFormat="1" applyFont="1"/>
    <xf numFmtId="4" fontId="24" fillId="0" borderId="0" xfId="5" applyNumberFormat="1" applyFont="1"/>
    <xf numFmtId="3" fontId="21" fillId="0" borderId="0" xfId="5" applyNumberFormat="1" applyFont="1" applyAlignment="1">
      <alignment vertical="center"/>
    </xf>
    <xf numFmtId="4" fontId="21" fillId="0" borderId="0" xfId="5" applyNumberFormat="1" applyFont="1" applyAlignment="1">
      <alignment vertical="center"/>
    </xf>
    <xf numFmtId="3" fontId="22" fillId="0" borderId="0" xfId="5" applyNumberFormat="1" applyFont="1" applyAlignment="1">
      <alignment vertical="center" wrapText="1"/>
    </xf>
    <xf numFmtId="3" fontId="12" fillId="0" borderId="0" xfId="5" applyNumberFormat="1" applyFont="1" applyAlignment="1">
      <alignment vertical="center" wrapText="1"/>
    </xf>
    <xf numFmtId="3" fontId="12" fillId="0" borderId="0" xfId="5" applyNumberFormat="1" applyFont="1" applyAlignment="1">
      <alignment vertical="center"/>
    </xf>
    <xf numFmtId="4" fontId="12" fillId="0" borderId="0" xfId="5" applyNumberFormat="1" applyFont="1" applyAlignment="1">
      <alignment vertical="center"/>
    </xf>
    <xf numFmtId="3" fontId="21" fillId="0" borderId="0" xfId="5" applyNumberFormat="1" applyFont="1" applyAlignment="1">
      <alignment horizontal="center" vertical="center"/>
    </xf>
    <xf numFmtId="4" fontId="21" fillId="0" borderId="0" xfId="5" applyNumberFormat="1" applyFont="1" applyAlignment="1">
      <alignment horizontal="center" vertical="center"/>
    </xf>
    <xf numFmtId="4" fontId="12" fillId="0" borderId="0" xfId="5" applyNumberFormat="1" applyFont="1" applyAlignment="1">
      <alignment horizontal="center" vertical="center"/>
    </xf>
    <xf numFmtId="0" fontId="8" fillId="0" borderId="0" xfId="0" applyFont="1"/>
    <xf numFmtId="0" fontId="17" fillId="0" borderId="0" xfId="0" applyFont="1"/>
    <xf numFmtId="0" fontId="18" fillId="0" borderId="0" xfId="0" applyFont="1"/>
    <xf numFmtId="0" fontId="35" fillId="0" borderId="0" xfId="5" applyFont="1" applyAlignment="1">
      <alignment vertical="center"/>
    </xf>
    <xf numFmtId="0" fontId="35" fillId="0" borderId="18" xfId="5" applyFont="1" applyBorder="1" applyAlignment="1">
      <alignment vertical="center" wrapText="1"/>
    </xf>
    <xf numFmtId="0" fontId="20" fillId="8" borderId="18" xfId="5" applyFont="1" applyFill="1" applyBorder="1"/>
    <xf numFmtId="0" fontId="7" fillId="0" borderId="4" xfId="2" applyFont="1" applyBorder="1" applyAlignment="1">
      <alignment horizontal="center"/>
    </xf>
    <xf numFmtId="0" fontId="7" fillId="0" borderId="5" xfId="2" applyFont="1" applyBorder="1" applyAlignment="1">
      <alignment horizontal="center"/>
    </xf>
    <xf numFmtId="0" fontId="7" fillId="0" borderId="5" xfId="2" applyFont="1" applyBorder="1"/>
    <xf numFmtId="4" fontId="25" fillId="0" borderId="26" xfId="5" applyNumberFormat="1" applyFont="1" applyBorder="1"/>
    <xf numFmtId="4" fontId="34" fillId="0" borderId="26" xfId="5" applyNumberFormat="1" applyFont="1" applyBorder="1"/>
    <xf numFmtId="4" fontId="34" fillId="0" borderId="27" xfId="5" applyNumberFormat="1" applyFont="1" applyBorder="1"/>
    <xf numFmtId="3" fontId="6" fillId="0" borderId="25" xfId="5" applyNumberFormat="1" applyFont="1" applyBorder="1"/>
    <xf numFmtId="3" fontId="6" fillId="0" borderId="26" xfId="5" applyNumberFormat="1" applyFont="1" applyBorder="1"/>
    <xf numFmtId="4" fontId="6" fillId="0" borderId="26" xfId="5" applyNumberFormat="1" applyFont="1" applyBorder="1"/>
    <xf numFmtId="4" fontId="6" fillId="0" borderId="34" xfId="5" applyNumberFormat="1" applyFont="1" applyBorder="1"/>
    <xf numFmtId="4" fontId="6" fillId="0" borderId="27" xfId="5" applyNumberFormat="1" applyFont="1" applyBorder="1"/>
    <xf numFmtId="0" fontId="9" fillId="0" borderId="0" xfId="0" applyFont="1"/>
    <xf numFmtId="0" fontId="10" fillId="3" borderId="1" xfId="2" applyFont="1" applyFill="1" applyBorder="1"/>
    <xf numFmtId="0" fontId="7" fillId="0" borderId="8" xfId="2" applyFont="1" applyBorder="1" applyAlignment="1">
      <alignment horizontal="center"/>
    </xf>
    <xf numFmtId="0" fontId="7" fillId="0" borderId="1" xfId="2" applyFont="1" applyBorder="1" applyAlignment="1">
      <alignment horizontal="center"/>
    </xf>
    <xf numFmtId="0" fontId="7" fillId="0" borderId="1" xfId="2" applyFont="1" applyBorder="1"/>
    <xf numFmtId="0" fontId="7" fillId="0" borderId="9" xfId="2" applyFont="1" applyBorder="1"/>
    <xf numFmtId="3" fontId="34" fillId="0" borderId="8" xfId="5" applyNumberFormat="1" applyFont="1" applyBorder="1"/>
    <xf numFmtId="4" fontId="25" fillId="0" borderId="1" xfId="5" applyNumberFormat="1" applyFont="1" applyBorder="1"/>
    <xf numFmtId="4" fontId="34" fillId="0" borderId="1" xfId="5" applyNumberFormat="1" applyFont="1" applyBorder="1"/>
    <xf numFmtId="4" fontId="34" fillId="0" borderId="10" xfId="5" applyNumberFormat="1" applyFont="1" applyBorder="1"/>
    <xf numFmtId="3" fontId="6" fillId="0" borderId="8" xfId="5" applyNumberFormat="1" applyFont="1" applyBorder="1"/>
    <xf numFmtId="3" fontId="9" fillId="0" borderId="0" xfId="0" applyNumberFormat="1" applyFont="1"/>
    <xf numFmtId="0" fontId="10" fillId="3" borderId="22" xfId="2" applyFont="1" applyFill="1" applyBorder="1"/>
    <xf numFmtId="0" fontId="10" fillId="4" borderId="17" xfId="2" applyFont="1" applyFill="1" applyBorder="1"/>
    <xf numFmtId="0" fontId="10" fillId="4" borderId="18" xfId="2" applyFont="1" applyFill="1" applyBorder="1"/>
    <xf numFmtId="3" fontId="35" fillId="0" borderId="0" xfId="5" applyNumberFormat="1" applyFont="1"/>
    <xf numFmtId="4" fontId="35" fillId="0" borderId="0" xfId="5" applyNumberFormat="1" applyFont="1"/>
    <xf numFmtId="3" fontId="12" fillId="0" borderId="60" xfId="5" applyNumberFormat="1" applyFont="1" applyBorder="1"/>
    <xf numFmtId="3" fontId="6" fillId="0" borderId="60" xfId="5" applyNumberFormat="1" applyFont="1" applyBorder="1"/>
    <xf numFmtId="4" fontId="6" fillId="0" borderId="60" xfId="5" applyNumberFormat="1" applyFont="1" applyBorder="1"/>
    <xf numFmtId="4" fontId="12" fillId="0" borderId="60" xfId="5" applyNumberFormat="1" applyFont="1" applyBorder="1"/>
    <xf numFmtId="3" fontId="12" fillId="0" borderId="50" xfId="5" applyNumberFormat="1" applyFont="1" applyBorder="1"/>
    <xf numFmtId="3" fontId="6" fillId="0" borderId="50" xfId="5" applyNumberFormat="1" applyFont="1" applyBorder="1"/>
    <xf numFmtId="4" fontId="6" fillId="0" borderId="50" xfId="5" applyNumberFormat="1" applyFont="1" applyBorder="1"/>
    <xf numFmtId="4" fontId="12" fillId="0" borderId="50" xfId="5" applyNumberFormat="1" applyFont="1" applyBorder="1"/>
    <xf numFmtId="0" fontId="35" fillId="0" borderId="18" xfId="5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5" xfId="0" applyFont="1" applyBorder="1"/>
    <xf numFmtId="0" fontId="5" fillId="0" borderId="5" xfId="0" applyFont="1" applyBorder="1" applyAlignment="1">
      <alignment horizontal="left"/>
    </xf>
    <xf numFmtId="0" fontId="5" fillId="0" borderId="6" xfId="0" applyFont="1" applyBorder="1"/>
    <xf numFmtId="0" fontId="11" fillId="3" borderId="22" xfId="0" applyFont="1" applyFill="1" applyBorder="1"/>
    <xf numFmtId="0" fontId="11" fillId="3" borderId="32" xfId="0" applyFont="1" applyFill="1" applyBorder="1"/>
    <xf numFmtId="3" fontId="12" fillId="0" borderId="0" xfId="5" applyNumberFormat="1" applyFont="1"/>
    <xf numFmtId="3" fontId="6" fillId="0" borderId="0" xfId="5" applyNumberFormat="1" applyFont="1"/>
    <xf numFmtId="3" fontId="5" fillId="0" borderId="0" xfId="5" applyNumberFormat="1" applyFont="1"/>
    <xf numFmtId="4" fontId="6" fillId="0" borderId="0" xfId="5" applyNumberFormat="1" applyFont="1"/>
    <xf numFmtId="4" fontId="12" fillId="0" borderId="0" xfId="5" applyNumberFormat="1" applyFont="1"/>
    <xf numFmtId="4" fontId="34" fillId="0" borderId="9" xfId="5" applyNumberFormat="1" applyFont="1" applyBorder="1"/>
    <xf numFmtId="3" fontId="6" fillId="0" borderId="5" xfId="5" applyNumberFormat="1" applyFont="1" applyBorder="1"/>
    <xf numFmtId="3" fontId="6" fillId="0" borderId="4" xfId="5" applyNumberFormat="1" applyFont="1" applyBorder="1"/>
    <xf numFmtId="4" fontId="6" fillId="0" borderId="5" xfId="5" applyNumberFormat="1" applyFont="1" applyBorder="1"/>
    <xf numFmtId="4" fontId="6" fillId="0" borderId="7" xfId="5" applyNumberFormat="1" applyFont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left"/>
    </xf>
    <xf numFmtId="0" fontId="7" fillId="0" borderId="6" xfId="0" applyFont="1" applyBorder="1"/>
    <xf numFmtId="3" fontId="6" fillId="0" borderId="51" xfId="5" applyNumberFormat="1" applyFont="1" applyBorder="1"/>
    <xf numFmtId="3" fontId="12" fillId="0" borderId="0" xfId="0" applyNumberFormat="1" applyFont="1"/>
    <xf numFmtId="4" fontId="25" fillId="0" borderId="5" xfId="5" applyNumberFormat="1" applyFont="1" applyBorder="1"/>
    <xf numFmtId="4" fontId="34" fillId="0" borderId="5" xfId="5" applyNumberFormat="1" applyFont="1" applyBorder="1"/>
    <xf numFmtId="3" fontId="6" fillId="0" borderId="40" xfId="5" applyNumberFormat="1" applyFont="1" applyBorder="1"/>
    <xf numFmtId="4" fontId="6" fillId="0" borderId="6" xfId="5" applyNumberFormat="1" applyFont="1" applyBorder="1"/>
    <xf numFmtId="4" fontId="34" fillId="0" borderId="6" xfId="5" applyNumberFormat="1" applyFont="1" applyBorder="1"/>
    <xf numFmtId="4" fontId="34" fillId="0" borderId="50" xfId="5" applyNumberFormat="1" applyFont="1" applyBorder="1"/>
    <xf numFmtId="1" fontId="0" fillId="0" borderId="0" xfId="0" applyNumberFormat="1"/>
    <xf numFmtId="1" fontId="6" fillId="0" borderId="0" xfId="0" applyNumberFormat="1" applyFont="1"/>
    <xf numFmtId="3" fontId="23" fillId="0" borderId="0" xfId="5" applyNumberFormat="1" applyFont="1" applyAlignment="1">
      <alignment horizontal="right"/>
    </xf>
    <xf numFmtId="3" fontId="25" fillId="0" borderId="0" xfId="5" applyNumberFormat="1" applyFont="1"/>
    <xf numFmtId="4" fontId="25" fillId="0" borderId="0" xfId="5" applyNumberFormat="1" applyFont="1"/>
    <xf numFmtId="3" fontId="34" fillId="0" borderId="0" xfId="5" applyNumberFormat="1" applyFont="1" applyFill="1" applyAlignment="1"/>
    <xf numFmtId="3" fontId="25" fillId="0" borderId="1" xfId="5" applyNumberFormat="1" applyFont="1" applyBorder="1" applyAlignment="1">
      <alignment horizontal="right"/>
    </xf>
    <xf numFmtId="3" fontId="34" fillId="0" borderId="1" xfId="5" applyNumberFormat="1" applyFont="1" applyFill="1" applyBorder="1" applyAlignment="1">
      <alignment horizontal="right"/>
    </xf>
    <xf numFmtId="3" fontId="11" fillId="3" borderId="45" xfId="5" applyNumberFormat="1" applyFont="1" applyFill="1" applyBorder="1"/>
    <xf numFmtId="3" fontId="12" fillId="4" borderId="18" xfId="5" applyNumberFormat="1" applyFont="1" applyFill="1" applyBorder="1" applyAlignment="1"/>
    <xf numFmtId="3" fontId="34" fillId="0" borderId="0" xfId="5" applyNumberFormat="1" applyFont="1" applyAlignment="1">
      <alignment horizontal="right"/>
    </xf>
    <xf numFmtId="4" fontId="11" fillId="3" borderId="9" xfId="5" applyNumberFormat="1" applyFont="1" applyFill="1" applyBorder="1" applyAlignment="1"/>
    <xf numFmtId="4" fontId="11" fillId="3" borderId="9" xfId="5" applyNumberFormat="1" applyFont="1" applyFill="1" applyBorder="1" applyAlignment="1">
      <alignment horizontal="right"/>
    </xf>
    <xf numFmtId="4" fontId="35" fillId="3" borderId="9" xfId="5" applyNumberFormat="1" applyFont="1" applyFill="1" applyBorder="1" applyAlignment="1"/>
    <xf numFmtId="4" fontId="11" fillId="3" borderId="13" xfId="5" applyNumberFormat="1" applyFont="1" applyFill="1" applyBorder="1"/>
    <xf numFmtId="4" fontId="25" fillId="0" borderId="10" xfId="0" applyNumberFormat="1" applyFont="1" applyFill="1" applyBorder="1"/>
    <xf numFmtId="4" fontId="25" fillId="0" borderId="1" xfId="5" applyNumberFormat="1" applyFont="1" applyBorder="1" applyAlignment="1"/>
    <xf numFmtId="4" fontId="25" fillId="0" borderId="10" xfId="5" applyNumberFormat="1" applyFont="1" applyBorder="1" applyAlignment="1"/>
    <xf numFmtId="4" fontId="25" fillId="0" borderId="1" xfId="5" applyNumberFormat="1" applyFont="1" applyBorder="1" applyAlignment="1">
      <alignment horizontal="right"/>
    </xf>
    <xf numFmtId="4" fontId="25" fillId="0" borderId="10" xfId="5" applyNumberFormat="1" applyFont="1" applyBorder="1" applyAlignment="1">
      <alignment horizontal="right"/>
    </xf>
    <xf numFmtId="4" fontId="34" fillId="0" borderId="1" xfId="5" applyNumberFormat="1" applyFont="1" applyFill="1" applyBorder="1" applyAlignment="1">
      <alignment horizontal="right"/>
    </xf>
    <xf numFmtId="4" fontId="34" fillId="0" borderId="1" xfId="5" applyNumberFormat="1" applyFont="1" applyBorder="1" applyAlignment="1"/>
    <xf numFmtId="4" fontId="34" fillId="0" borderId="10" xfId="5" applyNumberFormat="1" applyFont="1" applyBorder="1" applyAlignment="1"/>
    <xf numFmtId="4" fontId="25" fillId="0" borderId="1" xfId="0" applyNumberFormat="1" applyFont="1" applyFill="1" applyBorder="1"/>
    <xf numFmtId="4" fontId="13" fillId="4" borderId="19" xfId="0" applyNumberFormat="1" applyFont="1" applyFill="1" applyBorder="1" applyAlignment="1"/>
    <xf numFmtId="4" fontId="19" fillId="0" borderId="7" xfId="0" applyNumberFormat="1" applyFont="1" applyBorder="1" applyAlignment="1"/>
    <xf numFmtId="4" fontId="19" fillId="0" borderId="10" xfId="0" applyNumberFormat="1" applyFont="1" applyBorder="1" applyAlignment="1"/>
    <xf numFmtId="4" fontId="19" fillId="0" borderId="14" xfId="0" applyNumberFormat="1" applyFont="1" applyBorder="1" applyAlignment="1"/>
    <xf numFmtId="4" fontId="3" fillId="0" borderId="0" xfId="5" applyNumberFormat="1" applyAlignment="1">
      <alignment horizontal="center"/>
    </xf>
    <xf numFmtId="4" fontId="3" fillId="0" borderId="0" xfId="5" applyNumberFormat="1" applyFont="1"/>
    <xf numFmtId="4" fontId="23" fillId="0" borderId="0" xfId="5" applyNumberFormat="1" applyFont="1" applyAlignment="1">
      <alignment horizontal="right"/>
    </xf>
    <xf numFmtId="4" fontId="34" fillId="0" borderId="0" xfId="5" applyNumberFormat="1" applyFont="1" applyAlignment="1"/>
    <xf numFmtId="4" fontId="19" fillId="0" borderId="7" xfId="0" applyNumberFormat="1" applyFont="1" applyBorder="1"/>
    <xf numFmtId="4" fontId="19" fillId="0" borderId="10" xfId="0" applyNumberFormat="1" applyFont="1" applyBorder="1"/>
    <xf numFmtId="4" fontId="19" fillId="0" borderId="14" xfId="0" applyNumberFormat="1" applyFont="1" applyBorder="1"/>
    <xf numFmtId="4" fontId="34" fillId="0" borderId="0" xfId="5" applyNumberFormat="1" applyFont="1" applyFill="1" applyAlignment="1"/>
    <xf numFmtId="4" fontId="34" fillId="0" borderId="0" xfId="5" applyNumberFormat="1" applyFont="1" applyBorder="1" applyAlignment="1"/>
    <xf numFmtId="3" fontId="7" fillId="0" borderId="5" xfId="0" applyNumberFormat="1" applyFont="1" applyBorder="1"/>
    <xf numFmtId="4" fontId="7" fillId="0" borderId="5" xfId="0" applyNumberFormat="1" applyFont="1" applyBorder="1"/>
    <xf numFmtId="4" fontId="7" fillId="0" borderId="7" xfId="0" applyNumberFormat="1" applyFont="1" applyBorder="1"/>
    <xf numFmtId="3" fontId="7" fillId="0" borderId="1" xfId="0" applyNumberFormat="1" applyFont="1" applyBorder="1"/>
    <xf numFmtId="4" fontId="7" fillId="0" borderId="1" xfId="0" applyNumberFormat="1" applyFont="1" applyBorder="1"/>
    <xf numFmtId="3" fontId="5" fillId="0" borderId="1" xfId="0" applyNumberFormat="1" applyFont="1" applyBorder="1"/>
    <xf numFmtId="4" fontId="7" fillId="0" borderId="10" xfId="0" applyNumberFormat="1" applyFont="1" applyBorder="1"/>
    <xf numFmtId="4" fontId="5" fillId="0" borderId="1" xfId="0" applyNumberFormat="1" applyFont="1" applyBorder="1"/>
    <xf numFmtId="4" fontId="5" fillId="0" borderId="9" xfId="0" applyNumberFormat="1" applyFont="1" applyBorder="1"/>
    <xf numFmtId="3" fontId="5" fillId="0" borderId="26" xfId="0" applyNumberFormat="1" applyFont="1" applyBorder="1"/>
    <xf numFmtId="3" fontId="34" fillId="0" borderId="26" xfId="5" applyNumberFormat="1" applyFont="1" applyBorder="1" applyAlignment="1"/>
    <xf numFmtId="4" fontId="5" fillId="0" borderId="34" xfId="0" applyNumberFormat="1" applyFont="1" applyBorder="1"/>
    <xf numFmtId="4" fontId="7" fillId="0" borderId="27" xfId="0" applyNumberFormat="1" applyFont="1" applyBorder="1"/>
    <xf numFmtId="4" fontId="5" fillId="0" borderId="10" xfId="0" applyNumberFormat="1" applyFont="1" applyBorder="1"/>
    <xf numFmtId="3" fontId="25" fillId="0" borderId="0" xfId="0" applyNumberFormat="1" applyFont="1" applyBorder="1"/>
    <xf numFmtId="4" fontId="25" fillId="0" borderId="0" xfId="0" applyNumberFormat="1" applyFont="1" applyBorder="1"/>
    <xf numFmtId="4" fontId="25" fillId="0" borderId="77" xfId="0" applyNumberFormat="1" applyFont="1" applyBorder="1"/>
    <xf numFmtId="4" fontId="12" fillId="3" borderId="30" xfId="5" applyNumberFormat="1" applyFont="1" applyFill="1" applyBorder="1" applyAlignment="1"/>
    <xf numFmtId="4" fontId="12" fillId="3" borderId="75" xfId="5" applyNumberFormat="1" applyFont="1" applyFill="1" applyBorder="1" applyAlignment="1"/>
    <xf numFmtId="4" fontId="12" fillId="3" borderId="30" xfId="5" applyNumberFormat="1" applyFont="1" applyFill="1" applyBorder="1" applyAlignment="1">
      <alignment horizontal="right"/>
    </xf>
    <xf numFmtId="4" fontId="12" fillId="3" borderId="75" xfId="5" applyNumberFormat="1" applyFont="1" applyFill="1" applyBorder="1" applyAlignment="1">
      <alignment horizontal="right"/>
    </xf>
    <xf numFmtId="4" fontId="12" fillId="3" borderId="31" xfId="5" applyNumberFormat="1" applyFont="1" applyFill="1" applyBorder="1" applyAlignment="1"/>
    <xf numFmtId="4" fontId="12" fillId="3" borderId="59" xfId="5" applyNumberFormat="1" applyFont="1" applyFill="1" applyBorder="1" applyAlignment="1"/>
    <xf numFmtId="4" fontId="12" fillId="4" borderId="18" xfId="5" applyNumberFormat="1" applyFont="1" applyFill="1" applyBorder="1" applyAlignment="1"/>
    <xf numFmtId="3" fontId="12" fillId="3" borderId="9" xfId="5" applyNumberFormat="1" applyFont="1" applyFill="1" applyBorder="1" applyAlignment="1"/>
    <xf numFmtId="3" fontId="12" fillId="3" borderId="10" xfId="5" applyNumberFormat="1" applyFont="1" applyFill="1" applyBorder="1" applyAlignment="1"/>
    <xf numFmtId="3" fontId="12" fillId="3" borderId="9" xfId="5" applyNumberFormat="1" applyFont="1" applyFill="1" applyBorder="1" applyAlignment="1">
      <alignment horizontal="right"/>
    </xf>
    <xf numFmtId="3" fontId="12" fillId="3" borderId="32" xfId="5" applyNumberFormat="1" applyFont="1" applyFill="1" applyBorder="1" applyAlignment="1"/>
    <xf numFmtId="3" fontId="34" fillId="0" borderId="60" xfId="5" applyNumberFormat="1" applyFont="1" applyBorder="1"/>
    <xf numFmtId="3" fontId="34" fillId="0" borderId="50" xfId="5" applyNumberFormat="1" applyFont="1" applyBorder="1"/>
    <xf numFmtId="4" fontId="12" fillId="6" borderId="20" xfId="5" applyNumberFormat="1" applyFont="1" applyFill="1" applyBorder="1" applyAlignment="1"/>
    <xf numFmtId="3" fontId="12" fillId="3" borderId="3" xfId="5" applyNumberFormat="1" applyFont="1" applyFill="1" applyBorder="1" applyAlignment="1"/>
    <xf numFmtId="3" fontId="12" fillId="3" borderId="15" xfId="5" applyNumberFormat="1" applyFont="1" applyFill="1" applyBorder="1" applyAlignment="1"/>
    <xf numFmtId="3" fontId="12" fillId="3" borderId="3" xfId="5" applyNumberFormat="1" applyFont="1" applyFill="1" applyBorder="1" applyAlignment="1">
      <alignment horizontal="right"/>
    </xf>
    <xf numFmtId="3" fontId="12" fillId="3" borderId="74" xfId="5" applyNumberFormat="1" applyFont="1" applyFill="1" applyBorder="1" applyAlignment="1"/>
    <xf numFmtId="3" fontId="11" fillId="3" borderId="28" xfId="5" applyNumberFormat="1" applyFont="1" applyFill="1" applyBorder="1"/>
    <xf numFmtId="3" fontId="11" fillId="3" borderId="22" xfId="5" applyNumberFormat="1" applyFont="1" applyFill="1" applyBorder="1"/>
    <xf numFmtId="4" fontId="11" fillId="3" borderId="22" xfId="5" applyNumberFormat="1" applyFont="1" applyFill="1" applyBorder="1"/>
    <xf numFmtId="4" fontId="11" fillId="3" borderId="29" xfId="5" applyNumberFormat="1" applyFont="1" applyFill="1" applyBorder="1"/>
    <xf numFmtId="3" fontId="37" fillId="4" borderId="17" xfId="5" applyNumberFormat="1" applyFont="1" applyFill="1" applyBorder="1"/>
    <xf numFmtId="3" fontId="37" fillId="4" borderId="18" xfId="5" applyNumberFormat="1" applyFont="1" applyFill="1" applyBorder="1"/>
    <xf numFmtId="4" fontId="37" fillId="4" borderId="18" xfId="5" applyNumberFormat="1" applyFont="1" applyFill="1" applyBorder="1"/>
    <xf numFmtId="4" fontId="37" fillId="7" borderId="18" xfId="5" applyNumberFormat="1" applyFont="1" applyFill="1" applyBorder="1"/>
    <xf numFmtId="4" fontId="37" fillId="7" borderId="19" xfId="5" applyNumberFormat="1" applyFont="1" applyFill="1" applyBorder="1"/>
    <xf numFmtId="3" fontId="37" fillId="7" borderId="17" xfId="5" applyNumberFormat="1" applyFont="1" applyFill="1" applyBorder="1"/>
    <xf numFmtId="3" fontId="37" fillId="7" borderId="18" xfId="5" applyNumberFormat="1" applyFont="1" applyFill="1" applyBorder="1"/>
    <xf numFmtId="4" fontId="7" fillId="0" borderId="10" xfId="0" applyNumberFormat="1" applyFont="1" applyFill="1" applyBorder="1"/>
    <xf numFmtId="0" fontId="16" fillId="0" borderId="0" xfId="0" applyFont="1" applyAlignment="1">
      <alignment horizontal="left"/>
    </xf>
    <xf numFmtId="3" fontId="2" fillId="0" borderId="0" xfId="5" applyNumberFormat="1" applyFont="1"/>
    <xf numFmtId="4" fontId="2" fillId="0" borderId="0" xfId="5" applyNumberFormat="1" applyFont="1"/>
    <xf numFmtId="4" fontId="10" fillId="0" borderId="12" xfId="0" applyNumberFormat="1" applyFont="1" applyBorder="1" applyAlignment="1">
      <alignment horizontal="center" vertical="center" wrapText="1"/>
    </xf>
    <xf numFmtId="4" fontId="10" fillId="0" borderId="14" xfId="0" applyNumberFormat="1" applyFont="1" applyBorder="1" applyAlignment="1">
      <alignment horizontal="center" vertical="center" wrapText="1"/>
    </xf>
    <xf numFmtId="4" fontId="22" fillId="0" borderId="22" xfId="0" applyNumberFormat="1" applyFont="1" applyBorder="1" applyAlignment="1">
      <alignment horizontal="center" vertical="center" wrapText="1"/>
    </xf>
    <xf numFmtId="4" fontId="22" fillId="0" borderId="32" xfId="0" applyNumberFormat="1" applyFont="1" applyBorder="1" applyAlignment="1">
      <alignment horizontal="center" vertical="center" wrapText="1"/>
    </xf>
    <xf numFmtId="4" fontId="22" fillId="0" borderId="29" xfId="0" applyNumberFormat="1" applyFont="1" applyBorder="1" applyAlignment="1">
      <alignment horizontal="center" vertical="center" wrapText="1"/>
    </xf>
    <xf numFmtId="3" fontId="11" fillId="3" borderId="11" xfId="0" applyNumberFormat="1" applyFont="1" applyFill="1" applyBorder="1"/>
    <xf numFmtId="3" fontId="11" fillId="3" borderId="12" xfId="0" applyNumberFormat="1" applyFont="1" applyFill="1" applyBorder="1"/>
    <xf numFmtId="4" fontId="11" fillId="3" borderId="12" xfId="0" applyNumberFormat="1" applyFont="1" applyFill="1" applyBorder="1"/>
    <xf numFmtId="4" fontId="11" fillId="3" borderId="14" xfId="0" applyNumberFormat="1" applyFont="1" applyFill="1" applyBorder="1"/>
    <xf numFmtId="3" fontId="11" fillId="4" borderId="41" xfId="0" applyNumberFormat="1" applyFont="1" applyFill="1" applyBorder="1" applyAlignment="1">
      <alignment horizontal="right"/>
    </xf>
    <xf numFmtId="3" fontId="11" fillId="4" borderId="52" xfId="0" applyNumberFormat="1" applyFont="1" applyFill="1" applyBorder="1" applyAlignment="1">
      <alignment horizontal="right"/>
    </xf>
    <xf numFmtId="4" fontId="11" fillId="4" borderId="52" xfId="0" applyNumberFormat="1" applyFont="1" applyFill="1" applyBorder="1" applyAlignment="1">
      <alignment horizontal="right"/>
    </xf>
    <xf numFmtId="4" fontId="11" fillId="4" borderId="71" xfId="0" applyNumberFormat="1" applyFont="1" applyFill="1" applyBorder="1" applyAlignment="1">
      <alignment horizontal="right"/>
    </xf>
    <xf numFmtId="3" fontId="37" fillId="4" borderId="43" xfId="5" applyNumberFormat="1" applyFont="1" applyFill="1" applyBorder="1" applyAlignment="1">
      <alignment horizontal="center"/>
    </xf>
    <xf numFmtId="3" fontId="37" fillId="4" borderId="20" xfId="5" applyNumberFormat="1" applyFont="1" applyFill="1" applyBorder="1"/>
    <xf numFmtId="3" fontId="11" fillId="4" borderId="18" xfId="5" applyNumberFormat="1" applyFont="1" applyFill="1" applyBorder="1"/>
    <xf numFmtId="3" fontId="12" fillId="4" borderId="17" xfId="5" applyNumberFormat="1" applyFont="1" applyFill="1" applyBorder="1" applyAlignment="1">
      <alignment horizontal="center"/>
    </xf>
    <xf numFmtId="3" fontId="12" fillId="4" borderId="18" xfId="5" applyNumberFormat="1" applyFont="1" applyFill="1" applyBorder="1"/>
    <xf numFmtId="3" fontId="12" fillId="4" borderId="20" xfId="5" applyNumberFormat="1" applyFont="1" applyFill="1" applyBorder="1"/>
    <xf numFmtId="3" fontId="12" fillId="4" borderId="17" xfId="5" applyNumberFormat="1" applyFont="1" applyFill="1" applyBorder="1" applyAlignment="1"/>
    <xf numFmtId="3" fontId="34" fillId="0" borderId="4" xfId="5" applyNumberFormat="1" applyFont="1" applyBorder="1"/>
    <xf numFmtId="4" fontId="34" fillId="0" borderId="7" xfId="5" applyNumberFormat="1" applyFont="1" applyBorder="1"/>
    <xf numFmtId="0" fontId="20" fillId="8" borderId="19" xfId="5" applyFont="1" applyFill="1" applyBorder="1" applyAlignment="1">
      <alignment horizontal="center"/>
    </xf>
    <xf numFmtId="0" fontId="7" fillId="0" borderId="7" xfId="2" applyFont="1" applyBorder="1"/>
    <xf numFmtId="0" fontId="10" fillId="3" borderId="10" xfId="2" applyFont="1" applyFill="1" applyBorder="1"/>
    <xf numFmtId="0" fontId="7" fillId="0" borderId="10" xfId="2" applyFont="1" applyBorder="1"/>
    <xf numFmtId="0" fontId="10" fillId="3" borderId="29" xfId="2" applyFont="1" applyFill="1" applyBorder="1"/>
    <xf numFmtId="0" fontId="10" fillId="4" borderId="19" xfId="2" applyFont="1" applyFill="1" applyBorder="1"/>
    <xf numFmtId="0" fontId="44" fillId="0" borderId="0" xfId="0" applyFont="1"/>
    <xf numFmtId="0" fontId="45" fillId="0" borderId="0" xfId="0" applyFont="1"/>
    <xf numFmtId="0" fontId="14" fillId="0" borderId="0" xfId="0" applyFont="1"/>
    <xf numFmtId="0" fontId="16" fillId="0" borderId="0" xfId="5" applyFont="1" applyAlignment="1">
      <alignment horizontal="left"/>
    </xf>
    <xf numFmtId="0" fontId="3" fillId="0" borderId="0" xfId="5" applyAlignment="1">
      <alignment horizontal="left"/>
    </xf>
    <xf numFmtId="0" fontId="1" fillId="0" borderId="0" xfId="8" applyAlignment="1">
      <alignment horizontal="center"/>
    </xf>
    <xf numFmtId="3" fontId="1" fillId="0" borderId="0" xfId="8" applyNumberFormat="1"/>
    <xf numFmtId="3" fontId="23" fillId="0" borderId="0" xfId="8" applyNumberFormat="1" applyFont="1"/>
    <xf numFmtId="4" fontId="1" fillId="0" borderId="0" xfId="8" applyNumberFormat="1"/>
    <xf numFmtId="4" fontId="23" fillId="0" borderId="0" xfId="8" applyNumberFormat="1" applyFont="1"/>
    <xf numFmtId="3" fontId="24" fillId="0" borderId="0" xfId="8" applyNumberFormat="1" applyFont="1"/>
    <xf numFmtId="4" fontId="24" fillId="0" borderId="0" xfId="8" applyNumberFormat="1" applyFont="1"/>
    <xf numFmtId="0" fontId="1" fillId="0" borderId="0" xfId="9"/>
    <xf numFmtId="3" fontId="21" fillId="0" borderId="0" xfId="8" applyNumberFormat="1" applyFont="1" applyAlignment="1">
      <alignment vertical="center"/>
    </xf>
    <xf numFmtId="4" fontId="21" fillId="0" borderId="0" xfId="8" applyNumberFormat="1" applyFont="1" applyAlignment="1">
      <alignment vertical="center"/>
    </xf>
    <xf numFmtId="3" fontId="22" fillId="0" borderId="0" xfId="8" applyNumberFormat="1" applyFont="1" applyAlignment="1">
      <alignment vertical="center" wrapText="1"/>
    </xf>
    <xf numFmtId="3" fontId="12" fillId="0" borderId="0" xfId="8" applyNumberFormat="1" applyFont="1" applyAlignment="1">
      <alignment vertical="center" wrapText="1"/>
    </xf>
    <xf numFmtId="3" fontId="12" fillId="0" borderId="0" xfId="8" applyNumberFormat="1" applyFont="1" applyAlignment="1">
      <alignment vertical="center"/>
    </xf>
    <xf numFmtId="4" fontId="12" fillId="0" borderId="0" xfId="8" applyNumberFormat="1" applyFont="1" applyAlignment="1">
      <alignment vertical="center"/>
    </xf>
    <xf numFmtId="0" fontId="1" fillId="0" borderId="0" xfId="8"/>
    <xf numFmtId="0" fontId="17" fillId="0" borderId="0" xfId="5" applyFont="1" applyAlignment="1">
      <alignment horizontal="left"/>
    </xf>
    <xf numFmtId="0" fontId="34" fillId="0" borderId="0" xfId="8" applyFont="1" applyAlignment="1">
      <alignment horizontal="right"/>
    </xf>
    <xf numFmtId="0" fontId="34" fillId="0" borderId="0" xfId="8" applyFont="1" applyAlignment="1">
      <alignment horizontal="center"/>
    </xf>
    <xf numFmtId="3" fontId="21" fillId="0" borderId="0" xfId="8" applyNumberFormat="1" applyFont="1" applyAlignment="1">
      <alignment horizontal="center" vertical="center"/>
    </xf>
    <xf numFmtId="4" fontId="21" fillId="0" borderId="0" xfId="8" applyNumberFormat="1" applyFont="1" applyAlignment="1">
      <alignment horizontal="center" vertical="center"/>
    </xf>
    <xf numFmtId="4" fontId="12" fillId="0" borderId="0" xfId="8" applyNumberFormat="1" applyFont="1" applyAlignment="1">
      <alignment horizontal="center" vertical="center"/>
    </xf>
    <xf numFmtId="0" fontId="8" fillId="0" borderId="0" xfId="5" applyFont="1"/>
    <xf numFmtId="0" fontId="17" fillId="0" borderId="0" xfId="5" applyFont="1"/>
    <xf numFmtId="0" fontId="23" fillId="0" borderId="0" xfId="8" applyFont="1" applyAlignment="1">
      <alignment horizontal="center"/>
    </xf>
    <xf numFmtId="0" fontId="23" fillId="0" borderId="0" xfId="8" applyFont="1"/>
    <xf numFmtId="0" fontId="18" fillId="0" borderId="0" xfId="5" applyFont="1" applyAlignment="1">
      <alignment horizontal="left"/>
    </xf>
    <xf numFmtId="0" fontId="18" fillId="0" borderId="0" xfId="5" applyFont="1"/>
    <xf numFmtId="0" fontId="34" fillId="0" borderId="0" xfId="8" applyFont="1" applyAlignment="1">
      <alignment horizontal="center" vertical="center"/>
    </xf>
    <xf numFmtId="0" fontId="35" fillId="0" borderId="0" xfId="8" applyFont="1" applyAlignment="1">
      <alignment vertical="center"/>
    </xf>
    <xf numFmtId="0" fontId="35" fillId="0" borderId="17" xfId="8" applyFont="1" applyBorder="1" applyAlignment="1">
      <alignment horizontal="center" vertical="center"/>
    </xf>
    <xf numFmtId="0" fontId="35" fillId="0" borderId="18" xfId="8" applyFont="1" applyBorder="1" applyAlignment="1">
      <alignment horizontal="center" vertical="center"/>
    </xf>
    <xf numFmtId="0" fontId="35" fillId="0" borderId="18" xfId="8" applyFont="1" applyBorder="1" applyAlignment="1">
      <alignment horizontal="center" vertical="center" wrapText="1"/>
    </xf>
    <xf numFmtId="3" fontId="12" fillId="0" borderId="11" xfId="5" applyNumberFormat="1" applyFont="1" applyBorder="1" applyAlignment="1">
      <alignment horizontal="center" vertical="center" wrapText="1"/>
    </xf>
    <xf numFmtId="3" fontId="12" fillId="0" borderId="22" xfId="5" applyNumberFormat="1" applyFont="1" applyBorder="1" applyAlignment="1">
      <alignment horizontal="center" vertical="center" wrapText="1"/>
    </xf>
    <xf numFmtId="3" fontId="12" fillId="0" borderId="22" xfId="5" applyNumberFormat="1" applyFont="1" applyBorder="1" applyAlignment="1">
      <alignment horizontal="center" vertical="center"/>
    </xf>
    <xf numFmtId="4" fontId="22" fillId="0" borderId="22" xfId="5" applyNumberFormat="1" applyFont="1" applyBorder="1" applyAlignment="1">
      <alignment horizontal="center" vertical="center" wrapText="1"/>
    </xf>
    <xf numFmtId="4" fontId="22" fillId="0" borderId="32" xfId="5" applyNumberFormat="1" applyFont="1" applyBorder="1" applyAlignment="1">
      <alignment horizontal="center" vertical="center" wrapText="1"/>
    </xf>
    <xf numFmtId="4" fontId="22" fillId="0" borderId="29" xfId="5" applyNumberFormat="1" applyFont="1" applyBorder="1" applyAlignment="1">
      <alignment horizontal="center" vertical="center" wrapText="1"/>
    </xf>
    <xf numFmtId="4" fontId="10" fillId="0" borderId="12" xfId="5" applyNumberFormat="1" applyFont="1" applyBorder="1" applyAlignment="1">
      <alignment horizontal="center" vertical="center" wrapText="1"/>
    </xf>
    <xf numFmtId="4" fontId="10" fillId="0" borderId="14" xfId="5" applyNumberFormat="1" applyFont="1" applyBorder="1" applyAlignment="1">
      <alignment horizontal="center" vertical="center" wrapText="1"/>
    </xf>
    <xf numFmtId="0" fontId="20" fillId="8" borderId="17" xfId="8" applyFont="1" applyFill="1" applyBorder="1" applyAlignment="1">
      <alignment horizontal="center"/>
    </xf>
    <xf numFmtId="0" fontId="20" fillId="8" borderId="18" xfId="8" applyFont="1" applyFill="1" applyBorder="1" applyAlignment="1">
      <alignment horizontal="center"/>
    </xf>
    <xf numFmtId="0" fontId="20" fillId="8" borderId="20" xfId="8" applyFont="1" applyFill="1" applyBorder="1" applyAlignment="1">
      <alignment horizontal="center"/>
    </xf>
    <xf numFmtId="3" fontId="20" fillId="8" borderId="17" xfId="8" applyNumberFormat="1" applyFont="1" applyFill="1" applyBorder="1" applyAlignment="1">
      <alignment horizontal="center"/>
    </xf>
    <xf numFmtId="3" fontId="20" fillId="8" borderId="18" xfId="8" applyNumberFormat="1" applyFont="1" applyFill="1" applyBorder="1" applyAlignment="1">
      <alignment horizontal="center"/>
    </xf>
    <xf numFmtId="4" fontId="20" fillId="8" borderId="61" xfId="8" applyNumberFormat="1" applyFont="1" applyFill="1" applyBorder="1" applyAlignment="1">
      <alignment horizontal="center"/>
    </xf>
    <xf numFmtId="3" fontId="20" fillId="8" borderId="61" xfId="8" applyNumberFormat="1" applyFont="1" applyFill="1" applyBorder="1" applyAlignment="1">
      <alignment horizontal="center"/>
    </xf>
    <xf numFmtId="3" fontId="20" fillId="8" borderId="36" xfId="8" applyNumberFormat="1" applyFont="1" applyFill="1" applyBorder="1" applyAlignment="1">
      <alignment horizontal="center"/>
    </xf>
    <xf numFmtId="3" fontId="20" fillId="8" borderId="1" xfId="8" applyNumberFormat="1" applyFont="1" applyFill="1" applyBorder="1" applyAlignment="1">
      <alignment horizontal="center"/>
    </xf>
    <xf numFmtId="4" fontId="20" fillId="8" borderId="36" xfId="8" applyNumberFormat="1" applyFont="1" applyFill="1" applyBorder="1" applyAlignment="1">
      <alignment horizontal="center"/>
    </xf>
    <xf numFmtId="4" fontId="20" fillId="8" borderId="38" xfId="8" applyNumberFormat="1" applyFont="1" applyFill="1" applyBorder="1" applyAlignment="1">
      <alignment horizontal="center"/>
    </xf>
    <xf numFmtId="4" fontId="20" fillId="8" borderId="18" xfId="8" applyNumberFormat="1" applyFont="1" applyFill="1" applyBorder="1" applyAlignment="1">
      <alignment horizontal="center"/>
    </xf>
    <xf numFmtId="4" fontId="20" fillId="8" borderId="19" xfId="8" applyNumberFormat="1" applyFont="1" applyFill="1" applyBorder="1" applyAlignment="1">
      <alignment horizontal="center"/>
    </xf>
    <xf numFmtId="0" fontId="20" fillId="0" borderId="0" xfId="8" applyFont="1"/>
    <xf numFmtId="0" fontId="25" fillId="0" borderId="4" xfId="9" applyFont="1" applyBorder="1" applyAlignment="1">
      <alignment horizontal="center"/>
    </xf>
    <xf numFmtId="0" fontId="7" fillId="0" borderId="5" xfId="9" applyFont="1" applyBorder="1" applyAlignment="1">
      <alignment horizontal="center"/>
    </xf>
    <xf numFmtId="0" fontId="25" fillId="0" borderId="5" xfId="9" applyFont="1" applyBorder="1" applyAlignment="1">
      <alignment horizontal="center"/>
    </xf>
    <xf numFmtId="0" fontId="5" fillId="0" borderId="40" xfId="9" applyFont="1" applyBorder="1"/>
    <xf numFmtId="0" fontId="7" fillId="0" borderId="6" xfId="9" applyFont="1" applyBorder="1"/>
    <xf numFmtId="3" fontId="34" fillId="0" borderId="8" xfId="8" applyNumberFormat="1" applyFont="1" applyBorder="1"/>
    <xf numFmtId="3" fontId="34" fillId="0" borderId="26" xfId="8" applyNumberFormat="1" applyFont="1" applyBorder="1"/>
    <xf numFmtId="3" fontId="25" fillId="0" borderId="1" xfId="5" applyNumberFormat="1" applyFont="1" applyBorder="1"/>
    <xf numFmtId="4" fontId="25" fillId="0" borderId="26" xfId="8" applyNumberFormat="1" applyFont="1" applyBorder="1"/>
    <xf numFmtId="3" fontId="6" fillId="0" borderId="51" xfId="8" applyNumberFormat="1" applyFont="1" applyBorder="1"/>
    <xf numFmtId="3" fontId="6" fillId="0" borderId="26" xfId="8" applyNumberFormat="1" applyFont="1" applyBorder="1"/>
    <xf numFmtId="3" fontId="5" fillId="0" borderId="1" xfId="8" applyNumberFormat="1" applyFont="1" applyBorder="1"/>
    <xf numFmtId="3" fontId="5" fillId="0" borderId="26" xfId="8" applyNumberFormat="1" applyFont="1" applyBorder="1"/>
    <xf numFmtId="4" fontId="6" fillId="0" borderId="26" xfId="8" applyNumberFormat="1" applyFont="1" applyBorder="1"/>
    <xf numFmtId="4" fontId="6" fillId="0" borderId="27" xfId="8" applyNumberFormat="1" applyFont="1" applyBorder="1"/>
    <xf numFmtId="3" fontId="6" fillId="0" borderId="1" xfId="8" applyNumberFormat="1" applyFont="1" applyBorder="1"/>
    <xf numFmtId="0" fontId="22" fillId="3" borderId="8" xfId="9" applyFont="1" applyFill="1" applyBorder="1" applyAlignment="1">
      <alignment horizontal="center"/>
    </xf>
    <xf numFmtId="0" fontId="10" fillId="3" borderId="1" xfId="9" applyFont="1" applyFill="1" applyBorder="1" applyAlignment="1">
      <alignment horizontal="center"/>
    </xf>
    <xf numFmtId="0" fontId="22" fillId="3" borderId="1" xfId="9" applyFont="1" applyFill="1" applyBorder="1" applyAlignment="1">
      <alignment horizontal="center"/>
    </xf>
    <xf numFmtId="0" fontId="10" fillId="3" borderId="30" xfId="9" applyFont="1" applyFill="1" applyBorder="1"/>
    <xf numFmtId="0" fontId="7" fillId="3" borderId="1" xfId="9" applyFont="1" applyFill="1" applyBorder="1" applyAlignment="1">
      <alignment horizontal="center"/>
    </xf>
    <xf numFmtId="0" fontId="7" fillId="3" borderId="9" xfId="9" applyFont="1" applyFill="1" applyBorder="1"/>
    <xf numFmtId="3" fontId="11" fillId="3" borderId="8" xfId="9" applyNumberFormat="1" applyFont="1" applyFill="1" applyBorder="1"/>
    <xf numFmtId="3" fontId="11" fillId="3" borderId="1" xfId="9" applyNumberFormat="1" applyFont="1" applyFill="1" applyBorder="1"/>
    <xf numFmtId="4" fontId="11" fillId="3" borderId="1" xfId="9" applyNumberFormat="1" applyFont="1" applyFill="1" applyBorder="1"/>
    <xf numFmtId="3" fontId="11" fillId="3" borderId="31" xfId="9" applyNumberFormat="1" applyFont="1" applyFill="1" applyBorder="1"/>
    <xf numFmtId="4" fontId="11" fillId="3" borderId="10" xfId="9" applyNumberFormat="1" applyFont="1" applyFill="1" applyBorder="1"/>
    <xf numFmtId="3" fontId="11" fillId="3" borderId="30" xfId="9" applyNumberFormat="1" applyFont="1" applyFill="1" applyBorder="1"/>
    <xf numFmtId="3" fontId="11" fillId="3" borderId="22" xfId="9" applyNumberFormat="1" applyFont="1" applyFill="1" applyBorder="1"/>
    <xf numFmtId="0" fontId="25" fillId="0" borderId="8" xfId="9" applyFont="1" applyBorder="1" applyAlignment="1">
      <alignment horizontal="center"/>
    </xf>
    <xf numFmtId="0" fontId="25" fillId="0" borderId="1" xfId="9" applyFont="1" applyBorder="1" applyAlignment="1">
      <alignment horizontal="center"/>
    </xf>
    <xf numFmtId="0" fontId="24" fillId="0" borderId="66" xfId="9" applyFont="1" applyBorder="1" applyAlignment="1">
      <alignment horizontal="center"/>
    </xf>
    <xf numFmtId="0" fontId="25" fillId="0" borderId="30" xfId="9" applyFont="1" applyBorder="1"/>
    <xf numFmtId="0" fontId="25" fillId="0" borderId="9" xfId="9" applyFont="1" applyBorder="1"/>
    <xf numFmtId="0" fontId="25" fillId="0" borderId="9" xfId="9" applyFont="1" applyBorder="1" applyAlignment="1">
      <alignment horizontal="left"/>
    </xf>
    <xf numFmtId="3" fontId="34" fillId="0" borderId="1" xfId="8" applyNumberFormat="1" applyFont="1" applyBorder="1"/>
    <xf numFmtId="4" fontId="25" fillId="0" borderId="1" xfId="8" applyNumberFormat="1" applyFont="1" applyBorder="1"/>
    <xf numFmtId="3" fontId="6" fillId="0" borderId="30" xfId="8" applyNumberFormat="1" applyFont="1" applyBorder="1"/>
    <xf numFmtId="4" fontId="6" fillId="0" borderId="1" xfId="8" applyNumberFormat="1" applyFont="1" applyBorder="1"/>
    <xf numFmtId="4" fontId="6" fillId="0" borderId="10" xfId="8" applyNumberFormat="1" applyFont="1" applyBorder="1"/>
    <xf numFmtId="3" fontId="6" fillId="0" borderId="9" xfId="8" applyNumberFormat="1" applyFont="1" applyBorder="1"/>
    <xf numFmtId="0" fontId="7" fillId="0" borderId="9" xfId="5" applyFont="1" applyBorder="1" applyAlignment="1">
      <alignment horizontal="left"/>
    </xf>
    <xf numFmtId="0" fontId="26" fillId="3" borderId="66" xfId="9" applyFont="1" applyFill="1" applyBorder="1" applyAlignment="1">
      <alignment horizontal="center"/>
    </xf>
    <xf numFmtId="0" fontId="22" fillId="3" borderId="30" xfId="9" applyFont="1" applyFill="1" applyBorder="1"/>
    <xf numFmtId="0" fontId="22" fillId="3" borderId="9" xfId="9" applyFont="1" applyFill="1" applyBorder="1"/>
    <xf numFmtId="3" fontId="22" fillId="3" borderId="8" xfId="9" applyNumberFormat="1" applyFont="1" applyFill="1" applyBorder="1"/>
    <xf numFmtId="3" fontId="22" fillId="3" borderId="1" xfId="9" applyNumberFormat="1" applyFont="1" applyFill="1" applyBorder="1"/>
    <xf numFmtId="4" fontId="22" fillId="3" borderId="1" xfId="9" applyNumberFormat="1" applyFont="1" applyFill="1" applyBorder="1"/>
    <xf numFmtId="3" fontId="22" fillId="3" borderId="40" xfId="9" applyNumberFormat="1" applyFont="1" applyFill="1" applyBorder="1"/>
    <xf numFmtId="4" fontId="22" fillId="3" borderId="10" xfId="9" applyNumberFormat="1" applyFont="1" applyFill="1" applyBorder="1"/>
    <xf numFmtId="3" fontId="22" fillId="3" borderId="30" xfId="9" applyNumberFormat="1" applyFont="1" applyFill="1" applyBorder="1"/>
    <xf numFmtId="3" fontId="22" fillId="3" borderId="5" xfId="9" applyNumberFormat="1" applyFont="1" applyFill="1" applyBorder="1"/>
    <xf numFmtId="0" fontId="25" fillId="3" borderId="1" xfId="9" applyFont="1" applyFill="1" applyBorder="1" applyAlignment="1">
      <alignment horizontal="center"/>
    </xf>
    <xf numFmtId="0" fontId="25" fillId="3" borderId="9" xfId="9" applyFont="1" applyFill="1" applyBorder="1"/>
    <xf numFmtId="0" fontId="7" fillId="0" borderId="9" xfId="9" applyFont="1" applyBorder="1"/>
    <xf numFmtId="0" fontId="22" fillId="3" borderId="31" xfId="9" applyFont="1" applyFill="1" applyBorder="1"/>
    <xf numFmtId="0" fontId="25" fillId="3" borderId="22" xfId="9" applyFont="1" applyFill="1" applyBorder="1" applyAlignment="1">
      <alignment horizontal="center"/>
    </xf>
    <xf numFmtId="0" fontId="25" fillId="3" borderId="32" xfId="9" applyFont="1" applyFill="1" applyBorder="1"/>
    <xf numFmtId="0" fontId="25" fillId="0" borderId="31" xfId="9" applyFont="1" applyBorder="1"/>
    <xf numFmtId="0" fontId="25" fillId="0" borderId="22" xfId="9" applyFont="1" applyBorder="1" applyAlignment="1">
      <alignment horizontal="center"/>
    </xf>
    <xf numFmtId="0" fontId="25" fillId="0" borderId="32" xfId="9" applyFont="1" applyBorder="1"/>
    <xf numFmtId="0" fontId="22" fillId="3" borderId="28" xfId="9" applyFont="1" applyFill="1" applyBorder="1" applyAlignment="1">
      <alignment horizontal="center"/>
    </xf>
    <xf numFmtId="0" fontId="22" fillId="3" borderId="22" xfId="9" applyFont="1" applyFill="1" applyBorder="1" applyAlignment="1">
      <alignment horizontal="center"/>
    </xf>
    <xf numFmtId="3" fontId="22" fillId="3" borderId="28" xfId="9" applyNumberFormat="1" applyFont="1" applyFill="1" applyBorder="1"/>
    <xf numFmtId="3" fontId="22" fillId="3" borderId="22" xfId="9" applyNumberFormat="1" applyFont="1" applyFill="1" applyBorder="1"/>
    <xf numFmtId="4" fontId="22" fillId="3" borderId="22" xfId="9" applyNumberFormat="1" applyFont="1" applyFill="1" applyBorder="1"/>
    <xf numFmtId="3" fontId="22" fillId="3" borderId="31" xfId="9" applyNumberFormat="1" applyFont="1" applyFill="1" applyBorder="1"/>
    <xf numFmtId="4" fontId="22" fillId="3" borderId="29" xfId="9" applyNumberFormat="1" applyFont="1" applyFill="1" applyBorder="1"/>
    <xf numFmtId="0" fontId="27" fillId="5" borderId="17" xfId="9" applyFont="1" applyFill="1" applyBorder="1" applyAlignment="1">
      <alignment horizontal="center"/>
    </xf>
    <xf numFmtId="0" fontId="1" fillId="5" borderId="18" xfId="9" applyFill="1" applyBorder="1"/>
    <xf numFmtId="0" fontId="1" fillId="5" borderId="18" xfId="9" applyFill="1" applyBorder="1" applyAlignment="1">
      <alignment horizontal="center"/>
    </xf>
    <xf numFmtId="3" fontId="11" fillId="7" borderId="18" xfId="8" applyNumberFormat="1" applyFont="1" applyFill="1" applyBorder="1"/>
    <xf numFmtId="0" fontId="1" fillId="5" borderId="20" xfId="9" applyFill="1" applyBorder="1"/>
    <xf numFmtId="0" fontId="1" fillId="5" borderId="46" xfId="9" applyFill="1" applyBorder="1"/>
    <xf numFmtId="3" fontId="22" fillId="5" borderId="17" xfId="9" applyNumberFormat="1" applyFont="1" applyFill="1" applyBorder="1"/>
    <xf numFmtId="3" fontId="22" fillId="5" borderId="18" xfId="9" applyNumberFormat="1" applyFont="1" applyFill="1" applyBorder="1"/>
    <xf numFmtId="4" fontId="22" fillId="5" borderId="18" xfId="9" applyNumberFormat="1" applyFont="1" applyFill="1" applyBorder="1"/>
    <xf numFmtId="3" fontId="22" fillId="5" borderId="24" xfId="9" applyNumberFormat="1" applyFont="1" applyFill="1" applyBorder="1"/>
    <xf numFmtId="4" fontId="22" fillId="5" borderId="19" xfId="9" applyNumberFormat="1" applyFont="1" applyFill="1" applyBorder="1"/>
    <xf numFmtId="0" fontId="24" fillId="0" borderId="0" xfId="9" applyFont="1" applyAlignment="1">
      <alignment horizontal="center"/>
    </xf>
    <xf numFmtId="0" fontId="1" fillId="0" borderId="0" xfId="9" applyAlignment="1">
      <alignment horizontal="center"/>
    </xf>
    <xf numFmtId="0" fontId="12" fillId="0" borderId="0" xfId="9" applyFont="1"/>
    <xf numFmtId="3" fontId="35" fillId="0" borderId="0" xfId="8" applyNumberFormat="1" applyFont="1"/>
    <xf numFmtId="4" fontId="35" fillId="0" borderId="0" xfId="8" applyNumberFormat="1" applyFont="1"/>
    <xf numFmtId="3" fontId="12" fillId="0" borderId="0" xfId="8" applyNumberFormat="1" applyFont="1"/>
    <xf numFmtId="3" fontId="6" fillId="0" borderId="0" xfId="8" applyNumberFormat="1" applyFont="1"/>
    <xf numFmtId="3" fontId="5" fillId="0" borderId="0" xfId="8" applyNumberFormat="1" applyFont="1"/>
    <xf numFmtId="4" fontId="6" fillId="0" borderId="0" xfId="8" applyNumberFormat="1" applyFont="1"/>
    <xf numFmtId="4" fontId="12" fillId="0" borderId="0" xfId="8" applyNumberFormat="1" applyFont="1"/>
    <xf numFmtId="0" fontId="34" fillId="0" borderId="0" xfId="8" applyFont="1"/>
    <xf numFmtId="3" fontId="35" fillId="0" borderId="0" xfId="8" applyNumberFormat="1" applyFont="1" applyAlignment="1">
      <alignment horizontal="right"/>
    </xf>
    <xf numFmtId="4" fontId="35" fillId="0" borderId="0" xfId="8" applyNumberFormat="1" applyFont="1" applyAlignment="1">
      <alignment horizontal="right"/>
    </xf>
    <xf numFmtId="4" fontId="35" fillId="0" borderId="50" xfId="8" applyNumberFormat="1" applyFont="1" applyBorder="1"/>
    <xf numFmtId="3" fontId="12" fillId="0" borderId="50" xfId="8" applyNumberFormat="1" applyFont="1" applyBorder="1"/>
    <xf numFmtId="3" fontId="6" fillId="0" borderId="50" xfId="8" applyNumberFormat="1" applyFont="1" applyBorder="1"/>
    <xf numFmtId="3" fontId="5" fillId="0" borderId="50" xfId="8" applyNumberFormat="1" applyFont="1" applyBorder="1"/>
    <xf numFmtId="4" fontId="6" fillId="0" borderId="50" xfId="8" applyNumberFormat="1" applyFont="1" applyBorder="1"/>
    <xf numFmtId="4" fontId="12" fillId="0" borderId="50" xfId="8" applyNumberFormat="1" applyFont="1" applyBorder="1"/>
    <xf numFmtId="3" fontId="35" fillId="0" borderId="50" xfId="8" applyNumberFormat="1" applyFont="1" applyBorder="1"/>
    <xf numFmtId="0" fontId="34" fillId="0" borderId="50" xfId="8" applyFont="1" applyBorder="1"/>
    <xf numFmtId="0" fontId="6" fillId="0" borderId="0" xfId="5" applyFont="1" applyAlignment="1">
      <alignment horizontal="center"/>
    </xf>
    <xf numFmtId="0" fontId="6" fillId="0" borderId="0" xfId="5" applyFont="1"/>
    <xf numFmtId="0" fontId="6" fillId="0" borderId="0" xfId="5" applyFont="1" applyAlignment="1">
      <alignment horizontal="left"/>
    </xf>
    <xf numFmtId="0" fontId="12" fillId="0" borderId="43" xfId="5" applyFont="1" applyBorder="1" applyAlignment="1">
      <alignment horizontal="left"/>
    </xf>
    <xf numFmtId="3" fontId="13" fillId="4" borderId="17" xfId="5" applyNumberFormat="1" applyFont="1" applyFill="1" applyBorder="1"/>
    <xf numFmtId="3" fontId="13" fillId="4" borderId="18" xfId="5" applyNumberFormat="1" applyFont="1" applyFill="1" applyBorder="1"/>
    <xf numFmtId="4" fontId="13" fillId="4" borderId="18" xfId="5" applyNumberFormat="1" applyFont="1" applyFill="1" applyBorder="1"/>
    <xf numFmtId="3" fontId="13" fillId="4" borderId="24" xfId="5" applyNumberFormat="1" applyFont="1" applyFill="1" applyBorder="1"/>
    <xf numFmtId="4" fontId="13" fillId="4" borderId="24" xfId="5" applyNumberFormat="1" applyFont="1" applyFill="1" applyBorder="1"/>
    <xf numFmtId="4" fontId="13" fillId="4" borderId="46" xfId="5" applyNumberFormat="1" applyFont="1" applyFill="1" applyBorder="1"/>
    <xf numFmtId="4" fontId="13" fillId="4" borderId="21" xfId="5" applyNumberFormat="1" applyFont="1" applyFill="1" applyBorder="1"/>
    <xf numFmtId="0" fontId="12" fillId="0" borderId="2" xfId="5" applyFont="1" applyBorder="1" applyAlignment="1">
      <alignment horizontal="left"/>
    </xf>
    <xf numFmtId="4" fontId="6" fillId="0" borderId="40" xfId="5" applyNumberFormat="1" applyFont="1" applyBorder="1"/>
    <xf numFmtId="4" fontId="6" fillId="0" borderId="42" xfId="5" applyNumberFormat="1" applyFont="1" applyBorder="1"/>
    <xf numFmtId="4" fontId="6" fillId="0" borderId="33" xfId="5" applyNumberFormat="1" applyFont="1" applyBorder="1"/>
    <xf numFmtId="0" fontId="12" fillId="0" borderId="3" xfId="5" applyFont="1" applyBorder="1" applyAlignment="1">
      <alignment horizontal="left"/>
    </xf>
    <xf numFmtId="4" fontId="6" fillId="0" borderId="30" xfId="5" applyNumberFormat="1" applyFont="1" applyBorder="1"/>
    <xf numFmtId="4" fontId="6" fillId="0" borderId="53" xfId="5" applyNumberFormat="1" applyFont="1" applyBorder="1"/>
    <xf numFmtId="4" fontId="6" fillId="0" borderId="75" xfId="5" applyNumberFormat="1" applyFont="1" applyBorder="1"/>
    <xf numFmtId="0" fontId="12" fillId="0" borderId="16" xfId="5" applyFont="1" applyBorder="1" applyAlignment="1">
      <alignment horizontal="left"/>
    </xf>
    <xf numFmtId="3" fontId="6" fillId="0" borderId="11" xfId="5" applyNumberFormat="1" applyFont="1" applyBorder="1"/>
    <xf numFmtId="3" fontId="6" fillId="0" borderId="12" xfId="5" applyNumberFormat="1" applyFont="1" applyBorder="1"/>
    <xf numFmtId="4" fontId="6" fillId="0" borderId="12" xfId="5" applyNumberFormat="1" applyFont="1" applyBorder="1"/>
    <xf numFmtId="3" fontId="6" fillId="0" borderId="45" xfId="5" applyNumberFormat="1" applyFont="1" applyBorder="1"/>
    <xf numFmtId="4" fontId="6" fillId="0" borderId="45" xfId="5" applyNumberFormat="1" applyFont="1" applyBorder="1"/>
    <xf numFmtId="4" fontId="6" fillId="0" borderId="65" xfId="5" applyNumberFormat="1" applyFont="1" applyBorder="1"/>
    <xf numFmtId="4" fontId="6" fillId="0" borderId="76" xfId="5" applyNumberFormat="1" applyFont="1" applyBorder="1"/>
    <xf numFmtId="3" fontId="1" fillId="0" borderId="0" xfId="9" applyNumberFormat="1"/>
    <xf numFmtId="4" fontId="1" fillId="0" borderId="0" xfId="9" applyNumberFormat="1"/>
    <xf numFmtId="165" fontId="1" fillId="0" borderId="0" xfId="9" applyNumberFormat="1"/>
    <xf numFmtId="0" fontId="23" fillId="0" borderId="0" xfId="9" applyFont="1"/>
    <xf numFmtId="4" fontId="20" fillId="8" borderId="24" xfId="8" applyNumberFormat="1" applyFont="1" applyFill="1" applyBorder="1" applyAlignment="1">
      <alignment horizontal="center"/>
    </xf>
    <xf numFmtId="3" fontId="20" fillId="8" borderId="24" xfId="8" applyNumberFormat="1" applyFont="1" applyFill="1" applyBorder="1" applyAlignment="1">
      <alignment horizontal="center"/>
    </xf>
    <xf numFmtId="4" fontId="20" fillId="8" borderId="20" xfId="8" applyNumberFormat="1" applyFont="1" applyFill="1" applyBorder="1" applyAlignment="1">
      <alignment horizontal="center"/>
    </xf>
    <xf numFmtId="3" fontId="20" fillId="8" borderId="35" xfId="8" applyNumberFormat="1" applyFont="1" applyFill="1" applyBorder="1" applyAlignment="1">
      <alignment horizontal="center"/>
    </xf>
    <xf numFmtId="165" fontId="20" fillId="0" borderId="0" xfId="8" applyNumberFormat="1" applyFont="1"/>
    <xf numFmtId="0" fontId="6" fillId="0" borderId="5" xfId="9" applyFont="1" applyBorder="1" applyAlignment="1">
      <alignment horizontal="center"/>
    </xf>
    <xf numFmtId="1" fontId="6" fillId="0" borderId="5" xfId="9" applyNumberFormat="1" applyFont="1" applyBorder="1" applyAlignment="1">
      <alignment horizontal="center"/>
    </xf>
    <xf numFmtId="0" fontId="25" fillId="0" borderId="5" xfId="9" applyFont="1" applyBorder="1"/>
    <xf numFmtId="0" fontId="25" fillId="0" borderId="6" xfId="9" applyFont="1" applyBorder="1"/>
    <xf numFmtId="3" fontId="34" fillId="0" borderId="25" xfId="8" applyNumberFormat="1" applyFont="1" applyBorder="1"/>
    <xf numFmtId="3" fontId="25" fillId="0" borderId="26" xfId="5" applyNumberFormat="1" applyFont="1" applyBorder="1"/>
    <xf numFmtId="3" fontId="6" fillId="0" borderId="40" xfId="8" applyNumberFormat="1" applyFont="1" applyBorder="1"/>
    <xf numFmtId="3" fontId="6" fillId="0" borderId="5" xfId="8" applyNumberFormat="1" applyFont="1" applyBorder="1"/>
    <xf numFmtId="3" fontId="5" fillId="0" borderId="5" xfId="8" applyNumberFormat="1" applyFont="1" applyBorder="1"/>
    <xf numFmtId="4" fontId="6" fillId="0" borderId="5" xfId="8" applyNumberFormat="1" applyFont="1" applyBorder="1"/>
    <xf numFmtId="4" fontId="6" fillId="0" borderId="6" xfId="8" applyNumberFormat="1" applyFont="1" applyBorder="1"/>
    <xf numFmtId="3" fontId="6" fillId="0" borderId="8" xfId="8" applyNumberFormat="1" applyFont="1" applyBorder="1"/>
    <xf numFmtId="0" fontId="6" fillId="0" borderId="1" xfId="9" applyFont="1" applyBorder="1" applyAlignment="1">
      <alignment horizontal="center"/>
    </xf>
    <xf numFmtId="1" fontId="6" fillId="0" borderId="1" xfId="9" applyNumberFormat="1" applyFont="1" applyBorder="1" applyAlignment="1">
      <alignment horizontal="center"/>
    </xf>
    <xf numFmtId="0" fontId="25" fillId="0" borderId="1" xfId="9" applyFont="1" applyBorder="1"/>
    <xf numFmtId="4" fontId="6" fillId="0" borderId="9" xfId="8" applyNumberFormat="1" applyFont="1" applyBorder="1"/>
    <xf numFmtId="0" fontId="12" fillId="3" borderId="8" xfId="9" applyFont="1" applyFill="1" applyBorder="1" applyAlignment="1">
      <alignment horizontal="center"/>
    </xf>
    <xf numFmtId="0" fontId="12" fillId="3" borderId="1" xfId="9" applyFont="1" applyFill="1" applyBorder="1" applyAlignment="1">
      <alignment horizontal="center"/>
    </xf>
    <xf numFmtId="1" fontId="12" fillId="3" borderId="1" xfId="9" applyNumberFormat="1" applyFont="1" applyFill="1" applyBorder="1" applyAlignment="1">
      <alignment horizontal="center"/>
    </xf>
    <xf numFmtId="0" fontId="22" fillId="3" borderId="1" xfId="9" applyFont="1" applyFill="1" applyBorder="1"/>
    <xf numFmtId="3" fontId="12" fillId="3" borderId="8" xfId="9" applyNumberFormat="1" applyFont="1" applyFill="1" applyBorder="1"/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12" fillId="3" borderId="30" xfId="9" applyNumberFormat="1" applyFont="1" applyFill="1" applyBorder="1"/>
    <xf numFmtId="4" fontId="12" fillId="3" borderId="9" xfId="9" applyNumberFormat="1" applyFont="1" applyFill="1" applyBorder="1"/>
    <xf numFmtId="4" fontId="12" fillId="3" borderId="10" xfId="9" applyNumberFormat="1" applyFont="1" applyFill="1" applyBorder="1"/>
    <xf numFmtId="0" fontId="25" fillId="3" borderId="1" xfId="9" applyFont="1" applyFill="1" applyBorder="1"/>
    <xf numFmtId="1" fontId="25" fillId="0" borderId="1" xfId="9" applyNumberFormat="1" applyFont="1" applyBorder="1" applyAlignment="1">
      <alignment horizontal="center"/>
    </xf>
    <xf numFmtId="0" fontId="7" fillId="0" borderId="1" xfId="5" applyFont="1" applyBorder="1" applyAlignment="1">
      <alignment horizontal="left"/>
    </xf>
    <xf numFmtId="1" fontId="6" fillId="3" borderId="1" xfId="9" applyNumberFormat="1" applyFont="1" applyFill="1" applyBorder="1" applyAlignment="1">
      <alignment horizontal="center"/>
    </xf>
    <xf numFmtId="3" fontId="12" fillId="3" borderId="8" xfId="9" applyNumberFormat="1" applyFont="1" applyFill="1" applyBorder="1" applyAlignment="1">
      <alignment horizontal="right"/>
    </xf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30" xfId="9" applyNumberFormat="1" applyFont="1" applyFill="1" applyBorder="1" applyAlignment="1">
      <alignment horizontal="right"/>
    </xf>
    <xf numFmtId="4" fontId="12" fillId="3" borderId="9" xfId="9" applyNumberFormat="1" applyFont="1" applyFill="1" applyBorder="1" applyAlignment="1">
      <alignment horizontal="right"/>
    </xf>
    <xf numFmtId="4" fontId="12" fillId="3" borderId="10" xfId="9" applyNumberFormat="1" applyFont="1" applyFill="1" applyBorder="1" applyAlignment="1">
      <alignment horizontal="right"/>
    </xf>
    <xf numFmtId="1" fontId="24" fillId="0" borderId="1" xfId="9" applyNumberFormat="1" applyFont="1" applyBorder="1" applyAlignment="1">
      <alignment horizontal="center"/>
    </xf>
    <xf numFmtId="4" fontId="22" fillId="3" borderId="9" xfId="9" applyNumberFormat="1" applyFont="1" applyFill="1" applyBorder="1"/>
    <xf numFmtId="0" fontId="12" fillId="3" borderId="28" xfId="9" applyFont="1" applyFill="1" applyBorder="1" applyAlignment="1">
      <alignment horizontal="center"/>
    </xf>
    <xf numFmtId="0" fontId="12" fillId="3" borderId="22" xfId="9" applyFont="1" applyFill="1" applyBorder="1" applyAlignment="1">
      <alignment horizontal="center"/>
    </xf>
    <xf numFmtId="1" fontId="12" fillId="3" borderId="22" xfId="9" applyNumberFormat="1" applyFont="1" applyFill="1" applyBorder="1" applyAlignment="1">
      <alignment horizontal="center"/>
    </xf>
    <xf numFmtId="0" fontId="22" fillId="3" borderId="22" xfId="9" applyFont="1" applyFill="1" applyBorder="1"/>
    <xf numFmtId="0" fontId="25" fillId="3" borderId="22" xfId="9" applyFont="1" applyFill="1" applyBorder="1"/>
    <xf numFmtId="3" fontId="22" fillId="3" borderId="11" xfId="9" applyNumberFormat="1" applyFont="1" applyFill="1" applyBorder="1"/>
    <xf numFmtId="3" fontId="22" fillId="3" borderId="12" xfId="9" applyNumberFormat="1" applyFont="1" applyFill="1" applyBorder="1"/>
    <xf numFmtId="4" fontId="22" fillId="3" borderId="12" xfId="9" applyNumberFormat="1" applyFont="1" applyFill="1" applyBorder="1"/>
    <xf numFmtId="4" fontId="22" fillId="3" borderId="32" xfId="9" applyNumberFormat="1" applyFont="1" applyFill="1" applyBorder="1"/>
    <xf numFmtId="0" fontId="24" fillId="5" borderId="17" xfId="9" applyFont="1" applyFill="1" applyBorder="1" applyAlignment="1">
      <alignment horizontal="center"/>
    </xf>
    <xf numFmtId="1" fontId="1" fillId="5" borderId="18" xfId="9" applyNumberFormat="1" applyFill="1" applyBorder="1" applyAlignment="1">
      <alignment horizontal="center"/>
    </xf>
    <xf numFmtId="3" fontId="22" fillId="5" borderId="41" xfId="9" applyNumberFormat="1" applyFont="1" applyFill="1" applyBorder="1"/>
    <xf numFmtId="3" fontId="22" fillId="5" borderId="52" xfId="9" applyNumberFormat="1" applyFont="1" applyFill="1" applyBorder="1"/>
    <xf numFmtId="4" fontId="22" fillId="5" borderId="52" xfId="9" applyNumberFormat="1" applyFont="1" applyFill="1" applyBorder="1"/>
    <xf numFmtId="4" fontId="22" fillId="5" borderId="20" xfId="9" applyNumberFormat="1" applyFont="1" applyFill="1" applyBorder="1"/>
    <xf numFmtId="3" fontId="22" fillId="5" borderId="11" xfId="9" applyNumberFormat="1" applyFont="1" applyFill="1" applyBorder="1"/>
    <xf numFmtId="3" fontId="22" fillId="5" borderId="12" xfId="9" applyNumberFormat="1" applyFont="1" applyFill="1" applyBorder="1"/>
    <xf numFmtId="1" fontId="1" fillId="0" borderId="0" xfId="9" applyNumberFormat="1" applyAlignment="1">
      <alignment horizontal="center"/>
    </xf>
    <xf numFmtId="3" fontId="34" fillId="0" borderId="0" xfId="8" applyNumberFormat="1" applyFont="1"/>
    <xf numFmtId="3" fontId="13" fillId="4" borderId="35" xfId="5" applyNumberFormat="1" applyFont="1" applyFill="1" applyBorder="1"/>
    <xf numFmtId="3" fontId="13" fillId="4" borderId="36" xfId="5" applyNumberFormat="1" applyFont="1" applyFill="1" applyBorder="1"/>
    <xf numFmtId="4" fontId="13" fillId="4" borderId="19" xfId="5" applyNumberFormat="1" applyFont="1" applyFill="1" applyBorder="1"/>
    <xf numFmtId="165" fontId="3" fillId="0" borderId="0" xfId="5" applyNumberFormat="1"/>
    <xf numFmtId="165" fontId="6" fillId="0" borderId="0" xfId="5" applyNumberFormat="1" applyFont="1"/>
    <xf numFmtId="4" fontId="6" fillId="0" borderId="14" xfId="5" applyNumberFormat="1" applyFont="1" applyBorder="1"/>
    <xf numFmtId="3" fontId="12" fillId="0" borderId="45" xfId="5" applyNumberFormat="1" applyFont="1" applyBorder="1" applyAlignment="1">
      <alignment horizontal="center" vertical="center" wrapText="1"/>
    </xf>
    <xf numFmtId="0" fontId="6" fillId="0" borderId="40" xfId="9" applyFont="1" applyBorder="1"/>
    <xf numFmtId="0" fontId="6" fillId="0" borderId="6" xfId="9" applyFont="1" applyBorder="1"/>
    <xf numFmtId="0" fontId="6" fillId="0" borderId="9" xfId="9" applyFont="1" applyBorder="1"/>
    <xf numFmtId="1" fontId="22" fillId="3" borderId="1" xfId="9" applyNumberFormat="1" applyFont="1" applyFill="1" applyBorder="1" applyAlignment="1">
      <alignment horizontal="center"/>
    </xf>
    <xf numFmtId="0" fontId="12" fillId="3" borderId="9" xfId="9" applyFont="1" applyFill="1" applyBorder="1" applyAlignment="1">
      <alignment horizontal="left"/>
    </xf>
    <xf numFmtId="0" fontId="12" fillId="3" borderId="53" xfId="9" applyFont="1" applyFill="1" applyBorder="1" applyAlignment="1">
      <alignment horizontal="left"/>
    </xf>
    <xf numFmtId="0" fontId="6" fillId="0" borderId="30" xfId="9" applyFont="1" applyBorder="1"/>
    <xf numFmtId="0" fontId="12" fillId="3" borderId="30" xfId="9" applyFont="1" applyFill="1" applyBorder="1"/>
    <xf numFmtId="0" fontId="12" fillId="3" borderId="9" xfId="9" applyFont="1" applyFill="1" applyBorder="1"/>
    <xf numFmtId="0" fontId="12" fillId="3" borderId="53" xfId="9" applyFont="1" applyFill="1" applyBorder="1"/>
    <xf numFmtId="3" fontId="11" fillId="3" borderId="8" xfId="9" applyNumberFormat="1" applyFont="1" applyFill="1" applyBorder="1" applyAlignment="1">
      <alignment horizontal="right"/>
    </xf>
    <xf numFmtId="3" fontId="11" fillId="3" borderId="1" xfId="9" applyNumberFormat="1" applyFont="1" applyFill="1" applyBorder="1" applyAlignment="1">
      <alignment horizontal="right"/>
    </xf>
    <xf numFmtId="4" fontId="11" fillId="3" borderId="1" xfId="9" applyNumberFormat="1" applyFont="1" applyFill="1" applyBorder="1" applyAlignment="1">
      <alignment horizontal="right"/>
    </xf>
    <xf numFmtId="3" fontId="11" fillId="3" borderId="30" xfId="9" applyNumberFormat="1" applyFont="1" applyFill="1" applyBorder="1" applyAlignment="1">
      <alignment horizontal="right"/>
    </xf>
    <xf numFmtId="4" fontId="11" fillId="3" borderId="10" xfId="9" applyNumberFormat="1" applyFont="1" applyFill="1" applyBorder="1" applyAlignment="1">
      <alignment horizontal="right"/>
    </xf>
    <xf numFmtId="0" fontId="6" fillId="3" borderId="1" xfId="9" applyFont="1" applyFill="1" applyBorder="1" applyAlignment="1">
      <alignment horizontal="center"/>
    </xf>
    <xf numFmtId="0" fontId="6" fillId="3" borderId="9" xfId="9" applyFont="1" applyFill="1" applyBorder="1"/>
    <xf numFmtId="0" fontId="6" fillId="3" borderId="53" xfId="9" applyFont="1" applyFill="1" applyBorder="1"/>
    <xf numFmtId="1" fontId="11" fillId="3" borderId="1" xfId="9" applyNumberFormat="1" applyFont="1" applyFill="1" applyBorder="1" applyAlignment="1">
      <alignment horizontal="right"/>
    </xf>
    <xf numFmtId="0" fontId="6" fillId="0" borderId="31" xfId="9" applyFont="1" applyBorder="1"/>
    <xf numFmtId="0" fontId="6" fillId="0" borderId="22" xfId="9" applyFont="1" applyBorder="1" applyAlignment="1">
      <alignment horizontal="center"/>
    </xf>
    <xf numFmtId="0" fontId="12" fillId="3" borderId="31" xfId="9" applyFont="1" applyFill="1" applyBorder="1"/>
    <xf numFmtId="0" fontId="12" fillId="3" borderId="32" xfId="9" applyFont="1" applyFill="1" applyBorder="1"/>
    <xf numFmtId="0" fontId="12" fillId="3" borderId="54" xfId="9" applyFont="1" applyFill="1" applyBorder="1"/>
    <xf numFmtId="3" fontId="11" fillId="3" borderId="28" xfId="9" applyNumberFormat="1" applyFont="1" applyFill="1" applyBorder="1"/>
    <xf numFmtId="4" fontId="11" fillId="3" borderId="22" xfId="9" applyNumberFormat="1" applyFont="1" applyFill="1" applyBorder="1"/>
    <xf numFmtId="4" fontId="11" fillId="3" borderId="29" xfId="9" applyNumberFormat="1" applyFont="1" applyFill="1" applyBorder="1"/>
    <xf numFmtId="0" fontId="28" fillId="7" borderId="17" xfId="9" applyFont="1" applyFill="1" applyBorder="1" applyAlignment="1">
      <alignment horizontal="center"/>
    </xf>
    <xf numFmtId="0" fontId="11" fillId="7" borderId="18" xfId="9" applyFont="1" applyFill="1" applyBorder="1" applyAlignment="1">
      <alignment horizontal="center"/>
    </xf>
    <xf numFmtId="1" fontId="11" fillId="7" borderId="18" xfId="9" applyNumberFormat="1" applyFont="1" applyFill="1" applyBorder="1" applyAlignment="1">
      <alignment horizontal="center"/>
    </xf>
    <xf numFmtId="0" fontId="11" fillId="7" borderId="20" xfId="9" applyFont="1" applyFill="1" applyBorder="1"/>
    <xf numFmtId="3" fontId="11" fillId="7" borderId="17" xfId="9" applyNumberFormat="1" applyFont="1" applyFill="1" applyBorder="1"/>
    <xf numFmtId="3" fontId="11" fillId="7" borderId="18" xfId="9" applyNumberFormat="1" applyFont="1" applyFill="1" applyBorder="1"/>
    <xf numFmtId="4" fontId="11" fillId="7" borderId="18" xfId="9" applyNumberFormat="1" applyFont="1" applyFill="1" applyBorder="1"/>
    <xf numFmtId="3" fontId="11" fillId="7" borderId="24" xfId="9" applyNumberFormat="1" applyFont="1" applyFill="1" applyBorder="1"/>
    <xf numFmtId="4" fontId="11" fillId="7" borderId="19" xfId="9" applyNumberFormat="1" applyFont="1" applyFill="1" applyBorder="1"/>
    <xf numFmtId="1" fontId="20" fillId="0" borderId="0" xfId="9" applyNumberFormat="1" applyFont="1" applyAlignment="1">
      <alignment horizontal="center"/>
    </xf>
    <xf numFmtId="4" fontId="13" fillId="4" borderId="20" xfId="5" applyNumberFormat="1" applyFont="1" applyFill="1" applyBorder="1"/>
    <xf numFmtId="4" fontId="6" fillId="0" borderId="13" xfId="5" applyNumberFormat="1" applyFont="1" applyBorder="1"/>
    <xf numFmtId="1" fontId="20" fillId="0" borderId="0" xfId="9" applyNumberFormat="1" applyFont="1"/>
    <xf numFmtId="0" fontId="12" fillId="0" borderId="0" xfId="5" applyFont="1" applyAlignment="1">
      <alignment horizontal="center"/>
    </xf>
    <xf numFmtId="0" fontId="25" fillId="0" borderId="0" xfId="8" applyFont="1" applyAlignment="1">
      <alignment horizontal="center"/>
    </xf>
    <xf numFmtId="0" fontId="22" fillId="0" borderId="0" xfId="8" applyFont="1" applyAlignment="1">
      <alignment horizontal="center"/>
    </xf>
    <xf numFmtId="0" fontId="22" fillId="0" borderId="17" xfId="8" applyFont="1" applyBorder="1" applyAlignment="1">
      <alignment horizontal="center" vertical="center"/>
    </xf>
    <xf numFmtId="0" fontId="25" fillId="8" borderId="17" xfId="8" applyFont="1" applyFill="1" applyBorder="1" applyAlignment="1">
      <alignment horizontal="center"/>
    </xf>
    <xf numFmtId="4" fontId="20" fillId="8" borderId="37" xfId="8" applyNumberFormat="1" applyFont="1" applyFill="1" applyBorder="1" applyAlignment="1">
      <alignment horizontal="center"/>
    </xf>
    <xf numFmtId="0" fontId="5" fillId="0" borderId="5" xfId="9" applyFont="1" applyBorder="1"/>
    <xf numFmtId="0" fontId="7" fillId="0" borderId="5" xfId="9" applyFont="1" applyBorder="1"/>
    <xf numFmtId="0" fontId="25" fillId="0" borderId="6" xfId="9" applyFont="1" applyBorder="1" applyAlignment="1">
      <alignment horizontal="left"/>
    </xf>
    <xf numFmtId="4" fontId="34" fillId="0" borderId="26" xfId="8" applyNumberFormat="1" applyFont="1" applyBorder="1"/>
    <xf numFmtId="4" fontId="34" fillId="0" borderId="27" xfId="8" applyNumberFormat="1" applyFont="1" applyBorder="1"/>
    <xf numFmtId="4" fontId="6" fillId="0" borderId="34" xfId="8" applyNumberFormat="1" applyFont="1" applyBorder="1"/>
    <xf numFmtId="3" fontId="6" fillId="0" borderId="25" xfId="8" applyNumberFormat="1" applyFont="1" applyBorder="1"/>
    <xf numFmtId="3" fontId="6" fillId="0" borderId="34" xfId="8" applyNumberFormat="1" applyFont="1" applyBorder="1"/>
    <xf numFmtId="0" fontId="7" fillId="0" borderId="1" xfId="9" applyFont="1" applyBorder="1" applyAlignment="1">
      <alignment horizontal="center"/>
    </xf>
    <xf numFmtId="0" fontId="5" fillId="0" borderId="1" xfId="9" applyFont="1" applyBorder="1"/>
    <xf numFmtId="4" fontId="34" fillId="0" borderId="1" xfId="8" applyNumberFormat="1" applyFont="1" applyBorder="1"/>
    <xf numFmtId="4" fontId="34" fillId="0" borderId="10" xfId="8" applyNumberFormat="1" applyFont="1" applyBorder="1"/>
    <xf numFmtId="0" fontId="29" fillId="0" borderId="1" xfId="4" applyFont="1" applyBorder="1"/>
    <xf numFmtId="0" fontId="7" fillId="0" borderId="1" xfId="9" applyFont="1" applyBorder="1"/>
    <xf numFmtId="0" fontId="30" fillId="3" borderId="1" xfId="4" applyFont="1" applyFill="1" applyBorder="1"/>
    <xf numFmtId="3" fontId="10" fillId="3" borderId="8" xfId="9" applyNumberFormat="1" applyFont="1" applyFill="1" applyBorder="1" applyAlignment="1">
      <alignment horizontal="right"/>
    </xf>
    <xf numFmtId="3" fontId="10" fillId="3" borderId="30" xfId="9" applyNumberFormat="1" applyFont="1" applyFill="1" applyBorder="1" applyAlignment="1">
      <alignment horizontal="right"/>
    </xf>
    <xf numFmtId="4" fontId="10" fillId="3" borderId="30" xfId="9" applyNumberFormat="1" applyFont="1" applyFill="1" applyBorder="1" applyAlignment="1">
      <alignment horizontal="right"/>
    </xf>
    <xf numFmtId="4" fontId="10" fillId="3" borderId="75" xfId="9" applyNumberFormat="1" applyFont="1" applyFill="1" applyBorder="1" applyAlignment="1">
      <alignment horizontal="right"/>
    </xf>
    <xf numFmtId="3" fontId="10" fillId="3" borderId="1" xfId="9" applyNumberFormat="1" applyFont="1" applyFill="1" applyBorder="1" applyAlignment="1">
      <alignment horizontal="right"/>
    </xf>
    <xf numFmtId="4" fontId="10" fillId="3" borderId="1" xfId="9" applyNumberFormat="1" applyFont="1" applyFill="1" applyBorder="1" applyAlignment="1">
      <alignment horizontal="right"/>
    </xf>
    <xf numFmtId="4" fontId="10" fillId="3" borderId="9" xfId="9" applyNumberFormat="1" applyFont="1" applyFill="1" applyBorder="1" applyAlignment="1">
      <alignment horizontal="right"/>
    </xf>
    <xf numFmtId="3" fontId="10" fillId="3" borderId="5" xfId="9" applyNumberFormat="1" applyFont="1" applyFill="1" applyBorder="1" applyAlignment="1">
      <alignment horizontal="right"/>
    </xf>
    <xf numFmtId="4" fontId="10" fillId="3" borderId="10" xfId="9" applyNumberFormat="1" applyFont="1" applyFill="1" applyBorder="1" applyAlignment="1">
      <alignment horizontal="right"/>
    </xf>
    <xf numFmtId="0" fontId="5" fillId="0" borderId="1" xfId="4" applyFont="1" applyBorder="1" applyAlignment="1">
      <alignment horizontal="center"/>
    </xf>
    <xf numFmtId="0" fontId="5" fillId="0" borderId="9" xfId="4" applyFont="1" applyBorder="1" applyAlignment="1">
      <alignment horizontal="left"/>
    </xf>
    <xf numFmtId="4" fontId="11" fillId="3" borderId="30" xfId="9" applyNumberFormat="1" applyFont="1" applyFill="1" applyBorder="1"/>
    <xf numFmtId="4" fontId="11" fillId="3" borderId="75" xfId="9" applyNumberFormat="1" applyFont="1" applyFill="1" applyBorder="1"/>
    <xf numFmtId="4" fontId="11" fillId="3" borderId="9" xfId="9" applyNumberFormat="1" applyFont="1" applyFill="1" applyBorder="1"/>
    <xf numFmtId="0" fontId="11" fillId="3" borderId="1" xfId="4" applyFont="1" applyFill="1" applyBorder="1"/>
    <xf numFmtId="3" fontId="10" fillId="3" borderId="8" xfId="9" applyNumberFormat="1" applyFont="1" applyFill="1" applyBorder="1"/>
    <xf numFmtId="3" fontId="10" fillId="3" borderId="30" xfId="9" applyNumberFormat="1" applyFont="1" applyFill="1" applyBorder="1"/>
    <xf numFmtId="4" fontId="10" fillId="3" borderId="30" xfId="9" applyNumberFormat="1" applyFont="1" applyFill="1" applyBorder="1"/>
    <xf numFmtId="4" fontId="10" fillId="3" borderId="75" xfId="9" applyNumberFormat="1" applyFont="1" applyFill="1" applyBorder="1"/>
    <xf numFmtId="3" fontId="10" fillId="3" borderId="1" xfId="9" applyNumberFormat="1" applyFont="1" applyFill="1" applyBorder="1"/>
    <xf numFmtId="4" fontId="10" fillId="3" borderId="1" xfId="9" applyNumberFormat="1" applyFont="1" applyFill="1" applyBorder="1"/>
    <xf numFmtId="4" fontId="10" fillId="3" borderId="9" xfId="9" applyNumberFormat="1" applyFont="1" applyFill="1" applyBorder="1"/>
    <xf numFmtId="4" fontId="10" fillId="3" borderId="10" xfId="9" applyNumberFormat="1" applyFont="1" applyFill="1" applyBorder="1"/>
    <xf numFmtId="0" fontId="31" fillId="0" borderId="1" xfId="4" applyFont="1" applyBorder="1"/>
    <xf numFmtId="0" fontId="31" fillId="0" borderId="1" xfId="4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11" fillId="3" borderId="1" xfId="9" applyFont="1" applyFill="1" applyBorder="1"/>
    <xf numFmtId="0" fontId="11" fillId="3" borderId="1" xfId="9" applyFont="1" applyFill="1" applyBorder="1" applyAlignment="1">
      <alignment horizontal="center"/>
    </xf>
    <xf numFmtId="0" fontId="11" fillId="3" borderId="9" xfId="9" applyFont="1" applyFill="1" applyBorder="1" applyAlignment="1">
      <alignment horizontal="left"/>
    </xf>
    <xf numFmtId="0" fontId="32" fillId="3" borderId="1" xfId="4" applyFont="1" applyFill="1" applyBorder="1"/>
    <xf numFmtId="0" fontId="29" fillId="3" borderId="1" xfId="4" applyFont="1" applyFill="1" applyBorder="1"/>
    <xf numFmtId="4" fontId="11" fillId="3" borderId="30" xfId="9" applyNumberFormat="1" applyFont="1" applyFill="1" applyBorder="1" applyAlignment="1">
      <alignment horizontal="right"/>
    </xf>
    <xf numFmtId="4" fontId="11" fillId="3" borderId="75" xfId="9" applyNumberFormat="1" applyFont="1" applyFill="1" applyBorder="1" applyAlignment="1">
      <alignment horizontal="right"/>
    </xf>
    <xf numFmtId="4" fontId="11" fillId="3" borderId="9" xfId="9" applyNumberFormat="1" applyFont="1" applyFill="1" applyBorder="1" applyAlignment="1">
      <alignment horizontal="right"/>
    </xf>
    <xf numFmtId="0" fontId="5" fillId="3" borderId="1" xfId="9" applyFont="1" applyFill="1" applyBorder="1" applyAlignment="1">
      <alignment horizontal="center"/>
    </xf>
    <xf numFmtId="0" fontId="33" fillId="0" borderId="1" xfId="4" applyFont="1" applyBorder="1"/>
    <xf numFmtId="0" fontId="30" fillId="3" borderId="22" xfId="4" applyFont="1" applyFill="1" applyBorder="1"/>
    <xf numFmtId="3" fontId="11" fillId="3" borderId="11" xfId="9" applyNumberFormat="1" applyFont="1" applyFill="1" applyBorder="1"/>
    <xf numFmtId="3" fontId="11" fillId="3" borderId="45" xfId="9" applyNumberFormat="1" applyFont="1" applyFill="1" applyBorder="1"/>
    <xf numFmtId="4" fontId="11" fillId="3" borderId="45" xfId="9" applyNumberFormat="1" applyFont="1" applyFill="1" applyBorder="1"/>
    <xf numFmtId="4" fontId="11" fillId="3" borderId="76" xfId="9" applyNumberFormat="1" applyFont="1" applyFill="1" applyBorder="1"/>
    <xf numFmtId="4" fontId="11" fillId="3" borderId="32" xfId="9" applyNumberFormat="1" applyFont="1" applyFill="1" applyBorder="1"/>
    <xf numFmtId="0" fontId="6" fillId="7" borderId="17" xfId="9" applyFont="1" applyFill="1" applyBorder="1" applyAlignment="1">
      <alignment horizontal="center"/>
    </xf>
    <xf numFmtId="0" fontId="5" fillId="7" borderId="18" xfId="9" applyFont="1" applyFill="1" applyBorder="1" applyAlignment="1">
      <alignment horizontal="center"/>
    </xf>
    <xf numFmtId="0" fontId="5" fillId="7" borderId="18" xfId="9" applyFont="1" applyFill="1" applyBorder="1"/>
    <xf numFmtId="0" fontId="5" fillId="7" borderId="20" xfId="9" applyFont="1" applyFill="1" applyBorder="1" applyAlignment="1">
      <alignment horizontal="left"/>
    </xf>
    <xf numFmtId="3" fontId="11" fillId="7" borderId="41" xfId="9" applyNumberFormat="1" applyFont="1" applyFill="1" applyBorder="1"/>
    <xf numFmtId="3" fontId="11" fillId="7" borderId="52" xfId="9" applyNumberFormat="1" applyFont="1" applyFill="1" applyBorder="1"/>
    <xf numFmtId="4" fontId="11" fillId="7" borderId="52" xfId="9" applyNumberFormat="1" applyFont="1" applyFill="1" applyBorder="1"/>
    <xf numFmtId="4" fontId="11" fillId="7" borderId="71" xfId="9" applyNumberFormat="1" applyFont="1" applyFill="1" applyBorder="1"/>
    <xf numFmtId="4" fontId="11" fillId="7" borderId="20" xfId="9" applyNumberFormat="1" applyFont="1" applyFill="1" applyBorder="1"/>
    <xf numFmtId="0" fontId="25" fillId="0" borderId="0" xfId="9" applyFont="1" applyAlignment="1">
      <alignment horizontal="center"/>
    </xf>
    <xf numFmtId="0" fontId="1" fillId="0" borderId="0" xfId="9" applyAlignment="1">
      <alignment horizontal="left"/>
    </xf>
    <xf numFmtId="4" fontId="34" fillId="0" borderId="0" xfId="8" applyNumberFormat="1" applyFont="1" applyAlignment="1">
      <alignment horizontal="right"/>
    </xf>
    <xf numFmtId="0" fontId="12" fillId="0" borderId="23" xfId="5" applyFont="1" applyBorder="1" applyAlignment="1">
      <alignment horizontal="left"/>
    </xf>
    <xf numFmtId="0" fontId="12" fillId="0" borderId="0" xfId="5" applyFont="1" applyAlignment="1">
      <alignment horizontal="left"/>
    </xf>
    <xf numFmtId="0" fontId="12" fillId="0" borderId="69" xfId="5" applyFont="1" applyBorder="1" applyAlignment="1">
      <alignment horizontal="left"/>
    </xf>
    <xf numFmtId="0" fontId="12" fillId="0" borderId="15" xfId="5" applyFont="1" applyBorder="1" applyAlignment="1">
      <alignment horizontal="left"/>
    </xf>
    <xf numFmtId="0" fontId="12" fillId="0" borderId="47" xfId="5" applyFont="1" applyBorder="1" applyAlignment="1">
      <alignment horizontal="left"/>
    </xf>
    <xf numFmtId="3" fontId="34" fillId="0" borderId="4" xfId="8" applyNumberFormat="1" applyFont="1" applyBorder="1"/>
    <xf numFmtId="3" fontId="34" fillId="0" borderId="5" xfId="8" applyNumberFormat="1" applyFont="1" applyBorder="1"/>
    <xf numFmtId="3" fontId="25" fillId="0" borderId="5" xfId="5" applyNumberFormat="1" applyFont="1" applyBorder="1"/>
    <xf numFmtId="4" fontId="25" fillId="0" borderId="5" xfId="8" applyNumberFormat="1" applyFont="1" applyBorder="1"/>
    <xf numFmtId="4" fontId="22" fillId="3" borderId="14" xfId="9" applyNumberFormat="1" applyFont="1" applyFill="1" applyBorder="1"/>
    <xf numFmtId="4" fontId="22" fillId="5" borderId="71" xfId="9" applyNumberFormat="1" applyFont="1" applyFill="1" applyBorder="1"/>
    <xf numFmtId="4" fontId="34" fillId="0" borderId="5" xfId="8" applyNumberFormat="1" applyFont="1" applyBorder="1"/>
    <xf numFmtId="4" fontId="34" fillId="0" borderId="7" xfId="8" applyNumberFormat="1" applyFont="1" applyBorder="1"/>
    <xf numFmtId="4" fontId="22" fillId="0" borderId="0" xfId="5" applyNumberFormat="1" applyFont="1" applyFill="1" applyBorder="1" applyAlignment="1">
      <alignment vertical="center" wrapText="1"/>
    </xf>
    <xf numFmtId="4" fontId="34" fillId="0" borderId="0" xfId="8" applyNumberFormat="1" applyFont="1"/>
    <xf numFmtId="4" fontId="22" fillId="5" borderId="12" xfId="9" applyNumberFormat="1" applyFont="1" applyFill="1" applyBorder="1"/>
    <xf numFmtId="4" fontId="22" fillId="5" borderId="14" xfId="9" applyNumberFormat="1" applyFont="1" applyFill="1" applyBorder="1"/>
    <xf numFmtId="4" fontId="34" fillId="0" borderId="50" xfId="8" applyNumberFormat="1" applyFont="1" applyBorder="1"/>
    <xf numFmtId="4" fontId="34" fillId="0" borderId="60" xfId="5" applyNumberFormat="1" applyFont="1" applyBorder="1"/>
    <xf numFmtId="3" fontId="7" fillId="0" borderId="1" xfId="0" applyNumberFormat="1" applyFont="1" applyFill="1" applyBorder="1" applyAlignment="1">
      <alignment horizontal="right"/>
    </xf>
    <xf numFmtId="3" fontId="7" fillId="0" borderId="26" xfId="0" applyNumberFormat="1" applyFont="1" applyFill="1" applyBorder="1" applyAlignment="1">
      <alignment horizontal="right"/>
    </xf>
    <xf numFmtId="3" fontId="7" fillId="0" borderId="51" xfId="0" applyNumberFormat="1" applyFont="1" applyFill="1" applyBorder="1" applyAlignment="1">
      <alignment horizontal="right"/>
    </xf>
    <xf numFmtId="3" fontId="7" fillId="0" borderId="30" xfId="0" applyNumberFormat="1" applyFont="1" applyFill="1" applyBorder="1" applyAlignment="1">
      <alignment horizontal="right"/>
    </xf>
    <xf numFmtId="3" fontId="5" fillId="0" borderId="30" xfId="0" applyNumberFormat="1" applyFont="1" applyFill="1" applyBorder="1"/>
    <xf numFmtId="3" fontId="6" fillId="0" borderId="30" xfId="0" applyNumberFormat="1" applyFont="1" applyFill="1" applyBorder="1"/>
    <xf numFmtId="3" fontId="6" fillId="0" borderId="45" xfId="0" applyNumberFormat="1" applyFont="1" applyFill="1" applyBorder="1"/>
    <xf numFmtId="3" fontId="7" fillId="0" borderId="22" xfId="0" applyNumberFormat="1" applyFont="1" applyFill="1" applyBorder="1" applyAlignment="1">
      <alignment horizontal="right"/>
    </xf>
    <xf numFmtId="3" fontId="7" fillId="0" borderId="31" xfId="0" applyNumberFormat="1" applyFont="1" applyFill="1" applyBorder="1" applyAlignment="1">
      <alignment horizontal="right"/>
    </xf>
    <xf numFmtId="3" fontId="6" fillId="0" borderId="4" xfId="0" applyNumberFormat="1" applyFont="1" applyFill="1" applyBorder="1"/>
    <xf numFmtId="3" fontId="6" fillId="0" borderId="5" xfId="0" applyNumberFormat="1" applyFont="1" applyFill="1" applyBorder="1"/>
    <xf numFmtId="3" fontId="6" fillId="0" borderId="40" xfId="0" applyNumberFormat="1" applyFont="1" applyFill="1" applyBorder="1"/>
    <xf numFmtId="4" fontId="7" fillId="0" borderId="26" xfId="0" applyNumberFormat="1" applyFont="1" applyFill="1" applyBorder="1" applyAlignment="1">
      <alignment horizontal="right"/>
    </xf>
    <xf numFmtId="4" fontId="7" fillId="0" borderId="27" xfId="0" applyNumberFormat="1" applyFont="1" applyFill="1" applyBorder="1" applyAlignment="1">
      <alignment horizontal="right"/>
    </xf>
    <xf numFmtId="4" fontId="7" fillId="0" borderId="1" xfId="0" applyNumberFormat="1" applyFont="1" applyFill="1" applyBorder="1" applyAlignment="1">
      <alignment horizontal="right"/>
    </xf>
    <xf numFmtId="4" fontId="7" fillId="0" borderId="10" xfId="0" applyNumberFormat="1" applyFont="1" applyFill="1" applyBorder="1" applyAlignment="1">
      <alignment horizontal="right"/>
    </xf>
    <xf numFmtId="4" fontId="5" fillId="0" borderId="1" xfId="0" applyNumberFormat="1" applyFont="1" applyFill="1" applyBorder="1"/>
    <xf numFmtId="4" fontId="5" fillId="0" borderId="10" xfId="0" applyNumberFormat="1" applyFont="1" applyFill="1" applyBorder="1"/>
    <xf numFmtId="4" fontId="7" fillId="0" borderId="22" xfId="0" applyNumberFormat="1" applyFont="1" applyFill="1" applyBorder="1" applyAlignment="1">
      <alignment horizontal="right"/>
    </xf>
    <xf numFmtId="4" fontId="7" fillId="0" borderId="29" xfId="0" applyNumberFormat="1" applyFont="1" applyFill="1" applyBorder="1" applyAlignment="1">
      <alignment horizontal="right"/>
    </xf>
    <xf numFmtId="4" fontId="6" fillId="0" borderId="5" xfId="0" applyNumberFormat="1" applyFont="1" applyFill="1" applyBorder="1"/>
    <xf numFmtId="4" fontId="6" fillId="0" borderId="7" xfId="0" applyNumberFormat="1" applyFont="1" applyFill="1" applyBorder="1"/>
    <xf numFmtId="4" fontId="7" fillId="0" borderId="34" xfId="0" applyNumberFormat="1" applyFont="1" applyFill="1" applyBorder="1" applyAlignment="1">
      <alignment horizontal="right"/>
    </xf>
    <xf numFmtId="4" fontId="7" fillId="0" borderId="9" xfId="0" applyNumberFormat="1" applyFont="1" applyFill="1" applyBorder="1" applyAlignment="1">
      <alignment horizontal="right"/>
    </xf>
    <xf numFmtId="4" fontId="7" fillId="0" borderId="32" xfId="0" applyNumberFormat="1" applyFont="1" applyFill="1" applyBorder="1" applyAlignment="1">
      <alignment horizontal="right"/>
    </xf>
    <xf numFmtId="4" fontId="6" fillId="0" borderId="6" xfId="0" applyNumberFormat="1" applyFont="1" applyFill="1" applyBorder="1"/>
    <xf numFmtId="3" fontId="15" fillId="4" borderId="64" xfId="0" applyNumberFormat="1" applyFont="1" applyFill="1" applyBorder="1" applyAlignment="1">
      <alignment horizontal="center"/>
    </xf>
    <xf numFmtId="3" fontId="15" fillId="4" borderId="60" xfId="0" applyNumberFormat="1" applyFont="1" applyFill="1" applyBorder="1" applyAlignment="1">
      <alignment horizontal="center"/>
    </xf>
    <xf numFmtId="3" fontId="15" fillId="4" borderId="62" xfId="0" applyNumberFormat="1" applyFont="1" applyFill="1" applyBorder="1" applyAlignment="1">
      <alignment horizontal="center"/>
    </xf>
    <xf numFmtId="3" fontId="15" fillId="4" borderId="67" xfId="0" applyNumberFormat="1" applyFont="1" applyFill="1" applyBorder="1" applyAlignment="1">
      <alignment horizontal="center"/>
    </xf>
    <xf numFmtId="3" fontId="15" fillId="4" borderId="50" xfId="0" applyNumberFormat="1" applyFont="1" applyFill="1" applyBorder="1" applyAlignment="1">
      <alignment horizontal="center"/>
    </xf>
    <xf numFmtId="3" fontId="15" fillId="4" borderId="49" xfId="0" applyNumberFormat="1" applyFont="1" applyFill="1" applyBorder="1" applyAlignment="1">
      <alignment horizontal="center"/>
    </xf>
    <xf numFmtId="0" fontId="16" fillId="0" borderId="0" xfId="0" applyFont="1" applyAlignment="1">
      <alignment horizontal="left"/>
    </xf>
    <xf numFmtId="3" fontId="12" fillId="5" borderId="22" xfId="0" applyNumberFormat="1" applyFont="1" applyFill="1" applyBorder="1" applyAlignment="1">
      <alignment horizontal="center" vertical="center" wrapText="1"/>
    </xf>
    <xf numFmtId="3" fontId="12" fillId="5" borderId="58" xfId="0" applyNumberFormat="1" applyFont="1" applyFill="1" applyBorder="1" applyAlignment="1">
      <alignment horizontal="center" vertical="center" wrapText="1"/>
    </xf>
    <xf numFmtId="3" fontId="12" fillId="5" borderId="52" xfId="0" applyNumberFormat="1" applyFont="1" applyFill="1" applyBorder="1" applyAlignment="1">
      <alignment horizontal="center" vertical="center" wrapText="1"/>
    </xf>
    <xf numFmtId="3" fontId="10" fillId="4" borderId="35" xfId="2" applyNumberFormat="1" applyFont="1" applyFill="1" applyBorder="1" applyAlignment="1">
      <alignment horizontal="center" vertical="center" wrapText="1"/>
    </xf>
    <xf numFmtId="3" fontId="10" fillId="4" borderId="55" xfId="2" applyNumberFormat="1" applyFont="1" applyFill="1" applyBorder="1" applyAlignment="1">
      <alignment horizontal="center" vertical="center" wrapText="1"/>
    </xf>
    <xf numFmtId="3" fontId="10" fillId="4" borderId="41" xfId="2" applyNumberFormat="1" applyFont="1" applyFill="1" applyBorder="1" applyAlignment="1">
      <alignment horizontal="center" vertical="center" wrapText="1"/>
    </xf>
    <xf numFmtId="4" fontId="12" fillId="0" borderId="38" xfId="0" applyNumberFormat="1" applyFont="1" applyFill="1" applyBorder="1" applyAlignment="1">
      <alignment horizontal="left"/>
    </xf>
    <xf numFmtId="4" fontId="12" fillId="0" borderId="60" xfId="0" applyNumberFormat="1" applyFont="1" applyFill="1" applyBorder="1" applyAlignment="1">
      <alignment horizontal="left"/>
    </xf>
    <xf numFmtId="4" fontId="12" fillId="0" borderId="61" xfId="0" applyNumberFormat="1" applyFont="1" applyFill="1" applyBorder="1" applyAlignment="1">
      <alignment horizontal="left"/>
    </xf>
    <xf numFmtId="4" fontId="12" fillId="0" borderId="6" xfId="0" applyNumberFormat="1" applyFont="1" applyFill="1" applyBorder="1" applyAlignment="1">
      <alignment horizontal="left"/>
    </xf>
    <xf numFmtId="4" fontId="12" fillId="0" borderId="42" xfId="0" applyNumberFormat="1" applyFont="1" applyFill="1" applyBorder="1" applyAlignment="1">
      <alignment horizontal="left"/>
    </xf>
    <xf numFmtId="4" fontId="12" fillId="0" borderId="40" xfId="0" applyNumberFormat="1" applyFont="1" applyFill="1" applyBorder="1" applyAlignment="1">
      <alignment horizontal="left"/>
    </xf>
    <xf numFmtId="4" fontId="12" fillId="4" borderId="36" xfId="0" applyNumberFormat="1" applyFont="1" applyFill="1" applyBorder="1" applyAlignment="1">
      <alignment horizontal="center" vertical="center" wrapText="1"/>
    </xf>
    <xf numFmtId="4" fontId="12" fillId="4" borderId="58" xfId="0" applyNumberFormat="1" applyFont="1" applyFill="1" applyBorder="1" applyAlignment="1">
      <alignment horizontal="center" vertical="center" wrapText="1"/>
    </xf>
    <xf numFmtId="4" fontId="12" fillId="4" borderId="52" xfId="0" applyNumberFormat="1" applyFont="1" applyFill="1" applyBorder="1" applyAlignment="1">
      <alignment horizontal="center" vertical="center" wrapText="1"/>
    </xf>
    <xf numFmtId="4" fontId="12" fillId="0" borderId="62" xfId="0" applyNumberFormat="1" applyFont="1" applyFill="1" applyBorder="1" applyAlignment="1">
      <alignment horizontal="left"/>
    </xf>
    <xf numFmtId="4" fontId="12" fillId="0" borderId="33" xfId="0" applyNumberFormat="1" applyFont="1" applyFill="1" applyBorder="1" applyAlignment="1">
      <alignment horizontal="left"/>
    </xf>
    <xf numFmtId="3" fontId="21" fillId="5" borderId="70" xfId="0" applyNumberFormat="1" applyFont="1" applyFill="1" applyBorder="1" applyAlignment="1">
      <alignment horizontal="center" vertical="center"/>
    </xf>
    <xf numFmtId="3" fontId="21" fillId="5" borderId="72" xfId="0" applyNumberFormat="1" applyFont="1" applyFill="1" applyBorder="1" applyAlignment="1">
      <alignment horizontal="center" vertical="center"/>
    </xf>
    <xf numFmtId="3" fontId="21" fillId="5" borderId="73" xfId="0" applyNumberFormat="1" applyFont="1" applyFill="1" applyBorder="1" applyAlignment="1">
      <alignment horizontal="center" vertical="center"/>
    </xf>
    <xf numFmtId="3" fontId="21" fillId="5" borderId="64" xfId="0" applyNumberFormat="1" applyFont="1" applyFill="1" applyBorder="1" applyAlignment="1">
      <alignment horizontal="center" vertical="center"/>
    </xf>
    <xf numFmtId="3" fontId="21" fillId="5" borderId="60" xfId="0" applyNumberFormat="1" applyFont="1" applyFill="1" applyBorder="1" applyAlignment="1">
      <alignment horizontal="center" vertical="center"/>
    </xf>
    <xf numFmtId="3" fontId="21" fillId="5" borderId="62" xfId="0" applyNumberFormat="1" applyFont="1" applyFill="1" applyBorder="1" applyAlignment="1">
      <alignment horizontal="center" vertical="center"/>
    </xf>
    <xf numFmtId="3" fontId="21" fillId="5" borderId="67" xfId="0" applyNumberFormat="1" applyFont="1" applyFill="1" applyBorder="1" applyAlignment="1">
      <alignment horizontal="center" vertical="center"/>
    </xf>
    <xf numFmtId="3" fontId="21" fillId="5" borderId="50" xfId="0" applyNumberFormat="1" applyFont="1" applyFill="1" applyBorder="1" applyAlignment="1">
      <alignment horizontal="center" vertical="center"/>
    </xf>
    <xf numFmtId="3" fontId="21" fillId="5" borderId="49" xfId="0" applyNumberFormat="1" applyFont="1" applyFill="1" applyBorder="1" applyAlignment="1">
      <alignment horizontal="center" vertical="center"/>
    </xf>
    <xf numFmtId="3" fontId="22" fillId="5" borderId="74" xfId="0" applyNumberFormat="1" applyFont="1" applyFill="1" applyBorder="1" applyAlignment="1">
      <alignment horizontal="center" vertical="center" wrapText="1"/>
    </xf>
    <xf numFmtId="3" fontId="22" fillId="5" borderId="54" xfId="0" applyNumberFormat="1" applyFont="1" applyFill="1" applyBorder="1" applyAlignment="1">
      <alignment horizontal="center" vertical="center" wrapText="1"/>
    </xf>
    <xf numFmtId="3" fontId="22" fillId="5" borderId="31" xfId="0" applyNumberFormat="1" applyFont="1" applyFill="1" applyBorder="1" applyAlignment="1">
      <alignment horizontal="center" vertical="center" wrapText="1"/>
    </xf>
    <xf numFmtId="3" fontId="22" fillId="5" borderId="63" xfId="0" applyNumberFormat="1" applyFont="1" applyFill="1" applyBorder="1" applyAlignment="1">
      <alignment horizontal="center" vertical="center" wrapText="1"/>
    </xf>
    <xf numFmtId="3" fontId="22" fillId="5" borderId="0" xfId="0" applyNumberFormat="1" applyFont="1" applyFill="1" applyBorder="1" applyAlignment="1">
      <alignment horizontal="center" vertical="center" wrapText="1"/>
    </xf>
    <xf numFmtId="3" fontId="22" fillId="5" borderId="57" xfId="0" applyNumberFormat="1" applyFont="1" applyFill="1" applyBorder="1" applyAlignment="1">
      <alignment horizontal="center" vertical="center" wrapText="1"/>
    </xf>
    <xf numFmtId="3" fontId="22" fillId="5" borderId="2" xfId="0" applyNumberFormat="1" applyFont="1" applyFill="1" applyBorder="1" applyAlignment="1">
      <alignment horizontal="center" vertical="center" wrapText="1"/>
    </xf>
    <xf numFmtId="3" fontId="22" fillId="5" borderId="42" xfId="0" applyNumberFormat="1" applyFont="1" applyFill="1" applyBorder="1" applyAlignment="1">
      <alignment horizontal="center" vertical="center" wrapText="1"/>
    </xf>
    <xf numFmtId="3" fontId="22" fillId="5" borderId="40" xfId="0" applyNumberFormat="1" applyFont="1" applyFill="1" applyBorder="1" applyAlignment="1">
      <alignment horizontal="center" vertical="center" wrapText="1"/>
    </xf>
    <xf numFmtId="3" fontId="22" fillId="5" borderId="32" xfId="0" applyNumberFormat="1" applyFont="1" applyFill="1" applyBorder="1" applyAlignment="1">
      <alignment horizontal="center" vertical="center" wrapText="1"/>
    </xf>
    <xf numFmtId="3" fontId="22" fillId="5" borderId="56" xfId="0" applyNumberFormat="1" applyFont="1" applyFill="1" applyBorder="1" applyAlignment="1">
      <alignment horizontal="center" vertical="center" wrapText="1"/>
    </xf>
    <xf numFmtId="3" fontId="22" fillId="5" borderId="6" xfId="0" applyNumberFormat="1" applyFont="1" applyFill="1" applyBorder="1" applyAlignment="1">
      <alignment horizontal="center" vertical="center" wrapText="1"/>
    </xf>
    <xf numFmtId="3" fontId="12" fillId="5" borderId="32" xfId="0" applyNumberFormat="1" applyFont="1" applyFill="1" applyBorder="1" applyAlignment="1">
      <alignment horizontal="center" vertical="center"/>
    </xf>
    <xf numFmtId="3" fontId="12" fillId="5" borderId="54" xfId="0" applyNumberFormat="1" applyFont="1" applyFill="1" applyBorder="1" applyAlignment="1">
      <alignment horizontal="center" vertical="center"/>
    </xf>
    <xf numFmtId="3" fontId="12" fillId="5" borderId="31" xfId="0" applyNumberFormat="1" applyFont="1" applyFill="1" applyBorder="1" applyAlignment="1">
      <alignment horizontal="center" vertical="center"/>
    </xf>
    <xf numFmtId="3" fontId="12" fillId="5" borderId="56" xfId="0" applyNumberFormat="1" applyFont="1" applyFill="1" applyBorder="1" applyAlignment="1">
      <alignment horizontal="center" vertical="center"/>
    </xf>
    <xf numFmtId="3" fontId="12" fillId="5" borderId="0" xfId="0" applyNumberFormat="1" applyFont="1" applyFill="1" applyBorder="1" applyAlignment="1">
      <alignment horizontal="center" vertical="center"/>
    </xf>
    <xf numFmtId="3" fontId="12" fillId="5" borderId="57" xfId="0" applyNumberFormat="1" applyFont="1" applyFill="1" applyBorder="1" applyAlignment="1">
      <alignment horizontal="center" vertical="center"/>
    </xf>
    <xf numFmtId="3" fontId="12" fillId="5" borderId="6" xfId="0" applyNumberFormat="1" applyFont="1" applyFill="1" applyBorder="1" applyAlignment="1">
      <alignment horizontal="center" vertical="center"/>
    </xf>
    <xf numFmtId="3" fontId="12" fillId="5" borderId="42" xfId="0" applyNumberFormat="1" applyFont="1" applyFill="1" applyBorder="1" applyAlignment="1">
      <alignment horizontal="center" vertical="center"/>
    </xf>
    <xf numFmtId="3" fontId="12" fillId="5" borderId="40" xfId="0" applyNumberFormat="1" applyFont="1" applyFill="1" applyBorder="1" applyAlignment="1">
      <alignment horizontal="center" vertical="center"/>
    </xf>
    <xf numFmtId="4" fontId="12" fillId="5" borderId="9" xfId="0" applyNumberFormat="1" applyFont="1" applyFill="1" applyBorder="1" applyAlignment="1">
      <alignment horizontal="center" vertical="center"/>
    </xf>
    <xf numFmtId="4" fontId="12" fillId="5" borderId="53" xfId="0" applyNumberFormat="1" applyFont="1" applyFill="1" applyBorder="1" applyAlignment="1">
      <alignment horizontal="center" vertical="center"/>
    </xf>
    <xf numFmtId="4" fontId="12" fillId="5" borderId="75" xfId="0" applyNumberFormat="1" applyFont="1" applyFill="1" applyBorder="1" applyAlignment="1">
      <alignment horizontal="center" vertical="center"/>
    </xf>
    <xf numFmtId="4" fontId="12" fillId="5" borderId="32" xfId="0" applyNumberFormat="1" applyFont="1" applyFill="1" applyBorder="1" applyAlignment="1">
      <alignment horizontal="center" vertical="center"/>
    </xf>
    <xf numFmtId="4" fontId="12" fillId="5" borderId="31" xfId="0" applyNumberFormat="1" applyFont="1" applyFill="1" applyBorder="1" applyAlignment="1">
      <alignment horizontal="center" vertical="center"/>
    </xf>
    <xf numFmtId="4" fontId="12" fillId="5" borderId="6" xfId="0" applyNumberFormat="1" applyFont="1" applyFill="1" applyBorder="1" applyAlignment="1">
      <alignment horizontal="center" vertical="center"/>
    </xf>
    <xf numFmtId="4" fontId="12" fillId="5" borderId="40" xfId="0" applyNumberFormat="1" applyFont="1" applyFill="1" applyBorder="1" applyAlignment="1">
      <alignment horizontal="center" vertical="center"/>
    </xf>
    <xf numFmtId="4" fontId="12" fillId="5" borderId="32" xfId="0" applyNumberFormat="1" applyFont="1" applyFill="1" applyBorder="1" applyAlignment="1">
      <alignment horizontal="center" vertical="center" wrapText="1"/>
    </xf>
    <xf numFmtId="4" fontId="12" fillId="5" borderId="54" xfId="0" applyNumberFormat="1" applyFont="1" applyFill="1" applyBorder="1" applyAlignment="1">
      <alignment horizontal="center" vertical="center" wrapText="1"/>
    </xf>
    <xf numFmtId="4" fontId="12" fillId="5" borderId="59" xfId="0" applyNumberFormat="1" applyFont="1" applyFill="1" applyBorder="1" applyAlignment="1">
      <alignment horizontal="center" vertical="center" wrapText="1"/>
    </xf>
    <xf numFmtId="4" fontId="12" fillId="5" borderId="6" xfId="0" applyNumberFormat="1" applyFont="1" applyFill="1" applyBorder="1" applyAlignment="1">
      <alignment horizontal="center" vertical="center" wrapText="1"/>
    </xf>
    <xf numFmtId="4" fontId="12" fillId="5" borderId="42" xfId="0" applyNumberFormat="1" applyFont="1" applyFill="1" applyBorder="1" applyAlignment="1">
      <alignment horizontal="center" vertical="center" wrapText="1"/>
    </xf>
    <xf numFmtId="4" fontId="12" fillId="5" borderId="33" xfId="0" applyNumberFormat="1" applyFont="1" applyFill="1" applyBorder="1" applyAlignment="1">
      <alignment horizontal="center" vertical="center" wrapText="1"/>
    </xf>
    <xf numFmtId="3" fontId="12" fillId="0" borderId="38" xfId="0" applyNumberFormat="1" applyFont="1" applyFill="1" applyBorder="1" applyAlignment="1">
      <alignment horizontal="left"/>
    </xf>
    <xf numFmtId="3" fontId="12" fillId="0" borderId="60" xfId="0" applyNumberFormat="1" applyFont="1" applyFill="1" applyBorder="1" applyAlignment="1">
      <alignment horizontal="left"/>
    </xf>
    <xf numFmtId="3" fontId="12" fillId="0" borderId="61" xfId="0" applyNumberFormat="1" applyFont="1" applyFill="1" applyBorder="1" applyAlignment="1">
      <alignment horizontal="left"/>
    </xf>
    <xf numFmtId="3" fontId="12" fillId="0" borderId="6" xfId="0" applyNumberFormat="1" applyFont="1" applyFill="1" applyBorder="1" applyAlignment="1">
      <alignment horizontal="left"/>
    </xf>
    <xf numFmtId="3" fontId="12" fillId="0" borderId="42" xfId="0" applyNumberFormat="1" applyFont="1" applyFill="1" applyBorder="1" applyAlignment="1">
      <alignment horizontal="left"/>
    </xf>
    <xf numFmtId="3" fontId="12" fillId="0" borderId="40" xfId="0" applyNumberFormat="1" applyFont="1" applyFill="1" applyBorder="1" applyAlignment="1">
      <alignment horizontal="left"/>
    </xf>
    <xf numFmtId="4" fontId="12" fillId="5" borderId="22" xfId="0" applyNumberFormat="1" applyFont="1" applyFill="1" applyBorder="1" applyAlignment="1">
      <alignment horizontal="center" vertical="center" wrapText="1"/>
    </xf>
    <xf numFmtId="4" fontId="12" fillId="5" borderId="5" xfId="0" applyNumberFormat="1" applyFont="1" applyFill="1" applyBorder="1" applyAlignment="1">
      <alignment horizontal="center" vertical="center" wrapText="1"/>
    </xf>
    <xf numFmtId="3" fontId="22" fillId="5" borderId="0" xfId="0" applyNumberFormat="1" applyFont="1" applyFill="1" applyAlignment="1">
      <alignment horizontal="center" vertical="center" wrapText="1"/>
    </xf>
    <xf numFmtId="4" fontId="12" fillId="0" borderId="38" xfId="0" applyNumberFormat="1" applyFont="1" applyBorder="1" applyAlignment="1">
      <alignment horizontal="left"/>
    </xf>
    <xf numFmtId="4" fontId="12" fillId="0" borderId="60" xfId="0" applyNumberFormat="1" applyFont="1" applyBorder="1" applyAlignment="1">
      <alignment horizontal="left"/>
    </xf>
    <xf numFmtId="4" fontId="12" fillId="0" borderId="61" xfId="0" applyNumberFormat="1" applyFont="1" applyBorder="1" applyAlignment="1">
      <alignment horizontal="left"/>
    </xf>
    <xf numFmtId="4" fontId="12" fillId="0" borderId="6" xfId="0" applyNumberFormat="1" applyFont="1" applyBorder="1" applyAlignment="1">
      <alignment horizontal="left"/>
    </xf>
    <xf numFmtId="4" fontId="12" fillId="0" borderId="42" xfId="0" applyNumberFormat="1" applyFont="1" applyBorder="1" applyAlignment="1">
      <alignment horizontal="left"/>
    </xf>
    <xf numFmtId="4" fontId="12" fillId="0" borderId="40" xfId="0" applyNumberFormat="1" applyFont="1" applyBorder="1" applyAlignment="1">
      <alignment horizontal="left"/>
    </xf>
    <xf numFmtId="4" fontId="12" fillId="0" borderId="62" xfId="0" applyNumberFormat="1" applyFont="1" applyBorder="1" applyAlignment="1">
      <alignment horizontal="left"/>
    </xf>
    <xf numFmtId="4" fontId="12" fillId="0" borderId="33" xfId="0" applyNumberFormat="1" applyFont="1" applyBorder="1" applyAlignment="1">
      <alignment horizontal="left"/>
    </xf>
    <xf numFmtId="3" fontId="12" fillId="5" borderId="0" xfId="0" applyNumberFormat="1" applyFont="1" applyFill="1" applyAlignment="1">
      <alignment horizontal="center" vertical="center"/>
    </xf>
    <xf numFmtId="3" fontId="12" fillId="0" borderId="38" xfId="0" applyNumberFormat="1" applyFont="1" applyBorder="1" applyAlignment="1">
      <alignment horizontal="left"/>
    </xf>
    <xf numFmtId="3" fontId="12" fillId="0" borderId="60" xfId="0" applyNumberFormat="1" applyFont="1" applyBorder="1" applyAlignment="1">
      <alignment horizontal="left"/>
    </xf>
    <xf numFmtId="3" fontId="12" fillId="0" borderId="61" xfId="0" applyNumberFormat="1" applyFont="1" applyBorder="1" applyAlignment="1">
      <alignment horizontal="left"/>
    </xf>
    <xf numFmtId="3" fontId="12" fillId="0" borderId="6" xfId="0" applyNumberFormat="1" applyFont="1" applyBorder="1" applyAlignment="1">
      <alignment horizontal="left"/>
    </xf>
    <xf numFmtId="3" fontId="12" fillId="0" borderId="42" xfId="0" applyNumberFormat="1" applyFont="1" applyBorder="1" applyAlignment="1">
      <alignment horizontal="left"/>
    </xf>
    <xf numFmtId="3" fontId="12" fillId="0" borderId="40" xfId="0" applyNumberFormat="1" applyFont="1" applyBorder="1" applyAlignment="1">
      <alignment horizontal="left"/>
    </xf>
    <xf numFmtId="3" fontId="12" fillId="5" borderId="22" xfId="5" applyNumberFormat="1" applyFont="1" applyFill="1" applyBorder="1" applyAlignment="1">
      <alignment horizontal="center" vertical="center" wrapText="1"/>
    </xf>
    <xf numFmtId="3" fontId="12" fillId="5" borderId="58" xfId="5" applyNumberFormat="1" applyFont="1" applyFill="1" applyBorder="1" applyAlignment="1">
      <alignment horizontal="center" vertical="center" wrapText="1"/>
    </xf>
    <xf numFmtId="3" fontId="12" fillId="5" borderId="52" xfId="5" applyNumberFormat="1" applyFont="1" applyFill="1" applyBorder="1" applyAlignment="1">
      <alignment horizontal="center" vertical="center" wrapText="1"/>
    </xf>
    <xf numFmtId="3" fontId="15" fillId="4" borderId="64" xfId="5" applyNumberFormat="1" applyFont="1" applyFill="1" applyBorder="1" applyAlignment="1">
      <alignment horizontal="center"/>
    </xf>
    <xf numFmtId="3" fontId="15" fillId="4" borderId="60" xfId="5" applyNumberFormat="1" applyFont="1" applyFill="1" applyBorder="1" applyAlignment="1">
      <alignment horizontal="center"/>
    </xf>
    <xf numFmtId="3" fontId="15" fillId="4" borderId="62" xfId="5" applyNumberFormat="1" applyFont="1" applyFill="1" applyBorder="1" applyAlignment="1">
      <alignment horizontal="center"/>
    </xf>
    <xf numFmtId="3" fontId="15" fillId="4" borderId="67" xfId="5" applyNumberFormat="1" applyFont="1" applyFill="1" applyBorder="1" applyAlignment="1">
      <alignment horizontal="center"/>
    </xf>
    <xf numFmtId="3" fontId="15" fillId="4" borderId="50" xfId="5" applyNumberFormat="1" applyFont="1" applyFill="1" applyBorder="1" applyAlignment="1">
      <alignment horizontal="center"/>
    </xf>
    <xf numFmtId="3" fontId="15" fillId="4" borderId="49" xfId="5" applyNumberFormat="1" applyFont="1" applyFill="1" applyBorder="1" applyAlignment="1">
      <alignment horizontal="center"/>
    </xf>
    <xf numFmtId="3" fontId="22" fillId="5" borderId="74" xfId="5" applyNumberFormat="1" applyFont="1" applyFill="1" applyBorder="1" applyAlignment="1">
      <alignment horizontal="center" vertical="center" wrapText="1"/>
    </xf>
    <xf numFmtId="3" fontId="22" fillId="5" borderId="54" xfId="5" applyNumberFormat="1" applyFont="1" applyFill="1" applyBorder="1" applyAlignment="1">
      <alignment horizontal="center" vertical="center" wrapText="1"/>
    </xf>
    <xf numFmtId="3" fontId="22" fillId="5" borderId="31" xfId="5" applyNumberFormat="1" applyFont="1" applyFill="1" applyBorder="1" applyAlignment="1">
      <alignment horizontal="center" vertical="center" wrapText="1"/>
    </xf>
    <xf numFmtId="3" fontId="22" fillId="5" borderId="63" xfId="5" applyNumberFormat="1" applyFont="1" applyFill="1" applyBorder="1" applyAlignment="1">
      <alignment horizontal="center" vertical="center" wrapText="1"/>
    </xf>
    <xf numFmtId="3" fontId="22" fillId="5" borderId="0" xfId="5" applyNumberFormat="1" applyFont="1" applyFill="1" applyAlignment="1">
      <alignment horizontal="center" vertical="center" wrapText="1"/>
    </xf>
    <xf numFmtId="3" fontId="22" fillId="5" borderId="57" xfId="5" applyNumberFormat="1" applyFont="1" applyFill="1" applyBorder="1" applyAlignment="1">
      <alignment horizontal="center" vertical="center" wrapText="1"/>
    </xf>
    <xf numFmtId="3" fontId="22" fillId="5" borderId="2" xfId="5" applyNumberFormat="1" applyFont="1" applyFill="1" applyBorder="1" applyAlignment="1">
      <alignment horizontal="center" vertical="center" wrapText="1"/>
    </xf>
    <xf numFmtId="3" fontId="22" fillId="5" borderId="42" xfId="5" applyNumberFormat="1" applyFont="1" applyFill="1" applyBorder="1" applyAlignment="1">
      <alignment horizontal="center" vertical="center" wrapText="1"/>
    </xf>
    <xf numFmtId="3" fontId="22" fillId="5" borderId="40" xfId="5" applyNumberFormat="1" applyFont="1" applyFill="1" applyBorder="1" applyAlignment="1">
      <alignment horizontal="center" vertical="center" wrapText="1"/>
    </xf>
    <xf numFmtId="3" fontId="22" fillId="5" borderId="32" xfId="5" applyNumberFormat="1" applyFont="1" applyFill="1" applyBorder="1" applyAlignment="1">
      <alignment horizontal="center" vertical="center" wrapText="1"/>
    </xf>
    <xf numFmtId="3" fontId="22" fillId="5" borderId="56" xfId="5" applyNumberFormat="1" applyFont="1" applyFill="1" applyBorder="1" applyAlignment="1">
      <alignment horizontal="center" vertical="center" wrapText="1"/>
    </xf>
    <xf numFmtId="3" fontId="22" fillId="5" borderId="6" xfId="5" applyNumberFormat="1" applyFont="1" applyFill="1" applyBorder="1" applyAlignment="1">
      <alignment horizontal="center" vertical="center" wrapText="1"/>
    </xf>
    <xf numFmtId="4" fontId="12" fillId="0" borderId="38" xfId="5" applyNumberFormat="1" applyFont="1" applyBorder="1" applyAlignment="1">
      <alignment horizontal="left"/>
    </xf>
    <xf numFmtId="4" fontId="12" fillId="0" borderId="60" xfId="5" applyNumberFormat="1" applyFont="1" applyBorder="1" applyAlignment="1">
      <alignment horizontal="left"/>
    </xf>
    <xf numFmtId="4" fontId="12" fillId="0" borderId="61" xfId="5" applyNumberFormat="1" applyFont="1" applyBorder="1" applyAlignment="1">
      <alignment horizontal="left"/>
    </xf>
    <xf numFmtId="4" fontId="12" fillId="0" borderId="6" xfId="5" applyNumberFormat="1" applyFont="1" applyBorder="1" applyAlignment="1">
      <alignment horizontal="left"/>
    </xf>
    <xf numFmtId="4" fontId="12" fillId="0" borderId="42" xfId="5" applyNumberFormat="1" applyFont="1" applyBorder="1" applyAlignment="1">
      <alignment horizontal="left"/>
    </xf>
    <xf numFmtId="4" fontId="12" fillId="0" borderId="40" xfId="5" applyNumberFormat="1" applyFont="1" applyBorder="1" applyAlignment="1">
      <alignment horizontal="left"/>
    </xf>
    <xf numFmtId="4" fontId="12" fillId="4" borderId="36" xfId="5" applyNumberFormat="1" applyFont="1" applyFill="1" applyBorder="1" applyAlignment="1">
      <alignment horizontal="center" vertical="center" wrapText="1"/>
    </xf>
    <xf numFmtId="4" fontId="12" fillId="4" borderId="58" xfId="5" applyNumberFormat="1" applyFont="1" applyFill="1" applyBorder="1" applyAlignment="1">
      <alignment horizontal="center" vertical="center" wrapText="1"/>
    </xf>
    <xf numFmtId="4" fontId="12" fillId="4" borderId="52" xfId="5" applyNumberFormat="1" applyFont="1" applyFill="1" applyBorder="1" applyAlignment="1">
      <alignment horizontal="center" vertical="center" wrapText="1"/>
    </xf>
    <xf numFmtId="4" fontId="12" fillId="0" borderId="62" xfId="5" applyNumberFormat="1" applyFont="1" applyBorder="1" applyAlignment="1">
      <alignment horizontal="left"/>
    </xf>
    <xf numFmtId="4" fontId="12" fillId="0" borderId="33" xfId="5" applyNumberFormat="1" applyFont="1" applyBorder="1" applyAlignment="1">
      <alignment horizontal="left"/>
    </xf>
    <xf numFmtId="0" fontId="16" fillId="0" borderId="0" xfId="5" applyFont="1" applyAlignment="1">
      <alignment horizontal="left"/>
    </xf>
    <xf numFmtId="3" fontId="12" fillId="5" borderId="32" xfId="5" applyNumberFormat="1" applyFont="1" applyFill="1" applyBorder="1" applyAlignment="1">
      <alignment horizontal="center" vertical="center"/>
    </xf>
    <xf numFmtId="3" fontId="12" fillId="5" borderId="54" xfId="5" applyNumberFormat="1" applyFont="1" applyFill="1" applyBorder="1" applyAlignment="1">
      <alignment horizontal="center" vertical="center"/>
    </xf>
    <xf numFmtId="3" fontId="12" fillId="5" borderId="31" xfId="5" applyNumberFormat="1" applyFont="1" applyFill="1" applyBorder="1" applyAlignment="1">
      <alignment horizontal="center" vertical="center"/>
    </xf>
    <xf numFmtId="3" fontId="12" fillId="5" borderId="56" xfId="5" applyNumberFormat="1" applyFont="1" applyFill="1" applyBorder="1" applyAlignment="1">
      <alignment horizontal="center" vertical="center"/>
    </xf>
    <xf numFmtId="3" fontId="12" fillId="5" borderId="0" xfId="5" applyNumberFormat="1" applyFont="1" applyFill="1" applyAlignment="1">
      <alignment horizontal="center" vertical="center"/>
    </xf>
    <xf numFmtId="3" fontId="12" fillId="5" borderId="57" xfId="5" applyNumberFormat="1" applyFont="1" applyFill="1" applyBorder="1" applyAlignment="1">
      <alignment horizontal="center" vertical="center"/>
    </xf>
    <xf numFmtId="3" fontId="12" fillId="5" borderId="6" xfId="5" applyNumberFormat="1" applyFont="1" applyFill="1" applyBorder="1" applyAlignment="1">
      <alignment horizontal="center" vertical="center"/>
    </xf>
    <xf numFmtId="3" fontId="12" fillId="5" borderId="42" xfId="5" applyNumberFormat="1" applyFont="1" applyFill="1" applyBorder="1" applyAlignment="1">
      <alignment horizontal="center" vertical="center"/>
    </xf>
    <xf numFmtId="3" fontId="12" fillId="5" borderId="40" xfId="5" applyNumberFormat="1" applyFont="1" applyFill="1" applyBorder="1" applyAlignment="1">
      <alignment horizontal="center" vertical="center"/>
    </xf>
    <xf numFmtId="4" fontId="12" fillId="5" borderId="9" xfId="5" applyNumberFormat="1" applyFont="1" applyFill="1" applyBorder="1" applyAlignment="1">
      <alignment horizontal="center" vertical="center"/>
    </xf>
    <xf numFmtId="4" fontId="12" fillId="5" borderId="53" xfId="5" applyNumberFormat="1" applyFont="1" applyFill="1" applyBorder="1" applyAlignment="1">
      <alignment horizontal="center" vertical="center"/>
    </xf>
    <xf numFmtId="4" fontId="12" fillId="5" borderId="75" xfId="5" applyNumberFormat="1" applyFont="1" applyFill="1" applyBorder="1" applyAlignment="1">
      <alignment horizontal="center" vertical="center"/>
    </xf>
    <xf numFmtId="4" fontId="12" fillId="5" borderId="32" xfId="5" applyNumberFormat="1" applyFont="1" applyFill="1" applyBorder="1" applyAlignment="1">
      <alignment horizontal="center" vertical="center"/>
    </xf>
    <xf numFmtId="4" fontId="12" fillId="5" borderId="31" xfId="5" applyNumberFormat="1" applyFont="1" applyFill="1" applyBorder="1" applyAlignment="1">
      <alignment horizontal="center" vertical="center"/>
    </xf>
    <xf numFmtId="4" fontId="12" fillId="5" borderId="6" xfId="5" applyNumberFormat="1" applyFont="1" applyFill="1" applyBorder="1" applyAlignment="1">
      <alignment horizontal="center" vertical="center"/>
    </xf>
    <xf numFmtId="4" fontId="12" fillId="5" borderId="40" xfId="5" applyNumberFormat="1" applyFont="1" applyFill="1" applyBorder="1" applyAlignment="1">
      <alignment horizontal="center" vertical="center"/>
    </xf>
    <xf numFmtId="4" fontId="12" fillId="5" borderId="22" xfId="5" applyNumberFormat="1" applyFont="1" applyFill="1" applyBorder="1" applyAlignment="1">
      <alignment horizontal="center" vertical="center" wrapText="1"/>
    </xf>
    <xf numFmtId="4" fontId="12" fillId="5" borderId="5" xfId="5" applyNumberFormat="1" applyFont="1" applyFill="1" applyBorder="1" applyAlignment="1">
      <alignment horizontal="center" vertical="center" wrapText="1"/>
    </xf>
    <xf numFmtId="4" fontId="12" fillId="5" borderId="32" xfId="5" applyNumberFormat="1" applyFont="1" applyFill="1" applyBorder="1" applyAlignment="1">
      <alignment horizontal="center" vertical="center" wrapText="1"/>
    </xf>
    <xf numFmtId="4" fontId="12" fillId="5" borderId="54" xfId="5" applyNumberFormat="1" applyFont="1" applyFill="1" applyBorder="1" applyAlignment="1">
      <alignment horizontal="center" vertical="center" wrapText="1"/>
    </xf>
    <xf numFmtId="4" fontId="12" fillId="5" borderId="59" xfId="5" applyNumberFormat="1" applyFont="1" applyFill="1" applyBorder="1" applyAlignment="1">
      <alignment horizontal="center" vertical="center" wrapText="1"/>
    </xf>
    <xf numFmtId="4" fontId="12" fillId="5" borderId="6" xfId="5" applyNumberFormat="1" applyFont="1" applyFill="1" applyBorder="1" applyAlignment="1">
      <alignment horizontal="center" vertical="center" wrapText="1"/>
    </xf>
    <xf numFmtId="4" fontId="12" fillId="5" borderId="42" xfId="5" applyNumberFormat="1" applyFont="1" applyFill="1" applyBorder="1" applyAlignment="1">
      <alignment horizontal="center" vertical="center" wrapText="1"/>
    </xf>
    <xf numFmtId="4" fontId="12" fillId="5" borderId="33" xfId="5" applyNumberFormat="1" applyFont="1" applyFill="1" applyBorder="1" applyAlignment="1">
      <alignment horizontal="center" vertical="center" wrapText="1"/>
    </xf>
    <xf numFmtId="3" fontId="12" fillId="0" borderId="38" xfId="5" applyNumberFormat="1" applyFont="1" applyBorder="1" applyAlignment="1">
      <alignment horizontal="left"/>
    </xf>
    <xf numFmtId="3" fontId="12" fillId="0" borderId="60" xfId="5" applyNumberFormat="1" applyFont="1" applyBorder="1" applyAlignment="1">
      <alignment horizontal="left"/>
    </xf>
    <xf numFmtId="3" fontId="12" fillId="0" borderId="61" xfId="5" applyNumberFormat="1" applyFont="1" applyBorder="1" applyAlignment="1">
      <alignment horizontal="left"/>
    </xf>
    <xf numFmtId="3" fontId="12" fillId="0" borderId="6" xfId="5" applyNumberFormat="1" applyFont="1" applyBorder="1" applyAlignment="1">
      <alignment horizontal="left"/>
    </xf>
    <xf numFmtId="3" fontId="12" fillId="0" borderId="42" xfId="5" applyNumberFormat="1" applyFont="1" applyBorder="1" applyAlignment="1">
      <alignment horizontal="left"/>
    </xf>
    <xf numFmtId="3" fontId="12" fillId="0" borderId="40" xfId="5" applyNumberFormat="1" applyFont="1" applyBorder="1" applyAlignment="1">
      <alignment horizontal="left"/>
    </xf>
    <xf numFmtId="4" fontId="16" fillId="0" borderId="0" xfId="0" applyNumberFormat="1" applyFont="1" applyAlignment="1">
      <alignment horizontal="left" wrapText="1"/>
    </xf>
  </cellXfs>
  <cellStyles count="10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20F7EB6F-F72C-4244-AA00-EBE717C96B3B}"/>
    <cellStyle name="Normální 4" xfId="5" xr:uid="{00000000-0005-0000-0000-000006000000}"/>
    <cellStyle name="Normální 4 2" xfId="8" xr:uid="{3A122D7D-407F-4060-A0B8-E858DC93D896}"/>
    <cellStyle name="normální_OIII.TURN.e" xfId="4" xr:uid="{00000000-0005-0000-0000-000007000000}"/>
  </cellStyles>
  <dxfs count="0"/>
  <tableStyles count="0" defaultTableStyle="TableStyleMedium2" defaultPivotStyle="PivotStyleLight16"/>
  <colors>
    <mruColors>
      <color rgb="FFFABF8F"/>
      <color rgb="FF99FF99"/>
      <color rgb="FFFF66FF"/>
      <color rgb="FFCC3300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801"/>
  <sheetViews>
    <sheetView zoomScaleNormal="100" workbookViewId="0">
      <pane xSplit="8" ySplit="11" topLeftCell="L144" activePane="bottomRight" state="frozen"/>
      <selection activeCell="Q6" sqref="Q6:AN6"/>
      <selection pane="topRight" activeCell="Q6" sqref="Q6:AN6"/>
      <selection pane="bottomLeft" activeCell="Q6" sqref="Q6:AN6"/>
      <selection pane="bottomRight" activeCell="U166" sqref="U166"/>
    </sheetView>
  </sheetViews>
  <sheetFormatPr defaultColWidth="9.140625" defaultRowHeight="11.25" x14ac:dyDescent="0.2"/>
  <cols>
    <col min="1" max="1" width="5" style="108" customWidth="1"/>
    <col min="2" max="2" width="4.7109375" style="107" customWidth="1"/>
    <col min="3" max="3" width="8.7109375" style="107" customWidth="1"/>
    <col min="4" max="4" width="7.85546875" style="107" customWidth="1"/>
    <col min="5" max="5" width="30.28515625" style="108" customWidth="1"/>
    <col min="6" max="6" width="4.42578125" style="108" customWidth="1"/>
    <col min="7" max="7" width="10" style="108" customWidth="1"/>
    <col min="8" max="8" width="8" style="108" customWidth="1"/>
    <col min="9" max="9" width="10.7109375" style="109" customWidth="1"/>
    <col min="10" max="13" width="10.7109375" style="110" customWidth="1"/>
    <col min="14" max="14" width="11.7109375" style="655" customWidth="1"/>
    <col min="15" max="16" width="10.7109375" style="111" customWidth="1"/>
    <col min="17" max="32" width="10.7109375" style="165" customWidth="1"/>
    <col min="33" max="40" width="10.7109375" style="166" customWidth="1"/>
    <col min="41" max="46" width="10.7109375" style="165" customWidth="1"/>
    <col min="47" max="47" width="11.7109375" style="166" customWidth="1"/>
    <col min="48" max="49" width="10.7109375" style="166" customWidth="1"/>
    <col min="50" max="16384" width="9.140625" style="114"/>
  </cols>
  <sheetData>
    <row r="1" spans="1:49" ht="16.5" customHeight="1" x14ac:dyDescent="0.25">
      <c r="A1" s="245" t="s">
        <v>2</v>
      </c>
      <c r="B1" s="245"/>
      <c r="C1" s="97"/>
      <c r="D1" s="245"/>
      <c r="E1" s="245"/>
      <c r="I1" s="108"/>
      <c r="J1" s="108"/>
      <c r="K1" s="108"/>
      <c r="L1" s="108"/>
      <c r="M1" s="108"/>
      <c r="N1" s="388"/>
      <c r="O1" s="388"/>
      <c r="P1" s="388"/>
      <c r="Q1" s="388"/>
      <c r="R1" s="38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476"/>
      <c r="AG1" s="388"/>
      <c r="AH1" s="388"/>
      <c r="AI1" s="388"/>
      <c r="AJ1" s="113"/>
      <c r="AK1" s="113"/>
      <c r="AL1" s="113"/>
      <c r="AM1" s="113"/>
      <c r="AN1" s="113"/>
      <c r="AO1" s="112"/>
      <c r="AP1" s="112"/>
      <c r="AQ1" s="112"/>
      <c r="AR1" s="112"/>
      <c r="AS1" s="112"/>
      <c r="AT1" s="112"/>
      <c r="AU1" s="113"/>
      <c r="AV1" s="113"/>
    </row>
    <row r="2" spans="1:49" ht="12.75" customHeight="1" x14ac:dyDescent="0.2">
      <c r="A2" s="245" t="s">
        <v>3</v>
      </c>
      <c r="B2" s="245"/>
      <c r="C2" s="97"/>
      <c r="D2" s="245"/>
      <c r="E2" s="245"/>
      <c r="I2" s="231"/>
      <c r="J2" s="231"/>
      <c r="K2" s="231"/>
      <c r="L2" s="231"/>
      <c r="M2" s="231"/>
      <c r="N2" s="283"/>
      <c r="O2" s="283"/>
      <c r="P2" s="283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83"/>
      <c r="AH2" s="283"/>
      <c r="AI2" s="283"/>
      <c r="AJ2" s="283"/>
      <c r="AK2" s="283"/>
      <c r="AL2" s="283"/>
      <c r="AM2" s="283"/>
      <c r="AN2" s="283"/>
      <c r="AO2" s="231"/>
      <c r="AP2" s="231"/>
      <c r="AQ2" s="231"/>
      <c r="AR2" s="231"/>
      <c r="AS2" s="231"/>
      <c r="AT2" s="231"/>
      <c r="AU2" s="283"/>
      <c r="AV2" s="283"/>
    </row>
    <row r="3" spans="1:49" ht="12.75" customHeight="1" x14ac:dyDescent="0.2">
      <c r="A3" s="1164" t="s">
        <v>4</v>
      </c>
      <c r="B3" s="1164"/>
      <c r="C3" s="1164"/>
      <c r="D3" s="1164"/>
      <c r="E3" s="1164"/>
      <c r="I3" s="231"/>
      <c r="J3" s="231"/>
      <c r="K3" s="231"/>
      <c r="L3" s="231"/>
      <c r="M3" s="231"/>
      <c r="N3" s="283"/>
      <c r="O3" s="283"/>
      <c r="P3" s="283"/>
      <c r="Q3" s="234"/>
      <c r="R3" s="234"/>
      <c r="S3" s="234"/>
      <c r="T3" s="234"/>
      <c r="U3" s="234"/>
      <c r="V3" s="234"/>
      <c r="W3" s="234"/>
      <c r="X3" s="234"/>
      <c r="Y3" s="235"/>
      <c r="Z3" s="235"/>
      <c r="AA3" s="235"/>
      <c r="AB3" s="236"/>
      <c r="AC3" s="236"/>
      <c r="AD3" s="236"/>
      <c r="AE3" s="235"/>
      <c r="AF3" s="236"/>
      <c r="AG3" s="232"/>
      <c r="AH3" s="232"/>
      <c r="AI3" s="232"/>
      <c r="AJ3" s="232"/>
      <c r="AK3" s="232"/>
      <c r="AL3" s="232"/>
      <c r="AM3" s="232"/>
      <c r="AN3" s="283"/>
      <c r="AO3" s="231"/>
      <c r="AP3" s="231"/>
      <c r="AQ3" s="231"/>
      <c r="AR3" s="231"/>
      <c r="AS3" s="231"/>
      <c r="AT3" s="231"/>
      <c r="AU3" s="283"/>
      <c r="AV3" s="283"/>
    </row>
    <row r="4" spans="1:49" ht="12.75" customHeight="1" x14ac:dyDescent="0.2">
      <c r="A4" s="246"/>
      <c r="B4" s="246"/>
      <c r="C4" s="246"/>
      <c r="D4" s="246"/>
      <c r="E4" s="246"/>
      <c r="I4" s="231"/>
      <c r="J4" s="231"/>
      <c r="K4" s="231"/>
      <c r="L4" s="231"/>
      <c r="M4" s="231"/>
      <c r="N4" s="283"/>
      <c r="O4" s="283"/>
      <c r="P4" s="283"/>
      <c r="Q4" s="234"/>
      <c r="R4" s="234"/>
      <c r="S4" s="234"/>
      <c r="T4" s="234"/>
      <c r="U4" s="234"/>
      <c r="V4" s="234"/>
      <c r="W4" s="234"/>
      <c r="X4" s="234"/>
      <c r="Y4" s="235"/>
      <c r="Z4" s="235"/>
      <c r="AA4" s="235"/>
      <c r="AB4" s="236"/>
      <c r="AC4" s="236"/>
      <c r="AD4" s="236"/>
      <c r="AE4" s="235"/>
      <c r="AF4" s="236"/>
      <c r="AG4" s="232"/>
      <c r="AH4" s="232"/>
      <c r="AI4" s="232"/>
      <c r="AJ4" s="232"/>
      <c r="AK4" s="232"/>
      <c r="AL4" s="232"/>
      <c r="AM4" s="232"/>
      <c r="AN4" s="283"/>
      <c r="AO4" s="231"/>
      <c r="AP4" s="231"/>
      <c r="AQ4" s="231"/>
      <c r="AR4" s="231"/>
      <c r="AS4" s="231"/>
      <c r="AT4" s="231"/>
      <c r="AU4" s="283"/>
      <c r="AV4" s="283"/>
    </row>
    <row r="5" spans="1:49" ht="16.5" customHeight="1" thickBot="1" x14ac:dyDescent="0.3">
      <c r="A5" s="400" t="s">
        <v>838</v>
      </c>
      <c r="I5" s="237"/>
      <c r="J5" s="237"/>
      <c r="K5" s="237"/>
      <c r="L5" s="237"/>
      <c r="M5" s="237"/>
      <c r="N5" s="346"/>
      <c r="O5" s="346"/>
      <c r="P5" s="346"/>
      <c r="Q5" s="234"/>
      <c r="R5" s="234"/>
      <c r="S5" s="234"/>
      <c r="T5" s="234"/>
      <c r="V5" s="234"/>
      <c r="W5" s="234"/>
      <c r="X5" s="234"/>
      <c r="Y5" s="235"/>
      <c r="Z5" s="235"/>
      <c r="AA5" s="235"/>
      <c r="AB5" s="236"/>
      <c r="AC5" s="236"/>
      <c r="AD5" s="236"/>
      <c r="AE5" s="235"/>
      <c r="AH5" s="233"/>
      <c r="AI5" s="233"/>
      <c r="AJ5" s="233"/>
      <c r="AK5" s="233"/>
      <c r="AL5" s="233"/>
      <c r="AM5" s="233"/>
      <c r="AN5" s="346"/>
      <c r="AO5" s="237"/>
      <c r="AP5" s="237"/>
      <c r="AQ5" s="237"/>
      <c r="AR5" s="237"/>
      <c r="AS5" s="237"/>
      <c r="AT5" s="237"/>
      <c r="AU5" s="346"/>
      <c r="AV5" s="346"/>
    </row>
    <row r="6" spans="1:49" ht="12.75" customHeight="1" x14ac:dyDescent="0.2">
      <c r="I6" s="1158" t="s">
        <v>837</v>
      </c>
      <c r="J6" s="1159"/>
      <c r="K6" s="1159"/>
      <c r="L6" s="1159"/>
      <c r="M6" s="1159"/>
      <c r="N6" s="1159"/>
      <c r="O6" s="1159"/>
      <c r="P6" s="1160"/>
      <c r="Q6" s="1182" t="s">
        <v>839</v>
      </c>
      <c r="R6" s="1183"/>
      <c r="S6" s="1183"/>
      <c r="T6" s="1183"/>
      <c r="U6" s="1183"/>
      <c r="V6" s="1183"/>
      <c r="W6" s="1183"/>
      <c r="X6" s="1183"/>
      <c r="Y6" s="1183"/>
      <c r="Z6" s="1183"/>
      <c r="AA6" s="1183"/>
      <c r="AB6" s="1183"/>
      <c r="AC6" s="1183"/>
      <c r="AD6" s="1183"/>
      <c r="AE6" s="1183"/>
      <c r="AF6" s="1183"/>
      <c r="AG6" s="1183"/>
      <c r="AH6" s="1183"/>
      <c r="AI6" s="1183"/>
      <c r="AJ6" s="1183"/>
      <c r="AK6" s="1183"/>
      <c r="AL6" s="1183"/>
      <c r="AM6" s="1183"/>
      <c r="AN6" s="1184"/>
      <c r="AO6" s="1185" t="s">
        <v>868</v>
      </c>
      <c r="AP6" s="1186"/>
      <c r="AQ6" s="1186"/>
      <c r="AR6" s="1186"/>
      <c r="AS6" s="1186"/>
      <c r="AT6" s="1186"/>
      <c r="AU6" s="1186"/>
      <c r="AV6" s="1186"/>
      <c r="AW6" s="1187"/>
    </row>
    <row r="7" spans="1:49" ht="16.5" customHeight="1" thickBot="1" x14ac:dyDescent="0.3">
      <c r="B7" s="13"/>
      <c r="C7"/>
      <c r="D7" s="18"/>
      <c r="E7" s="13"/>
      <c r="I7" s="1161"/>
      <c r="J7" s="1162"/>
      <c r="K7" s="1162"/>
      <c r="L7" s="1162"/>
      <c r="M7" s="1162"/>
      <c r="N7" s="1162"/>
      <c r="O7" s="1162"/>
      <c r="P7" s="1163"/>
      <c r="Q7" s="1191" t="s">
        <v>289</v>
      </c>
      <c r="R7" s="1192"/>
      <c r="S7" s="1192"/>
      <c r="T7" s="1192"/>
      <c r="U7" s="1193"/>
      <c r="V7" s="1200" t="s">
        <v>290</v>
      </c>
      <c r="W7" s="1192"/>
      <c r="X7" s="1192"/>
      <c r="Y7" s="1193"/>
      <c r="Z7" s="1165" t="s">
        <v>291</v>
      </c>
      <c r="AA7" s="1165" t="s">
        <v>5</v>
      </c>
      <c r="AB7" s="1165" t="s">
        <v>292</v>
      </c>
      <c r="AC7" s="1203" t="s">
        <v>293</v>
      </c>
      <c r="AD7" s="1204"/>
      <c r="AE7" s="1205"/>
      <c r="AF7" s="1165" t="s">
        <v>315</v>
      </c>
      <c r="AG7" s="1212" t="s">
        <v>294</v>
      </c>
      <c r="AH7" s="1213"/>
      <c r="AI7" s="1213"/>
      <c r="AJ7" s="1213"/>
      <c r="AK7" s="1213"/>
      <c r="AL7" s="1213"/>
      <c r="AM7" s="1213"/>
      <c r="AN7" s="1214"/>
      <c r="AO7" s="1188"/>
      <c r="AP7" s="1189"/>
      <c r="AQ7" s="1189"/>
      <c r="AR7" s="1189"/>
      <c r="AS7" s="1189"/>
      <c r="AT7" s="1189"/>
      <c r="AU7" s="1189"/>
      <c r="AV7" s="1189"/>
      <c r="AW7" s="1190"/>
    </row>
    <row r="8" spans="1:49" ht="15" customHeight="1" x14ac:dyDescent="0.2">
      <c r="A8" s="238"/>
      <c r="B8" s="115"/>
      <c r="C8" s="115"/>
      <c r="D8" s="115"/>
      <c r="E8" s="116"/>
      <c r="F8" s="117"/>
      <c r="G8" s="118"/>
      <c r="H8" s="118"/>
      <c r="I8" s="1168" t="s">
        <v>6</v>
      </c>
      <c r="J8" s="1171" t="s">
        <v>827</v>
      </c>
      <c r="K8" s="1172"/>
      <c r="L8" s="1172"/>
      <c r="M8" s="1173"/>
      <c r="N8" s="1177" t="s">
        <v>286</v>
      </c>
      <c r="O8" s="1171" t="s">
        <v>828</v>
      </c>
      <c r="P8" s="1180"/>
      <c r="Q8" s="1194"/>
      <c r="R8" s="1195"/>
      <c r="S8" s="1195"/>
      <c r="T8" s="1195"/>
      <c r="U8" s="1196"/>
      <c r="V8" s="1201"/>
      <c r="W8" s="1195"/>
      <c r="X8" s="1195"/>
      <c r="Y8" s="1196"/>
      <c r="Z8" s="1166"/>
      <c r="AA8" s="1166"/>
      <c r="AB8" s="1166"/>
      <c r="AC8" s="1206"/>
      <c r="AD8" s="1207"/>
      <c r="AE8" s="1208"/>
      <c r="AF8" s="1166"/>
      <c r="AG8" s="1215" t="s">
        <v>295</v>
      </c>
      <c r="AH8" s="1216"/>
      <c r="AI8" s="1231" t="s">
        <v>296</v>
      </c>
      <c r="AJ8" s="1215" t="s">
        <v>297</v>
      </c>
      <c r="AK8" s="1216"/>
      <c r="AL8" s="1219" t="s">
        <v>298</v>
      </c>
      <c r="AM8" s="1220"/>
      <c r="AN8" s="1221"/>
      <c r="AO8" s="1168" t="s">
        <v>6</v>
      </c>
      <c r="AP8" s="1225" t="s">
        <v>827</v>
      </c>
      <c r="AQ8" s="1226"/>
      <c r="AR8" s="1226"/>
      <c r="AS8" s="1226"/>
      <c r="AT8" s="1227"/>
      <c r="AU8" s="1177" t="s">
        <v>286</v>
      </c>
      <c r="AV8" s="1171" t="s">
        <v>829</v>
      </c>
      <c r="AW8" s="1180"/>
    </row>
    <row r="9" spans="1:49" ht="15" customHeight="1" thickBot="1" x14ac:dyDescent="0.25">
      <c r="A9" s="239" t="s">
        <v>794</v>
      </c>
      <c r="B9" s="14"/>
      <c r="C9"/>
      <c r="D9" s="21"/>
      <c r="E9" s="14"/>
      <c r="F9" s="117"/>
      <c r="G9" s="118"/>
      <c r="H9" s="118"/>
      <c r="I9" s="1169"/>
      <c r="J9" s="1174"/>
      <c r="K9" s="1175"/>
      <c r="L9" s="1175"/>
      <c r="M9" s="1176"/>
      <c r="N9" s="1178"/>
      <c r="O9" s="1174"/>
      <c r="P9" s="1181"/>
      <c r="Q9" s="1197"/>
      <c r="R9" s="1198"/>
      <c r="S9" s="1198"/>
      <c r="T9" s="1198"/>
      <c r="U9" s="1199"/>
      <c r="V9" s="1202"/>
      <c r="W9" s="1198"/>
      <c r="X9" s="1198"/>
      <c r="Y9" s="1199"/>
      <c r="Z9" s="1166"/>
      <c r="AA9" s="1166"/>
      <c r="AB9" s="1166"/>
      <c r="AC9" s="1209"/>
      <c r="AD9" s="1210"/>
      <c r="AE9" s="1211"/>
      <c r="AF9" s="1166"/>
      <c r="AG9" s="1217"/>
      <c r="AH9" s="1218"/>
      <c r="AI9" s="1232"/>
      <c r="AJ9" s="1217"/>
      <c r="AK9" s="1218"/>
      <c r="AL9" s="1222"/>
      <c r="AM9" s="1223"/>
      <c r="AN9" s="1224"/>
      <c r="AO9" s="1169"/>
      <c r="AP9" s="1228"/>
      <c r="AQ9" s="1229"/>
      <c r="AR9" s="1229"/>
      <c r="AS9" s="1229"/>
      <c r="AT9" s="1230"/>
      <c r="AU9" s="1178"/>
      <c r="AV9" s="1174"/>
      <c r="AW9" s="1181"/>
    </row>
    <row r="10" spans="1:49" ht="23.25" thickBot="1" x14ac:dyDescent="0.25">
      <c r="A10" s="119" t="s">
        <v>800</v>
      </c>
      <c r="B10" s="120" t="s">
        <v>566</v>
      </c>
      <c r="C10" s="120" t="s">
        <v>567</v>
      </c>
      <c r="D10" s="120" t="s">
        <v>270</v>
      </c>
      <c r="E10" s="310" t="s">
        <v>802</v>
      </c>
      <c r="F10" s="120" t="s">
        <v>0</v>
      </c>
      <c r="G10" s="244" t="s">
        <v>271</v>
      </c>
      <c r="H10" s="74" t="s">
        <v>282</v>
      </c>
      <c r="I10" s="1170"/>
      <c r="J10" s="75" t="s">
        <v>280</v>
      </c>
      <c r="K10" s="76" t="s">
        <v>5</v>
      </c>
      <c r="L10" s="76" t="s">
        <v>1</v>
      </c>
      <c r="M10" s="76" t="s">
        <v>7</v>
      </c>
      <c r="N10" s="1179"/>
      <c r="O10" s="77" t="s">
        <v>287</v>
      </c>
      <c r="P10" s="78" t="s">
        <v>288</v>
      </c>
      <c r="Q10" s="483" t="s">
        <v>299</v>
      </c>
      <c r="R10" s="81" t="s">
        <v>296</v>
      </c>
      <c r="S10" s="81" t="s">
        <v>815</v>
      </c>
      <c r="T10" s="82" t="s">
        <v>297</v>
      </c>
      <c r="U10" s="81" t="s">
        <v>791</v>
      </c>
      <c r="V10" s="85" t="s">
        <v>300</v>
      </c>
      <c r="W10" s="81" t="s">
        <v>826</v>
      </c>
      <c r="X10" s="85" t="s">
        <v>301</v>
      </c>
      <c r="Y10" s="81" t="s">
        <v>792</v>
      </c>
      <c r="Z10" s="1167"/>
      <c r="AA10" s="1167"/>
      <c r="AB10" s="1167"/>
      <c r="AC10" s="81" t="s">
        <v>296</v>
      </c>
      <c r="AD10" s="82" t="s">
        <v>302</v>
      </c>
      <c r="AE10" s="81" t="s">
        <v>793</v>
      </c>
      <c r="AF10" s="1167"/>
      <c r="AG10" s="317" t="s">
        <v>287</v>
      </c>
      <c r="AH10" s="337" t="s">
        <v>288</v>
      </c>
      <c r="AI10" s="317" t="s">
        <v>287</v>
      </c>
      <c r="AJ10" s="317" t="s">
        <v>287</v>
      </c>
      <c r="AK10" s="337" t="s">
        <v>288</v>
      </c>
      <c r="AL10" s="317" t="s">
        <v>287</v>
      </c>
      <c r="AM10" s="337" t="s">
        <v>288</v>
      </c>
      <c r="AN10" s="345" t="s">
        <v>311</v>
      </c>
      <c r="AO10" s="1170"/>
      <c r="AP10" s="79" t="s">
        <v>280</v>
      </c>
      <c r="AQ10" s="80" t="s">
        <v>290</v>
      </c>
      <c r="AR10" s="76" t="s">
        <v>5</v>
      </c>
      <c r="AS10" s="76" t="s">
        <v>1</v>
      </c>
      <c r="AT10" s="76" t="s">
        <v>7</v>
      </c>
      <c r="AU10" s="1179"/>
      <c r="AV10" s="77" t="s">
        <v>287</v>
      </c>
      <c r="AW10" s="78" t="s">
        <v>288</v>
      </c>
    </row>
    <row r="11" spans="1:49" s="247" customFormat="1" ht="11.25" customHeight="1" thickBot="1" x14ac:dyDescent="0.25">
      <c r="A11" s="263" t="s">
        <v>568</v>
      </c>
      <c r="B11" s="264" t="s">
        <v>569</v>
      </c>
      <c r="C11" s="264" t="s">
        <v>272</v>
      </c>
      <c r="D11" s="264" t="s">
        <v>273</v>
      </c>
      <c r="E11" s="264" t="s">
        <v>570</v>
      </c>
      <c r="F11" s="264" t="s">
        <v>0</v>
      </c>
      <c r="G11" s="264" t="s">
        <v>571</v>
      </c>
      <c r="H11" s="265" t="s">
        <v>796</v>
      </c>
      <c r="I11" s="266" t="s">
        <v>274</v>
      </c>
      <c r="J11" s="267" t="s">
        <v>275</v>
      </c>
      <c r="K11" s="267" t="s">
        <v>276</v>
      </c>
      <c r="L11" s="267" t="s">
        <v>277</v>
      </c>
      <c r="M11" s="267" t="s">
        <v>278</v>
      </c>
      <c r="N11" s="489" t="s">
        <v>279</v>
      </c>
      <c r="O11" s="481" t="s">
        <v>572</v>
      </c>
      <c r="P11" s="482" t="s">
        <v>573</v>
      </c>
      <c r="Q11" s="272" t="s">
        <v>303</v>
      </c>
      <c r="R11" s="273" t="s">
        <v>303</v>
      </c>
      <c r="S11" s="273" t="s">
        <v>303</v>
      </c>
      <c r="T11" s="273" t="s">
        <v>303</v>
      </c>
      <c r="U11" s="273" t="s">
        <v>303</v>
      </c>
      <c r="V11" s="273" t="s">
        <v>304</v>
      </c>
      <c r="W11" s="273" t="s">
        <v>304</v>
      </c>
      <c r="X11" s="273" t="s">
        <v>305</v>
      </c>
      <c r="Y11" s="273" t="s">
        <v>304</v>
      </c>
      <c r="Z11" s="273" t="s">
        <v>306</v>
      </c>
      <c r="AA11" s="273" t="s">
        <v>307</v>
      </c>
      <c r="AB11" s="273" t="s">
        <v>308</v>
      </c>
      <c r="AC11" s="273" t="s">
        <v>310</v>
      </c>
      <c r="AD11" s="273" t="s">
        <v>309</v>
      </c>
      <c r="AE11" s="273" t="s">
        <v>309</v>
      </c>
      <c r="AF11" s="273" t="s">
        <v>316</v>
      </c>
      <c r="AG11" s="274" t="s">
        <v>312</v>
      </c>
      <c r="AH11" s="274" t="s">
        <v>313</v>
      </c>
      <c r="AI11" s="274" t="s">
        <v>312</v>
      </c>
      <c r="AJ11" s="274" t="s">
        <v>312</v>
      </c>
      <c r="AK11" s="274" t="s">
        <v>313</v>
      </c>
      <c r="AL11" s="274" t="s">
        <v>312</v>
      </c>
      <c r="AM11" s="274" t="s">
        <v>313</v>
      </c>
      <c r="AN11" s="348" t="s">
        <v>314</v>
      </c>
      <c r="AO11" s="266" t="s">
        <v>274</v>
      </c>
      <c r="AP11" s="267" t="s">
        <v>275</v>
      </c>
      <c r="AQ11" s="267" t="s">
        <v>281</v>
      </c>
      <c r="AR11" s="267" t="s">
        <v>276</v>
      </c>
      <c r="AS11" s="267" t="s">
        <v>277</v>
      </c>
      <c r="AT11" s="267" t="s">
        <v>278</v>
      </c>
      <c r="AU11" s="481" t="s">
        <v>279</v>
      </c>
      <c r="AV11" s="481" t="s">
        <v>572</v>
      </c>
      <c r="AW11" s="482" t="s">
        <v>573</v>
      </c>
    </row>
    <row r="12" spans="1:49" ht="14.1" customHeight="1" x14ac:dyDescent="0.2">
      <c r="A12" s="248">
        <v>1</v>
      </c>
      <c r="B12" s="249">
        <v>2330</v>
      </c>
      <c r="C12" s="250">
        <v>691009571</v>
      </c>
      <c r="D12" s="249">
        <v>71294511</v>
      </c>
      <c r="E12" s="251" t="s">
        <v>574</v>
      </c>
      <c r="F12" s="248">
        <v>3233</v>
      </c>
      <c r="G12" s="251" t="s">
        <v>324</v>
      </c>
      <c r="H12" s="252" t="s">
        <v>284</v>
      </c>
      <c r="I12" s="350">
        <f>SUM(J12:M12)</f>
        <v>13657934</v>
      </c>
      <c r="J12" s="351">
        <v>9916387</v>
      </c>
      <c r="K12" s="351">
        <f t="shared" ref="K12" si="0">ROUND(J12*33.8%,0)</f>
        <v>3351739</v>
      </c>
      <c r="L12" s="671">
        <f t="shared" ref="L12" si="1">ROUND(J12*2%,0)</f>
        <v>198328</v>
      </c>
      <c r="M12" s="351">
        <v>191480</v>
      </c>
      <c r="N12" s="389">
        <f>O12+P12</f>
        <v>24.65</v>
      </c>
      <c r="O12" s="352">
        <v>12.78</v>
      </c>
      <c r="P12" s="440">
        <v>11.87</v>
      </c>
      <c r="Q12" s="441">
        <f>V12*-1</f>
        <v>-1360000</v>
      </c>
      <c r="R12" s="279">
        <v>0</v>
      </c>
      <c r="S12" s="279">
        <v>0</v>
      </c>
      <c r="T12" s="279">
        <v>0</v>
      </c>
      <c r="U12" s="279">
        <f>SUM(Q12:T12)</f>
        <v>-1360000</v>
      </c>
      <c r="V12" s="279">
        <v>1360000</v>
      </c>
      <c r="W12" s="279">
        <v>0</v>
      </c>
      <c r="X12" s="279">
        <v>0</v>
      </c>
      <c r="Y12" s="279">
        <f>SUM(V12:X12)</f>
        <v>1360000</v>
      </c>
      <c r="Z12" s="279">
        <f>U12+Y12</f>
        <v>0</v>
      </c>
      <c r="AA12" s="280">
        <f>ROUND((U12+V12+W12)*33.8%,0)</f>
        <v>0</v>
      </c>
      <c r="AB12" s="280">
        <f>ROUND(U12*2%,0)</f>
        <v>-27200</v>
      </c>
      <c r="AC12" s="279">
        <v>0</v>
      </c>
      <c r="AD12" s="279">
        <v>0</v>
      </c>
      <c r="AE12" s="279">
        <f>SUM(AC12:AD12)</f>
        <v>0</v>
      </c>
      <c r="AF12" s="279">
        <f>Z12+AA12+AB12+AE12</f>
        <v>-27200</v>
      </c>
      <c r="AG12" s="281">
        <v>-1.55</v>
      </c>
      <c r="AH12" s="281">
        <v>-2</v>
      </c>
      <c r="AI12" s="281">
        <v>0</v>
      </c>
      <c r="AJ12" s="281">
        <v>0</v>
      </c>
      <c r="AK12" s="281">
        <v>0</v>
      </c>
      <c r="AL12" s="281">
        <f>AG12+AI12+AJ12</f>
        <v>-1.55</v>
      </c>
      <c r="AM12" s="281">
        <f>AH12+AK12</f>
        <v>-2</v>
      </c>
      <c r="AN12" s="402">
        <f>SUM(AL12:AM12)</f>
        <v>-3.55</v>
      </c>
      <c r="AO12" s="401">
        <f>I12+AF12</f>
        <v>13630734</v>
      </c>
      <c r="AP12" s="279">
        <f>J12+U12</f>
        <v>8556387</v>
      </c>
      <c r="AQ12" s="279">
        <f>Y12</f>
        <v>1360000</v>
      </c>
      <c r="AR12" s="279">
        <f>K12+AA12</f>
        <v>3351739</v>
      </c>
      <c r="AS12" s="279">
        <f>L12+AB12</f>
        <v>171128</v>
      </c>
      <c r="AT12" s="279">
        <f>M12+AE12</f>
        <v>191480</v>
      </c>
      <c r="AU12" s="281">
        <f>N12+AN12</f>
        <v>21.099999999999998</v>
      </c>
      <c r="AV12" s="281">
        <f>O12+AL12</f>
        <v>11.229999999999999</v>
      </c>
      <c r="AW12" s="282">
        <f>P12+AM12</f>
        <v>9.8699999999999992</v>
      </c>
    </row>
    <row r="13" spans="1:49" ht="14.1" customHeight="1" x14ac:dyDescent="0.2">
      <c r="A13" s="137">
        <v>1</v>
      </c>
      <c r="B13" s="134">
        <v>2330</v>
      </c>
      <c r="C13" s="135">
        <v>691009571</v>
      </c>
      <c r="D13" s="134">
        <v>71294511</v>
      </c>
      <c r="E13" s="136" t="s">
        <v>575</v>
      </c>
      <c r="F13" s="137"/>
      <c r="G13" s="136"/>
      <c r="H13" s="138"/>
      <c r="I13" s="139">
        <f t="shared" ref="I13:P13" si="2">SUM(I12)</f>
        <v>13657934</v>
      </c>
      <c r="J13" s="140">
        <f t="shared" si="2"/>
        <v>9916387</v>
      </c>
      <c r="K13" s="140">
        <f t="shared" si="2"/>
        <v>3351739</v>
      </c>
      <c r="L13" s="140">
        <f t="shared" si="2"/>
        <v>198328</v>
      </c>
      <c r="M13" s="140">
        <f t="shared" si="2"/>
        <v>191480</v>
      </c>
      <c r="N13" s="141">
        <f t="shared" si="2"/>
        <v>24.65</v>
      </c>
      <c r="O13" s="141">
        <f t="shared" si="2"/>
        <v>12.78</v>
      </c>
      <c r="P13" s="142">
        <f t="shared" si="2"/>
        <v>11.87</v>
      </c>
      <c r="Q13" s="342">
        <f t="shared" ref="Q13:AW13" si="3">SUM(Q12)</f>
        <v>-1360000</v>
      </c>
      <c r="R13" s="140">
        <f t="shared" si="3"/>
        <v>0</v>
      </c>
      <c r="S13" s="140">
        <f t="shared" si="3"/>
        <v>0</v>
      </c>
      <c r="T13" s="140">
        <f t="shared" si="3"/>
        <v>0</v>
      </c>
      <c r="U13" s="140">
        <f t="shared" si="3"/>
        <v>-1360000</v>
      </c>
      <c r="V13" s="140">
        <f t="shared" si="3"/>
        <v>1360000</v>
      </c>
      <c r="W13" s="140">
        <f t="shared" si="3"/>
        <v>0</v>
      </c>
      <c r="X13" s="140">
        <f t="shared" si="3"/>
        <v>0</v>
      </c>
      <c r="Y13" s="140">
        <f t="shared" si="3"/>
        <v>1360000</v>
      </c>
      <c r="Z13" s="140">
        <f t="shared" si="3"/>
        <v>0</v>
      </c>
      <c r="AA13" s="140">
        <f t="shared" si="3"/>
        <v>0</v>
      </c>
      <c r="AB13" s="140">
        <f t="shared" si="3"/>
        <v>-27200</v>
      </c>
      <c r="AC13" s="140">
        <f t="shared" si="3"/>
        <v>0</v>
      </c>
      <c r="AD13" s="140">
        <f t="shared" si="3"/>
        <v>0</v>
      </c>
      <c r="AE13" s="140">
        <f t="shared" si="3"/>
        <v>0</v>
      </c>
      <c r="AF13" s="140">
        <f t="shared" si="3"/>
        <v>-27200</v>
      </c>
      <c r="AG13" s="141">
        <f t="shared" si="3"/>
        <v>-1.55</v>
      </c>
      <c r="AH13" s="141">
        <f t="shared" si="3"/>
        <v>-2</v>
      </c>
      <c r="AI13" s="141">
        <f t="shared" si="3"/>
        <v>0</v>
      </c>
      <c r="AJ13" s="141">
        <f t="shared" si="3"/>
        <v>0</v>
      </c>
      <c r="AK13" s="141">
        <f t="shared" si="3"/>
        <v>0</v>
      </c>
      <c r="AL13" s="141">
        <f t="shared" si="3"/>
        <v>-1.55</v>
      </c>
      <c r="AM13" s="141">
        <f t="shared" si="3"/>
        <v>-2</v>
      </c>
      <c r="AN13" s="635">
        <f t="shared" si="3"/>
        <v>-3.55</v>
      </c>
      <c r="AO13" s="139">
        <f t="shared" si="3"/>
        <v>13630734</v>
      </c>
      <c r="AP13" s="140">
        <f t="shared" si="3"/>
        <v>8556387</v>
      </c>
      <c r="AQ13" s="140">
        <f t="shared" si="3"/>
        <v>1360000</v>
      </c>
      <c r="AR13" s="140">
        <f t="shared" si="3"/>
        <v>3351739</v>
      </c>
      <c r="AS13" s="140">
        <f t="shared" si="3"/>
        <v>171128</v>
      </c>
      <c r="AT13" s="140">
        <f t="shared" si="3"/>
        <v>191480</v>
      </c>
      <c r="AU13" s="141">
        <f t="shared" si="3"/>
        <v>21.099999999999998</v>
      </c>
      <c r="AV13" s="141">
        <f t="shared" si="3"/>
        <v>11.229999999999999</v>
      </c>
      <c r="AW13" s="142">
        <f t="shared" si="3"/>
        <v>9.8699999999999992</v>
      </c>
    </row>
    <row r="14" spans="1:49" ht="14.1" customHeight="1" x14ac:dyDescent="0.2">
      <c r="A14" s="124">
        <v>2</v>
      </c>
      <c r="B14" s="121">
        <v>2415</v>
      </c>
      <c r="C14" s="122">
        <v>600079465</v>
      </c>
      <c r="D14" s="121">
        <v>72742186</v>
      </c>
      <c r="E14" s="123" t="s">
        <v>576</v>
      </c>
      <c r="F14" s="124">
        <v>3111</v>
      </c>
      <c r="G14" s="123" t="s">
        <v>317</v>
      </c>
      <c r="H14" s="125" t="s">
        <v>283</v>
      </c>
      <c r="I14" s="126">
        <f t="shared" ref="I14:I76" si="4">SUM(J14:M14)</f>
        <v>7286400</v>
      </c>
      <c r="J14" s="631">
        <v>5331517</v>
      </c>
      <c r="K14" s="127">
        <f t="shared" ref="K14:K77" si="5">ROUND(J14*33.8%,0)</f>
        <v>1802053</v>
      </c>
      <c r="L14" s="477">
        <f t="shared" ref="L14:L77" si="6">ROUND(J14*2%,0)</f>
        <v>106630</v>
      </c>
      <c r="M14" s="631">
        <v>46200</v>
      </c>
      <c r="N14" s="390">
        <f t="shared" ref="N14:N76" si="7">O14+P14</f>
        <v>12.2233</v>
      </c>
      <c r="O14" s="390">
        <v>9.2581000000000007</v>
      </c>
      <c r="P14" s="439">
        <v>2.9651999999999998</v>
      </c>
      <c r="Q14" s="129">
        <f t="shared" ref="Q14:Q76" si="8">V14*-1</f>
        <v>-9600</v>
      </c>
      <c r="R14" s="130">
        <v>0</v>
      </c>
      <c r="S14" s="130">
        <v>0</v>
      </c>
      <c r="T14" s="130">
        <v>0</v>
      </c>
      <c r="U14" s="130">
        <f t="shared" ref="U14:U76" si="9">SUM(Q14:T14)</f>
        <v>-9600</v>
      </c>
      <c r="V14" s="130">
        <v>9600</v>
      </c>
      <c r="W14" s="130">
        <v>0</v>
      </c>
      <c r="X14" s="130">
        <v>0</v>
      </c>
      <c r="Y14" s="130">
        <f t="shared" ref="Y14" si="10">SUM(V14:X14)</f>
        <v>9600</v>
      </c>
      <c r="Z14" s="130">
        <f t="shared" ref="Z14" si="11">U14+Y14</f>
        <v>0</v>
      </c>
      <c r="AA14" s="131">
        <f t="shared" ref="AA14" si="12">ROUND((U14+V14+W14)*33.8%,0)</f>
        <v>0</v>
      </c>
      <c r="AB14" s="131">
        <f t="shared" ref="AB14" si="13">ROUND(U14*2%,0)</f>
        <v>-192</v>
      </c>
      <c r="AC14" s="130">
        <v>0</v>
      </c>
      <c r="AD14" s="130">
        <v>0</v>
      </c>
      <c r="AE14" s="130">
        <f t="shared" ref="AE14:AE77" si="14">SUM(AC14:AD14)</f>
        <v>0</v>
      </c>
      <c r="AF14" s="130">
        <f t="shared" ref="AF14:AF77" si="15">Z14+AA14+AB14+AE14</f>
        <v>-192</v>
      </c>
      <c r="AG14" s="132">
        <v>0</v>
      </c>
      <c r="AH14" s="132">
        <v>0</v>
      </c>
      <c r="AI14" s="132">
        <v>0</v>
      </c>
      <c r="AJ14" s="132">
        <v>0</v>
      </c>
      <c r="AK14" s="132">
        <v>0</v>
      </c>
      <c r="AL14" s="132">
        <f t="shared" ref="AL14:AL77" si="16">AG14+AI14+AJ14</f>
        <v>0</v>
      </c>
      <c r="AM14" s="132">
        <f>AH14+AK14</f>
        <v>0</v>
      </c>
      <c r="AN14" s="403">
        <f t="shared" ref="AN14:AN77" si="17">SUM(AL14:AM14)</f>
        <v>0</v>
      </c>
      <c r="AO14" s="128">
        <f t="shared" ref="AO14:AO76" si="18">I14+AF14</f>
        <v>7286208</v>
      </c>
      <c r="AP14" s="130">
        <f t="shared" ref="AP14:AP76" si="19">J14+U14</f>
        <v>5321917</v>
      </c>
      <c r="AQ14" s="130">
        <f t="shared" ref="AQ14:AQ76" si="20">Y14</f>
        <v>9600</v>
      </c>
      <c r="AR14" s="130">
        <f t="shared" ref="AR14:AR76" si="21">K14+AA14</f>
        <v>1802053</v>
      </c>
      <c r="AS14" s="130">
        <f t="shared" ref="AS14:AS76" si="22">L14+AB14</f>
        <v>106438</v>
      </c>
      <c r="AT14" s="130">
        <f t="shared" ref="AT14:AT76" si="23">M14+AE14</f>
        <v>46200</v>
      </c>
      <c r="AU14" s="132">
        <f t="shared" ref="AU14:AU76" si="24">N14+AN14</f>
        <v>12.2233</v>
      </c>
      <c r="AV14" s="132">
        <f t="shared" ref="AV14:AV76" si="25">O14+AL14</f>
        <v>9.2581000000000007</v>
      </c>
      <c r="AW14" s="133">
        <f t="shared" ref="AW14:AW76" si="26">P14+AM14</f>
        <v>2.9651999999999998</v>
      </c>
    </row>
    <row r="15" spans="1:49" ht="14.1" customHeight="1" x14ac:dyDescent="0.2">
      <c r="A15" s="124">
        <v>2</v>
      </c>
      <c r="B15" s="121">
        <v>2415</v>
      </c>
      <c r="C15" s="122">
        <v>600079465</v>
      </c>
      <c r="D15" s="121">
        <v>72742186</v>
      </c>
      <c r="E15" s="123" t="s">
        <v>576</v>
      </c>
      <c r="F15" s="124">
        <v>3111</v>
      </c>
      <c r="G15" s="98" t="s">
        <v>319</v>
      </c>
      <c r="H15" s="125" t="s">
        <v>283</v>
      </c>
      <c r="I15" s="126">
        <f t="shared" si="4"/>
        <v>394640</v>
      </c>
      <c r="J15" s="631">
        <v>290604</v>
      </c>
      <c r="K15" s="127">
        <f t="shared" si="5"/>
        <v>98224</v>
      </c>
      <c r="L15" s="477">
        <f t="shared" si="6"/>
        <v>5812</v>
      </c>
      <c r="M15" s="478">
        <v>0</v>
      </c>
      <c r="N15" s="390">
        <f t="shared" si="7"/>
        <v>1</v>
      </c>
      <c r="O15" s="644">
        <v>1</v>
      </c>
      <c r="P15" s="639">
        <v>0</v>
      </c>
      <c r="Q15" s="129">
        <f t="shared" si="8"/>
        <v>-4000</v>
      </c>
      <c r="R15" s="130">
        <v>0</v>
      </c>
      <c r="S15" s="130">
        <v>0</v>
      </c>
      <c r="T15" s="130">
        <v>0</v>
      </c>
      <c r="U15" s="130">
        <f t="shared" si="9"/>
        <v>-4000</v>
      </c>
      <c r="V15" s="130">
        <v>4000</v>
      </c>
      <c r="W15" s="130">
        <v>0</v>
      </c>
      <c r="X15" s="130">
        <v>0</v>
      </c>
      <c r="Y15" s="130">
        <f t="shared" ref="Y15" si="27">SUM(V15:X15)</f>
        <v>4000</v>
      </c>
      <c r="Z15" s="130">
        <f>U15+Y15</f>
        <v>0</v>
      </c>
      <c r="AA15" s="131">
        <f>ROUND((U15+V15+W15)*33.8%,0)</f>
        <v>0</v>
      </c>
      <c r="AB15" s="131">
        <f>ROUND(U15*2%,0)</f>
        <v>-80</v>
      </c>
      <c r="AC15" s="130">
        <v>0</v>
      </c>
      <c r="AD15" s="130">
        <v>0</v>
      </c>
      <c r="AE15" s="130">
        <f>SUM(AC15:AD15)</f>
        <v>0</v>
      </c>
      <c r="AF15" s="130">
        <f>Z15+AA15+AB15+AE15</f>
        <v>-80</v>
      </c>
      <c r="AG15" s="132">
        <v>0</v>
      </c>
      <c r="AH15" s="132">
        <v>0</v>
      </c>
      <c r="AI15" s="132">
        <v>0</v>
      </c>
      <c r="AJ15" s="132">
        <v>0</v>
      </c>
      <c r="AK15" s="132">
        <v>0</v>
      </c>
      <c r="AL15" s="132">
        <f>AG15+AI15+AJ15</f>
        <v>0</v>
      </c>
      <c r="AM15" s="132">
        <f>AH15+AK15</f>
        <v>0</v>
      </c>
      <c r="AN15" s="403">
        <f>SUM(AL15:AM15)</f>
        <v>0</v>
      </c>
      <c r="AO15" s="128">
        <f t="shared" si="18"/>
        <v>394560</v>
      </c>
      <c r="AP15" s="130">
        <f t="shared" si="19"/>
        <v>286604</v>
      </c>
      <c r="AQ15" s="130">
        <f t="shared" si="20"/>
        <v>4000</v>
      </c>
      <c r="AR15" s="130">
        <f t="shared" si="21"/>
        <v>98224</v>
      </c>
      <c r="AS15" s="130">
        <f t="shared" si="22"/>
        <v>5732</v>
      </c>
      <c r="AT15" s="130">
        <f t="shared" si="23"/>
        <v>0</v>
      </c>
      <c r="AU15" s="132">
        <f t="shared" si="24"/>
        <v>1</v>
      </c>
      <c r="AV15" s="132">
        <f t="shared" si="25"/>
        <v>1</v>
      </c>
      <c r="AW15" s="133">
        <f t="shared" si="26"/>
        <v>0</v>
      </c>
    </row>
    <row r="16" spans="1:49" ht="14.1" customHeight="1" x14ac:dyDescent="0.2">
      <c r="A16" s="490">
        <v>2</v>
      </c>
      <c r="B16" s="491">
        <v>2415</v>
      </c>
      <c r="C16" s="492">
        <v>600079465</v>
      </c>
      <c r="D16" s="491">
        <v>72742186</v>
      </c>
      <c r="E16" s="493" t="s">
        <v>576</v>
      </c>
      <c r="F16" s="490">
        <v>3111</v>
      </c>
      <c r="G16" s="493" t="s">
        <v>318</v>
      </c>
      <c r="H16" s="494" t="s">
        <v>284</v>
      </c>
      <c r="I16" s="126">
        <f t="shared" si="4"/>
        <v>0</v>
      </c>
      <c r="J16" s="29">
        <v>0</v>
      </c>
      <c r="K16" s="127">
        <f t="shared" si="5"/>
        <v>0</v>
      </c>
      <c r="L16" s="477">
        <f t="shared" si="6"/>
        <v>0</v>
      </c>
      <c r="M16" s="29">
        <v>0</v>
      </c>
      <c r="N16" s="390">
        <f t="shared" si="7"/>
        <v>0</v>
      </c>
      <c r="O16" s="349">
        <v>0</v>
      </c>
      <c r="P16" s="639">
        <v>0</v>
      </c>
      <c r="Q16" s="129">
        <f t="shared" si="8"/>
        <v>0</v>
      </c>
      <c r="R16" s="130">
        <v>369579</v>
      </c>
      <c r="S16" s="130">
        <v>0</v>
      </c>
      <c r="T16" s="130">
        <v>0</v>
      </c>
      <c r="U16" s="130">
        <f t="shared" si="9"/>
        <v>369579</v>
      </c>
      <c r="V16" s="130">
        <v>0</v>
      </c>
      <c r="W16" s="498">
        <v>0</v>
      </c>
      <c r="X16" s="130">
        <v>0</v>
      </c>
      <c r="Y16" s="130">
        <f t="shared" ref="Y16:Y17" si="28">SUM(V16:X16)</f>
        <v>0</v>
      </c>
      <c r="Z16" s="130">
        <f t="shared" ref="Z16:Z17" si="29">U16+Y16</f>
        <v>369579</v>
      </c>
      <c r="AA16" s="131">
        <f t="shared" ref="AA16:AA17" si="30">ROUND((U16+V16+W16)*33.8%,0)</f>
        <v>124918</v>
      </c>
      <c r="AB16" s="131">
        <f t="shared" ref="AB16:AB17" si="31">ROUND(U16*2%,0)</f>
        <v>7392</v>
      </c>
      <c r="AC16" s="130">
        <v>0</v>
      </c>
      <c r="AD16" s="130">
        <v>0</v>
      </c>
      <c r="AE16" s="498">
        <f t="shared" si="14"/>
        <v>0</v>
      </c>
      <c r="AF16" s="498">
        <f t="shared" si="15"/>
        <v>501889</v>
      </c>
      <c r="AG16" s="132">
        <v>0</v>
      </c>
      <c r="AH16" s="132">
        <v>0</v>
      </c>
      <c r="AI16" s="132">
        <v>1.05</v>
      </c>
      <c r="AJ16" s="132">
        <v>0</v>
      </c>
      <c r="AK16" s="132">
        <v>0</v>
      </c>
      <c r="AL16" s="499">
        <f>AG16+AI16+AJ16</f>
        <v>1.05</v>
      </c>
      <c r="AM16" s="499">
        <f>AH16+AK16</f>
        <v>0</v>
      </c>
      <c r="AN16" s="529">
        <f t="shared" ref="AN16" si="32">SUM(AL16:AM16)</f>
        <v>1.05</v>
      </c>
      <c r="AO16" s="128">
        <f t="shared" si="18"/>
        <v>501889</v>
      </c>
      <c r="AP16" s="130">
        <f t="shared" si="19"/>
        <v>369579</v>
      </c>
      <c r="AQ16" s="130">
        <f t="shared" si="20"/>
        <v>0</v>
      </c>
      <c r="AR16" s="130">
        <f t="shared" si="21"/>
        <v>124918</v>
      </c>
      <c r="AS16" s="130">
        <f t="shared" si="22"/>
        <v>7392</v>
      </c>
      <c r="AT16" s="130">
        <f t="shared" si="23"/>
        <v>0</v>
      </c>
      <c r="AU16" s="132">
        <f t="shared" si="24"/>
        <v>1.05</v>
      </c>
      <c r="AV16" s="132">
        <f t="shared" si="25"/>
        <v>1.05</v>
      </c>
      <c r="AW16" s="133">
        <f t="shared" si="26"/>
        <v>0</v>
      </c>
    </row>
    <row r="17" spans="1:49" ht="14.1" customHeight="1" x14ac:dyDescent="0.2">
      <c r="A17" s="124">
        <v>2</v>
      </c>
      <c r="B17" s="121">
        <v>2415</v>
      </c>
      <c r="C17" s="122">
        <v>600079465</v>
      </c>
      <c r="D17" s="121">
        <v>72742186</v>
      </c>
      <c r="E17" s="123" t="s">
        <v>576</v>
      </c>
      <c r="F17" s="124">
        <v>3141</v>
      </c>
      <c r="G17" s="123" t="s">
        <v>321</v>
      </c>
      <c r="H17" s="125" t="s">
        <v>284</v>
      </c>
      <c r="I17" s="126">
        <f t="shared" si="4"/>
        <v>905712</v>
      </c>
      <c r="J17" s="666">
        <v>663358</v>
      </c>
      <c r="K17" s="127">
        <f t="shared" si="5"/>
        <v>224215</v>
      </c>
      <c r="L17" s="477">
        <f t="shared" si="6"/>
        <v>13267</v>
      </c>
      <c r="M17" s="666">
        <v>4872</v>
      </c>
      <c r="N17" s="390">
        <f t="shared" si="7"/>
        <v>2.2599999999999998</v>
      </c>
      <c r="O17" s="668">
        <v>0</v>
      </c>
      <c r="P17" s="667">
        <v>2.2599999999999998</v>
      </c>
      <c r="Q17" s="129">
        <f t="shared" si="8"/>
        <v>-4000</v>
      </c>
      <c r="R17" s="130">
        <v>0</v>
      </c>
      <c r="S17" s="130">
        <v>0</v>
      </c>
      <c r="T17" s="130">
        <v>0</v>
      </c>
      <c r="U17" s="130">
        <f t="shared" si="9"/>
        <v>-4000</v>
      </c>
      <c r="V17" s="130">
        <v>4000</v>
      </c>
      <c r="W17" s="130">
        <v>0</v>
      </c>
      <c r="X17" s="130">
        <v>0</v>
      </c>
      <c r="Y17" s="130">
        <f t="shared" si="28"/>
        <v>4000</v>
      </c>
      <c r="Z17" s="130">
        <f t="shared" si="29"/>
        <v>0</v>
      </c>
      <c r="AA17" s="131">
        <f t="shared" si="30"/>
        <v>0</v>
      </c>
      <c r="AB17" s="131">
        <f t="shared" si="31"/>
        <v>-80</v>
      </c>
      <c r="AC17" s="130">
        <v>0</v>
      </c>
      <c r="AD17" s="130">
        <v>0</v>
      </c>
      <c r="AE17" s="130">
        <f t="shared" si="14"/>
        <v>0</v>
      </c>
      <c r="AF17" s="130">
        <f t="shared" si="15"/>
        <v>-80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f t="shared" si="16"/>
        <v>0</v>
      </c>
      <c r="AM17" s="132">
        <f>AH17+AK17</f>
        <v>0</v>
      </c>
      <c r="AN17" s="403">
        <f t="shared" si="17"/>
        <v>0</v>
      </c>
      <c r="AO17" s="128">
        <f t="shared" si="18"/>
        <v>905632</v>
      </c>
      <c r="AP17" s="130">
        <f t="shared" si="19"/>
        <v>659358</v>
      </c>
      <c r="AQ17" s="130">
        <f t="shared" si="20"/>
        <v>4000</v>
      </c>
      <c r="AR17" s="130">
        <f t="shared" si="21"/>
        <v>224215</v>
      </c>
      <c r="AS17" s="130">
        <f t="shared" si="22"/>
        <v>13187</v>
      </c>
      <c r="AT17" s="130">
        <f t="shared" si="23"/>
        <v>4872</v>
      </c>
      <c r="AU17" s="132">
        <f t="shared" si="24"/>
        <v>2.2599999999999998</v>
      </c>
      <c r="AV17" s="132">
        <f t="shared" si="25"/>
        <v>0</v>
      </c>
      <c r="AW17" s="133">
        <f t="shared" si="26"/>
        <v>2.2599999999999998</v>
      </c>
    </row>
    <row r="18" spans="1:49" ht="14.1" customHeight="1" x14ac:dyDescent="0.2">
      <c r="A18" s="137">
        <v>2</v>
      </c>
      <c r="B18" s="134">
        <v>2415</v>
      </c>
      <c r="C18" s="135">
        <v>600079465</v>
      </c>
      <c r="D18" s="134">
        <v>72742186</v>
      </c>
      <c r="E18" s="136" t="s">
        <v>577</v>
      </c>
      <c r="F18" s="137"/>
      <c r="G18" s="136"/>
      <c r="H18" s="138"/>
      <c r="I18" s="139">
        <f t="shared" ref="I18:P18" si="33">SUM(I14:I17)</f>
        <v>8586752</v>
      </c>
      <c r="J18" s="140">
        <f t="shared" si="33"/>
        <v>6285479</v>
      </c>
      <c r="K18" s="140">
        <f t="shared" si="33"/>
        <v>2124492</v>
      </c>
      <c r="L18" s="140">
        <f t="shared" si="33"/>
        <v>125709</v>
      </c>
      <c r="M18" s="140">
        <f t="shared" si="33"/>
        <v>51072</v>
      </c>
      <c r="N18" s="141">
        <f t="shared" si="33"/>
        <v>15.4833</v>
      </c>
      <c r="O18" s="141">
        <f t="shared" si="33"/>
        <v>10.258100000000001</v>
      </c>
      <c r="P18" s="142">
        <f t="shared" si="33"/>
        <v>5.2251999999999992</v>
      </c>
      <c r="Q18" s="342">
        <f t="shared" ref="Q18:U18" si="34">SUM(Q14:Q17)</f>
        <v>-17600</v>
      </c>
      <c r="R18" s="140">
        <f t="shared" si="34"/>
        <v>369579</v>
      </c>
      <c r="S18" s="140">
        <f t="shared" si="34"/>
        <v>0</v>
      </c>
      <c r="T18" s="140">
        <f t="shared" si="34"/>
        <v>0</v>
      </c>
      <c r="U18" s="140">
        <f t="shared" si="34"/>
        <v>351979</v>
      </c>
      <c r="V18" s="140">
        <f t="shared" ref="V18:X18" si="35">SUM(V14:V17)</f>
        <v>17600</v>
      </c>
      <c r="W18" s="140">
        <f t="shared" si="35"/>
        <v>0</v>
      </c>
      <c r="X18" s="140">
        <f t="shared" si="35"/>
        <v>0</v>
      </c>
      <c r="Y18" s="140">
        <f t="shared" ref="Y18:AF18" si="36">SUM(Y14:Y17)</f>
        <v>17600</v>
      </c>
      <c r="Z18" s="140">
        <f t="shared" si="36"/>
        <v>369579</v>
      </c>
      <c r="AA18" s="140">
        <f t="shared" si="36"/>
        <v>124918</v>
      </c>
      <c r="AB18" s="140">
        <f t="shared" si="36"/>
        <v>7040</v>
      </c>
      <c r="AC18" s="140">
        <f t="shared" si="36"/>
        <v>0</v>
      </c>
      <c r="AD18" s="140">
        <f t="shared" si="36"/>
        <v>0</v>
      </c>
      <c r="AE18" s="140">
        <f t="shared" si="36"/>
        <v>0</v>
      </c>
      <c r="AF18" s="140">
        <f t="shared" si="36"/>
        <v>501537</v>
      </c>
      <c r="AG18" s="141">
        <f t="shared" ref="AG18:AW18" si="37">SUM(AG14:AG17)</f>
        <v>0</v>
      </c>
      <c r="AH18" s="141">
        <f t="shared" si="37"/>
        <v>0</v>
      </c>
      <c r="AI18" s="141">
        <f t="shared" si="37"/>
        <v>1.05</v>
      </c>
      <c r="AJ18" s="141">
        <f t="shared" si="37"/>
        <v>0</v>
      </c>
      <c r="AK18" s="141">
        <f t="shared" si="37"/>
        <v>0</v>
      </c>
      <c r="AL18" s="141">
        <f t="shared" si="37"/>
        <v>1.05</v>
      </c>
      <c r="AM18" s="141">
        <f t="shared" si="37"/>
        <v>0</v>
      </c>
      <c r="AN18" s="635">
        <f t="shared" si="37"/>
        <v>1.05</v>
      </c>
      <c r="AO18" s="139">
        <f t="shared" si="37"/>
        <v>9088289</v>
      </c>
      <c r="AP18" s="140">
        <f t="shared" si="37"/>
        <v>6637458</v>
      </c>
      <c r="AQ18" s="140">
        <f t="shared" si="37"/>
        <v>17600</v>
      </c>
      <c r="AR18" s="140">
        <f t="shared" si="37"/>
        <v>2249410</v>
      </c>
      <c r="AS18" s="140">
        <f t="shared" si="37"/>
        <v>132749</v>
      </c>
      <c r="AT18" s="140">
        <f t="shared" si="37"/>
        <v>51072</v>
      </c>
      <c r="AU18" s="141">
        <f t="shared" si="37"/>
        <v>16.533300000000001</v>
      </c>
      <c r="AV18" s="141">
        <f t="shared" si="37"/>
        <v>11.308100000000001</v>
      </c>
      <c r="AW18" s="142">
        <f t="shared" si="37"/>
        <v>5.2251999999999992</v>
      </c>
    </row>
    <row r="19" spans="1:49" ht="14.1" customHeight="1" x14ac:dyDescent="0.2">
      <c r="A19" s="124">
        <v>3</v>
      </c>
      <c r="B19" s="121">
        <v>2442</v>
      </c>
      <c r="C19" s="122">
        <v>600079066</v>
      </c>
      <c r="D19" s="121">
        <v>72742101</v>
      </c>
      <c r="E19" s="123" t="s">
        <v>578</v>
      </c>
      <c r="F19" s="124">
        <v>3111</v>
      </c>
      <c r="G19" s="123" t="s">
        <v>317</v>
      </c>
      <c r="H19" s="125" t="s">
        <v>283</v>
      </c>
      <c r="I19" s="126">
        <f t="shared" si="4"/>
        <v>7933847</v>
      </c>
      <c r="J19" s="127">
        <v>5806183</v>
      </c>
      <c r="K19" s="127">
        <f t="shared" si="5"/>
        <v>1962490</v>
      </c>
      <c r="L19" s="477">
        <f t="shared" si="6"/>
        <v>116124</v>
      </c>
      <c r="M19" s="127">
        <v>49050</v>
      </c>
      <c r="N19" s="390">
        <f t="shared" si="7"/>
        <v>13.552199999999999</v>
      </c>
      <c r="O19" s="390">
        <v>10</v>
      </c>
      <c r="P19" s="439">
        <v>3.5522</v>
      </c>
      <c r="Q19" s="129">
        <f t="shared" si="8"/>
        <v>-2400</v>
      </c>
      <c r="R19" s="130">
        <v>0</v>
      </c>
      <c r="S19" s="130">
        <v>0</v>
      </c>
      <c r="T19" s="130">
        <v>0</v>
      </c>
      <c r="U19" s="130">
        <f t="shared" si="9"/>
        <v>-2400</v>
      </c>
      <c r="V19" s="130">
        <v>2400</v>
      </c>
      <c r="W19" s="130">
        <v>0</v>
      </c>
      <c r="X19" s="130">
        <v>0</v>
      </c>
      <c r="Y19" s="130">
        <f t="shared" ref="Y19:Y21" si="38">SUM(V19:X19)</f>
        <v>2400</v>
      </c>
      <c r="Z19" s="130">
        <f t="shared" ref="Z19:Z21" si="39">U19+Y19</f>
        <v>0</v>
      </c>
      <c r="AA19" s="131">
        <f t="shared" ref="AA19:AA21" si="40">ROUND((U19+V19+W19)*33.8%,0)</f>
        <v>0</v>
      </c>
      <c r="AB19" s="131">
        <f t="shared" ref="AB19:AB21" si="41">ROUND(U19*2%,0)</f>
        <v>-48</v>
      </c>
      <c r="AC19" s="130">
        <v>0</v>
      </c>
      <c r="AD19" s="130">
        <v>0</v>
      </c>
      <c r="AE19" s="130">
        <f t="shared" si="14"/>
        <v>0</v>
      </c>
      <c r="AF19" s="130">
        <f t="shared" si="15"/>
        <v>-48</v>
      </c>
      <c r="AG19" s="132">
        <v>0</v>
      </c>
      <c r="AH19" s="132">
        <v>-0.01</v>
      </c>
      <c r="AI19" s="132">
        <v>0</v>
      </c>
      <c r="AJ19" s="132">
        <v>0</v>
      </c>
      <c r="AK19" s="132">
        <v>0</v>
      </c>
      <c r="AL19" s="132">
        <f t="shared" si="16"/>
        <v>0</v>
      </c>
      <c r="AM19" s="132">
        <f>AH19+AK19</f>
        <v>-0.01</v>
      </c>
      <c r="AN19" s="403">
        <f t="shared" si="17"/>
        <v>-0.01</v>
      </c>
      <c r="AO19" s="128">
        <f t="shared" si="18"/>
        <v>7933799</v>
      </c>
      <c r="AP19" s="130">
        <f t="shared" si="19"/>
        <v>5803783</v>
      </c>
      <c r="AQ19" s="130">
        <f t="shared" si="20"/>
        <v>2400</v>
      </c>
      <c r="AR19" s="130">
        <f t="shared" si="21"/>
        <v>1962490</v>
      </c>
      <c r="AS19" s="130">
        <f t="shared" si="22"/>
        <v>116076</v>
      </c>
      <c r="AT19" s="130">
        <f t="shared" si="23"/>
        <v>49050</v>
      </c>
      <c r="AU19" s="132">
        <f t="shared" si="24"/>
        <v>13.542199999999999</v>
      </c>
      <c r="AV19" s="132">
        <f t="shared" si="25"/>
        <v>10</v>
      </c>
      <c r="AW19" s="133">
        <f t="shared" si="26"/>
        <v>3.5422000000000002</v>
      </c>
    </row>
    <row r="20" spans="1:49" ht="14.1" customHeight="1" x14ac:dyDescent="0.2">
      <c r="A20" s="124">
        <v>3</v>
      </c>
      <c r="B20" s="121">
        <v>2442</v>
      </c>
      <c r="C20" s="122">
        <v>600079066</v>
      </c>
      <c r="D20" s="121">
        <v>72742101</v>
      </c>
      <c r="E20" s="123" t="s">
        <v>578</v>
      </c>
      <c r="F20" s="124">
        <v>3111</v>
      </c>
      <c r="G20" s="143" t="s">
        <v>318</v>
      </c>
      <c r="H20" s="125" t="s">
        <v>284</v>
      </c>
      <c r="I20" s="126">
        <f t="shared" si="4"/>
        <v>0</v>
      </c>
      <c r="J20" s="29">
        <v>0</v>
      </c>
      <c r="K20" s="127">
        <f t="shared" si="5"/>
        <v>0</v>
      </c>
      <c r="L20" s="477">
        <f t="shared" si="6"/>
        <v>0</v>
      </c>
      <c r="M20" s="29">
        <v>0</v>
      </c>
      <c r="N20" s="390">
        <f t="shared" si="7"/>
        <v>0</v>
      </c>
      <c r="O20" s="349">
        <v>0</v>
      </c>
      <c r="P20" s="639">
        <v>0</v>
      </c>
      <c r="Q20" s="129">
        <f t="shared" si="8"/>
        <v>0</v>
      </c>
      <c r="R20" s="130">
        <v>369579</v>
      </c>
      <c r="S20" s="130">
        <v>0</v>
      </c>
      <c r="T20" s="130">
        <v>0</v>
      </c>
      <c r="U20" s="130">
        <f t="shared" si="9"/>
        <v>369579</v>
      </c>
      <c r="V20" s="130">
        <v>0</v>
      </c>
      <c r="W20" s="130">
        <v>0</v>
      </c>
      <c r="X20" s="130">
        <v>0</v>
      </c>
      <c r="Y20" s="130">
        <f t="shared" si="38"/>
        <v>0</v>
      </c>
      <c r="Z20" s="130">
        <f t="shared" si="39"/>
        <v>369579</v>
      </c>
      <c r="AA20" s="131">
        <f t="shared" si="40"/>
        <v>124918</v>
      </c>
      <c r="AB20" s="131">
        <f t="shared" si="41"/>
        <v>7392</v>
      </c>
      <c r="AC20" s="130">
        <v>0</v>
      </c>
      <c r="AD20" s="130">
        <v>0</v>
      </c>
      <c r="AE20" s="130">
        <f t="shared" si="14"/>
        <v>0</v>
      </c>
      <c r="AF20" s="130">
        <f t="shared" si="15"/>
        <v>501889</v>
      </c>
      <c r="AG20" s="132">
        <v>0</v>
      </c>
      <c r="AH20" s="132">
        <v>0</v>
      </c>
      <c r="AI20" s="132">
        <v>1.05</v>
      </c>
      <c r="AJ20" s="132">
        <v>0</v>
      </c>
      <c r="AK20" s="132">
        <v>0</v>
      </c>
      <c r="AL20" s="132">
        <f t="shared" si="16"/>
        <v>1.05</v>
      </c>
      <c r="AM20" s="132">
        <f>AH20+AK20</f>
        <v>0</v>
      </c>
      <c r="AN20" s="403">
        <f t="shared" si="17"/>
        <v>1.05</v>
      </c>
      <c r="AO20" s="128">
        <f t="shared" si="18"/>
        <v>501889</v>
      </c>
      <c r="AP20" s="130">
        <f t="shared" si="19"/>
        <v>369579</v>
      </c>
      <c r="AQ20" s="130">
        <f t="shared" si="20"/>
        <v>0</v>
      </c>
      <c r="AR20" s="130">
        <f t="shared" si="21"/>
        <v>124918</v>
      </c>
      <c r="AS20" s="130">
        <f t="shared" si="22"/>
        <v>7392</v>
      </c>
      <c r="AT20" s="130">
        <f t="shared" si="23"/>
        <v>0</v>
      </c>
      <c r="AU20" s="132">
        <f t="shared" si="24"/>
        <v>1.05</v>
      </c>
      <c r="AV20" s="132">
        <f t="shared" si="25"/>
        <v>1.05</v>
      </c>
      <c r="AW20" s="133">
        <f t="shared" si="26"/>
        <v>0</v>
      </c>
    </row>
    <row r="21" spans="1:49" ht="14.1" customHeight="1" x14ac:dyDescent="0.2">
      <c r="A21" s="124">
        <v>3</v>
      </c>
      <c r="B21" s="121">
        <v>2442</v>
      </c>
      <c r="C21" s="122">
        <v>600079066</v>
      </c>
      <c r="D21" s="121">
        <v>72742101</v>
      </c>
      <c r="E21" s="123" t="s">
        <v>578</v>
      </c>
      <c r="F21" s="124">
        <v>3141</v>
      </c>
      <c r="G21" s="123" t="s">
        <v>321</v>
      </c>
      <c r="H21" s="125" t="s">
        <v>284</v>
      </c>
      <c r="I21" s="126">
        <f t="shared" si="4"/>
        <v>1091569</v>
      </c>
      <c r="J21" s="666">
        <v>799151</v>
      </c>
      <c r="K21" s="127">
        <f t="shared" si="5"/>
        <v>270113</v>
      </c>
      <c r="L21" s="477">
        <f t="shared" si="6"/>
        <v>15983</v>
      </c>
      <c r="M21" s="666">
        <v>6322</v>
      </c>
      <c r="N21" s="390">
        <f t="shared" si="7"/>
        <v>2.72</v>
      </c>
      <c r="O21" s="668">
        <v>0</v>
      </c>
      <c r="P21" s="667">
        <v>2.72</v>
      </c>
      <c r="Q21" s="129">
        <f t="shared" si="8"/>
        <v>0</v>
      </c>
      <c r="R21" s="130">
        <v>0</v>
      </c>
      <c r="S21" s="130">
        <v>0</v>
      </c>
      <c r="T21" s="130">
        <v>0</v>
      </c>
      <c r="U21" s="130">
        <f t="shared" si="9"/>
        <v>0</v>
      </c>
      <c r="V21" s="130">
        <v>0</v>
      </c>
      <c r="W21" s="130">
        <v>0</v>
      </c>
      <c r="X21" s="130">
        <v>0</v>
      </c>
      <c r="Y21" s="130">
        <f t="shared" si="38"/>
        <v>0</v>
      </c>
      <c r="Z21" s="130">
        <f t="shared" si="39"/>
        <v>0</v>
      </c>
      <c r="AA21" s="131">
        <f t="shared" si="40"/>
        <v>0</v>
      </c>
      <c r="AB21" s="131">
        <f t="shared" si="41"/>
        <v>0</v>
      </c>
      <c r="AC21" s="130">
        <v>0</v>
      </c>
      <c r="AD21" s="130">
        <v>0</v>
      </c>
      <c r="AE21" s="130">
        <f t="shared" si="14"/>
        <v>0</v>
      </c>
      <c r="AF21" s="130">
        <f t="shared" si="15"/>
        <v>0</v>
      </c>
      <c r="AG21" s="132">
        <v>0</v>
      </c>
      <c r="AH21" s="132">
        <v>0</v>
      </c>
      <c r="AI21" s="132">
        <v>0</v>
      </c>
      <c r="AJ21" s="132">
        <v>0</v>
      </c>
      <c r="AK21" s="132">
        <v>0</v>
      </c>
      <c r="AL21" s="132">
        <f t="shared" si="16"/>
        <v>0</v>
      </c>
      <c r="AM21" s="132">
        <f>AH21+AK21</f>
        <v>0</v>
      </c>
      <c r="AN21" s="403">
        <f t="shared" si="17"/>
        <v>0</v>
      </c>
      <c r="AO21" s="128">
        <f t="shared" si="18"/>
        <v>1091569</v>
      </c>
      <c r="AP21" s="130">
        <f t="shared" si="19"/>
        <v>799151</v>
      </c>
      <c r="AQ21" s="130">
        <f t="shared" si="20"/>
        <v>0</v>
      </c>
      <c r="AR21" s="130">
        <f t="shared" si="21"/>
        <v>270113</v>
      </c>
      <c r="AS21" s="130">
        <f t="shared" si="22"/>
        <v>15983</v>
      </c>
      <c r="AT21" s="130">
        <f t="shared" si="23"/>
        <v>6322</v>
      </c>
      <c r="AU21" s="132">
        <f t="shared" si="24"/>
        <v>2.72</v>
      </c>
      <c r="AV21" s="132">
        <f t="shared" si="25"/>
        <v>0</v>
      </c>
      <c r="AW21" s="133">
        <f t="shared" si="26"/>
        <v>2.72</v>
      </c>
    </row>
    <row r="22" spans="1:49" ht="14.1" customHeight="1" x14ac:dyDescent="0.2">
      <c r="A22" s="137">
        <v>3</v>
      </c>
      <c r="B22" s="134">
        <v>2442</v>
      </c>
      <c r="C22" s="135">
        <v>600079066</v>
      </c>
      <c r="D22" s="134">
        <v>72742101</v>
      </c>
      <c r="E22" s="136" t="s">
        <v>579</v>
      </c>
      <c r="F22" s="137"/>
      <c r="G22" s="136"/>
      <c r="H22" s="138"/>
      <c r="I22" s="139">
        <f t="shared" ref="I22:P22" si="42">SUM(I19:I21)</f>
        <v>9025416</v>
      </c>
      <c r="J22" s="140">
        <f t="shared" si="42"/>
        <v>6605334</v>
      </c>
      <c r="K22" s="140">
        <f t="shared" si="42"/>
        <v>2232603</v>
      </c>
      <c r="L22" s="140">
        <f t="shared" si="42"/>
        <v>132107</v>
      </c>
      <c r="M22" s="140">
        <f t="shared" si="42"/>
        <v>55372</v>
      </c>
      <c r="N22" s="141">
        <f t="shared" si="42"/>
        <v>16.272199999999998</v>
      </c>
      <c r="O22" s="141">
        <f t="shared" si="42"/>
        <v>10</v>
      </c>
      <c r="P22" s="142">
        <f t="shared" si="42"/>
        <v>6.2721999999999998</v>
      </c>
      <c r="Q22" s="342">
        <f t="shared" ref="Q22:AW22" si="43">SUM(Q19:Q21)</f>
        <v>-2400</v>
      </c>
      <c r="R22" s="140">
        <f t="shared" si="43"/>
        <v>369579</v>
      </c>
      <c r="S22" s="140">
        <f t="shared" si="43"/>
        <v>0</v>
      </c>
      <c r="T22" s="140">
        <f t="shared" si="43"/>
        <v>0</v>
      </c>
      <c r="U22" s="140">
        <f t="shared" si="43"/>
        <v>367179</v>
      </c>
      <c r="V22" s="140">
        <f t="shared" si="43"/>
        <v>2400</v>
      </c>
      <c r="W22" s="140">
        <f t="shared" si="43"/>
        <v>0</v>
      </c>
      <c r="X22" s="140">
        <f t="shared" si="43"/>
        <v>0</v>
      </c>
      <c r="Y22" s="140">
        <f t="shared" si="43"/>
        <v>2400</v>
      </c>
      <c r="Z22" s="140">
        <f t="shared" si="43"/>
        <v>369579</v>
      </c>
      <c r="AA22" s="140">
        <f t="shared" si="43"/>
        <v>124918</v>
      </c>
      <c r="AB22" s="140">
        <f t="shared" si="43"/>
        <v>7344</v>
      </c>
      <c r="AC22" s="140">
        <f t="shared" si="43"/>
        <v>0</v>
      </c>
      <c r="AD22" s="140">
        <f t="shared" si="43"/>
        <v>0</v>
      </c>
      <c r="AE22" s="140">
        <f t="shared" si="43"/>
        <v>0</v>
      </c>
      <c r="AF22" s="140">
        <f t="shared" si="43"/>
        <v>501841</v>
      </c>
      <c r="AG22" s="141">
        <f t="shared" si="43"/>
        <v>0</v>
      </c>
      <c r="AH22" s="141">
        <f t="shared" si="43"/>
        <v>-0.01</v>
      </c>
      <c r="AI22" s="141">
        <f t="shared" si="43"/>
        <v>1.05</v>
      </c>
      <c r="AJ22" s="141">
        <f t="shared" si="43"/>
        <v>0</v>
      </c>
      <c r="AK22" s="141">
        <f t="shared" si="43"/>
        <v>0</v>
      </c>
      <c r="AL22" s="141">
        <f t="shared" si="43"/>
        <v>1.05</v>
      </c>
      <c r="AM22" s="141">
        <f t="shared" si="43"/>
        <v>-0.01</v>
      </c>
      <c r="AN22" s="635">
        <f t="shared" si="43"/>
        <v>1.04</v>
      </c>
      <c r="AO22" s="139">
        <f t="shared" si="43"/>
        <v>9527257</v>
      </c>
      <c r="AP22" s="140">
        <f t="shared" si="43"/>
        <v>6972513</v>
      </c>
      <c r="AQ22" s="140">
        <f t="shared" si="43"/>
        <v>2400</v>
      </c>
      <c r="AR22" s="140">
        <f t="shared" si="43"/>
        <v>2357521</v>
      </c>
      <c r="AS22" s="140">
        <f t="shared" si="43"/>
        <v>139451</v>
      </c>
      <c r="AT22" s="140">
        <f t="shared" si="43"/>
        <v>55372</v>
      </c>
      <c r="AU22" s="141">
        <f t="shared" si="43"/>
        <v>17.312200000000001</v>
      </c>
      <c r="AV22" s="141">
        <f t="shared" si="43"/>
        <v>11.05</v>
      </c>
      <c r="AW22" s="142">
        <f t="shared" si="43"/>
        <v>6.2622</v>
      </c>
    </row>
    <row r="23" spans="1:49" ht="14.1" customHeight="1" x14ac:dyDescent="0.2">
      <c r="A23" s="124">
        <v>4</v>
      </c>
      <c r="B23" s="121">
        <v>2437</v>
      </c>
      <c r="C23" s="122">
        <v>600079074</v>
      </c>
      <c r="D23" s="121">
        <v>72743221</v>
      </c>
      <c r="E23" s="123" t="s">
        <v>580</v>
      </c>
      <c r="F23" s="124">
        <v>3111</v>
      </c>
      <c r="G23" s="123" t="s">
        <v>317</v>
      </c>
      <c r="H23" s="125" t="s">
        <v>283</v>
      </c>
      <c r="I23" s="126">
        <f t="shared" si="4"/>
        <v>13320205</v>
      </c>
      <c r="J23" s="127">
        <v>9741978</v>
      </c>
      <c r="K23" s="127">
        <v>3292788</v>
      </c>
      <c r="L23" s="477">
        <v>194839</v>
      </c>
      <c r="M23" s="127">
        <v>90600</v>
      </c>
      <c r="N23" s="390">
        <f t="shared" si="7"/>
        <v>22.127600000000001</v>
      </c>
      <c r="O23" s="390">
        <v>16.484000000000002</v>
      </c>
      <c r="P23" s="439">
        <v>5.6435999999999993</v>
      </c>
      <c r="Q23" s="129">
        <f t="shared" si="8"/>
        <v>0</v>
      </c>
      <c r="R23" s="130">
        <v>0</v>
      </c>
      <c r="S23" s="130">
        <v>0</v>
      </c>
      <c r="T23" s="130">
        <v>0</v>
      </c>
      <c r="U23" s="130">
        <f t="shared" si="9"/>
        <v>0</v>
      </c>
      <c r="V23" s="130">
        <v>0</v>
      </c>
      <c r="W23" s="130">
        <v>0</v>
      </c>
      <c r="X23" s="130">
        <v>0</v>
      </c>
      <c r="Y23" s="130">
        <f t="shared" ref="Y23:Y26" si="44">SUM(V23:X23)</f>
        <v>0</v>
      </c>
      <c r="Z23" s="130">
        <f t="shared" ref="Z23:Z26" si="45">U23+Y23</f>
        <v>0</v>
      </c>
      <c r="AA23" s="131">
        <f t="shared" ref="AA23:AA26" si="46">ROUND((U23+V23+W23)*33.8%,0)</f>
        <v>0</v>
      </c>
      <c r="AB23" s="131">
        <f t="shared" ref="AB23:AB26" si="47">ROUND(U23*2%,0)</f>
        <v>0</v>
      </c>
      <c r="AC23" s="130">
        <v>0</v>
      </c>
      <c r="AD23" s="130">
        <v>0</v>
      </c>
      <c r="AE23" s="130">
        <f t="shared" si="14"/>
        <v>0</v>
      </c>
      <c r="AF23" s="130">
        <f t="shared" si="15"/>
        <v>0</v>
      </c>
      <c r="AG23" s="132">
        <v>0</v>
      </c>
      <c r="AH23" s="132">
        <v>0</v>
      </c>
      <c r="AI23" s="132">
        <v>0</v>
      </c>
      <c r="AJ23" s="132">
        <v>0</v>
      </c>
      <c r="AK23" s="132">
        <v>0</v>
      </c>
      <c r="AL23" s="132">
        <f t="shared" si="16"/>
        <v>0</v>
      </c>
      <c r="AM23" s="132">
        <f>AH23+AK23</f>
        <v>0</v>
      </c>
      <c r="AN23" s="403">
        <f t="shared" si="17"/>
        <v>0</v>
      </c>
      <c r="AO23" s="128">
        <f t="shared" si="18"/>
        <v>13320205</v>
      </c>
      <c r="AP23" s="130">
        <f t="shared" si="19"/>
        <v>9741978</v>
      </c>
      <c r="AQ23" s="130">
        <f t="shared" si="20"/>
        <v>0</v>
      </c>
      <c r="AR23" s="130">
        <f t="shared" si="21"/>
        <v>3292788</v>
      </c>
      <c r="AS23" s="130">
        <f t="shared" si="22"/>
        <v>194839</v>
      </c>
      <c r="AT23" s="130">
        <f t="shared" si="23"/>
        <v>90600</v>
      </c>
      <c r="AU23" s="132">
        <f t="shared" si="24"/>
        <v>22.127600000000001</v>
      </c>
      <c r="AV23" s="132">
        <f t="shared" si="25"/>
        <v>16.484000000000002</v>
      </c>
      <c r="AW23" s="133">
        <f t="shared" si="26"/>
        <v>5.6435999999999993</v>
      </c>
    </row>
    <row r="24" spans="1:49" ht="14.1" customHeight="1" x14ac:dyDescent="0.2">
      <c r="A24" s="124">
        <v>4</v>
      </c>
      <c r="B24" s="121">
        <v>2437</v>
      </c>
      <c r="C24" s="122">
        <v>600079074</v>
      </c>
      <c r="D24" s="121">
        <v>72743221</v>
      </c>
      <c r="E24" s="123" t="s">
        <v>580</v>
      </c>
      <c r="F24" s="124">
        <v>3111</v>
      </c>
      <c r="G24" s="98" t="s">
        <v>319</v>
      </c>
      <c r="H24" s="125" t="s">
        <v>283</v>
      </c>
      <c r="I24" s="126">
        <f t="shared" si="4"/>
        <v>789933</v>
      </c>
      <c r="J24" s="631">
        <v>581688</v>
      </c>
      <c r="K24" s="127">
        <f t="shared" si="5"/>
        <v>196611</v>
      </c>
      <c r="L24" s="477">
        <f t="shared" si="6"/>
        <v>11634</v>
      </c>
      <c r="M24" s="478">
        <v>0</v>
      </c>
      <c r="N24" s="390">
        <f t="shared" si="7"/>
        <v>2</v>
      </c>
      <c r="O24" s="644">
        <v>2</v>
      </c>
      <c r="P24" s="639">
        <v>0</v>
      </c>
      <c r="Q24" s="129">
        <f t="shared" si="8"/>
        <v>0</v>
      </c>
      <c r="R24" s="130">
        <v>0</v>
      </c>
      <c r="S24" s="130">
        <v>0</v>
      </c>
      <c r="T24" s="130">
        <v>0</v>
      </c>
      <c r="U24" s="130">
        <f t="shared" si="9"/>
        <v>0</v>
      </c>
      <c r="V24" s="130">
        <v>0</v>
      </c>
      <c r="W24" s="130">
        <v>0</v>
      </c>
      <c r="X24" s="130">
        <v>0</v>
      </c>
      <c r="Y24" s="130">
        <f t="shared" si="44"/>
        <v>0</v>
      </c>
      <c r="Z24" s="130">
        <f t="shared" si="45"/>
        <v>0</v>
      </c>
      <c r="AA24" s="131">
        <f t="shared" si="46"/>
        <v>0</v>
      </c>
      <c r="AB24" s="131">
        <f t="shared" si="47"/>
        <v>0</v>
      </c>
      <c r="AC24" s="130">
        <v>0</v>
      </c>
      <c r="AD24" s="130">
        <v>0</v>
      </c>
      <c r="AE24" s="130">
        <f t="shared" si="14"/>
        <v>0</v>
      </c>
      <c r="AF24" s="130">
        <f t="shared" si="15"/>
        <v>0</v>
      </c>
      <c r="AG24" s="132">
        <v>0</v>
      </c>
      <c r="AH24" s="132">
        <v>0</v>
      </c>
      <c r="AI24" s="132">
        <v>0</v>
      </c>
      <c r="AJ24" s="132">
        <v>0</v>
      </c>
      <c r="AK24" s="132">
        <v>0</v>
      </c>
      <c r="AL24" s="132">
        <f t="shared" si="16"/>
        <v>0</v>
      </c>
      <c r="AM24" s="132">
        <f>AH24+AK24</f>
        <v>0</v>
      </c>
      <c r="AN24" s="403">
        <f t="shared" si="17"/>
        <v>0</v>
      </c>
      <c r="AO24" s="128">
        <f t="shared" si="18"/>
        <v>789933</v>
      </c>
      <c r="AP24" s="130">
        <f t="shared" si="19"/>
        <v>581688</v>
      </c>
      <c r="AQ24" s="130">
        <f t="shared" si="20"/>
        <v>0</v>
      </c>
      <c r="AR24" s="130">
        <f t="shared" si="21"/>
        <v>196611</v>
      </c>
      <c r="AS24" s="130">
        <f t="shared" si="22"/>
        <v>11634</v>
      </c>
      <c r="AT24" s="130">
        <f t="shared" si="23"/>
        <v>0</v>
      </c>
      <c r="AU24" s="132">
        <f t="shared" si="24"/>
        <v>2</v>
      </c>
      <c r="AV24" s="132">
        <f t="shared" si="25"/>
        <v>2</v>
      </c>
      <c r="AW24" s="133">
        <f t="shared" si="26"/>
        <v>0</v>
      </c>
    </row>
    <row r="25" spans="1:49" ht="14.1" customHeight="1" x14ac:dyDescent="0.2">
      <c r="A25" s="124">
        <v>4</v>
      </c>
      <c r="B25" s="121">
        <v>2437</v>
      </c>
      <c r="C25" s="122">
        <v>600079074</v>
      </c>
      <c r="D25" s="121">
        <v>72743221</v>
      </c>
      <c r="E25" s="123" t="s">
        <v>580</v>
      </c>
      <c r="F25" s="124">
        <v>3111</v>
      </c>
      <c r="G25" s="143" t="s">
        <v>318</v>
      </c>
      <c r="H25" s="125" t="s">
        <v>284</v>
      </c>
      <c r="I25" s="126">
        <f t="shared" si="4"/>
        <v>0</v>
      </c>
      <c r="J25" s="29">
        <v>0</v>
      </c>
      <c r="K25" s="127">
        <f t="shared" si="5"/>
        <v>0</v>
      </c>
      <c r="L25" s="477">
        <f t="shared" si="6"/>
        <v>0</v>
      </c>
      <c r="M25" s="29">
        <v>0</v>
      </c>
      <c r="N25" s="390">
        <f t="shared" si="7"/>
        <v>0</v>
      </c>
      <c r="O25" s="349">
        <v>0</v>
      </c>
      <c r="P25" s="639">
        <v>0</v>
      </c>
      <c r="Q25" s="129">
        <f t="shared" si="8"/>
        <v>0</v>
      </c>
      <c r="R25" s="130">
        <v>0</v>
      </c>
      <c r="S25" s="130">
        <v>0</v>
      </c>
      <c r="T25" s="130">
        <v>0</v>
      </c>
      <c r="U25" s="130">
        <f t="shared" si="9"/>
        <v>0</v>
      </c>
      <c r="V25" s="130">
        <v>0</v>
      </c>
      <c r="W25" s="130">
        <v>0</v>
      </c>
      <c r="X25" s="130">
        <v>0</v>
      </c>
      <c r="Y25" s="130">
        <f t="shared" si="44"/>
        <v>0</v>
      </c>
      <c r="Z25" s="130">
        <f t="shared" si="45"/>
        <v>0</v>
      </c>
      <c r="AA25" s="131">
        <f t="shared" si="46"/>
        <v>0</v>
      </c>
      <c r="AB25" s="131">
        <f t="shared" si="47"/>
        <v>0</v>
      </c>
      <c r="AC25" s="130">
        <v>1500</v>
      </c>
      <c r="AD25" s="130">
        <v>0</v>
      </c>
      <c r="AE25" s="130">
        <f t="shared" si="14"/>
        <v>1500</v>
      </c>
      <c r="AF25" s="130">
        <f t="shared" si="15"/>
        <v>1500</v>
      </c>
      <c r="AG25" s="132">
        <v>0</v>
      </c>
      <c r="AH25" s="132">
        <v>0</v>
      </c>
      <c r="AI25" s="132">
        <v>0</v>
      </c>
      <c r="AJ25" s="132">
        <v>0</v>
      </c>
      <c r="AK25" s="132">
        <v>0</v>
      </c>
      <c r="AL25" s="132">
        <f t="shared" si="16"/>
        <v>0</v>
      </c>
      <c r="AM25" s="132">
        <f>AH25+AK25</f>
        <v>0</v>
      </c>
      <c r="AN25" s="403">
        <f t="shared" si="17"/>
        <v>0</v>
      </c>
      <c r="AO25" s="128">
        <f t="shared" si="18"/>
        <v>1500</v>
      </c>
      <c r="AP25" s="130">
        <f t="shared" si="19"/>
        <v>0</v>
      </c>
      <c r="AQ25" s="130">
        <f t="shared" si="20"/>
        <v>0</v>
      </c>
      <c r="AR25" s="130">
        <f t="shared" si="21"/>
        <v>0</v>
      </c>
      <c r="AS25" s="130">
        <f t="shared" si="22"/>
        <v>0</v>
      </c>
      <c r="AT25" s="130">
        <f t="shared" si="23"/>
        <v>1500</v>
      </c>
      <c r="AU25" s="132">
        <f t="shared" si="24"/>
        <v>0</v>
      </c>
      <c r="AV25" s="132">
        <f t="shared" si="25"/>
        <v>0</v>
      </c>
      <c r="AW25" s="133">
        <f t="shared" si="26"/>
        <v>0</v>
      </c>
    </row>
    <row r="26" spans="1:49" ht="14.1" customHeight="1" x14ac:dyDescent="0.2">
      <c r="A26" s="124">
        <v>4</v>
      </c>
      <c r="B26" s="121">
        <v>2437</v>
      </c>
      <c r="C26" s="122">
        <v>600079074</v>
      </c>
      <c r="D26" s="121">
        <v>72743221</v>
      </c>
      <c r="E26" s="123" t="s">
        <v>580</v>
      </c>
      <c r="F26" s="124">
        <v>3141</v>
      </c>
      <c r="G26" s="123" t="s">
        <v>321</v>
      </c>
      <c r="H26" s="125" t="s">
        <v>284</v>
      </c>
      <c r="I26" s="126">
        <f t="shared" si="4"/>
        <v>1505649</v>
      </c>
      <c r="J26" s="666">
        <v>1101934</v>
      </c>
      <c r="K26" s="127">
        <f t="shared" si="5"/>
        <v>372454</v>
      </c>
      <c r="L26" s="477">
        <f t="shared" si="6"/>
        <v>22039</v>
      </c>
      <c r="M26" s="666">
        <v>9222</v>
      </c>
      <c r="N26" s="390">
        <f t="shared" si="7"/>
        <v>3.75</v>
      </c>
      <c r="O26" s="668">
        <v>0</v>
      </c>
      <c r="P26" s="667">
        <v>3.75</v>
      </c>
      <c r="Q26" s="129">
        <f t="shared" si="8"/>
        <v>0</v>
      </c>
      <c r="R26" s="130">
        <v>0</v>
      </c>
      <c r="S26" s="130">
        <v>0</v>
      </c>
      <c r="T26" s="130">
        <v>0</v>
      </c>
      <c r="U26" s="130">
        <f t="shared" si="9"/>
        <v>0</v>
      </c>
      <c r="V26" s="130">
        <v>0</v>
      </c>
      <c r="W26" s="130">
        <v>0</v>
      </c>
      <c r="X26" s="130">
        <v>0</v>
      </c>
      <c r="Y26" s="130">
        <f t="shared" si="44"/>
        <v>0</v>
      </c>
      <c r="Z26" s="130">
        <f t="shared" si="45"/>
        <v>0</v>
      </c>
      <c r="AA26" s="131">
        <f t="shared" si="46"/>
        <v>0</v>
      </c>
      <c r="AB26" s="131">
        <f t="shared" si="47"/>
        <v>0</v>
      </c>
      <c r="AC26" s="130">
        <v>0</v>
      </c>
      <c r="AD26" s="130">
        <v>0</v>
      </c>
      <c r="AE26" s="130">
        <f t="shared" si="14"/>
        <v>0</v>
      </c>
      <c r="AF26" s="130">
        <f t="shared" si="15"/>
        <v>0</v>
      </c>
      <c r="AG26" s="132">
        <v>0</v>
      </c>
      <c r="AH26" s="132">
        <v>0</v>
      </c>
      <c r="AI26" s="132">
        <v>0</v>
      </c>
      <c r="AJ26" s="132">
        <v>0</v>
      </c>
      <c r="AK26" s="132">
        <v>0</v>
      </c>
      <c r="AL26" s="132">
        <f t="shared" si="16"/>
        <v>0</v>
      </c>
      <c r="AM26" s="132">
        <f>AH26+AK26</f>
        <v>0</v>
      </c>
      <c r="AN26" s="403">
        <f t="shared" si="17"/>
        <v>0</v>
      </c>
      <c r="AO26" s="128">
        <f t="shared" si="18"/>
        <v>1505649</v>
      </c>
      <c r="AP26" s="130">
        <f t="shared" si="19"/>
        <v>1101934</v>
      </c>
      <c r="AQ26" s="130">
        <f t="shared" si="20"/>
        <v>0</v>
      </c>
      <c r="AR26" s="130">
        <f t="shared" si="21"/>
        <v>372454</v>
      </c>
      <c r="AS26" s="130">
        <f t="shared" si="22"/>
        <v>22039</v>
      </c>
      <c r="AT26" s="130">
        <f t="shared" si="23"/>
        <v>9222</v>
      </c>
      <c r="AU26" s="132">
        <f t="shared" si="24"/>
        <v>3.75</v>
      </c>
      <c r="AV26" s="132">
        <f t="shared" si="25"/>
        <v>0</v>
      </c>
      <c r="AW26" s="133">
        <f t="shared" si="26"/>
        <v>3.75</v>
      </c>
    </row>
    <row r="27" spans="1:49" ht="14.1" customHeight="1" x14ac:dyDescent="0.2">
      <c r="A27" s="137">
        <v>4</v>
      </c>
      <c r="B27" s="134">
        <v>2437</v>
      </c>
      <c r="C27" s="135">
        <v>600079074</v>
      </c>
      <c r="D27" s="134">
        <v>72743221</v>
      </c>
      <c r="E27" s="136" t="s">
        <v>581</v>
      </c>
      <c r="F27" s="137"/>
      <c r="G27" s="136"/>
      <c r="H27" s="138"/>
      <c r="I27" s="139">
        <f t="shared" ref="I27:P27" si="48">SUM(I23:I26)</f>
        <v>15615787</v>
      </c>
      <c r="J27" s="140">
        <f t="shared" si="48"/>
        <v>11425600</v>
      </c>
      <c r="K27" s="140">
        <f t="shared" si="48"/>
        <v>3861853</v>
      </c>
      <c r="L27" s="140">
        <f t="shared" si="48"/>
        <v>228512</v>
      </c>
      <c r="M27" s="140">
        <f t="shared" si="48"/>
        <v>99822</v>
      </c>
      <c r="N27" s="141">
        <f t="shared" si="48"/>
        <v>27.877600000000001</v>
      </c>
      <c r="O27" s="141">
        <f t="shared" si="48"/>
        <v>18.484000000000002</v>
      </c>
      <c r="P27" s="142">
        <f t="shared" si="48"/>
        <v>9.3935999999999993</v>
      </c>
      <c r="Q27" s="342">
        <f t="shared" ref="Q27:AW27" si="49">SUM(Q23:Q26)</f>
        <v>0</v>
      </c>
      <c r="R27" s="140">
        <f t="shared" si="49"/>
        <v>0</v>
      </c>
      <c r="S27" s="140">
        <f t="shared" si="49"/>
        <v>0</v>
      </c>
      <c r="T27" s="140">
        <f t="shared" si="49"/>
        <v>0</v>
      </c>
      <c r="U27" s="140">
        <f t="shared" si="49"/>
        <v>0</v>
      </c>
      <c r="V27" s="140">
        <f t="shared" si="49"/>
        <v>0</v>
      </c>
      <c r="W27" s="140">
        <f t="shared" si="49"/>
        <v>0</v>
      </c>
      <c r="X27" s="140">
        <f t="shared" si="49"/>
        <v>0</v>
      </c>
      <c r="Y27" s="140">
        <f t="shared" si="49"/>
        <v>0</v>
      </c>
      <c r="Z27" s="140">
        <f t="shared" si="49"/>
        <v>0</v>
      </c>
      <c r="AA27" s="140">
        <f t="shared" si="49"/>
        <v>0</v>
      </c>
      <c r="AB27" s="140">
        <f t="shared" si="49"/>
        <v>0</v>
      </c>
      <c r="AC27" s="140">
        <f t="shared" si="49"/>
        <v>1500</v>
      </c>
      <c r="AD27" s="140">
        <f t="shared" si="49"/>
        <v>0</v>
      </c>
      <c r="AE27" s="140">
        <f t="shared" si="49"/>
        <v>1500</v>
      </c>
      <c r="AF27" s="140">
        <f t="shared" si="49"/>
        <v>1500</v>
      </c>
      <c r="AG27" s="141">
        <f t="shared" si="49"/>
        <v>0</v>
      </c>
      <c r="AH27" s="141">
        <f t="shared" si="49"/>
        <v>0</v>
      </c>
      <c r="AI27" s="141">
        <f t="shared" si="49"/>
        <v>0</v>
      </c>
      <c r="AJ27" s="141">
        <f t="shared" si="49"/>
        <v>0</v>
      </c>
      <c r="AK27" s="141">
        <f t="shared" si="49"/>
        <v>0</v>
      </c>
      <c r="AL27" s="141">
        <f t="shared" si="49"/>
        <v>0</v>
      </c>
      <c r="AM27" s="141">
        <f t="shared" si="49"/>
        <v>0</v>
      </c>
      <c r="AN27" s="635">
        <f t="shared" si="49"/>
        <v>0</v>
      </c>
      <c r="AO27" s="139">
        <f t="shared" si="49"/>
        <v>15617287</v>
      </c>
      <c r="AP27" s="140">
        <f t="shared" si="49"/>
        <v>11425600</v>
      </c>
      <c r="AQ27" s="140">
        <f t="shared" si="49"/>
        <v>0</v>
      </c>
      <c r="AR27" s="140">
        <f t="shared" si="49"/>
        <v>3861853</v>
      </c>
      <c r="AS27" s="140">
        <f t="shared" si="49"/>
        <v>228512</v>
      </c>
      <c r="AT27" s="140">
        <f t="shared" si="49"/>
        <v>101322</v>
      </c>
      <c r="AU27" s="141">
        <f t="shared" si="49"/>
        <v>27.877600000000001</v>
      </c>
      <c r="AV27" s="141">
        <f t="shared" si="49"/>
        <v>18.484000000000002</v>
      </c>
      <c r="AW27" s="142">
        <f t="shared" si="49"/>
        <v>9.3935999999999993</v>
      </c>
    </row>
    <row r="28" spans="1:49" ht="14.1" customHeight="1" x14ac:dyDescent="0.2">
      <c r="A28" s="124">
        <v>5</v>
      </c>
      <c r="B28" s="121">
        <v>2411</v>
      </c>
      <c r="C28" s="122">
        <v>600079554</v>
      </c>
      <c r="D28" s="121">
        <v>72742666</v>
      </c>
      <c r="E28" s="123" t="s">
        <v>582</v>
      </c>
      <c r="F28" s="124">
        <v>3111</v>
      </c>
      <c r="G28" s="123" t="s">
        <v>317</v>
      </c>
      <c r="H28" s="125" t="s">
        <v>283</v>
      </c>
      <c r="I28" s="126">
        <f t="shared" si="4"/>
        <v>6854166</v>
      </c>
      <c r="J28" s="127">
        <v>5017096</v>
      </c>
      <c r="K28" s="127">
        <f t="shared" si="5"/>
        <v>1695778</v>
      </c>
      <c r="L28" s="477">
        <f t="shared" si="6"/>
        <v>100342</v>
      </c>
      <c r="M28" s="127">
        <v>40950</v>
      </c>
      <c r="N28" s="390">
        <f t="shared" si="7"/>
        <v>11.2875</v>
      </c>
      <c r="O28" s="390">
        <v>8.4192999999999998</v>
      </c>
      <c r="P28" s="439">
        <v>2.8681999999999999</v>
      </c>
      <c r="Q28" s="129">
        <f t="shared" si="8"/>
        <v>-931</v>
      </c>
      <c r="R28" s="130">
        <v>64958</v>
      </c>
      <c r="S28" s="130">
        <v>0</v>
      </c>
      <c r="T28" s="130">
        <v>0</v>
      </c>
      <c r="U28" s="130">
        <f t="shared" si="9"/>
        <v>64027</v>
      </c>
      <c r="V28" s="130">
        <v>931</v>
      </c>
      <c r="W28" s="130">
        <v>0</v>
      </c>
      <c r="X28" s="130">
        <v>0</v>
      </c>
      <c r="Y28" s="130">
        <f t="shared" ref="Y28:Y29" si="50">SUM(V28:X28)</f>
        <v>931</v>
      </c>
      <c r="Z28" s="130">
        <f t="shared" ref="Z28:Z29" si="51">U28+Y28</f>
        <v>64958</v>
      </c>
      <c r="AA28" s="131">
        <f t="shared" ref="AA28:AA29" si="52">ROUND((U28+V28+W28)*33.8%,0)</f>
        <v>21956</v>
      </c>
      <c r="AB28" s="131">
        <f t="shared" ref="AB28:AB29" si="53">ROUND(U28*2%,0)</f>
        <v>1281</v>
      </c>
      <c r="AC28" s="130">
        <v>0</v>
      </c>
      <c r="AD28" s="130">
        <v>0</v>
      </c>
      <c r="AE28" s="130">
        <f t="shared" si="14"/>
        <v>0</v>
      </c>
      <c r="AF28" s="130">
        <f t="shared" si="15"/>
        <v>88195</v>
      </c>
      <c r="AG28" s="132">
        <v>0</v>
      </c>
      <c r="AH28" s="132">
        <v>0</v>
      </c>
      <c r="AI28" s="132">
        <v>0.19</v>
      </c>
      <c r="AJ28" s="132">
        <v>0</v>
      </c>
      <c r="AK28" s="132">
        <v>0</v>
      </c>
      <c r="AL28" s="132">
        <f t="shared" si="16"/>
        <v>0.19</v>
      </c>
      <c r="AM28" s="132">
        <f>AH28+AK28</f>
        <v>0</v>
      </c>
      <c r="AN28" s="403">
        <f t="shared" si="17"/>
        <v>0.19</v>
      </c>
      <c r="AO28" s="128">
        <f t="shared" si="18"/>
        <v>6942361</v>
      </c>
      <c r="AP28" s="130">
        <f t="shared" si="19"/>
        <v>5081123</v>
      </c>
      <c r="AQ28" s="130">
        <f t="shared" si="20"/>
        <v>931</v>
      </c>
      <c r="AR28" s="130">
        <f t="shared" si="21"/>
        <v>1717734</v>
      </c>
      <c r="AS28" s="130">
        <f t="shared" si="22"/>
        <v>101623</v>
      </c>
      <c r="AT28" s="130">
        <f t="shared" si="23"/>
        <v>40950</v>
      </c>
      <c r="AU28" s="132">
        <f t="shared" si="24"/>
        <v>11.477499999999999</v>
      </c>
      <c r="AV28" s="132">
        <f t="shared" si="25"/>
        <v>8.6092999999999993</v>
      </c>
      <c r="AW28" s="133">
        <f t="shared" si="26"/>
        <v>2.8681999999999999</v>
      </c>
    </row>
    <row r="29" spans="1:49" ht="14.1" customHeight="1" x14ac:dyDescent="0.2">
      <c r="A29" s="124">
        <v>5</v>
      </c>
      <c r="B29" s="121">
        <v>2411</v>
      </c>
      <c r="C29" s="122">
        <v>600079554</v>
      </c>
      <c r="D29" s="121">
        <v>72742666</v>
      </c>
      <c r="E29" s="123" t="s">
        <v>582</v>
      </c>
      <c r="F29" s="124">
        <v>3141</v>
      </c>
      <c r="G29" s="123" t="s">
        <v>321</v>
      </c>
      <c r="H29" s="125" t="s">
        <v>284</v>
      </c>
      <c r="I29" s="126">
        <f t="shared" si="4"/>
        <v>950256</v>
      </c>
      <c r="J29" s="666">
        <v>695903</v>
      </c>
      <c r="K29" s="127">
        <f t="shared" si="5"/>
        <v>235215</v>
      </c>
      <c r="L29" s="477">
        <f t="shared" si="6"/>
        <v>13918</v>
      </c>
      <c r="M29" s="666">
        <v>5220</v>
      </c>
      <c r="N29" s="390">
        <f t="shared" si="7"/>
        <v>2.37</v>
      </c>
      <c r="O29" s="668">
        <v>0</v>
      </c>
      <c r="P29" s="667">
        <v>2.37</v>
      </c>
      <c r="Q29" s="129">
        <f t="shared" si="8"/>
        <v>0</v>
      </c>
      <c r="R29" s="130">
        <v>0</v>
      </c>
      <c r="S29" s="130">
        <v>0</v>
      </c>
      <c r="T29" s="130">
        <v>0</v>
      </c>
      <c r="U29" s="130">
        <f t="shared" si="9"/>
        <v>0</v>
      </c>
      <c r="V29" s="130">
        <v>0</v>
      </c>
      <c r="W29" s="130">
        <v>0</v>
      </c>
      <c r="X29" s="130">
        <v>0</v>
      </c>
      <c r="Y29" s="130">
        <f t="shared" si="50"/>
        <v>0</v>
      </c>
      <c r="Z29" s="130">
        <f t="shared" si="51"/>
        <v>0</v>
      </c>
      <c r="AA29" s="131">
        <f t="shared" si="52"/>
        <v>0</v>
      </c>
      <c r="AB29" s="131">
        <f t="shared" si="53"/>
        <v>0</v>
      </c>
      <c r="AC29" s="130">
        <v>0</v>
      </c>
      <c r="AD29" s="130">
        <v>0</v>
      </c>
      <c r="AE29" s="130">
        <f t="shared" si="14"/>
        <v>0</v>
      </c>
      <c r="AF29" s="130">
        <f t="shared" si="15"/>
        <v>0</v>
      </c>
      <c r="AG29" s="132">
        <v>0</v>
      </c>
      <c r="AH29" s="132">
        <v>0</v>
      </c>
      <c r="AI29" s="132">
        <v>0</v>
      </c>
      <c r="AJ29" s="132">
        <v>0</v>
      </c>
      <c r="AK29" s="132">
        <v>0</v>
      </c>
      <c r="AL29" s="132">
        <f t="shared" si="16"/>
        <v>0</v>
      </c>
      <c r="AM29" s="132">
        <f>AH29+AK29</f>
        <v>0</v>
      </c>
      <c r="AN29" s="403">
        <f t="shared" si="17"/>
        <v>0</v>
      </c>
      <c r="AO29" s="128">
        <f t="shared" si="18"/>
        <v>950256</v>
      </c>
      <c r="AP29" s="130">
        <f t="shared" si="19"/>
        <v>695903</v>
      </c>
      <c r="AQ29" s="130">
        <f t="shared" si="20"/>
        <v>0</v>
      </c>
      <c r="AR29" s="130">
        <f t="shared" si="21"/>
        <v>235215</v>
      </c>
      <c r="AS29" s="130">
        <f t="shared" si="22"/>
        <v>13918</v>
      </c>
      <c r="AT29" s="130">
        <f t="shared" si="23"/>
        <v>5220</v>
      </c>
      <c r="AU29" s="132">
        <f t="shared" si="24"/>
        <v>2.37</v>
      </c>
      <c r="AV29" s="132">
        <f t="shared" si="25"/>
        <v>0</v>
      </c>
      <c r="AW29" s="133">
        <f t="shared" si="26"/>
        <v>2.37</v>
      </c>
    </row>
    <row r="30" spans="1:49" ht="14.1" customHeight="1" x14ac:dyDescent="0.2">
      <c r="A30" s="137">
        <v>5</v>
      </c>
      <c r="B30" s="134">
        <v>2411</v>
      </c>
      <c r="C30" s="135">
        <v>600079554</v>
      </c>
      <c r="D30" s="134">
        <v>72742666</v>
      </c>
      <c r="E30" s="136" t="s">
        <v>583</v>
      </c>
      <c r="F30" s="137"/>
      <c r="G30" s="136"/>
      <c r="H30" s="138"/>
      <c r="I30" s="139">
        <f t="shared" ref="I30:P30" si="54">SUM(I28:I29)</f>
        <v>7804422</v>
      </c>
      <c r="J30" s="140">
        <f t="shared" si="54"/>
        <v>5712999</v>
      </c>
      <c r="K30" s="140">
        <f t="shared" si="54"/>
        <v>1930993</v>
      </c>
      <c r="L30" s="140">
        <f t="shared" si="54"/>
        <v>114260</v>
      </c>
      <c r="M30" s="140">
        <f t="shared" si="54"/>
        <v>46170</v>
      </c>
      <c r="N30" s="141">
        <f t="shared" si="54"/>
        <v>13.657499999999999</v>
      </c>
      <c r="O30" s="141">
        <f t="shared" si="54"/>
        <v>8.4192999999999998</v>
      </c>
      <c r="P30" s="142">
        <f t="shared" si="54"/>
        <v>5.2382</v>
      </c>
      <c r="Q30" s="342">
        <f t="shared" ref="Q30:AW30" si="55">SUM(Q28:Q29)</f>
        <v>-931</v>
      </c>
      <c r="R30" s="140">
        <f t="shared" si="55"/>
        <v>64958</v>
      </c>
      <c r="S30" s="140">
        <f t="shared" si="55"/>
        <v>0</v>
      </c>
      <c r="T30" s="140">
        <f t="shared" si="55"/>
        <v>0</v>
      </c>
      <c r="U30" s="140">
        <f t="shared" si="55"/>
        <v>64027</v>
      </c>
      <c r="V30" s="140">
        <f t="shared" si="55"/>
        <v>931</v>
      </c>
      <c r="W30" s="140">
        <f t="shared" si="55"/>
        <v>0</v>
      </c>
      <c r="X30" s="140">
        <f t="shared" si="55"/>
        <v>0</v>
      </c>
      <c r="Y30" s="140">
        <f t="shared" si="55"/>
        <v>931</v>
      </c>
      <c r="Z30" s="140">
        <f t="shared" si="55"/>
        <v>64958</v>
      </c>
      <c r="AA30" s="140">
        <f t="shared" si="55"/>
        <v>21956</v>
      </c>
      <c r="AB30" s="140">
        <f t="shared" si="55"/>
        <v>1281</v>
      </c>
      <c r="AC30" s="140">
        <f t="shared" si="55"/>
        <v>0</v>
      </c>
      <c r="AD30" s="140">
        <f t="shared" si="55"/>
        <v>0</v>
      </c>
      <c r="AE30" s="140">
        <f t="shared" si="55"/>
        <v>0</v>
      </c>
      <c r="AF30" s="140">
        <f t="shared" si="55"/>
        <v>88195</v>
      </c>
      <c r="AG30" s="141">
        <f t="shared" si="55"/>
        <v>0</v>
      </c>
      <c r="AH30" s="141">
        <f t="shared" si="55"/>
        <v>0</v>
      </c>
      <c r="AI30" s="141">
        <f t="shared" si="55"/>
        <v>0.19</v>
      </c>
      <c r="AJ30" s="141">
        <f t="shared" si="55"/>
        <v>0</v>
      </c>
      <c r="AK30" s="141">
        <f t="shared" si="55"/>
        <v>0</v>
      </c>
      <c r="AL30" s="141">
        <f t="shared" si="55"/>
        <v>0.19</v>
      </c>
      <c r="AM30" s="141">
        <f t="shared" si="55"/>
        <v>0</v>
      </c>
      <c r="AN30" s="635">
        <f t="shared" si="55"/>
        <v>0.19</v>
      </c>
      <c r="AO30" s="139">
        <f t="shared" si="55"/>
        <v>7892617</v>
      </c>
      <c r="AP30" s="140">
        <f t="shared" si="55"/>
        <v>5777026</v>
      </c>
      <c r="AQ30" s="140">
        <f t="shared" si="55"/>
        <v>931</v>
      </c>
      <c r="AR30" s="140">
        <f t="shared" si="55"/>
        <v>1952949</v>
      </c>
      <c r="AS30" s="140">
        <f t="shared" si="55"/>
        <v>115541</v>
      </c>
      <c r="AT30" s="140">
        <f t="shared" si="55"/>
        <v>46170</v>
      </c>
      <c r="AU30" s="141">
        <f t="shared" si="55"/>
        <v>13.8475</v>
      </c>
      <c r="AV30" s="141">
        <f t="shared" si="55"/>
        <v>8.6092999999999993</v>
      </c>
      <c r="AW30" s="142">
        <f t="shared" si="55"/>
        <v>5.2382</v>
      </c>
    </row>
    <row r="31" spans="1:49" ht="14.1" customHeight="1" x14ac:dyDescent="0.2">
      <c r="A31" s="124">
        <v>6</v>
      </c>
      <c r="B31" s="121">
        <v>2407</v>
      </c>
      <c r="C31" s="122">
        <v>600079520</v>
      </c>
      <c r="D31" s="121">
        <v>72741465</v>
      </c>
      <c r="E31" s="123" t="s">
        <v>584</v>
      </c>
      <c r="F31" s="124">
        <v>3111</v>
      </c>
      <c r="G31" s="123" t="s">
        <v>317</v>
      </c>
      <c r="H31" s="125" t="s">
        <v>283</v>
      </c>
      <c r="I31" s="126">
        <f t="shared" si="4"/>
        <v>13702454</v>
      </c>
      <c r="J31" s="127">
        <v>10025224</v>
      </c>
      <c r="K31" s="127">
        <f t="shared" si="5"/>
        <v>3388526</v>
      </c>
      <c r="L31" s="477">
        <f t="shared" si="6"/>
        <v>200504</v>
      </c>
      <c r="M31" s="127">
        <v>88200</v>
      </c>
      <c r="N31" s="390">
        <f t="shared" si="7"/>
        <v>22.901199999999999</v>
      </c>
      <c r="O31" s="390">
        <v>17.451599999999999</v>
      </c>
      <c r="P31" s="439">
        <v>5.4496000000000002</v>
      </c>
      <c r="Q31" s="129">
        <f t="shared" si="8"/>
        <v>0</v>
      </c>
      <c r="R31" s="130">
        <v>0</v>
      </c>
      <c r="S31" s="130">
        <v>0</v>
      </c>
      <c r="T31" s="130">
        <v>0</v>
      </c>
      <c r="U31" s="130">
        <f t="shared" si="9"/>
        <v>0</v>
      </c>
      <c r="V31" s="130">
        <v>0</v>
      </c>
      <c r="W31" s="130">
        <v>0</v>
      </c>
      <c r="X31" s="130">
        <v>0</v>
      </c>
      <c r="Y31" s="130">
        <f t="shared" ref="Y31:Y33" si="56">SUM(V31:X31)</f>
        <v>0</v>
      </c>
      <c r="Z31" s="130">
        <f t="shared" ref="Z31:Z33" si="57">U31+Y31</f>
        <v>0</v>
      </c>
      <c r="AA31" s="131">
        <f t="shared" ref="AA31:AA33" si="58">ROUND((U31+V31+W31)*33.8%,0)</f>
        <v>0</v>
      </c>
      <c r="AB31" s="131">
        <f t="shared" ref="AB31:AB33" si="59">ROUND(U31*2%,0)</f>
        <v>0</v>
      </c>
      <c r="AC31" s="130">
        <v>0</v>
      </c>
      <c r="AD31" s="130">
        <v>0</v>
      </c>
      <c r="AE31" s="130">
        <f t="shared" si="14"/>
        <v>0</v>
      </c>
      <c r="AF31" s="130">
        <f t="shared" si="15"/>
        <v>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f t="shared" si="16"/>
        <v>0</v>
      </c>
      <c r="AM31" s="132">
        <f>AH31+AK31</f>
        <v>0</v>
      </c>
      <c r="AN31" s="403">
        <f t="shared" si="17"/>
        <v>0</v>
      </c>
      <c r="AO31" s="128">
        <f t="shared" si="18"/>
        <v>13702454</v>
      </c>
      <c r="AP31" s="130">
        <f t="shared" si="19"/>
        <v>10025224</v>
      </c>
      <c r="AQ31" s="130">
        <f t="shared" si="20"/>
        <v>0</v>
      </c>
      <c r="AR31" s="130">
        <f t="shared" si="21"/>
        <v>3388526</v>
      </c>
      <c r="AS31" s="130">
        <f t="shared" si="22"/>
        <v>200504</v>
      </c>
      <c r="AT31" s="130">
        <f t="shared" si="23"/>
        <v>88200</v>
      </c>
      <c r="AU31" s="132">
        <f t="shared" si="24"/>
        <v>22.901199999999999</v>
      </c>
      <c r="AV31" s="132">
        <f t="shared" si="25"/>
        <v>17.451599999999999</v>
      </c>
      <c r="AW31" s="133">
        <f t="shared" si="26"/>
        <v>5.4496000000000002</v>
      </c>
    </row>
    <row r="32" spans="1:49" ht="14.1" customHeight="1" x14ac:dyDescent="0.2">
      <c r="A32" s="124">
        <v>6</v>
      </c>
      <c r="B32" s="121">
        <v>2407</v>
      </c>
      <c r="C32" s="122">
        <v>600079520</v>
      </c>
      <c r="D32" s="121">
        <v>72741465</v>
      </c>
      <c r="E32" s="123" t="s">
        <v>584</v>
      </c>
      <c r="F32" s="124">
        <v>3111</v>
      </c>
      <c r="G32" s="143" t="s">
        <v>318</v>
      </c>
      <c r="H32" s="125" t="s">
        <v>284</v>
      </c>
      <c r="I32" s="126">
        <f t="shared" si="4"/>
        <v>0</v>
      </c>
      <c r="J32" s="29">
        <v>0</v>
      </c>
      <c r="K32" s="127">
        <f t="shared" si="5"/>
        <v>0</v>
      </c>
      <c r="L32" s="477">
        <f t="shared" si="6"/>
        <v>0</v>
      </c>
      <c r="M32" s="29">
        <v>0</v>
      </c>
      <c r="N32" s="390">
        <f t="shared" si="7"/>
        <v>0</v>
      </c>
      <c r="O32" s="349">
        <v>0</v>
      </c>
      <c r="P32" s="639">
        <v>0</v>
      </c>
      <c r="Q32" s="129">
        <f t="shared" si="8"/>
        <v>0</v>
      </c>
      <c r="R32" s="130">
        <v>866139</v>
      </c>
      <c r="S32" s="130">
        <v>0</v>
      </c>
      <c r="T32" s="130">
        <v>0</v>
      </c>
      <c r="U32" s="130">
        <f t="shared" si="9"/>
        <v>866139</v>
      </c>
      <c r="V32" s="130">
        <v>0</v>
      </c>
      <c r="W32" s="130">
        <v>0</v>
      </c>
      <c r="X32" s="130">
        <v>0</v>
      </c>
      <c r="Y32" s="130">
        <f t="shared" si="56"/>
        <v>0</v>
      </c>
      <c r="Z32" s="130">
        <f t="shared" si="57"/>
        <v>866139</v>
      </c>
      <c r="AA32" s="131">
        <f t="shared" si="58"/>
        <v>292755</v>
      </c>
      <c r="AB32" s="131">
        <f t="shared" si="59"/>
        <v>17323</v>
      </c>
      <c r="AC32" s="130">
        <v>0</v>
      </c>
      <c r="AD32" s="130">
        <v>0</v>
      </c>
      <c r="AE32" s="130">
        <f t="shared" si="14"/>
        <v>0</v>
      </c>
      <c r="AF32" s="130">
        <f t="shared" si="15"/>
        <v>1176217</v>
      </c>
      <c r="AG32" s="132">
        <v>0</v>
      </c>
      <c r="AH32" s="132">
        <v>0</v>
      </c>
      <c r="AI32" s="132">
        <v>2.63</v>
      </c>
      <c r="AJ32" s="132">
        <v>0</v>
      </c>
      <c r="AK32" s="132">
        <v>0</v>
      </c>
      <c r="AL32" s="132">
        <f t="shared" si="16"/>
        <v>2.63</v>
      </c>
      <c r="AM32" s="132">
        <f>AH32+AK32</f>
        <v>0</v>
      </c>
      <c r="AN32" s="403">
        <f t="shared" si="17"/>
        <v>2.63</v>
      </c>
      <c r="AO32" s="128">
        <f t="shared" si="18"/>
        <v>1176217</v>
      </c>
      <c r="AP32" s="130">
        <f t="shared" si="19"/>
        <v>866139</v>
      </c>
      <c r="AQ32" s="130">
        <f t="shared" si="20"/>
        <v>0</v>
      </c>
      <c r="AR32" s="130">
        <f t="shared" si="21"/>
        <v>292755</v>
      </c>
      <c r="AS32" s="130">
        <f t="shared" si="22"/>
        <v>17323</v>
      </c>
      <c r="AT32" s="130">
        <f t="shared" si="23"/>
        <v>0</v>
      </c>
      <c r="AU32" s="132">
        <f t="shared" si="24"/>
        <v>2.63</v>
      </c>
      <c r="AV32" s="132">
        <f t="shared" si="25"/>
        <v>2.63</v>
      </c>
      <c r="AW32" s="133">
        <f t="shared" si="26"/>
        <v>0</v>
      </c>
    </row>
    <row r="33" spans="1:49" ht="14.1" customHeight="1" x14ac:dyDescent="0.2">
      <c r="A33" s="124">
        <v>6</v>
      </c>
      <c r="B33" s="121">
        <v>2407</v>
      </c>
      <c r="C33" s="122">
        <v>600079520</v>
      </c>
      <c r="D33" s="121">
        <v>72741465</v>
      </c>
      <c r="E33" s="123" t="s">
        <v>584</v>
      </c>
      <c r="F33" s="124">
        <v>3141</v>
      </c>
      <c r="G33" s="123" t="s">
        <v>321</v>
      </c>
      <c r="H33" s="125" t="s">
        <v>284</v>
      </c>
      <c r="I33" s="126">
        <f t="shared" si="4"/>
        <v>1854964</v>
      </c>
      <c r="J33" s="666">
        <v>1357539</v>
      </c>
      <c r="K33" s="127">
        <f t="shared" si="5"/>
        <v>458848</v>
      </c>
      <c r="L33" s="477">
        <f t="shared" si="6"/>
        <v>27151</v>
      </c>
      <c r="M33" s="666">
        <v>11426</v>
      </c>
      <c r="N33" s="390">
        <f t="shared" si="7"/>
        <v>4.62</v>
      </c>
      <c r="O33" s="668">
        <v>0</v>
      </c>
      <c r="P33" s="667">
        <v>4.62</v>
      </c>
      <c r="Q33" s="129">
        <f t="shared" si="8"/>
        <v>-2112</v>
      </c>
      <c r="R33" s="130">
        <v>0</v>
      </c>
      <c r="S33" s="130">
        <v>0</v>
      </c>
      <c r="T33" s="130">
        <v>0</v>
      </c>
      <c r="U33" s="130">
        <f t="shared" si="9"/>
        <v>-2112</v>
      </c>
      <c r="V33" s="130">
        <v>2112</v>
      </c>
      <c r="W33" s="130">
        <v>0</v>
      </c>
      <c r="X33" s="130">
        <v>0</v>
      </c>
      <c r="Y33" s="130">
        <f t="shared" si="56"/>
        <v>2112</v>
      </c>
      <c r="Z33" s="130">
        <f t="shared" si="57"/>
        <v>0</v>
      </c>
      <c r="AA33" s="131">
        <f t="shared" si="58"/>
        <v>0</v>
      </c>
      <c r="AB33" s="131">
        <f t="shared" si="59"/>
        <v>-42</v>
      </c>
      <c r="AC33" s="130">
        <v>0</v>
      </c>
      <c r="AD33" s="130">
        <v>0</v>
      </c>
      <c r="AE33" s="130">
        <f t="shared" si="14"/>
        <v>0</v>
      </c>
      <c r="AF33" s="130">
        <f t="shared" si="15"/>
        <v>-42</v>
      </c>
      <c r="AG33" s="132">
        <v>0</v>
      </c>
      <c r="AH33" s="132">
        <v>-0.01</v>
      </c>
      <c r="AI33" s="132">
        <v>0</v>
      </c>
      <c r="AJ33" s="132">
        <v>0</v>
      </c>
      <c r="AK33" s="132">
        <v>0</v>
      </c>
      <c r="AL33" s="132">
        <f t="shared" si="16"/>
        <v>0</v>
      </c>
      <c r="AM33" s="132">
        <f>AH33+AK33</f>
        <v>-0.01</v>
      </c>
      <c r="AN33" s="403">
        <f t="shared" si="17"/>
        <v>-0.01</v>
      </c>
      <c r="AO33" s="128">
        <f t="shared" si="18"/>
        <v>1854922</v>
      </c>
      <c r="AP33" s="130">
        <f t="shared" si="19"/>
        <v>1355427</v>
      </c>
      <c r="AQ33" s="130">
        <f t="shared" si="20"/>
        <v>2112</v>
      </c>
      <c r="AR33" s="130">
        <f t="shared" si="21"/>
        <v>458848</v>
      </c>
      <c r="AS33" s="130">
        <f t="shared" si="22"/>
        <v>27109</v>
      </c>
      <c r="AT33" s="130">
        <f t="shared" si="23"/>
        <v>11426</v>
      </c>
      <c r="AU33" s="132">
        <f t="shared" si="24"/>
        <v>4.6100000000000003</v>
      </c>
      <c r="AV33" s="132">
        <f t="shared" si="25"/>
        <v>0</v>
      </c>
      <c r="AW33" s="133">
        <f t="shared" si="26"/>
        <v>4.6100000000000003</v>
      </c>
    </row>
    <row r="34" spans="1:49" ht="14.1" customHeight="1" x14ac:dyDescent="0.2">
      <c r="A34" s="137">
        <v>6</v>
      </c>
      <c r="B34" s="134">
        <v>2407</v>
      </c>
      <c r="C34" s="135">
        <v>600079520</v>
      </c>
      <c r="D34" s="134">
        <v>72741465</v>
      </c>
      <c r="E34" s="136" t="s">
        <v>585</v>
      </c>
      <c r="F34" s="137"/>
      <c r="G34" s="136"/>
      <c r="H34" s="138"/>
      <c r="I34" s="139">
        <f t="shared" ref="I34:P34" si="60">SUM(I31:I33)</f>
        <v>15557418</v>
      </c>
      <c r="J34" s="140">
        <f t="shared" si="60"/>
        <v>11382763</v>
      </c>
      <c r="K34" s="140">
        <f t="shared" si="60"/>
        <v>3847374</v>
      </c>
      <c r="L34" s="140">
        <f t="shared" si="60"/>
        <v>227655</v>
      </c>
      <c r="M34" s="140">
        <f t="shared" si="60"/>
        <v>99626</v>
      </c>
      <c r="N34" s="141">
        <f t="shared" si="60"/>
        <v>27.5212</v>
      </c>
      <c r="O34" s="141">
        <f t="shared" si="60"/>
        <v>17.451599999999999</v>
      </c>
      <c r="P34" s="142">
        <f t="shared" si="60"/>
        <v>10.069600000000001</v>
      </c>
      <c r="Q34" s="342">
        <f t="shared" ref="Q34:AW34" si="61">SUM(Q31:Q33)</f>
        <v>-2112</v>
      </c>
      <c r="R34" s="140">
        <f t="shared" si="61"/>
        <v>866139</v>
      </c>
      <c r="S34" s="140">
        <f t="shared" si="61"/>
        <v>0</v>
      </c>
      <c r="T34" s="140">
        <f t="shared" si="61"/>
        <v>0</v>
      </c>
      <c r="U34" s="140">
        <f t="shared" si="61"/>
        <v>864027</v>
      </c>
      <c r="V34" s="140">
        <f t="shared" si="61"/>
        <v>2112</v>
      </c>
      <c r="W34" s="140">
        <f t="shared" si="61"/>
        <v>0</v>
      </c>
      <c r="X34" s="140">
        <f t="shared" si="61"/>
        <v>0</v>
      </c>
      <c r="Y34" s="140">
        <f t="shared" si="61"/>
        <v>2112</v>
      </c>
      <c r="Z34" s="140">
        <f t="shared" si="61"/>
        <v>866139</v>
      </c>
      <c r="AA34" s="140">
        <f t="shared" si="61"/>
        <v>292755</v>
      </c>
      <c r="AB34" s="140">
        <f t="shared" si="61"/>
        <v>17281</v>
      </c>
      <c r="AC34" s="140">
        <f t="shared" si="61"/>
        <v>0</v>
      </c>
      <c r="AD34" s="140">
        <f t="shared" si="61"/>
        <v>0</v>
      </c>
      <c r="AE34" s="140">
        <f t="shared" si="61"/>
        <v>0</v>
      </c>
      <c r="AF34" s="140">
        <f t="shared" si="61"/>
        <v>1176175</v>
      </c>
      <c r="AG34" s="141">
        <f t="shared" si="61"/>
        <v>0</v>
      </c>
      <c r="AH34" s="141">
        <f t="shared" si="61"/>
        <v>-0.01</v>
      </c>
      <c r="AI34" s="141">
        <f t="shared" si="61"/>
        <v>2.63</v>
      </c>
      <c r="AJ34" s="141">
        <f t="shared" si="61"/>
        <v>0</v>
      </c>
      <c r="AK34" s="141">
        <f t="shared" si="61"/>
        <v>0</v>
      </c>
      <c r="AL34" s="141">
        <f t="shared" si="61"/>
        <v>2.63</v>
      </c>
      <c r="AM34" s="141">
        <f t="shared" si="61"/>
        <v>-0.01</v>
      </c>
      <c r="AN34" s="635">
        <f t="shared" si="61"/>
        <v>2.62</v>
      </c>
      <c r="AO34" s="139">
        <f t="shared" si="61"/>
        <v>16733593</v>
      </c>
      <c r="AP34" s="140">
        <f t="shared" si="61"/>
        <v>12246790</v>
      </c>
      <c r="AQ34" s="140">
        <f t="shared" si="61"/>
        <v>2112</v>
      </c>
      <c r="AR34" s="140">
        <f t="shared" si="61"/>
        <v>4140129</v>
      </c>
      <c r="AS34" s="140">
        <f t="shared" si="61"/>
        <v>244936</v>
      </c>
      <c r="AT34" s="140">
        <f t="shared" si="61"/>
        <v>99626</v>
      </c>
      <c r="AU34" s="141">
        <f t="shared" si="61"/>
        <v>30.141199999999998</v>
      </c>
      <c r="AV34" s="141">
        <f t="shared" si="61"/>
        <v>20.081599999999998</v>
      </c>
      <c r="AW34" s="142">
        <f t="shared" si="61"/>
        <v>10.0596</v>
      </c>
    </row>
    <row r="35" spans="1:49" ht="14.1" customHeight="1" x14ac:dyDescent="0.2">
      <c r="A35" s="124">
        <v>7</v>
      </c>
      <c r="B35" s="121">
        <v>2422</v>
      </c>
      <c r="C35" s="122">
        <v>600079082</v>
      </c>
      <c r="D35" s="121">
        <v>72742585</v>
      </c>
      <c r="E35" s="123" t="s">
        <v>586</v>
      </c>
      <c r="F35" s="124">
        <v>3111</v>
      </c>
      <c r="G35" s="123" t="s">
        <v>317</v>
      </c>
      <c r="H35" s="125" t="s">
        <v>283</v>
      </c>
      <c r="I35" s="126">
        <f t="shared" si="4"/>
        <v>8466934</v>
      </c>
      <c r="J35" s="127">
        <v>6197742</v>
      </c>
      <c r="K35" s="127">
        <f t="shared" si="5"/>
        <v>2094837</v>
      </c>
      <c r="L35" s="477">
        <f t="shared" si="6"/>
        <v>123955</v>
      </c>
      <c r="M35" s="127">
        <v>50400</v>
      </c>
      <c r="N35" s="390">
        <f t="shared" si="7"/>
        <v>14.358699999999999</v>
      </c>
      <c r="O35" s="390">
        <v>10.8065</v>
      </c>
      <c r="P35" s="439">
        <v>3.5522</v>
      </c>
      <c r="Q35" s="129">
        <f t="shared" si="8"/>
        <v>-37600</v>
      </c>
      <c r="R35" s="130">
        <v>0</v>
      </c>
      <c r="S35" s="130">
        <v>0</v>
      </c>
      <c r="T35" s="130">
        <v>0</v>
      </c>
      <c r="U35" s="130">
        <f t="shared" si="9"/>
        <v>-37600</v>
      </c>
      <c r="V35" s="130">
        <v>37600</v>
      </c>
      <c r="W35" s="130">
        <v>0</v>
      </c>
      <c r="X35" s="130">
        <v>0</v>
      </c>
      <c r="Y35" s="130">
        <f t="shared" ref="Y35:Y37" si="62">SUM(V35:X35)</f>
        <v>37600</v>
      </c>
      <c r="Z35" s="130">
        <f t="shared" ref="Z35:Z37" si="63">U35+Y35</f>
        <v>0</v>
      </c>
      <c r="AA35" s="131">
        <f t="shared" ref="AA35:AA37" si="64">ROUND((U35+V35+W35)*33.8%,0)</f>
        <v>0</v>
      </c>
      <c r="AB35" s="131">
        <f t="shared" ref="AB35:AB37" si="65">ROUND(U35*2%,0)</f>
        <v>-752</v>
      </c>
      <c r="AC35" s="130">
        <v>0</v>
      </c>
      <c r="AD35" s="130">
        <v>0</v>
      </c>
      <c r="AE35" s="130">
        <f t="shared" si="14"/>
        <v>0</v>
      </c>
      <c r="AF35" s="130">
        <f t="shared" si="15"/>
        <v>-752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f t="shared" si="16"/>
        <v>0</v>
      </c>
      <c r="AM35" s="132">
        <f>AH35+AK35</f>
        <v>0</v>
      </c>
      <c r="AN35" s="403">
        <f t="shared" si="17"/>
        <v>0</v>
      </c>
      <c r="AO35" s="128">
        <f t="shared" si="18"/>
        <v>8466182</v>
      </c>
      <c r="AP35" s="130">
        <f t="shared" si="19"/>
        <v>6160142</v>
      </c>
      <c r="AQ35" s="130">
        <f t="shared" si="20"/>
        <v>37600</v>
      </c>
      <c r="AR35" s="130">
        <f t="shared" si="21"/>
        <v>2094837</v>
      </c>
      <c r="AS35" s="130">
        <f t="shared" si="22"/>
        <v>123203</v>
      </c>
      <c r="AT35" s="130">
        <f t="shared" si="23"/>
        <v>50400</v>
      </c>
      <c r="AU35" s="132">
        <f t="shared" si="24"/>
        <v>14.358699999999999</v>
      </c>
      <c r="AV35" s="132">
        <f t="shared" si="25"/>
        <v>10.8065</v>
      </c>
      <c r="AW35" s="133">
        <f t="shared" si="26"/>
        <v>3.5522</v>
      </c>
    </row>
    <row r="36" spans="1:49" ht="14.1" customHeight="1" x14ac:dyDescent="0.2">
      <c r="A36" s="124">
        <v>7</v>
      </c>
      <c r="B36" s="121">
        <v>2422</v>
      </c>
      <c r="C36" s="122">
        <v>600079082</v>
      </c>
      <c r="D36" s="121">
        <v>72742585</v>
      </c>
      <c r="E36" s="123" t="s">
        <v>586</v>
      </c>
      <c r="F36" s="124">
        <v>3111</v>
      </c>
      <c r="G36" s="143" t="s">
        <v>318</v>
      </c>
      <c r="H36" s="125" t="s">
        <v>284</v>
      </c>
      <c r="I36" s="126">
        <f t="shared" si="4"/>
        <v>0</v>
      </c>
      <c r="J36" s="29">
        <v>0</v>
      </c>
      <c r="K36" s="127">
        <f t="shared" si="5"/>
        <v>0</v>
      </c>
      <c r="L36" s="477">
        <f t="shared" si="6"/>
        <v>0</v>
      </c>
      <c r="M36" s="29">
        <v>0</v>
      </c>
      <c r="N36" s="390">
        <f t="shared" si="7"/>
        <v>0</v>
      </c>
      <c r="O36" s="349">
        <v>0</v>
      </c>
      <c r="P36" s="639">
        <v>0</v>
      </c>
      <c r="Q36" s="129">
        <f t="shared" si="8"/>
        <v>0</v>
      </c>
      <c r="R36" s="130">
        <v>259833</v>
      </c>
      <c r="S36" s="130">
        <v>0</v>
      </c>
      <c r="T36" s="130">
        <v>0</v>
      </c>
      <c r="U36" s="130">
        <f t="shared" si="9"/>
        <v>259833</v>
      </c>
      <c r="V36" s="130">
        <v>0</v>
      </c>
      <c r="W36" s="130">
        <v>0</v>
      </c>
      <c r="X36" s="130">
        <v>0</v>
      </c>
      <c r="Y36" s="130">
        <f t="shared" ref="Y36" si="66">SUM(V36:X36)</f>
        <v>0</v>
      </c>
      <c r="Z36" s="130">
        <f t="shared" ref="Z36" si="67">U36+Y36</f>
        <v>259833</v>
      </c>
      <c r="AA36" s="131">
        <f t="shared" ref="AA36" si="68">ROUND((U36+V36+W36)*33.8%,0)</f>
        <v>87824</v>
      </c>
      <c r="AB36" s="131">
        <f t="shared" ref="AB36" si="69">ROUND(U36*2%,0)</f>
        <v>5197</v>
      </c>
      <c r="AC36" s="130">
        <v>0</v>
      </c>
      <c r="AD36" s="130">
        <v>0</v>
      </c>
      <c r="AE36" s="130">
        <f t="shared" ref="AE36" si="70">SUM(AC36:AD36)</f>
        <v>0</v>
      </c>
      <c r="AF36" s="130">
        <f t="shared" ref="AF36" si="71">Z36+AA36+AB36+AE36</f>
        <v>352854</v>
      </c>
      <c r="AG36" s="132">
        <v>0</v>
      </c>
      <c r="AH36" s="132">
        <v>0</v>
      </c>
      <c r="AI36" s="132">
        <v>0.75</v>
      </c>
      <c r="AJ36" s="132">
        <v>0</v>
      </c>
      <c r="AK36" s="132">
        <v>0</v>
      </c>
      <c r="AL36" s="132">
        <f t="shared" ref="AL36" si="72">AG36+AI36+AJ36</f>
        <v>0.75</v>
      </c>
      <c r="AM36" s="132">
        <f>AH36+AK36</f>
        <v>0</v>
      </c>
      <c r="AN36" s="403">
        <f t="shared" ref="AN36" si="73">SUM(AL36:AM36)</f>
        <v>0.75</v>
      </c>
      <c r="AO36" s="128">
        <f t="shared" si="18"/>
        <v>352854</v>
      </c>
      <c r="AP36" s="130">
        <f t="shared" si="19"/>
        <v>259833</v>
      </c>
      <c r="AQ36" s="130">
        <f t="shared" si="20"/>
        <v>0</v>
      </c>
      <c r="AR36" s="130">
        <f t="shared" si="21"/>
        <v>87824</v>
      </c>
      <c r="AS36" s="130">
        <f t="shared" si="22"/>
        <v>5197</v>
      </c>
      <c r="AT36" s="130">
        <f t="shared" si="23"/>
        <v>0</v>
      </c>
      <c r="AU36" s="132">
        <f t="shared" si="24"/>
        <v>0.75</v>
      </c>
      <c r="AV36" s="132">
        <f t="shared" si="25"/>
        <v>0.75</v>
      </c>
      <c r="AW36" s="133">
        <f t="shared" si="26"/>
        <v>0</v>
      </c>
    </row>
    <row r="37" spans="1:49" ht="14.1" customHeight="1" x14ac:dyDescent="0.2">
      <c r="A37" s="124">
        <v>7</v>
      </c>
      <c r="B37" s="121">
        <v>2422</v>
      </c>
      <c r="C37" s="122">
        <v>600079082</v>
      </c>
      <c r="D37" s="121">
        <v>72742585</v>
      </c>
      <c r="E37" s="123" t="s">
        <v>586</v>
      </c>
      <c r="F37" s="124">
        <v>3141</v>
      </c>
      <c r="G37" s="123" t="s">
        <v>321</v>
      </c>
      <c r="H37" s="125" t="s">
        <v>284</v>
      </c>
      <c r="I37" s="126">
        <f t="shared" si="4"/>
        <v>1114223</v>
      </c>
      <c r="J37" s="666">
        <v>815705</v>
      </c>
      <c r="K37" s="127">
        <f t="shared" si="5"/>
        <v>275708</v>
      </c>
      <c r="L37" s="477">
        <f t="shared" si="6"/>
        <v>16314</v>
      </c>
      <c r="M37" s="666">
        <v>6496</v>
      </c>
      <c r="N37" s="390">
        <f t="shared" si="7"/>
        <v>2.77</v>
      </c>
      <c r="O37" s="668">
        <v>0</v>
      </c>
      <c r="P37" s="667">
        <v>2.77</v>
      </c>
      <c r="Q37" s="129">
        <f t="shared" si="8"/>
        <v>-2016</v>
      </c>
      <c r="R37" s="130">
        <v>0</v>
      </c>
      <c r="S37" s="130">
        <v>0</v>
      </c>
      <c r="T37" s="130">
        <v>0</v>
      </c>
      <c r="U37" s="130">
        <f t="shared" si="9"/>
        <v>-2016</v>
      </c>
      <c r="V37" s="130">
        <v>2016</v>
      </c>
      <c r="W37" s="130">
        <v>0</v>
      </c>
      <c r="X37" s="130">
        <v>0</v>
      </c>
      <c r="Y37" s="130">
        <f t="shared" si="62"/>
        <v>2016</v>
      </c>
      <c r="Z37" s="130">
        <f t="shared" si="63"/>
        <v>0</v>
      </c>
      <c r="AA37" s="131">
        <f t="shared" si="64"/>
        <v>0</v>
      </c>
      <c r="AB37" s="131">
        <f t="shared" si="65"/>
        <v>-40</v>
      </c>
      <c r="AC37" s="130">
        <v>0</v>
      </c>
      <c r="AD37" s="130">
        <v>0</v>
      </c>
      <c r="AE37" s="130">
        <f t="shared" si="14"/>
        <v>0</v>
      </c>
      <c r="AF37" s="130">
        <f t="shared" si="15"/>
        <v>-40</v>
      </c>
      <c r="AG37" s="132">
        <v>0</v>
      </c>
      <c r="AH37" s="132">
        <v>-0.01</v>
      </c>
      <c r="AI37" s="132">
        <v>0</v>
      </c>
      <c r="AJ37" s="132">
        <v>0</v>
      </c>
      <c r="AK37" s="132">
        <v>0</v>
      </c>
      <c r="AL37" s="132">
        <f t="shared" si="16"/>
        <v>0</v>
      </c>
      <c r="AM37" s="132">
        <f>AH37+AK37</f>
        <v>-0.01</v>
      </c>
      <c r="AN37" s="403">
        <f t="shared" si="17"/>
        <v>-0.01</v>
      </c>
      <c r="AO37" s="128">
        <f t="shared" si="18"/>
        <v>1114183</v>
      </c>
      <c r="AP37" s="130">
        <f t="shared" si="19"/>
        <v>813689</v>
      </c>
      <c r="AQ37" s="130">
        <f t="shared" si="20"/>
        <v>2016</v>
      </c>
      <c r="AR37" s="130">
        <f t="shared" si="21"/>
        <v>275708</v>
      </c>
      <c r="AS37" s="130">
        <f t="shared" si="22"/>
        <v>16274</v>
      </c>
      <c r="AT37" s="130">
        <f t="shared" si="23"/>
        <v>6496</v>
      </c>
      <c r="AU37" s="132">
        <f t="shared" si="24"/>
        <v>2.7600000000000002</v>
      </c>
      <c r="AV37" s="132">
        <f t="shared" si="25"/>
        <v>0</v>
      </c>
      <c r="AW37" s="133">
        <f t="shared" si="26"/>
        <v>2.7600000000000002</v>
      </c>
    </row>
    <row r="38" spans="1:49" ht="14.1" customHeight="1" x14ac:dyDescent="0.2">
      <c r="A38" s="137">
        <v>7</v>
      </c>
      <c r="B38" s="134">
        <v>2422</v>
      </c>
      <c r="C38" s="135">
        <v>600079082</v>
      </c>
      <c r="D38" s="134">
        <v>72742585</v>
      </c>
      <c r="E38" s="136" t="s">
        <v>587</v>
      </c>
      <c r="F38" s="137"/>
      <c r="G38" s="136"/>
      <c r="H38" s="138"/>
      <c r="I38" s="139">
        <f t="shared" ref="I38:P38" si="74">SUM(I35:I37)</f>
        <v>9581157</v>
      </c>
      <c r="J38" s="140">
        <f t="shared" si="74"/>
        <v>7013447</v>
      </c>
      <c r="K38" s="140">
        <f t="shared" si="74"/>
        <v>2370545</v>
      </c>
      <c r="L38" s="140">
        <f t="shared" si="74"/>
        <v>140269</v>
      </c>
      <c r="M38" s="140">
        <f t="shared" si="74"/>
        <v>56896</v>
      </c>
      <c r="N38" s="141">
        <f t="shared" si="74"/>
        <v>17.128699999999998</v>
      </c>
      <c r="O38" s="141">
        <f t="shared" si="74"/>
        <v>10.8065</v>
      </c>
      <c r="P38" s="142">
        <f t="shared" si="74"/>
        <v>6.3222000000000005</v>
      </c>
      <c r="Q38" s="342">
        <f t="shared" ref="Q38:AW38" si="75">SUM(Q35:Q37)</f>
        <v>-39616</v>
      </c>
      <c r="R38" s="140">
        <f t="shared" si="75"/>
        <v>259833</v>
      </c>
      <c r="S38" s="140">
        <f t="shared" si="75"/>
        <v>0</v>
      </c>
      <c r="T38" s="140">
        <f t="shared" si="75"/>
        <v>0</v>
      </c>
      <c r="U38" s="140">
        <f t="shared" si="75"/>
        <v>220217</v>
      </c>
      <c r="V38" s="140">
        <f t="shared" si="75"/>
        <v>39616</v>
      </c>
      <c r="W38" s="140">
        <f t="shared" si="75"/>
        <v>0</v>
      </c>
      <c r="X38" s="140">
        <f t="shared" si="75"/>
        <v>0</v>
      </c>
      <c r="Y38" s="140">
        <f t="shared" si="75"/>
        <v>39616</v>
      </c>
      <c r="Z38" s="140">
        <f t="shared" si="75"/>
        <v>259833</v>
      </c>
      <c r="AA38" s="140">
        <f t="shared" si="75"/>
        <v>87824</v>
      </c>
      <c r="AB38" s="140">
        <f t="shared" si="75"/>
        <v>4405</v>
      </c>
      <c r="AC38" s="140">
        <f t="shared" si="75"/>
        <v>0</v>
      </c>
      <c r="AD38" s="140">
        <f t="shared" si="75"/>
        <v>0</v>
      </c>
      <c r="AE38" s="140">
        <f t="shared" si="75"/>
        <v>0</v>
      </c>
      <c r="AF38" s="140">
        <f t="shared" si="75"/>
        <v>352062</v>
      </c>
      <c r="AG38" s="141">
        <f t="shared" si="75"/>
        <v>0</v>
      </c>
      <c r="AH38" s="141">
        <f t="shared" si="75"/>
        <v>-0.01</v>
      </c>
      <c r="AI38" s="141">
        <f t="shared" si="75"/>
        <v>0.75</v>
      </c>
      <c r="AJ38" s="141">
        <f t="shared" si="75"/>
        <v>0</v>
      </c>
      <c r="AK38" s="141">
        <f t="shared" si="75"/>
        <v>0</v>
      </c>
      <c r="AL38" s="141">
        <f t="shared" si="75"/>
        <v>0.75</v>
      </c>
      <c r="AM38" s="141">
        <f t="shared" si="75"/>
        <v>-0.01</v>
      </c>
      <c r="AN38" s="635">
        <f t="shared" si="75"/>
        <v>0.74</v>
      </c>
      <c r="AO38" s="139">
        <f t="shared" si="75"/>
        <v>9933219</v>
      </c>
      <c r="AP38" s="140">
        <f t="shared" si="75"/>
        <v>7233664</v>
      </c>
      <c r="AQ38" s="140">
        <f t="shared" si="75"/>
        <v>39616</v>
      </c>
      <c r="AR38" s="140">
        <f t="shared" si="75"/>
        <v>2458369</v>
      </c>
      <c r="AS38" s="140">
        <f t="shared" si="75"/>
        <v>144674</v>
      </c>
      <c r="AT38" s="140">
        <f t="shared" si="75"/>
        <v>56896</v>
      </c>
      <c r="AU38" s="141">
        <f t="shared" si="75"/>
        <v>17.8687</v>
      </c>
      <c r="AV38" s="141">
        <f t="shared" si="75"/>
        <v>11.5565</v>
      </c>
      <c r="AW38" s="142">
        <f t="shared" si="75"/>
        <v>6.3122000000000007</v>
      </c>
    </row>
    <row r="39" spans="1:49" ht="14.1" customHeight="1" x14ac:dyDescent="0.2">
      <c r="A39" s="124">
        <v>8</v>
      </c>
      <c r="B39" s="121">
        <v>2427</v>
      </c>
      <c r="C39" s="122">
        <v>600079091</v>
      </c>
      <c r="D39" s="121">
        <v>72741627</v>
      </c>
      <c r="E39" s="123" t="s">
        <v>588</v>
      </c>
      <c r="F39" s="124">
        <v>3111</v>
      </c>
      <c r="G39" s="123" t="s">
        <v>317</v>
      </c>
      <c r="H39" s="125" t="s">
        <v>283</v>
      </c>
      <c r="I39" s="126">
        <f t="shared" si="4"/>
        <v>4993223</v>
      </c>
      <c r="J39" s="127">
        <v>3655356</v>
      </c>
      <c r="K39" s="127">
        <f t="shared" si="5"/>
        <v>1235510</v>
      </c>
      <c r="L39" s="477">
        <f t="shared" si="6"/>
        <v>73107</v>
      </c>
      <c r="M39" s="127">
        <v>29250</v>
      </c>
      <c r="N39" s="390">
        <f t="shared" si="7"/>
        <v>8.3759999999999994</v>
      </c>
      <c r="O39" s="390">
        <v>6.2417999999999996</v>
      </c>
      <c r="P39" s="439">
        <v>2.1341999999999999</v>
      </c>
      <c r="Q39" s="129">
        <f t="shared" si="8"/>
        <v>0</v>
      </c>
      <c r="R39" s="130">
        <v>0</v>
      </c>
      <c r="S39" s="130">
        <v>0</v>
      </c>
      <c r="T39" s="130">
        <v>0</v>
      </c>
      <c r="U39" s="130">
        <f t="shared" si="9"/>
        <v>0</v>
      </c>
      <c r="V39" s="130">
        <v>0</v>
      </c>
      <c r="W39" s="130">
        <v>0</v>
      </c>
      <c r="X39" s="130">
        <v>0</v>
      </c>
      <c r="Y39" s="130">
        <f t="shared" ref="Y39:Y40" si="76">SUM(V39:X39)</f>
        <v>0</v>
      </c>
      <c r="Z39" s="130">
        <f t="shared" ref="Z39:Z40" si="77">U39+Y39</f>
        <v>0</v>
      </c>
      <c r="AA39" s="131">
        <f t="shared" ref="AA39:AA40" si="78">ROUND((U39+V39+W39)*33.8%,0)</f>
        <v>0</v>
      </c>
      <c r="AB39" s="131">
        <f t="shared" ref="AB39:AB40" si="79">ROUND(U39*2%,0)</f>
        <v>0</v>
      </c>
      <c r="AC39" s="130">
        <v>0</v>
      </c>
      <c r="AD39" s="130">
        <v>0</v>
      </c>
      <c r="AE39" s="130">
        <f t="shared" si="14"/>
        <v>0</v>
      </c>
      <c r="AF39" s="130">
        <f t="shared" si="15"/>
        <v>0</v>
      </c>
      <c r="AG39" s="132">
        <v>0</v>
      </c>
      <c r="AH39" s="132">
        <v>0</v>
      </c>
      <c r="AI39" s="132">
        <v>0</v>
      </c>
      <c r="AJ39" s="132">
        <v>0</v>
      </c>
      <c r="AK39" s="132">
        <v>0</v>
      </c>
      <c r="AL39" s="132">
        <f t="shared" si="16"/>
        <v>0</v>
      </c>
      <c r="AM39" s="132">
        <f>AH39+AK39</f>
        <v>0</v>
      </c>
      <c r="AN39" s="403">
        <f t="shared" si="17"/>
        <v>0</v>
      </c>
      <c r="AO39" s="128">
        <f t="shared" si="18"/>
        <v>4993223</v>
      </c>
      <c r="AP39" s="130">
        <f t="shared" si="19"/>
        <v>3655356</v>
      </c>
      <c r="AQ39" s="130">
        <f t="shared" si="20"/>
        <v>0</v>
      </c>
      <c r="AR39" s="130">
        <f t="shared" si="21"/>
        <v>1235510</v>
      </c>
      <c r="AS39" s="130">
        <f t="shared" si="22"/>
        <v>73107</v>
      </c>
      <c r="AT39" s="130">
        <f t="shared" si="23"/>
        <v>29250</v>
      </c>
      <c r="AU39" s="132">
        <f t="shared" si="24"/>
        <v>8.3759999999999994</v>
      </c>
      <c r="AV39" s="132">
        <f t="shared" si="25"/>
        <v>6.2417999999999996</v>
      </c>
      <c r="AW39" s="133">
        <f t="shared" si="26"/>
        <v>2.1341999999999999</v>
      </c>
    </row>
    <row r="40" spans="1:49" ht="14.1" customHeight="1" x14ac:dyDescent="0.2">
      <c r="A40" s="124">
        <v>8</v>
      </c>
      <c r="B40" s="121">
        <v>2427</v>
      </c>
      <c r="C40" s="122">
        <v>600079091</v>
      </c>
      <c r="D40" s="121">
        <v>72741627</v>
      </c>
      <c r="E40" s="123" t="s">
        <v>588</v>
      </c>
      <c r="F40" s="124">
        <v>3141</v>
      </c>
      <c r="G40" s="123" t="s">
        <v>321</v>
      </c>
      <c r="H40" s="125" t="s">
        <v>284</v>
      </c>
      <c r="I40" s="126">
        <f t="shared" si="4"/>
        <v>295708</v>
      </c>
      <c r="J40" s="666">
        <v>216018</v>
      </c>
      <c r="K40" s="127">
        <f t="shared" si="5"/>
        <v>73014</v>
      </c>
      <c r="L40" s="477">
        <f t="shared" si="6"/>
        <v>4320</v>
      </c>
      <c r="M40" s="666">
        <v>2356</v>
      </c>
      <c r="N40" s="390">
        <f t="shared" si="7"/>
        <v>0.73</v>
      </c>
      <c r="O40" s="668">
        <v>0</v>
      </c>
      <c r="P40" s="667">
        <v>0.73</v>
      </c>
      <c r="Q40" s="129">
        <f t="shared" si="8"/>
        <v>0</v>
      </c>
      <c r="R40" s="130">
        <v>0</v>
      </c>
      <c r="S40" s="130">
        <v>0</v>
      </c>
      <c r="T40" s="130">
        <v>0</v>
      </c>
      <c r="U40" s="130">
        <f t="shared" si="9"/>
        <v>0</v>
      </c>
      <c r="V40" s="130">
        <v>0</v>
      </c>
      <c r="W40" s="130">
        <v>0</v>
      </c>
      <c r="X40" s="130">
        <v>0</v>
      </c>
      <c r="Y40" s="130">
        <f t="shared" si="76"/>
        <v>0</v>
      </c>
      <c r="Z40" s="130">
        <f t="shared" si="77"/>
        <v>0</v>
      </c>
      <c r="AA40" s="131">
        <f t="shared" si="78"/>
        <v>0</v>
      </c>
      <c r="AB40" s="131">
        <f t="shared" si="79"/>
        <v>0</v>
      </c>
      <c r="AC40" s="130">
        <v>0</v>
      </c>
      <c r="AD40" s="130">
        <v>0</v>
      </c>
      <c r="AE40" s="130">
        <f t="shared" si="14"/>
        <v>0</v>
      </c>
      <c r="AF40" s="130">
        <f t="shared" si="15"/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f t="shared" si="16"/>
        <v>0</v>
      </c>
      <c r="AM40" s="132">
        <f>AH40+AK40</f>
        <v>0</v>
      </c>
      <c r="AN40" s="403">
        <f t="shared" si="17"/>
        <v>0</v>
      </c>
      <c r="AO40" s="128">
        <f t="shared" si="18"/>
        <v>295708</v>
      </c>
      <c r="AP40" s="130">
        <f t="shared" si="19"/>
        <v>216018</v>
      </c>
      <c r="AQ40" s="130">
        <f t="shared" si="20"/>
        <v>0</v>
      </c>
      <c r="AR40" s="130">
        <f t="shared" si="21"/>
        <v>73014</v>
      </c>
      <c r="AS40" s="130">
        <f t="shared" si="22"/>
        <v>4320</v>
      </c>
      <c r="AT40" s="130">
        <f t="shared" si="23"/>
        <v>2356</v>
      </c>
      <c r="AU40" s="132">
        <f t="shared" si="24"/>
        <v>0.73</v>
      </c>
      <c r="AV40" s="132">
        <f t="shared" si="25"/>
        <v>0</v>
      </c>
      <c r="AW40" s="133">
        <f t="shared" si="26"/>
        <v>0.73</v>
      </c>
    </row>
    <row r="41" spans="1:49" ht="14.1" customHeight="1" x14ac:dyDescent="0.2">
      <c r="A41" s="137">
        <v>8</v>
      </c>
      <c r="B41" s="134">
        <v>2427</v>
      </c>
      <c r="C41" s="135">
        <v>600079091</v>
      </c>
      <c r="D41" s="134">
        <v>72741627</v>
      </c>
      <c r="E41" s="136" t="s">
        <v>589</v>
      </c>
      <c r="F41" s="137"/>
      <c r="G41" s="136"/>
      <c r="H41" s="138"/>
      <c r="I41" s="139">
        <f t="shared" ref="I41:P41" si="80">SUM(I39:I40)</f>
        <v>5288931</v>
      </c>
      <c r="J41" s="140">
        <f t="shared" si="80"/>
        <v>3871374</v>
      </c>
      <c r="K41" s="140">
        <f t="shared" si="80"/>
        <v>1308524</v>
      </c>
      <c r="L41" s="140">
        <f t="shared" si="80"/>
        <v>77427</v>
      </c>
      <c r="M41" s="140">
        <f t="shared" si="80"/>
        <v>31606</v>
      </c>
      <c r="N41" s="141">
        <f t="shared" si="80"/>
        <v>9.1059999999999999</v>
      </c>
      <c r="O41" s="141">
        <f t="shared" si="80"/>
        <v>6.2417999999999996</v>
      </c>
      <c r="P41" s="142">
        <f t="shared" si="80"/>
        <v>2.8641999999999999</v>
      </c>
      <c r="Q41" s="342">
        <f t="shared" ref="Q41:AW41" si="81">SUM(Q39:Q40)</f>
        <v>0</v>
      </c>
      <c r="R41" s="140">
        <f t="shared" si="81"/>
        <v>0</v>
      </c>
      <c r="S41" s="140">
        <f t="shared" si="81"/>
        <v>0</v>
      </c>
      <c r="T41" s="140">
        <f t="shared" si="81"/>
        <v>0</v>
      </c>
      <c r="U41" s="140">
        <f t="shared" si="81"/>
        <v>0</v>
      </c>
      <c r="V41" s="140">
        <f t="shared" si="81"/>
        <v>0</v>
      </c>
      <c r="W41" s="140">
        <f t="shared" si="81"/>
        <v>0</v>
      </c>
      <c r="X41" s="140">
        <f t="shared" si="81"/>
        <v>0</v>
      </c>
      <c r="Y41" s="140">
        <f t="shared" si="81"/>
        <v>0</v>
      </c>
      <c r="Z41" s="140">
        <f t="shared" si="81"/>
        <v>0</v>
      </c>
      <c r="AA41" s="140">
        <f t="shared" si="81"/>
        <v>0</v>
      </c>
      <c r="AB41" s="140">
        <f t="shared" si="81"/>
        <v>0</v>
      </c>
      <c r="AC41" s="140">
        <f t="shared" si="81"/>
        <v>0</v>
      </c>
      <c r="AD41" s="140">
        <f t="shared" si="81"/>
        <v>0</v>
      </c>
      <c r="AE41" s="140">
        <f t="shared" si="81"/>
        <v>0</v>
      </c>
      <c r="AF41" s="140">
        <f t="shared" si="81"/>
        <v>0</v>
      </c>
      <c r="AG41" s="141">
        <f t="shared" si="81"/>
        <v>0</v>
      </c>
      <c r="AH41" s="141">
        <f t="shared" si="81"/>
        <v>0</v>
      </c>
      <c r="AI41" s="141">
        <f t="shared" si="81"/>
        <v>0</v>
      </c>
      <c r="AJ41" s="141">
        <f t="shared" si="81"/>
        <v>0</v>
      </c>
      <c r="AK41" s="141">
        <f t="shared" si="81"/>
        <v>0</v>
      </c>
      <c r="AL41" s="141">
        <f t="shared" si="81"/>
        <v>0</v>
      </c>
      <c r="AM41" s="141">
        <f t="shared" si="81"/>
        <v>0</v>
      </c>
      <c r="AN41" s="635">
        <f t="shared" si="81"/>
        <v>0</v>
      </c>
      <c r="AO41" s="139">
        <f t="shared" si="81"/>
        <v>5288931</v>
      </c>
      <c r="AP41" s="140">
        <f t="shared" si="81"/>
        <v>3871374</v>
      </c>
      <c r="AQ41" s="140">
        <f t="shared" si="81"/>
        <v>0</v>
      </c>
      <c r="AR41" s="140">
        <f t="shared" si="81"/>
        <v>1308524</v>
      </c>
      <c r="AS41" s="140">
        <f t="shared" si="81"/>
        <v>77427</v>
      </c>
      <c r="AT41" s="140">
        <f t="shared" si="81"/>
        <v>31606</v>
      </c>
      <c r="AU41" s="141">
        <f t="shared" si="81"/>
        <v>9.1059999999999999</v>
      </c>
      <c r="AV41" s="141">
        <f t="shared" si="81"/>
        <v>6.2417999999999996</v>
      </c>
      <c r="AW41" s="142">
        <f t="shared" si="81"/>
        <v>2.8641999999999999</v>
      </c>
    </row>
    <row r="42" spans="1:49" ht="14.1" customHeight="1" x14ac:dyDescent="0.2">
      <c r="A42" s="124">
        <v>9</v>
      </c>
      <c r="B42" s="121">
        <v>2327</v>
      </c>
      <c r="C42" s="122">
        <v>691002606</v>
      </c>
      <c r="D42" s="121">
        <v>72076950</v>
      </c>
      <c r="E42" s="123" t="s">
        <v>590</v>
      </c>
      <c r="F42" s="124">
        <v>3111</v>
      </c>
      <c r="G42" s="123" t="s">
        <v>317</v>
      </c>
      <c r="H42" s="125" t="s">
        <v>283</v>
      </c>
      <c r="I42" s="126">
        <f t="shared" si="4"/>
        <v>8872667</v>
      </c>
      <c r="J42" s="127">
        <v>6495189</v>
      </c>
      <c r="K42" s="127">
        <f t="shared" si="5"/>
        <v>2195374</v>
      </c>
      <c r="L42" s="477">
        <f t="shared" si="6"/>
        <v>129904</v>
      </c>
      <c r="M42" s="127">
        <v>52200</v>
      </c>
      <c r="N42" s="390">
        <f t="shared" si="7"/>
        <v>14.752199999999998</v>
      </c>
      <c r="O42" s="390">
        <v>11.2</v>
      </c>
      <c r="P42" s="439">
        <v>3.5522</v>
      </c>
      <c r="Q42" s="129">
        <f t="shared" si="8"/>
        <v>0</v>
      </c>
      <c r="R42" s="130">
        <v>0</v>
      </c>
      <c r="S42" s="130">
        <v>0</v>
      </c>
      <c r="T42" s="130">
        <v>0</v>
      </c>
      <c r="U42" s="130">
        <f t="shared" si="9"/>
        <v>0</v>
      </c>
      <c r="V42" s="130">
        <v>0</v>
      </c>
      <c r="W42" s="130">
        <v>0</v>
      </c>
      <c r="X42" s="130">
        <v>0</v>
      </c>
      <c r="Y42" s="130">
        <f t="shared" ref="Y42:Y44" si="82">SUM(V42:X42)</f>
        <v>0</v>
      </c>
      <c r="Z42" s="130">
        <f t="shared" ref="Z42:Z44" si="83">U42+Y42</f>
        <v>0</v>
      </c>
      <c r="AA42" s="131">
        <f t="shared" ref="AA42:AA44" si="84">ROUND((U42+V42+W42)*33.8%,0)</f>
        <v>0</v>
      </c>
      <c r="AB42" s="131">
        <f t="shared" ref="AB42:AB44" si="85">ROUND(U42*2%,0)</f>
        <v>0</v>
      </c>
      <c r="AC42" s="130">
        <v>0</v>
      </c>
      <c r="AD42" s="130">
        <v>0</v>
      </c>
      <c r="AE42" s="130">
        <f t="shared" si="14"/>
        <v>0</v>
      </c>
      <c r="AF42" s="130">
        <f t="shared" si="15"/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f t="shared" si="16"/>
        <v>0</v>
      </c>
      <c r="AM42" s="132">
        <f>AH42+AK42</f>
        <v>0</v>
      </c>
      <c r="AN42" s="403">
        <f t="shared" si="17"/>
        <v>0</v>
      </c>
      <c r="AO42" s="128">
        <f t="shared" si="18"/>
        <v>8872667</v>
      </c>
      <c r="AP42" s="130">
        <f t="shared" si="19"/>
        <v>6495189</v>
      </c>
      <c r="AQ42" s="130">
        <f t="shared" si="20"/>
        <v>0</v>
      </c>
      <c r="AR42" s="130">
        <f t="shared" si="21"/>
        <v>2195374</v>
      </c>
      <c r="AS42" s="130">
        <f t="shared" si="22"/>
        <v>129904</v>
      </c>
      <c r="AT42" s="130">
        <f t="shared" si="23"/>
        <v>52200</v>
      </c>
      <c r="AU42" s="132">
        <f t="shared" si="24"/>
        <v>14.752199999999998</v>
      </c>
      <c r="AV42" s="132">
        <f t="shared" si="25"/>
        <v>11.2</v>
      </c>
      <c r="AW42" s="133">
        <f t="shared" si="26"/>
        <v>3.5522</v>
      </c>
    </row>
    <row r="43" spans="1:49" ht="14.1" customHeight="1" x14ac:dyDescent="0.2">
      <c r="A43" s="124">
        <v>9</v>
      </c>
      <c r="B43" s="121">
        <v>2327</v>
      </c>
      <c r="C43" s="122">
        <v>691002606</v>
      </c>
      <c r="D43" s="121">
        <v>72076950</v>
      </c>
      <c r="E43" s="123" t="s">
        <v>590</v>
      </c>
      <c r="F43" s="124">
        <v>3111</v>
      </c>
      <c r="G43" s="143" t="s">
        <v>318</v>
      </c>
      <c r="H43" s="125" t="s">
        <v>284</v>
      </c>
      <c r="I43" s="126">
        <f t="shared" si="4"/>
        <v>0</v>
      </c>
      <c r="J43" s="29">
        <v>0</v>
      </c>
      <c r="K43" s="127">
        <f t="shared" si="5"/>
        <v>0</v>
      </c>
      <c r="L43" s="477">
        <f t="shared" si="6"/>
        <v>0</v>
      </c>
      <c r="M43" s="29">
        <v>0</v>
      </c>
      <c r="N43" s="390">
        <f t="shared" si="7"/>
        <v>0</v>
      </c>
      <c r="O43" s="349">
        <v>0</v>
      </c>
      <c r="P43" s="639">
        <v>0</v>
      </c>
      <c r="Q43" s="129">
        <f t="shared" si="8"/>
        <v>0</v>
      </c>
      <c r="R43" s="130">
        <v>346443</v>
      </c>
      <c r="S43" s="130">
        <v>0</v>
      </c>
      <c r="T43" s="130">
        <v>0</v>
      </c>
      <c r="U43" s="130">
        <f t="shared" si="9"/>
        <v>346443</v>
      </c>
      <c r="V43" s="130">
        <v>0</v>
      </c>
      <c r="W43" s="130">
        <v>0</v>
      </c>
      <c r="X43" s="130">
        <v>0</v>
      </c>
      <c r="Y43" s="130">
        <f t="shared" si="82"/>
        <v>0</v>
      </c>
      <c r="Z43" s="130">
        <f t="shared" si="83"/>
        <v>346443</v>
      </c>
      <c r="AA43" s="131">
        <f t="shared" si="84"/>
        <v>117098</v>
      </c>
      <c r="AB43" s="131">
        <f t="shared" si="85"/>
        <v>6929</v>
      </c>
      <c r="AC43" s="130">
        <v>0</v>
      </c>
      <c r="AD43" s="130">
        <v>0</v>
      </c>
      <c r="AE43" s="130">
        <f t="shared" si="14"/>
        <v>0</v>
      </c>
      <c r="AF43" s="130">
        <f t="shared" si="15"/>
        <v>470470</v>
      </c>
      <c r="AG43" s="132">
        <v>0</v>
      </c>
      <c r="AH43" s="132">
        <v>0</v>
      </c>
      <c r="AI43" s="132">
        <v>1</v>
      </c>
      <c r="AJ43" s="132">
        <v>0</v>
      </c>
      <c r="AK43" s="132">
        <v>0</v>
      </c>
      <c r="AL43" s="132">
        <f t="shared" si="16"/>
        <v>1</v>
      </c>
      <c r="AM43" s="132">
        <f>AH43+AK43</f>
        <v>0</v>
      </c>
      <c r="AN43" s="403">
        <f t="shared" si="17"/>
        <v>1</v>
      </c>
      <c r="AO43" s="128">
        <f t="shared" si="18"/>
        <v>470470</v>
      </c>
      <c r="AP43" s="130">
        <f t="shared" si="19"/>
        <v>346443</v>
      </c>
      <c r="AQ43" s="130">
        <f t="shared" si="20"/>
        <v>0</v>
      </c>
      <c r="AR43" s="130">
        <f t="shared" si="21"/>
        <v>117098</v>
      </c>
      <c r="AS43" s="130">
        <f t="shared" si="22"/>
        <v>6929</v>
      </c>
      <c r="AT43" s="130">
        <f t="shared" si="23"/>
        <v>0</v>
      </c>
      <c r="AU43" s="132">
        <f t="shared" si="24"/>
        <v>1</v>
      </c>
      <c r="AV43" s="132">
        <f t="shared" si="25"/>
        <v>1</v>
      </c>
      <c r="AW43" s="133">
        <f t="shared" si="26"/>
        <v>0</v>
      </c>
    </row>
    <row r="44" spans="1:49" ht="14.1" customHeight="1" x14ac:dyDescent="0.2">
      <c r="A44" s="124">
        <v>9</v>
      </c>
      <c r="B44" s="121">
        <v>2327</v>
      </c>
      <c r="C44" s="122">
        <v>691002606</v>
      </c>
      <c r="D44" s="121">
        <v>72076950</v>
      </c>
      <c r="E44" s="123" t="s">
        <v>590</v>
      </c>
      <c r="F44" s="124">
        <v>3141</v>
      </c>
      <c r="G44" s="123" t="s">
        <v>321</v>
      </c>
      <c r="H44" s="125" t="s">
        <v>284</v>
      </c>
      <c r="I44" s="126">
        <f t="shared" si="4"/>
        <v>1152359</v>
      </c>
      <c r="J44" s="666">
        <v>843574</v>
      </c>
      <c r="K44" s="127">
        <f t="shared" si="5"/>
        <v>285128</v>
      </c>
      <c r="L44" s="477">
        <f t="shared" si="6"/>
        <v>16871</v>
      </c>
      <c r="M44" s="666">
        <v>6786</v>
      </c>
      <c r="N44" s="390">
        <f t="shared" si="7"/>
        <v>2.87</v>
      </c>
      <c r="O44" s="668">
        <v>0</v>
      </c>
      <c r="P44" s="667">
        <v>2.87</v>
      </c>
      <c r="Q44" s="129">
        <f t="shared" si="8"/>
        <v>0</v>
      </c>
      <c r="R44" s="130">
        <v>0</v>
      </c>
      <c r="S44" s="130">
        <v>0</v>
      </c>
      <c r="T44" s="130">
        <v>0</v>
      </c>
      <c r="U44" s="130">
        <f t="shared" si="9"/>
        <v>0</v>
      </c>
      <c r="V44" s="130">
        <v>0</v>
      </c>
      <c r="W44" s="130">
        <v>0</v>
      </c>
      <c r="X44" s="130">
        <v>0</v>
      </c>
      <c r="Y44" s="130">
        <f t="shared" si="82"/>
        <v>0</v>
      </c>
      <c r="Z44" s="130">
        <f t="shared" si="83"/>
        <v>0</v>
      </c>
      <c r="AA44" s="131">
        <f t="shared" si="84"/>
        <v>0</v>
      </c>
      <c r="AB44" s="131">
        <f t="shared" si="85"/>
        <v>0</v>
      </c>
      <c r="AC44" s="130">
        <v>0</v>
      </c>
      <c r="AD44" s="130">
        <v>0</v>
      </c>
      <c r="AE44" s="130">
        <f t="shared" si="14"/>
        <v>0</v>
      </c>
      <c r="AF44" s="130">
        <f t="shared" si="15"/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f t="shared" si="16"/>
        <v>0</v>
      </c>
      <c r="AM44" s="132">
        <f>AH44+AK44</f>
        <v>0</v>
      </c>
      <c r="AN44" s="403">
        <f t="shared" si="17"/>
        <v>0</v>
      </c>
      <c r="AO44" s="128">
        <f t="shared" si="18"/>
        <v>1152359</v>
      </c>
      <c r="AP44" s="130">
        <f t="shared" si="19"/>
        <v>843574</v>
      </c>
      <c r="AQ44" s="130">
        <f t="shared" si="20"/>
        <v>0</v>
      </c>
      <c r="AR44" s="130">
        <f t="shared" si="21"/>
        <v>285128</v>
      </c>
      <c r="AS44" s="130">
        <f t="shared" si="22"/>
        <v>16871</v>
      </c>
      <c r="AT44" s="130">
        <f t="shared" si="23"/>
        <v>6786</v>
      </c>
      <c r="AU44" s="132">
        <f t="shared" si="24"/>
        <v>2.87</v>
      </c>
      <c r="AV44" s="132">
        <f t="shared" si="25"/>
        <v>0</v>
      </c>
      <c r="AW44" s="133">
        <f t="shared" si="26"/>
        <v>2.87</v>
      </c>
    </row>
    <row r="45" spans="1:49" ht="14.1" customHeight="1" x14ac:dyDescent="0.2">
      <c r="A45" s="137">
        <v>9</v>
      </c>
      <c r="B45" s="134">
        <v>2327</v>
      </c>
      <c r="C45" s="135">
        <v>691002606</v>
      </c>
      <c r="D45" s="134">
        <v>72076950</v>
      </c>
      <c r="E45" s="136" t="s">
        <v>591</v>
      </c>
      <c r="F45" s="137"/>
      <c r="G45" s="136"/>
      <c r="H45" s="138"/>
      <c r="I45" s="139">
        <f t="shared" ref="I45:P45" si="86">SUM(I42:I44)</f>
        <v>10025026</v>
      </c>
      <c r="J45" s="140">
        <f t="shared" si="86"/>
        <v>7338763</v>
      </c>
      <c r="K45" s="140">
        <f t="shared" si="86"/>
        <v>2480502</v>
      </c>
      <c r="L45" s="140">
        <f t="shared" si="86"/>
        <v>146775</v>
      </c>
      <c r="M45" s="140">
        <f t="shared" si="86"/>
        <v>58986</v>
      </c>
      <c r="N45" s="141">
        <f t="shared" si="86"/>
        <v>17.622199999999999</v>
      </c>
      <c r="O45" s="141">
        <f t="shared" si="86"/>
        <v>11.2</v>
      </c>
      <c r="P45" s="142">
        <f t="shared" si="86"/>
        <v>6.4222000000000001</v>
      </c>
      <c r="Q45" s="342">
        <f t="shared" ref="Q45:AW45" si="87">SUM(Q42:Q44)</f>
        <v>0</v>
      </c>
      <c r="R45" s="140">
        <f t="shared" si="87"/>
        <v>346443</v>
      </c>
      <c r="S45" s="140">
        <f t="shared" si="87"/>
        <v>0</v>
      </c>
      <c r="T45" s="140">
        <f t="shared" si="87"/>
        <v>0</v>
      </c>
      <c r="U45" s="140">
        <f t="shared" si="87"/>
        <v>346443</v>
      </c>
      <c r="V45" s="140">
        <f t="shared" si="87"/>
        <v>0</v>
      </c>
      <c r="W45" s="140">
        <f t="shared" si="87"/>
        <v>0</v>
      </c>
      <c r="X45" s="140">
        <f t="shared" si="87"/>
        <v>0</v>
      </c>
      <c r="Y45" s="140">
        <f t="shared" si="87"/>
        <v>0</v>
      </c>
      <c r="Z45" s="140">
        <f t="shared" si="87"/>
        <v>346443</v>
      </c>
      <c r="AA45" s="140">
        <f t="shared" si="87"/>
        <v>117098</v>
      </c>
      <c r="AB45" s="140">
        <f t="shared" si="87"/>
        <v>6929</v>
      </c>
      <c r="AC45" s="140">
        <f t="shared" si="87"/>
        <v>0</v>
      </c>
      <c r="AD45" s="140">
        <f t="shared" si="87"/>
        <v>0</v>
      </c>
      <c r="AE45" s="140">
        <f t="shared" si="87"/>
        <v>0</v>
      </c>
      <c r="AF45" s="140">
        <f t="shared" si="87"/>
        <v>470470</v>
      </c>
      <c r="AG45" s="141">
        <f t="shared" si="87"/>
        <v>0</v>
      </c>
      <c r="AH45" s="141">
        <f t="shared" si="87"/>
        <v>0</v>
      </c>
      <c r="AI45" s="141">
        <f t="shared" si="87"/>
        <v>1</v>
      </c>
      <c r="AJ45" s="141">
        <f t="shared" si="87"/>
        <v>0</v>
      </c>
      <c r="AK45" s="141">
        <f t="shared" si="87"/>
        <v>0</v>
      </c>
      <c r="AL45" s="141">
        <f t="shared" si="87"/>
        <v>1</v>
      </c>
      <c r="AM45" s="141">
        <f t="shared" si="87"/>
        <v>0</v>
      </c>
      <c r="AN45" s="635">
        <f t="shared" si="87"/>
        <v>1</v>
      </c>
      <c r="AO45" s="139">
        <f t="shared" si="87"/>
        <v>10495496</v>
      </c>
      <c r="AP45" s="140">
        <f t="shared" si="87"/>
        <v>7685206</v>
      </c>
      <c r="AQ45" s="140">
        <f t="shared" si="87"/>
        <v>0</v>
      </c>
      <c r="AR45" s="140">
        <f t="shared" si="87"/>
        <v>2597600</v>
      </c>
      <c r="AS45" s="140">
        <f t="shared" si="87"/>
        <v>153704</v>
      </c>
      <c r="AT45" s="140">
        <f t="shared" si="87"/>
        <v>58986</v>
      </c>
      <c r="AU45" s="141">
        <f t="shared" si="87"/>
        <v>18.622199999999999</v>
      </c>
      <c r="AV45" s="141">
        <f t="shared" si="87"/>
        <v>12.2</v>
      </c>
      <c r="AW45" s="142">
        <f t="shared" si="87"/>
        <v>6.4222000000000001</v>
      </c>
    </row>
    <row r="46" spans="1:49" ht="14.1" customHeight="1" x14ac:dyDescent="0.2">
      <c r="A46" s="124">
        <v>10</v>
      </c>
      <c r="B46" s="121">
        <v>2321</v>
      </c>
      <c r="C46" s="122">
        <v>600079287</v>
      </c>
      <c r="D46" s="121">
        <v>72742976</v>
      </c>
      <c r="E46" s="123" t="s">
        <v>592</v>
      </c>
      <c r="F46" s="124">
        <v>3111</v>
      </c>
      <c r="G46" s="123" t="s">
        <v>317</v>
      </c>
      <c r="H46" s="125" t="s">
        <v>283</v>
      </c>
      <c r="I46" s="126">
        <f t="shared" si="4"/>
        <v>8395586</v>
      </c>
      <c r="J46" s="127">
        <v>6142221</v>
      </c>
      <c r="K46" s="127">
        <f t="shared" si="5"/>
        <v>2076071</v>
      </c>
      <c r="L46" s="477">
        <f t="shared" si="6"/>
        <v>122844</v>
      </c>
      <c r="M46" s="127">
        <v>54450</v>
      </c>
      <c r="N46" s="390">
        <f t="shared" si="7"/>
        <v>14.4038</v>
      </c>
      <c r="O46" s="390">
        <v>10.451599999999999</v>
      </c>
      <c r="P46" s="439">
        <v>3.9522000000000004</v>
      </c>
      <c r="Q46" s="129">
        <f t="shared" si="8"/>
        <v>0</v>
      </c>
      <c r="R46" s="130">
        <v>0</v>
      </c>
      <c r="S46" s="130">
        <v>0</v>
      </c>
      <c r="T46" s="130">
        <v>0</v>
      </c>
      <c r="U46" s="130">
        <f t="shared" si="9"/>
        <v>0</v>
      </c>
      <c r="V46" s="130">
        <v>0</v>
      </c>
      <c r="W46" s="130">
        <v>0</v>
      </c>
      <c r="X46" s="130">
        <v>0</v>
      </c>
      <c r="Y46" s="130">
        <f t="shared" ref="Y46:Y47" si="88">SUM(V46:X46)</f>
        <v>0</v>
      </c>
      <c r="Z46" s="130">
        <f t="shared" ref="Z46:Z47" si="89">U46+Y46</f>
        <v>0</v>
      </c>
      <c r="AA46" s="131">
        <f t="shared" ref="AA46:AA47" si="90">ROUND((U46+V46+W46)*33.8%,0)</f>
        <v>0</v>
      </c>
      <c r="AB46" s="131">
        <f t="shared" ref="AB46:AB47" si="91">ROUND(U46*2%,0)</f>
        <v>0</v>
      </c>
      <c r="AC46" s="130">
        <v>0</v>
      </c>
      <c r="AD46" s="130">
        <v>0</v>
      </c>
      <c r="AE46" s="130">
        <f t="shared" si="14"/>
        <v>0</v>
      </c>
      <c r="AF46" s="130">
        <f t="shared" si="15"/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f t="shared" si="16"/>
        <v>0</v>
      </c>
      <c r="AM46" s="132">
        <f>AH46+AK46</f>
        <v>0</v>
      </c>
      <c r="AN46" s="403">
        <f t="shared" si="17"/>
        <v>0</v>
      </c>
      <c r="AO46" s="128">
        <f t="shared" si="18"/>
        <v>8395586</v>
      </c>
      <c r="AP46" s="130">
        <f t="shared" si="19"/>
        <v>6142221</v>
      </c>
      <c r="AQ46" s="130">
        <f t="shared" si="20"/>
        <v>0</v>
      </c>
      <c r="AR46" s="130">
        <f t="shared" si="21"/>
        <v>2076071</v>
      </c>
      <c r="AS46" s="130">
        <f t="shared" si="22"/>
        <v>122844</v>
      </c>
      <c r="AT46" s="130">
        <f t="shared" si="23"/>
        <v>54450</v>
      </c>
      <c r="AU46" s="132">
        <f t="shared" si="24"/>
        <v>14.4038</v>
      </c>
      <c r="AV46" s="132">
        <f t="shared" si="25"/>
        <v>10.451599999999999</v>
      </c>
      <c r="AW46" s="133">
        <f t="shared" si="26"/>
        <v>3.9522000000000004</v>
      </c>
    </row>
    <row r="47" spans="1:49" ht="14.1" customHeight="1" x14ac:dyDescent="0.2">
      <c r="A47" s="124">
        <v>10</v>
      </c>
      <c r="B47" s="121">
        <v>2321</v>
      </c>
      <c r="C47" s="122">
        <v>600079287</v>
      </c>
      <c r="D47" s="121">
        <v>72742976</v>
      </c>
      <c r="E47" s="123" t="s">
        <v>592</v>
      </c>
      <c r="F47" s="124">
        <v>3141</v>
      </c>
      <c r="G47" s="123" t="s">
        <v>321</v>
      </c>
      <c r="H47" s="125" t="s">
        <v>284</v>
      </c>
      <c r="I47" s="126">
        <f t="shared" si="4"/>
        <v>1434656</v>
      </c>
      <c r="J47" s="666">
        <v>1051323</v>
      </c>
      <c r="K47" s="127">
        <f t="shared" si="5"/>
        <v>355347</v>
      </c>
      <c r="L47" s="477">
        <f t="shared" si="6"/>
        <v>21026</v>
      </c>
      <c r="M47" s="666">
        <v>6960</v>
      </c>
      <c r="N47" s="390">
        <f t="shared" si="7"/>
        <v>3.57</v>
      </c>
      <c r="O47" s="668">
        <v>0</v>
      </c>
      <c r="P47" s="674">
        <v>3.57</v>
      </c>
      <c r="Q47" s="129">
        <f t="shared" si="8"/>
        <v>0</v>
      </c>
      <c r="R47" s="130">
        <v>0</v>
      </c>
      <c r="S47" s="130">
        <v>0</v>
      </c>
      <c r="T47" s="130">
        <v>0</v>
      </c>
      <c r="U47" s="130">
        <f t="shared" si="9"/>
        <v>0</v>
      </c>
      <c r="V47" s="130">
        <v>0</v>
      </c>
      <c r="W47" s="130">
        <v>0</v>
      </c>
      <c r="X47" s="130">
        <v>0</v>
      </c>
      <c r="Y47" s="130">
        <f t="shared" si="88"/>
        <v>0</v>
      </c>
      <c r="Z47" s="130">
        <f t="shared" si="89"/>
        <v>0</v>
      </c>
      <c r="AA47" s="131">
        <f t="shared" si="90"/>
        <v>0</v>
      </c>
      <c r="AB47" s="131">
        <f t="shared" si="91"/>
        <v>0</v>
      </c>
      <c r="AC47" s="130">
        <v>0</v>
      </c>
      <c r="AD47" s="130">
        <v>0</v>
      </c>
      <c r="AE47" s="130">
        <f t="shared" si="14"/>
        <v>0</v>
      </c>
      <c r="AF47" s="130">
        <f t="shared" si="15"/>
        <v>0</v>
      </c>
      <c r="AG47" s="132">
        <v>0</v>
      </c>
      <c r="AH47" s="132">
        <v>0</v>
      </c>
      <c r="AI47" s="132">
        <v>0</v>
      </c>
      <c r="AJ47" s="132">
        <v>0</v>
      </c>
      <c r="AK47" s="132">
        <v>0</v>
      </c>
      <c r="AL47" s="132">
        <f t="shared" si="16"/>
        <v>0</v>
      </c>
      <c r="AM47" s="132">
        <f>AH47+AK47</f>
        <v>0</v>
      </c>
      <c r="AN47" s="403">
        <f t="shared" si="17"/>
        <v>0</v>
      </c>
      <c r="AO47" s="128">
        <f t="shared" si="18"/>
        <v>1434656</v>
      </c>
      <c r="AP47" s="130">
        <f t="shared" si="19"/>
        <v>1051323</v>
      </c>
      <c r="AQ47" s="130">
        <f t="shared" si="20"/>
        <v>0</v>
      </c>
      <c r="AR47" s="130">
        <f t="shared" si="21"/>
        <v>355347</v>
      </c>
      <c r="AS47" s="130">
        <f t="shared" si="22"/>
        <v>21026</v>
      </c>
      <c r="AT47" s="130">
        <f t="shared" si="23"/>
        <v>6960</v>
      </c>
      <c r="AU47" s="132">
        <f t="shared" si="24"/>
        <v>3.57</v>
      </c>
      <c r="AV47" s="132">
        <f t="shared" si="25"/>
        <v>0</v>
      </c>
      <c r="AW47" s="133">
        <f t="shared" si="26"/>
        <v>3.57</v>
      </c>
    </row>
    <row r="48" spans="1:49" ht="14.1" customHeight="1" x14ac:dyDescent="0.2">
      <c r="A48" s="137">
        <v>10</v>
      </c>
      <c r="B48" s="134">
        <v>2321</v>
      </c>
      <c r="C48" s="135">
        <v>600079287</v>
      </c>
      <c r="D48" s="134">
        <v>72742976</v>
      </c>
      <c r="E48" s="136" t="s">
        <v>593</v>
      </c>
      <c r="F48" s="137"/>
      <c r="G48" s="136"/>
      <c r="H48" s="138"/>
      <c r="I48" s="139">
        <f t="shared" ref="I48:P48" si="92">SUM(I46:I47)</f>
        <v>9830242</v>
      </c>
      <c r="J48" s="140">
        <f t="shared" si="92"/>
        <v>7193544</v>
      </c>
      <c r="K48" s="140">
        <f t="shared" si="92"/>
        <v>2431418</v>
      </c>
      <c r="L48" s="140">
        <f t="shared" si="92"/>
        <v>143870</v>
      </c>
      <c r="M48" s="140">
        <f t="shared" si="92"/>
        <v>61410</v>
      </c>
      <c r="N48" s="141">
        <f t="shared" si="92"/>
        <v>17.973800000000001</v>
      </c>
      <c r="O48" s="141">
        <f t="shared" si="92"/>
        <v>10.451599999999999</v>
      </c>
      <c r="P48" s="142">
        <f t="shared" si="92"/>
        <v>7.5221999999999998</v>
      </c>
      <c r="Q48" s="342">
        <f t="shared" ref="Q48:AW48" si="93">SUM(Q46:Q47)</f>
        <v>0</v>
      </c>
      <c r="R48" s="140">
        <f t="shared" si="93"/>
        <v>0</v>
      </c>
      <c r="S48" s="140">
        <f t="shared" si="93"/>
        <v>0</v>
      </c>
      <c r="T48" s="140">
        <f t="shared" si="93"/>
        <v>0</v>
      </c>
      <c r="U48" s="140">
        <f t="shared" si="93"/>
        <v>0</v>
      </c>
      <c r="V48" s="140">
        <f t="shared" si="93"/>
        <v>0</v>
      </c>
      <c r="W48" s="140">
        <f t="shared" si="93"/>
        <v>0</v>
      </c>
      <c r="X48" s="140">
        <f t="shared" si="93"/>
        <v>0</v>
      </c>
      <c r="Y48" s="140">
        <f t="shared" si="93"/>
        <v>0</v>
      </c>
      <c r="Z48" s="140">
        <f t="shared" si="93"/>
        <v>0</v>
      </c>
      <c r="AA48" s="140">
        <f t="shared" si="93"/>
        <v>0</v>
      </c>
      <c r="AB48" s="140">
        <f t="shared" si="93"/>
        <v>0</v>
      </c>
      <c r="AC48" s="140">
        <f t="shared" si="93"/>
        <v>0</v>
      </c>
      <c r="AD48" s="140">
        <f t="shared" si="93"/>
        <v>0</v>
      </c>
      <c r="AE48" s="140">
        <f t="shared" si="93"/>
        <v>0</v>
      </c>
      <c r="AF48" s="140">
        <f t="shared" si="93"/>
        <v>0</v>
      </c>
      <c r="AG48" s="141">
        <f t="shared" si="93"/>
        <v>0</v>
      </c>
      <c r="AH48" s="141">
        <f t="shared" si="93"/>
        <v>0</v>
      </c>
      <c r="AI48" s="141">
        <f t="shared" si="93"/>
        <v>0</v>
      </c>
      <c r="AJ48" s="141">
        <f t="shared" si="93"/>
        <v>0</v>
      </c>
      <c r="AK48" s="141">
        <f t="shared" si="93"/>
        <v>0</v>
      </c>
      <c r="AL48" s="141">
        <f t="shared" si="93"/>
        <v>0</v>
      </c>
      <c r="AM48" s="141">
        <f t="shared" si="93"/>
        <v>0</v>
      </c>
      <c r="AN48" s="635">
        <f t="shared" si="93"/>
        <v>0</v>
      </c>
      <c r="AO48" s="139">
        <f t="shared" si="93"/>
        <v>9830242</v>
      </c>
      <c r="AP48" s="140">
        <f t="shared" si="93"/>
        <v>7193544</v>
      </c>
      <c r="AQ48" s="140">
        <f t="shared" si="93"/>
        <v>0</v>
      </c>
      <c r="AR48" s="140">
        <f t="shared" si="93"/>
        <v>2431418</v>
      </c>
      <c r="AS48" s="140">
        <f t="shared" si="93"/>
        <v>143870</v>
      </c>
      <c r="AT48" s="140">
        <f t="shared" si="93"/>
        <v>61410</v>
      </c>
      <c r="AU48" s="141">
        <f t="shared" si="93"/>
        <v>17.973800000000001</v>
      </c>
      <c r="AV48" s="141">
        <f t="shared" si="93"/>
        <v>10.451599999999999</v>
      </c>
      <c r="AW48" s="142">
        <f t="shared" si="93"/>
        <v>7.5221999999999998</v>
      </c>
    </row>
    <row r="49" spans="1:49" ht="14.1" customHeight="1" x14ac:dyDescent="0.2">
      <c r="A49" s="124">
        <v>11</v>
      </c>
      <c r="B49" s="121">
        <v>2423</v>
      </c>
      <c r="C49" s="122">
        <v>600079368</v>
      </c>
      <c r="D49" s="121">
        <v>72742828</v>
      </c>
      <c r="E49" s="123" t="s">
        <v>594</v>
      </c>
      <c r="F49" s="124">
        <v>3111</v>
      </c>
      <c r="G49" s="123" t="s">
        <v>317</v>
      </c>
      <c r="H49" s="125" t="s">
        <v>283</v>
      </c>
      <c r="I49" s="126">
        <f t="shared" si="4"/>
        <v>3517241</v>
      </c>
      <c r="J49" s="127">
        <v>2574110</v>
      </c>
      <c r="K49" s="127">
        <f t="shared" si="5"/>
        <v>870049</v>
      </c>
      <c r="L49" s="477">
        <f t="shared" si="6"/>
        <v>51482</v>
      </c>
      <c r="M49" s="127">
        <v>21600</v>
      </c>
      <c r="N49" s="390">
        <f t="shared" si="7"/>
        <v>5.7155999999999993</v>
      </c>
      <c r="O49" s="390">
        <v>4.2257999999999996</v>
      </c>
      <c r="P49" s="439">
        <v>1.4898</v>
      </c>
      <c r="Q49" s="129">
        <f t="shared" si="8"/>
        <v>-16000</v>
      </c>
      <c r="R49" s="130">
        <v>0</v>
      </c>
      <c r="S49" s="130">
        <v>0</v>
      </c>
      <c r="T49" s="130">
        <v>0</v>
      </c>
      <c r="U49" s="130">
        <f t="shared" si="9"/>
        <v>-16000</v>
      </c>
      <c r="V49" s="130">
        <v>16000</v>
      </c>
      <c r="W49" s="130">
        <v>0</v>
      </c>
      <c r="X49" s="130">
        <v>0</v>
      </c>
      <c r="Y49" s="130">
        <f t="shared" ref="Y49:Y50" si="94">SUM(V49:X49)</f>
        <v>16000</v>
      </c>
      <c r="Z49" s="130">
        <f t="shared" ref="Z49:Z50" si="95">U49+Y49</f>
        <v>0</v>
      </c>
      <c r="AA49" s="131">
        <f t="shared" ref="AA49:AA50" si="96">ROUND((U49+V49+W49)*33.8%,0)</f>
        <v>0</v>
      </c>
      <c r="AB49" s="131">
        <f t="shared" ref="AB49:AB50" si="97">ROUND(U49*2%,0)</f>
        <v>-320</v>
      </c>
      <c r="AC49" s="130">
        <v>0</v>
      </c>
      <c r="AD49" s="130">
        <v>0</v>
      </c>
      <c r="AE49" s="130">
        <f t="shared" si="14"/>
        <v>0</v>
      </c>
      <c r="AF49" s="130">
        <f t="shared" si="15"/>
        <v>-320</v>
      </c>
      <c r="AG49" s="132">
        <v>0</v>
      </c>
      <c r="AH49" s="132">
        <v>-0.09</v>
      </c>
      <c r="AI49" s="132">
        <v>0</v>
      </c>
      <c r="AJ49" s="132">
        <v>0</v>
      </c>
      <c r="AK49" s="132">
        <v>0</v>
      </c>
      <c r="AL49" s="132">
        <f t="shared" si="16"/>
        <v>0</v>
      </c>
      <c r="AM49" s="132">
        <f>AH49+AK49</f>
        <v>-0.09</v>
      </c>
      <c r="AN49" s="403">
        <f t="shared" si="17"/>
        <v>-0.09</v>
      </c>
      <c r="AO49" s="128">
        <f t="shared" si="18"/>
        <v>3516921</v>
      </c>
      <c r="AP49" s="130">
        <f t="shared" si="19"/>
        <v>2558110</v>
      </c>
      <c r="AQ49" s="130">
        <f t="shared" si="20"/>
        <v>16000</v>
      </c>
      <c r="AR49" s="130">
        <f t="shared" si="21"/>
        <v>870049</v>
      </c>
      <c r="AS49" s="130">
        <f t="shared" si="22"/>
        <v>51162</v>
      </c>
      <c r="AT49" s="130">
        <f t="shared" si="23"/>
        <v>21600</v>
      </c>
      <c r="AU49" s="132">
        <f t="shared" si="24"/>
        <v>5.6255999999999995</v>
      </c>
      <c r="AV49" s="132">
        <f t="shared" si="25"/>
        <v>4.2257999999999996</v>
      </c>
      <c r="AW49" s="133">
        <f t="shared" si="26"/>
        <v>1.3997999999999999</v>
      </c>
    </row>
    <row r="50" spans="1:49" ht="14.1" customHeight="1" x14ac:dyDescent="0.2">
      <c r="A50" s="124">
        <v>11</v>
      </c>
      <c r="B50" s="121">
        <v>2423</v>
      </c>
      <c r="C50" s="122">
        <v>600079368</v>
      </c>
      <c r="D50" s="121">
        <v>72742828</v>
      </c>
      <c r="E50" s="123" t="s">
        <v>594</v>
      </c>
      <c r="F50" s="124">
        <v>3141</v>
      </c>
      <c r="G50" s="123" t="s">
        <v>321</v>
      </c>
      <c r="H50" s="125" t="s">
        <v>284</v>
      </c>
      <c r="I50" s="126">
        <f t="shared" si="4"/>
        <v>619426</v>
      </c>
      <c r="J50" s="666">
        <v>454081</v>
      </c>
      <c r="K50" s="127">
        <f t="shared" si="5"/>
        <v>153479</v>
      </c>
      <c r="L50" s="477">
        <f t="shared" si="6"/>
        <v>9082</v>
      </c>
      <c r="M50" s="666">
        <v>2784</v>
      </c>
      <c r="N50" s="390">
        <f t="shared" si="7"/>
        <v>1.54</v>
      </c>
      <c r="O50" s="668">
        <v>0</v>
      </c>
      <c r="P50" s="667">
        <v>1.54</v>
      </c>
      <c r="Q50" s="129">
        <f t="shared" si="8"/>
        <v>0</v>
      </c>
      <c r="R50" s="130">
        <v>0</v>
      </c>
      <c r="S50" s="130">
        <v>0</v>
      </c>
      <c r="T50" s="130">
        <v>0</v>
      </c>
      <c r="U50" s="130">
        <f t="shared" si="9"/>
        <v>0</v>
      </c>
      <c r="V50" s="130">
        <v>0</v>
      </c>
      <c r="W50" s="130">
        <v>0</v>
      </c>
      <c r="X50" s="130">
        <v>0</v>
      </c>
      <c r="Y50" s="130">
        <f t="shared" si="94"/>
        <v>0</v>
      </c>
      <c r="Z50" s="130">
        <f t="shared" si="95"/>
        <v>0</v>
      </c>
      <c r="AA50" s="131">
        <f t="shared" si="96"/>
        <v>0</v>
      </c>
      <c r="AB50" s="131">
        <f t="shared" si="97"/>
        <v>0</v>
      </c>
      <c r="AC50" s="130">
        <v>0</v>
      </c>
      <c r="AD50" s="130">
        <v>0</v>
      </c>
      <c r="AE50" s="130">
        <f t="shared" si="14"/>
        <v>0</v>
      </c>
      <c r="AF50" s="130">
        <f t="shared" si="15"/>
        <v>0</v>
      </c>
      <c r="AG50" s="132">
        <v>0</v>
      </c>
      <c r="AH50" s="132">
        <v>0</v>
      </c>
      <c r="AI50" s="132">
        <v>0</v>
      </c>
      <c r="AJ50" s="132">
        <v>0</v>
      </c>
      <c r="AK50" s="132">
        <v>0</v>
      </c>
      <c r="AL50" s="132">
        <f t="shared" si="16"/>
        <v>0</v>
      </c>
      <c r="AM50" s="132">
        <f>AH50+AK50</f>
        <v>0</v>
      </c>
      <c r="AN50" s="403">
        <f t="shared" si="17"/>
        <v>0</v>
      </c>
      <c r="AO50" s="128">
        <f t="shared" si="18"/>
        <v>619426</v>
      </c>
      <c r="AP50" s="130">
        <f t="shared" si="19"/>
        <v>454081</v>
      </c>
      <c r="AQ50" s="130">
        <f t="shared" si="20"/>
        <v>0</v>
      </c>
      <c r="AR50" s="130">
        <f t="shared" si="21"/>
        <v>153479</v>
      </c>
      <c r="AS50" s="130">
        <f t="shared" si="22"/>
        <v>9082</v>
      </c>
      <c r="AT50" s="130">
        <f t="shared" si="23"/>
        <v>2784</v>
      </c>
      <c r="AU50" s="132">
        <f t="shared" si="24"/>
        <v>1.54</v>
      </c>
      <c r="AV50" s="132">
        <f t="shared" si="25"/>
        <v>0</v>
      </c>
      <c r="AW50" s="133">
        <f t="shared" si="26"/>
        <v>1.54</v>
      </c>
    </row>
    <row r="51" spans="1:49" ht="14.1" customHeight="1" x14ac:dyDescent="0.2">
      <c r="A51" s="137">
        <v>11</v>
      </c>
      <c r="B51" s="134">
        <v>2423</v>
      </c>
      <c r="C51" s="135">
        <v>600079368</v>
      </c>
      <c r="D51" s="134">
        <v>72742828</v>
      </c>
      <c r="E51" s="136" t="s">
        <v>595</v>
      </c>
      <c r="F51" s="137"/>
      <c r="G51" s="136"/>
      <c r="H51" s="138"/>
      <c r="I51" s="139">
        <f t="shared" ref="I51:P51" si="98">SUM(I49:I50)</f>
        <v>4136667</v>
      </c>
      <c r="J51" s="140">
        <f t="shared" si="98"/>
        <v>3028191</v>
      </c>
      <c r="K51" s="140">
        <f t="shared" si="98"/>
        <v>1023528</v>
      </c>
      <c r="L51" s="140">
        <f t="shared" si="98"/>
        <v>60564</v>
      </c>
      <c r="M51" s="140">
        <f t="shared" si="98"/>
        <v>24384</v>
      </c>
      <c r="N51" s="141">
        <f t="shared" si="98"/>
        <v>7.2555999999999994</v>
      </c>
      <c r="O51" s="141">
        <f t="shared" si="98"/>
        <v>4.2257999999999996</v>
      </c>
      <c r="P51" s="142">
        <f t="shared" si="98"/>
        <v>3.0297999999999998</v>
      </c>
      <c r="Q51" s="342">
        <f t="shared" ref="Q51:AW51" si="99">SUM(Q49:Q50)</f>
        <v>-16000</v>
      </c>
      <c r="R51" s="140">
        <f t="shared" si="99"/>
        <v>0</v>
      </c>
      <c r="S51" s="140">
        <f t="shared" si="99"/>
        <v>0</v>
      </c>
      <c r="T51" s="140">
        <f t="shared" si="99"/>
        <v>0</v>
      </c>
      <c r="U51" s="140">
        <f t="shared" si="99"/>
        <v>-16000</v>
      </c>
      <c r="V51" s="140">
        <f t="shared" si="99"/>
        <v>16000</v>
      </c>
      <c r="W51" s="140">
        <f t="shared" si="99"/>
        <v>0</v>
      </c>
      <c r="X51" s="140">
        <f t="shared" si="99"/>
        <v>0</v>
      </c>
      <c r="Y51" s="140">
        <f t="shared" si="99"/>
        <v>16000</v>
      </c>
      <c r="Z51" s="140">
        <f t="shared" si="99"/>
        <v>0</v>
      </c>
      <c r="AA51" s="140">
        <f t="shared" si="99"/>
        <v>0</v>
      </c>
      <c r="AB51" s="140">
        <f t="shared" si="99"/>
        <v>-320</v>
      </c>
      <c r="AC51" s="140">
        <f t="shared" si="99"/>
        <v>0</v>
      </c>
      <c r="AD51" s="140">
        <f t="shared" si="99"/>
        <v>0</v>
      </c>
      <c r="AE51" s="140">
        <f t="shared" si="99"/>
        <v>0</v>
      </c>
      <c r="AF51" s="140">
        <f t="shared" si="99"/>
        <v>-320</v>
      </c>
      <c r="AG51" s="141">
        <f t="shared" si="99"/>
        <v>0</v>
      </c>
      <c r="AH51" s="141">
        <f t="shared" si="99"/>
        <v>-0.09</v>
      </c>
      <c r="AI51" s="141">
        <f t="shared" si="99"/>
        <v>0</v>
      </c>
      <c r="AJ51" s="141">
        <f t="shared" si="99"/>
        <v>0</v>
      </c>
      <c r="AK51" s="141">
        <f t="shared" si="99"/>
        <v>0</v>
      </c>
      <c r="AL51" s="141">
        <f t="shared" si="99"/>
        <v>0</v>
      </c>
      <c r="AM51" s="141">
        <f t="shared" si="99"/>
        <v>-0.09</v>
      </c>
      <c r="AN51" s="635">
        <f t="shared" si="99"/>
        <v>-0.09</v>
      </c>
      <c r="AO51" s="139">
        <f t="shared" si="99"/>
        <v>4136347</v>
      </c>
      <c r="AP51" s="140">
        <f t="shared" si="99"/>
        <v>3012191</v>
      </c>
      <c r="AQ51" s="140">
        <f t="shared" si="99"/>
        <v>16000</v>
      </c>
      <c r="AR51" s="140">
        <f t="shared" si="99"/>
        <v>1023528</v>
      </c>
      <c r="AS51" s="140">
        <f t="shared" si="99"/>
        <v>60244</v>
      </c>
      <c r="AT51" s="140">
        <f t="shared" si="99"/>
        <v>24384</v>
      </c>
      <c r="AU51" s="141">
        <f t="shared" si="99"/>
        <v>7.1655999999999995</v>
      </c>
      <c r="AV51" s="141">
        <f t="shared" si="99"/>
        <v>4.2257999999999996</v>
      </c>
      <c r="AW51" s="142">
        <f t="shared" si="99"/>
        <v>2.9398</v>
      </c>
    </row>
    <row r="52" spans="1:49" ht="14.1" customHeight="1" x14ac:dyDescent="0.2">
      <c r="A52" s="124">
        <v>12</v>
      </c>
      <c r="B52" s="121">
        <v>2428</v>
      </c>
      <c r="C52" s="122">
        <v>600079112</v>
      </c>
      <c r="D52" s="121">
        <v>72743140</v>
      </c>
      <c r="E52" s="123" t="s">
        <v>596</v>
      </c>
      <c r="F52" s="124">
        <v>3111</v>
      </c>
      <c r="G52" s="123" t="s">
        <v>317</v>
      </c>
      <c r="H52" s="125" t="s">
        <v>283</v>
      </c>
      <c r="I52" s="126">
        <f t="shared" si="4"/>
        <v>6429681</v>
      </c>
      <c r="J52" s="127">
        <v>4702858</v>
      </c>
      <c r="K52" s="127">
        <f t="shared" si="5"/>
        <v>1589566</v>
      </c>
      <c r="L52" s="477">
        <f t="shared" si="6"/>
        <v>94057</v>
      </c>
      <c r="M52" s="127">
        <v>43200</v>
      </c>
      <c r="N52" s="390">
        <f t="shared" si="7"/>
        <v>10.8682</v>
      </c>
      <c r="O52" s="390">
        <v>8</v>
      </c>
      <c r="P52" s="439">
        <v>2.8681999999999999</v>
      </c>
      <c r="Q52" s="129">
        <f t="shared" si="8"/>
        <v>-800</v>
      </c>
      <c r="R52" s="130">
        <v>0</v>
      </c>
      <c r="S52" s="130">
        <v>0</v>
      </c>
      <c r="T52" s="130">
        <v>0</v>
      </c>
      <c r="U52" s="130">
        <f t="shared" si="9"/>
        <v>-800</v>
      </c>
      <c r="V52" s="130">
        <v>800</v>
      </c>
      <c r="W52" s="130">
        <v>0</v>
      </c>
      <c r="X52" s="130">
        <v>0</v>
      </c>
      <c r="Y52" s="130">
        <f t="shared" ref="Y52:Y53" si="100">SUM(V52:X52)</f>
        <v>800</v>
      </c>
      <c r="Z52" s="130">
        <f t="shared" ref="Z52:Z53" si="101">U52+Y52</f>
        <v>0</v>
      </c>
      <c r="AA52" s="131">
        <f t="shared" ref="AA52:AA53" si="102">ROUND((U52+V52+W52)*33.8%,0)</f>
        <v>0</v>
      </c>
      <c r="AB52" s="131">
        <f t="shared" ref="AB52:AB53" si="103">ROUND(U52*2%,0)</f>
        <v>-16</v>
      </c>
      <c r="AC52" s="130">
        <v>0</v>
      </c>
      <c r="AD52" s="130">
        <v>0</v>
      </c>
      <c r="AE52" s="130">
        <f t="shared" si="14"/>
        <v>0</v>
      </c>
      <c r="AF52" s="130">
        <f t="shared" si="15"/>
        <v>-16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32">
        <f t="shared" si="16"/>
        <v>0</v>
      </c>
      <c r="AM52" s="132">
        <f>AH52+AK52</f>
        <v>0</v>
      </c>
      <c r="AN52" s="403">
        <f t="shared" si="17"/>
        <v>0</v>
      </c>
      <c r="AO52" s="128">
        <f t="shared" si="18"/>
        <v>6429665</v>
      </c>
      <c r="AP52" s="130">
        <f t="shared" si="19"/>
        <v>4702058</v>
      </c>
      <c r="AQ52" s="130">
        <f t="shared" si="20"/>
        <v>800</v>
      </c>
      <c r="AR52" s="130">
        <f t="shared" si="21"/>
        <v>1589566</v>
      </c>
      <c r="AS52" s="130">
        <f t="shared" si="22"/>
        <v>94041</v>
      </c>
      <c r="AT52" s="130">
        <f t="shared" si="23"/>
        <v>43200</v>
      </c>
      <c r="AU52" s="132">
        <f t="shared" si="24"/>
        <v>10.8682</v>
      </c>
      <c r="AV52" s="132">
        <f t="shared" si="25"/>
        <v>8</v>
      </c>
      <c r="AW52" s="133">
        <f t="shared" si="26"/>
        <v>2.8681999999999999</v>
      </c>
    </row>
    <row r="53" spans="1:49" ht="14.1" customHeight="1" x14ac:dyDescent="0.2">
      <c r="A53" s="124">
        <v>12</v>
      </c>
      <c r="B53" s="121">
        <v>2428</v>
      </c>
      <c r="C53" s="122">
        <v>600079112</v>
      </c>
      <c r="D53" s="121">
        <v>72743140</v>
      </c>
      <c r="E53" s="123" t="s">
        <v>596</v>
      </c>
      <c r="F53" s="124">
        <v>3141</v>
      </c>
      <c r="G53" s="123" t="s">
        <v>321</v>
      </c>
      <c r="H53" s="125" t="s">
        <v>284</v>
      </c>
      <c r="I53" s="126">
        <f t="shared" si="4"/>
        <v>994677</v>
      </c>
      <c r="J53" s="666">
        <v>728357</v>
      </c>
      <c r="K53" s="127">
        <f t="shared" si="5"/>
        <v>246185</v>
      </c>
      <c r="L53" s="477">
        <f t="shared" si="6"/>
        <v>14567</v>
      </c>
      <c r="M53" s="666">
        <v>5568</v>
      </c>
      <c r="N53" s="390">
        <f t="shared" si="7"/>
        <v>2.48</v>
      </c>
      <c r="O53" s="668">
        <v>0</v>
      </c>
      <c r="P53" s="667">
        <v>2.48</v>
      </c>
      <c r="Q53" s="129">
        <f t="shared" si="8"/>
        <v>0</v>
      </c>
      <c r="R53" s="130">
        <v>0</v>
      </c>
      <c r="S53" s="130">
        <v>0</v>
      </c>
      <c r="T53" s="130">
        <v>0</v>
      </c>
      <c r="U53" s="130">
        <f t="shared" si="9"/>
        <v>0</v>
      </c>
      <c r="V53" s="130">
        <v>0</v>
      </c>
      <c r="W53" s="130">
        <v>0</v>
      </c>
      <c r="X53" s="130">
        <v>0</v>
      </c>
      <c r="Y53" s="130">
        <f t="shared" si="100"/>
        <v>0</v>
      </c>
      <c r="Z53" s="130">
        <f t="shared" si="101"/>
        <v>0</v>
      </c>
      <c r="AA53" s="131">
        <f t="shared" si="102"/>
        <v>0</v>
      </c>
      <c r="AB53" s="131">
        <f t="shared" si="103"/>
        <v>0</v>
      </c>
      <c r="AC53" s="130">
        <v>0</v>
      </c>
      <c r="AD53" s="130">
        <v>0</v>
      </c>
      <c r="AE53" s="130">
        <f t="shared" si="14"/>
        <v>0</v>
      </c>
      <c r="AF53" s="130">
        <f t="shared" si="15"/>
        <v>0</v>
      </c>
      <c r="AG53" s="132">
        <v>0</v>
      </c>
      <c r="AH53" s="132">
        <v>0</v>
      </c>
      <c r="AI53" s="132">
        <v>0</v>
      </c>
      <c r="AJ53" s="132">
        <v>0</v>
      </c>
      <c r="AK53" s="132">
        <v>0</v>
      </c>
      <c r="AL53" s="132">
        <f t="shared" si="16"/>
        <v>0</v>
      </c>
      <c r="AM53" s="132">
        <f>AH53+AK53</f>
        <v>0</v>
      </c>
      <c r="AN53" s="403">
        <f t="shared" si="17"/>
        <v>0</v>
      </c>
      <c r="AO53" s="128">
        <f t="shared" si="18"/>
        <v>994677</v>
      </c>
      <c r="AP53" s="130">
        <f t="shared" si="19"/>
        <v>728357</v>
      </c>
      <c r="AQ53" s="130">
        <f t="shared" si="20"/>
        <v>0</v>
      </c>
      <c r="AR53" s="130">
        <f t="shared" si="21"/>
        <v>246185</v>
      </c>
      <c r="AS53" s="130">
        <f t="shared" si="22"/>
        <v>14567</v>
      </c>
      <c r="AT53" s="130">
        <f t="shared" si="23"/>
        <v>5568</v>
      </c>
      <c r="AU53" s="132">
        <f t="shared" si="24"/>
        <v>2.48</v>
      </c>
      <c r="AV53" s="132">
        <f t="shared" si="25"/>
        <v>0</v>
      </c>
      <c r="AW53" s="133">
        <f t="shared" si="26"/>
        <v>2.48</v>
      </c>
    </row>
    <row r="54" spans="1:49" ht="14.1" customHeight="1" x14ac:dyDescent="0.2">
      <c r="A54" s="137">
        <v>12</v>
      </c>
      <c r="B54" s="134">
        <v>2428</v>
      </c>
      <c r="C54" s="135">
        <v>600079112</v>
      </c>
      <c r="D54" s="134">
        <v>72743140</v>
      </c>
      <c r="E54" s="136" t="s">
        <v>597</v>
      </c>
      <c r="F54" s="137"/>
      <c r="G54" s="136"/>
      <c r="H54" s="138"/>
      <c r="I54" s="139">
        <f t="shared" ref="I54:P54" si="104">SUM(I52:I53)</f>
        <v>7424358</v>
      </c>
      <c r="J54" s="140">
        <f t="shared" si="104"/>
        <v>5431215</v>
      </c>
      <c r="K54" s="140">
        <f t="shared" si="104"/>
        <v>1835751</v>
      </c>
      <c r="L54" s="140">
        <f t="shared" si="104"/>
        <v>108624</v>
      </c>
      <c r="M54" s="140">
        <f t="shared" si="104"/>
        <v>48768</v>
      </c>
      <c r="N54" s="141">
        <f t="shared" si="104"/>
        <v>13.3482</v>
      </c>
      <c r="O54" s="141">
        <f t="shared" si="104"/>
        <v>8</v>
      </c>
      <c r="P54" s="142">
        <f t="shared" si="104"/>
        <v>5.3482000000000003</v>
      </c>
      <c r="Q54" s="342">
        <f t="shared" ref="Q54:AW54" si="105">SUM(Q52:Q53)</f>
        <v>-800</v>
      </c>
      <c r="R54" s="140">
        <f t="shared" si="105"/>
        <v>0</v>
      </c>
      <c r="S54" s="140">
        <f t="shared" si="105"/>
        <v>0</v>
      </c>
      <c r="T54" s="140">
        <f t="shared" si="105"/>
        <v>0</v>
      </c>
      <c r="U54" s="140">
        <f t="shared" si="105"/>
        <v>-800</v>
      </c>
      <c r="V54" s="140">
        <f t="shared" si="105"/>
        <v>800</v>
      </c>
      <c r="W54" s="140">
        <f t="shared" si="105"/>
        <v>0</v>
      </c>
      <c r="X54" s="140">
        <f t="shared" si="105"/>
        <v>0</v>
      </c>
      <c r="Y54" s="140">
        <f t="shared" si="105"/>
        <v>800</v>
      </c>
      <c r="Z54" s="140">
        <f t="shared" si="105"/>
        <v>0</v>
      </c>
      <c r="AA54" s="140">
        <f t="shared" si="105"/>
        <v>0</v>
      </c>
      <c r="AB54" s="140">
        <f t="shared" si="105"/>
        <v>-16</v>
      </c>
      <c r="AC54" s="140">
        <f t="shared" si="105"/>
        <v>0</v>
      </c>
      <c r="AD54" s="140">
        <f t="shared" si="105"/>
        <v>0</v>
      </c>
      <c r="AE54" s="140">
        <f t="shared" si="105"/>
        <v>0</v>
      </c>
      <c r="AF54" s="140">
        <f t="shared" si="105"/>
        <v>-16</v>
      </c>
      <c r="AG54" s="141">
        <f t="shared" si="105"/>
        <v>0</v>
      </c>
      <c r="AH54" s="141">
        <f t="shared" si="105"/>
        <v>0</v>
      </c>
      <c r="AI54" s="141">
        <f t="shared" si="105"/>
        <v>0</v>
      </c>
      <c r="AJ54" s="141">
        <f t="shared" si="105"/>
        <v>0</v>
      </c>
      <c r="AK54" s="141">
        <f t="shared" si="105"/>
        <v>0</v>
      </c>
      <c r="AL54" s="141">
        <f t="shared" si="105"/>
        <v>0</v>
      </c>
      <c r="AM54" s="141">
        <f t="shared" si="105"/>
        <v>0</v>
      </c>
      <c r="AN54" s="635">
        <f t="shared" si="105"/>
        <v>0</v>
      </c>
      <c r="AO54" s="139">
        <f t="shared" si="105"/>
        <v>7424342</v>
      </c>
      <c r="AP54" s="140">
        <f t="shared" si="105"/>
        <v>5430415</v>
      </c>
      <c r="AQ54" s="140">
        <f t="shared" si="105"/>
        <v>800</v>
      </c>
      <c r="AR54" s="140">
        <f t="shared" si="105"/>
        <v>1835751</v>
      </c>
      <c r="AS54" s="140">
        <f t="shared" si="105"/>
        <v>108608</v>
      </c>
      <c r="AT54" s="140">
        <f t="shared" si="105"/>
        <v>48768</v>
      </c>
      <c r="AU54" s="141">
        <f t="shared" si="105"/>
        <v>13.3482</v>
      </c>
      <c r="AV54" s="141">
        <f t="shared" si="105"/>
        <v>8</v>
      </c>
      <c r="AW54" s="142">
        <f t="shared" si="105"/>
        <v>5.3482000000000003</v>
      </c>
    </row>
    <row r="55" spans="1:49" ht="14.1" customHeight="1" x14ac:dyDescent="0.2">
      <c r="A55" s="124">
        <v>13</v>
      </c>
      <c r="B55" s="121">
        <v>2413</v>
      </c>
      <c r="C55" s="122">
        <v>600079601</v>
      </c>
      <c r="D55" s="121">
        <v>72742909</v>
      </c>
      <c r="E55" s="123" t="s">
        <v>598</v>
      </c>
      <c r="F55" s="124">
        <v>3111</v>
      </c>
      <c r="G55" s="123" t="s">
        <v>317</v>
      </c>
      <c r="H55" s="125" t="s">
        <v>283</v>
      </c>
      <c r="I55" s="126">
        <f t="shared" si="4"/>
        <v>5020653</v>
      </c>
      <c r="J55" s="127">
        <v>3674229</v>
      </c>
      <c r="K55" s="127">
        <f t="shared" si="5"/>
        <v>1241889</v>
      </c>
      <c r="L55" s="477">
        <f t="shared" si="6"/>
        <v>73485</v>
      </c>
      <c r="M55" s="127">
        <v>31050</v>
      </c>
      <c r="N55" s="390">
        <f t="shared" si="7"/>
        <v>8.3759999999999994</v>
      </c>
      <c r="O55" s="390">
        <v>6.2417999999999996</v>
      </c>
      <c r="P55" s="439">
        <v>2.1341999999999999</v>
      </c>
      <c r="Q55" s="129">
        <f t="shared" si="8"/>
        <v>0</v>
      </c>
      <c r="R55" s="130">
        <v>0</v>
      </c>
      <c r="S55" s="130">
        <v>0</v>
      </c>
      <c r="T55" s="130">
        <v>0</v>
      </c>
      <c r="U55" s="130">
        <f t="shared" si="9"/>
        <v>0</v>
      </c>
      <c r="V55" s="130">
        <v>0</v>
      </c>
      <c r="W55" s="130">
        <v>0</v>
      </c>
      <c r="X55" s="130">
        <v>0</v>
      </c>
      <c r="Y55" s="130">
        <f t="shared" ref="Y55:Y57" si="106">SUM(V55:X55)</f>
        <v>0</v>
      </c>
      <c r="Z55" s="130">
        <f t="shared" ref="Z55:Z57" si="107">U55+Y55</f>
        <v>0</v>
      </c>
      <c r="AA55" s="131">
        <f t="shared" ref="AA55:AA57" si="108">ROUND((U55+V55+W55)*33.8%,0)</f>
        <v>0</v>
      </c>
      <c r="AB55" s="131">
        <f t="shared" ref="AB55:AB57" si="109">ROUND(U55*2%,0)</f>
        <v>0</v>
      </c>
      <c r="AC55" s="130">
        <v>0</v>
      </c>
      <c r="AD55" s="130">
        <v>0</v>
      </c>
      <c r="AE55" s="130">
        <f t="shared" si="14"/>
        <v>0</v>
      </c>
      <c r="AF55" s="130">
        <f t="shared" si="15"/>
        <v>0</v>
      </c>
      <c r="AG55" s="132">
        <v>0</v>
      </c>
      <c r="AH55" s="132">
        <v>0</v>
      </c>
      <c r="AI55" s="132">
        <v>0</v>
      </c>
      <c r="AJ55" s="132">
        <v>0</v>
      </c>
      <c r="AK55" s="132">
        <v>0</v>
      </c>
      <c r="AL55" s="132">
        <f t="shared" si="16"/>
        <v>0</v>
      </c>
      <c r="AM55" s="132">
        <f>AH55+AK55</f>
        <v>0</v>
      </c>
      <c r="AN55" s="403">
        <f t="shared" si="17"/>
        <v>0</v>
      </c>
      <c r="AO55" s="128">
        <f t="shared" si="18"/>
        <v>5020653</v>
      </c>
      <c r="AP55" s="130">
        <f t="shared" si="19"/>
        <v>3674229</v>
      </c>
      <c r="AQ55" s="130">
        <f t="shared" si="20"/>
        <v>0</v>
      </c>
      <c r="AR55" s="130">
        <f t="shared" si="21"/>
        <v>1241889</v>
      </c>
      <c r="AS55" s="130">
        <f t="shared" si="22"/>
        <v>73485</v>
      </c>
      <c r="AT55" s="130">
        <f t="shared" si="23"/>
        <v>31050</v>
      </c>
      <c r="AU55" s="132">
        <f t="shared" si="24"/>
        <v>8.3759999999999994</v>
      </c>
      <c r="AV55" s="132">
        <f t="shared" si="25"/>
        <v>6.2417999999999996</v>
      </c>
      <c r="AW55" s="133">
        <f t="shared" si="26"/>
        <v>2.1341999999999999</v>
      </c>
    </row>
    <row r="56" spans="1:49" ht="14.1" customHeight="1" x14ac:dyDescent="0.2">
      <c r="A56" s="124">
        <v>13</v>
      </c>
      <c r="B56" s="121">
        <v>2413</v>
      </c>
      <c r="C56" s="122">
        <v>600079601</v>
      </c>
      <c r="D56" s="121">
        <v>72742909</v>
      </c>
      <c r="E56" s="123" t="s">
        <v>598</v>
      </c>
      <c r="F56" s="124">
        <v>3111</v>
      </c>
      <c r="G56" s="143" t="s">
        <v>318</v>
      </c>
      <c r="H56" s="125" t="s">
        <v>284</v>
      </c>
      <c r="I56" s="126">
        <f t="shared" si="4"/>
        <v>0</v>
      </c>
      <c r="J56" s="29">
        <v>0</v>
      </c>
      <c r="K56" s="127">
        <f t="shared" si="5"/>
        <v>0</v>
      </c>
      <c r="L56" s="477">
        <f t="shared" si="6"/>
        <v>0</v>
      </c>
      <c r="M56" s="29">
        <v>0</v>
      </c>
      <c r="N56" s="390">
        <f t="shared" si="7"/>
        <v>0</v>
      </c>
      <c r="O56" s="349">
        <v>0</v>
      </c>
      <c r="P56" s="639">
        <v>0</v>
      </c>
      <c r="Q56" s="129">
        <f t="shared" si="8"/>
        <v>0</v>
      </c>
      <c r="R56" s="130">
        <v>0</v>
      </c>
      <c r="S56" s="130">
        <v>0</v>
      </c>
      <c r="T56" s="130">
        <v>0</v>
      </c>
      <c r="U56" s="130">
        <f t="shared" si="9"/>
        <v>0</v>
      </c>
      <c r="V56" s="130">
        <v>0</v>
      </c>
      <c r="W56" s="130">
        <v>0</v>
      </c>
      <c r="X56" s="130">
        <v>0</v>
      </c>
      <c r="Y56" s="130">
        <f t="shared" si="106"/>
        <v>0</v>
      </c>
      <c r="Z56" s="130">
        <f t="shared" si="107"/>
        <v>0</v>
      </c>
      <c r="AA56" s="131">
        <f t="shared" si="108"/>
        <v>0</v>
      </c>
      <c r="AB56" s="131">
        <f t="shared" si="109"/>
        <v>0</v>
      </c>
      <c r="AC56" s="130">
        <v>0</v>
      </c>
      <c r="AD56" s="130">
        <v>0</v>
      </c>
      <c r="AE56" s="130">
        <f t="shared" si="14"/>
        <v>0</v>
      </c>
      <c r="AF56" s="130">
        <f t="shared" si="15"/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f t="shared" si="16"/>
        <v>0</v>
      </c>
      <c r="AM56" s="132">
        <f>AH56+AK56</f>
        <v>0</v>
      </c>
      <c r="AN56" s="403">
        <f t="shared" si="17"/>
        <v>0</v>
      </c>
      <c r="AO56" s="128">
        <f t="shared" si="18"/>
        <v>0</v>
      </c>
      <c r="AP56" s="130">
        <f t="shared" si="19"/>
        <v>0</v>
      </c>
      <c r="AQ56" s="130">
        <f t="shared" si="20"/>
        <v>0</v>
      </c>
      <c r="AR56" s="130">
        <f t="shared" si="21"/>
        <v>0</v>
      </c>
      <c r="AS56" s="130">
        <f t="shared" si="22"/>
        <v>0</v>
      </c>
      <c r="AT56" s="130">
        <f t="shared" si="23"/>
        <v>0</v>
      </c>
      <c r="AU56" s="132">
        <f t="shared" si="24"/>
        <v>0</v>
      </c>
      <c r="AV56" s="132">
        <f t="shared" si="25"/>
        <v>0</v>
      </c>
      <c r="AW56" s="133">
        <f t="shared" si="26"/>
        <v>0</v>
      </c>
    </row>
    <row r="57" spans="1:49" ht="14.1" customHeight="1" x14ac:dyDescent="0.2">
      <c r="A57" s="124">
        <v>13</v>
      </c>
      <c r="B57" s="121">
        <v>2413</v>
      </c>
      <c r="C57" s="122">
        <v>600079601</v>
      </c>
      <c r="D57" s="121">
        <v>72742909</v>
      </c>
      <c r="E57" s="123" t="s">
        <v>598</v>
      </c>
      <c r="F57" s="124">
        <v>3141</v>
      </c>
      <c r="G57" s="123" t="s">
        <v>321</v>
      </c>
      <c r="H57" s="125" t="s">
        <v>284</v>
      </c>
      <c r="I57" s="126">
        <f t="shared" si="4"/>
        <v>815231</v>
      </c>
      <c r="J57" s="666">
        <v>597242</v>
      </c>
      <c r="K57" s="127">
        <f t="shared" si="5"/>
        <v>201868</v>
      </c>
      <c r="L57" s="477">
        <f t="shared" si="6"/>
        <v>11945</v>
      </c>
      <c r="M57" s="666">
        <v>4176</v>
      </c>
      <c r="N57" s="390">
        <f t="shared" si="7"/>
        <v>2.0299999999999998</v>
      </c>
      <c r="O57" s="668">
        <v>0</v>
      </c>
      <c r="P57" s="667">
        <v>2.0299999999999998</v>
      </c>
      <c r="Q57" s="129">
        <f t="shared" si="8"/>
        <v>0</v>
      </c>
      <c r="R57" s="130">
        <v>0</v>
      </c>
      <c r="S57" s="130">
        <v>0</v>
      </c>
      <c r="T57" s="130">
        <v>0</v>
      </c>
      <c r="U57" s="130">
        <f t="shared" si="9"/>
        <v>0</v>
      </c>
      <c r="V57" s="130">
        <v>0</v>
      </c>
      <c r="W57" s="130">
        <v>0</v>
      </c>
      <c r="X57" s="130">
        <v>0</v>
      </c>
      <c r="Y57" s="130">
        <f t="shared" si="106"/>
        <v>0</v>
      </c>
      <c r="Z57" s="130">
        <f t="shared" si="107"/>
        <v>0</v>
      </c>
      <c r="AA57" s="131">
        <f t="shared" si="108"/>
        <v>0</v>
      </c>
      <c r="AB57" s="131">
        <f t="shared" si="109"/>
        <v>0</v>
      </c>
      <c r="AC57" s="130">
        <v>0</v>
      </c>
      <c r="AD57" s="130">
        <v>0</v>
      </c>
      <c r="AE57" s="130">
        <f t="shared" si="14"/>
        <v>0</v>
      </c>
      <c r="AF57" s="130">
        <f t="shared" si="15"/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f t="shared" si="16"/>
        <v>0</v>
      </c>
      <c r="AM57" s="132">
        <f>AH57+AK57</f>
        <v>0</v>
      </c>
      <c r="AN57" s="403">
        <f t="shared" si="17"/>
        <v>0</v>
      </c>
      <c r="AO57" s="128">
        <f t="shared" si="18"/>
        <v>815231</v>
      </c>
      <c r="AP57" s="130">
        <f t="shared" si="19"/>
        <v>597242</v>
      </c>
      <c r="AQ57" s="130">
        <f t="shared" si="20"/>
        <v>0</v>
      </c>
      <c r="AR57" s="130">
        <f t="shared" si="21"/>
        <v>201868</v>
      </c>
      <c r="AS57" s="130">
        <f t="shared" si="22"/>
        <v>11945</v>
      </c>
      <c r="AT57" s="130">
        <f t="shared" si="23"/>
        <v>4176</v>
      </c>
      <c r="AU57" s="132">
        <f t="shared" si="24"/>
        <v>2.0299999999999998</v>
      </c>
      <c r="AV57" s="132">
        <f t="shared" si="25"/>
        <v>0</v>
      </c>
      <c r="AW57" s="133">
        <f t="shared" si="26"/>
        <v>2.0299999999999998</v>
      </c>
    </row>
    <row r="58" spans="1:49" ht="14.1" customHeight="1" x14ac:dyDescent="0.2">
      <c r="A58" s="137">
        <v>13</v>
      </c>
      <c r="B58" s="134">
        <v>2413</v>
      </c>
      <c r="C58" s="135">
        <v>600079601</v>
      </c>
      <c r="D58" s="134">
        <v>72742909</v>
      </c>
      <c r="E58" s="136" t="s">
        <v>599</v>
      </c>
      <c r="F58" s="137"/>
      <c r="G58" s="136"/>
      <c r="H58" s="138"/>
      <c r="I58" s="139">
        <f t="shared" ref="I58:P58" si="110">SUM(I55:I57)</f>
        <v>5835884</v>
      </c>
      <c r="J58" s="140">
        <f t="shared" si="110"/>
        <v>4271471</v>
      </c>
      <c r="K58" s="140">
        <f t="shared" si="110"/>
        <v>1443757</v>
      </c>
      <c r="L58" s="140">
        <f t="shared" si="110"/>
        <v>85430</v>
      </c>
      <c r="M58" s="140">
        <f t="shared" si="110"/>
        <v>35226</v>
      </c>
      <c r="N58" s="141">
        <f t="shared" si="110"/>
        <v>10.405999999999999</v>
      </c>
      <c r="O58" s="141">
        <f t="shared" si="110"/>
        <v>6.2417999999999996</v>
      </c>
      <c r="P58" s="142">
        <f t="shared" si="110"/>
        <v>4.1641999999999992</v>
      </c>
      <c r="Q58" s="342">
        <f t="shared" ref="Q58:AW58" si="111">SUM(Q55:Q57)</f>
        <v>0</v>
      </c>
      <c r="R58" s="140">
        <f t="shared" si="111"/>
        <v>0</v>
      </c>
      <c r="S58" s="140">
        <f t="shared" si="111"/>
        <v>0</v>
      </c>
      <c r="T58" s="140">
        <f t="shared" si="111"/>
        <v>0</v>
      </c>
      <c r="U58" s="140">
        <f t="shared" si="111"/>
        <v>0</v>
      </c>
      <c r="V58" s="140">
        <f t="shared" si="111"/>
        <v>0</v>
      </c>
      <c r="W58" s="140">
        <f t="shared" si="111"/>
        <v>0</v>
      </c>
      <c r="X58" s="140">
        <f t="shared" si="111"/>
        <v>0</v>
      </c>
      <c r="Y58" s="140">
        <f t="shared" si="111"/>
        <v>0</v>
      </c>
      <c r="Z58" s="140">
        <f t="shared" si="111"/>
        <v>0</v>
      </c>
      <c r="AA58" s="140">
        <f t="shared" si="111"/>
        <v>0</v>
      </c>
      <c r="AB58" s="140">
        <f t="shared" si="111"/>
        <v>0</v>
      </c>
      <c r="AC58" s="140">
        <f t="shared" si="111"/>
        <v>0</v>
      </c>
      <c r="AD58" s="140">
        <f t="shared" si="111"/>
        <v>0</v>
      </c>
      <c r="AE58" s="140">
        <f t="shared" si="111"/>
        <v>0</v>
      </c>
      <c r="AF58" s="140">
        <f t="shared" si="111"/>
        <v>0</v>
      </c>
      <c r="AG58" s="141">
        <f t="shared" si="111"/>
        <v>0</v>
      </c>
      <c r="AH58" s="141">
        <f t="shared" si="111"/>
        <v>0</v>
      </c>
      <c r="AI58" s="141">
        <f t="shared" si="111"/>
        <v>0</v>
      </c>
      <c r="AJ58" s="141">
        <f t="shared" si="111"/>
        <v>0</v>
      </c>
      <c r="AK58" s="141">
        <f t="shared" si="111"/>
        <v>0</v>
      </c>
      <c r="AL58" s="141">
        <f t="shared" si="111"/>
        <v>0</v>
      </c>
      <c r="AM58" s="141">
        <f t="shared" si="111"/>
        <v>0</v>
      </c>
      <c r="AN58" s="635">
        <f t="shared" si="111"/>
        <v>0</v>
      </c>
      <c r="AO58" s="139">
        <f t="shared" si="111"/>
        <v>5835884</v>
      </c>
      <c r="AP58" s="140">
        <f t="shared" si="111"/>
        <v>4271471</v>
      </c>
      <c r="AQ58" s="140">
        <f t="shared" si="111"/>
        <v>0</v>
      </c>
      <c r="AR58" s="140">
        <f t="shared" si="111"/>
        <v>1443757</v>
      </c>
      <c r="AS58" s="140">
        <f t="shared" si="111"/>
        <v>85430</v>
      </c>
      <c r="AT58" s="140">
        <f t="shared" si="111"/>
        <v>35226</v>
      </c>
      <c r="AU58" s="141">
        <f t="shared" si="111"/>
        <v>10.405999999999999</v>
      </c>
      <c r="AV58" s="141">
        <f t="shared" si="111"/>
        <v>6.2417999999999996</v>
      </c>
      <c r="AW58" s="142">
        <f t="shared" si="111"/>
        <v>4.1641999999999992</v>
      </c>
    </row>
    <row r="59" spans="1:49" ht="14.1" customHeight="1" x14ac:dyDescent="0.2">
      <c r="A59" s="124">
        <v>14</v>
      </c>
      <c r="B59" s="121">
        <v>2410</v>
      </c>
      <c r="C59" s="122">
        <v>600079121</v>
      </c>
      <c r="D59" s="121">
        <v>72742348</v>
      </c>
      <c r="E59" s="123" t="s">
        <v>600</v>
      </c>
      <c r="F59" s="124">
        <v>3111</v>
      </c>
      <c r="G59" s="123" t="s">
        <v>317</v>
      </c>
      <c r="H59" s="125" t="s">
        <v>283</v>
      </c>
      <c r="I59" s="126">
        <f t="shared" si="4"/>
        <v>7057114</v>
      </c>
      <c r="J59" s="127">
        <v>5161645</v>
      </c>
      <c r="K59" s="127">
        <f t="shared" si="5"/>
        <v>1744636</v>
      </c>
      <c r="L59" s="477">
        <f t="shared" si="6"/>
        <v>103233</v>
      </c>
      <c r="M59" s="127">
        <v>47600</v>
      </c>
      <c r="N59" s="390">
        <f t="shared" si="7"/>
        <v>11.5458</v>
      </c>
      <c r="O59" s="390">
        <v>8.5806000000000004</v>
      </c>
      <c r="P59" s="439">
        <v>2.9651999999999998</v>
      </c>
      <c r="Q59" s="129">
        <f t="shared" si="8"/>
        <v>-21600</v>
      </c>
      <c r="R59" s="130">
        <v>0</v>
      </c>
      <c r="S59" s="130">
        <v>0</v>
      </c>
      <c r="T59" s="130">
        <v>0</v>
      </c>
      <c r="U59" s="130">
        <f t="shared" si="9"/>
        <v>-21600</v>
      </c>
      <c r="V59" s="130">
        <v>21600</v>
      </c>
      <c r="W59" s="130">
        <v>0</v>
      </c>
      <c r="X59" s="130">
        <v>0</v>
      </c>
      <c r="Y59" s="130">
        <f t="shared" ref="Y59:Y61" si="112">SUM(V59:X59)</f>
        <v>21600</v>
      </c>
      <c r="Z59" s="130">
        <f t="shared" ref="Z59:Z61" si="113">U59+Y59</f>
        <v>0</v>
      </c>
      <c r="AA59" s="131">
        <f t="shared" ref="AA59:AA61" si="114">ROUND((U59+V59+W59)*33.8%,0)</f>
        <v>0</v>
      </c>
      <c r="AB59" s="131">
        <f t="shared" ref="AB59:AB61" si="115">ROUND(U59*2%,0)</f>
        <v>-432</v>
      </c>
      <c r="AC59" s="130">
        <v>0</v>
      </c>
      <c r="AD59" s="130">
        <v>0</v>
      </c>
      <c r="AE59" s="130">
        <f t="shared" si="14"/>
        <v>0</v>
      </c>
      <c r="AF59" s="130">
        <f t="shared" si="15"/>
        <v>-432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f t="shared" si="16"/>
        <v>0</v>
      </c>
      <c r="AM59" s="132">
        <f>AH59+AK59</f>
        <v>0</v>
      </c>
      <c r="AN59" s="403">
        <f t="shared" si="17"/>
        <v>0</v>
      </c>
      <c r="AO59" s="128">
        <f t="shared" si="18"/>
        <v>7056682</v>
      </c>
      <c r="AP59" s="130">
        <f t="shared" si="19"/>
        <v>5140045</v>
      </c>
      <c r="AQ59" s="130">
        <f t="shared" si="20"/>
        <v>21600</v>
      </c>
      <c r="AR59" s="130">
        <f t="shared" si="21"/>
        <v>1744636</v>
      </c>
      <c r="AS59" s="130">
        <f t="shared" si="22"/>
        <v>102801</v>
      </c>
      <c r="AT59" s="130">
        <f t="shared" si="23"/>
        <v>47600</v>
      </c>
      <c r="AU59" s="132">
        <f t="shared" si="24"/>
        <v>11.5458</v>
      </c>
      <c r="AV59" s="132">
        <f t="shared" si="25"/>
        <v>8.5806000000000004</v>
      </c>
      <c r="AW59" s="133">
        <f t="shared" si="26"/>
        <v>2.9651999999999998</v>
      </c>
    </row>
    <row r="60" spans="1:49" ht="14.1" customHeight="1" x14ac:dyDescent="0.2">
      <c r="A60" s="124">
        <v>14</v>
      </c>
      <c r="B60" s="121">
        <v>2410</v>
      </c>
      <c r="C60" s="122">
        <v>600079121</v>
      </c>
      <c r="D60" s="121">
        <v>72742348</v>
      </c>
      <c r="E60" s="123" t="s">
        <v>600</v>
      </c>
      <c r="F60" s="124">
        <v>3111</v>
      </c>
      <c r="G60" s="98" t="s">
        <v>319</v>
      </c>
      <c r="H60" s="125" t="s">
        <v>283</v>
      </c>
      <c r="I60" s="126">
        <f t="shared" si="4"/>
        <v>410447</v>
      </c>
      <c r="J60" s="631">
        <v>302244</v>
      </c>
      <c r="K60" s="127">
        <f t="shared" si="5"/>
        <v>102158</v>
      </c>
      <c r="L60" s="477">
        <f t="shared" si="6"/>
        <v>6045</v>
      </c>
      <c r="M60" s="478">
        <v>0</v>
      </c>
      <c r="N60" s="390">
        <f t="shared" si="7"/>
        <v>1</v>
      </c>
      <c r="O60" s="644">
        <v>1</v>
      </c>
      <c r="P60" s="639">
        <v>0</v>
      </c>
      <c r="Q60" s="129">
        <f t="shared" si="8"/>
        <v>0</v>
      </c>
      <c r="R60" s="130">
        <v>0</v>
      </c>
      <c r="S60" s="130">
        <v>0</v>
      </c>
      <c r="T60" s="130">
        <v>0</v>
      </c>
      <c r="U60" s="130">
        <f t="shared" si="9"/>
        <v>0</v>
      </c>
      <c r="V60" s="130">
        <v>0</v>
      </c>
      <c r="W60" s="130">
        <v>0</v>
      </c>
      <c r="X60" s="130">
        <v>0</v>
      </c>
      <c r="Y60" s="130">
        <f t="shared" si="112"/>
        <v>0</v>
      </c>
      <c r="Z60" s="130">
        <f t="shared" si="113"/>
        <v>0</v>
      </c>
      <c r="AA60" s="131">
        <f t="shared" si="114"/>
        <v>0</v>
      </c>
      <c r="AB60" s="131">
        <f t="shared" si="115"/>
        <v>0</v>
      </c>
      <c r="AC60" s="130">
        <v>0</v>
      </c>
      <c r="AD60" s="130">
        <v>0</v>
      </c>
      <c r="AE60" s="130">
        <f t="shared" si="14"/>
        <v>0</v>
      </c>
      <c r="AF60" s="130">
        <f t="shared" si="15"/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f t="shared" si="16"/>
        <v>0</v>
      </c>
      <c r="AM60" s="132">
        <f>AH60+AK60</f>
        <v>0</v>
      </c>
      <c r="AN60" s="403">
        <f t="shared" si="17"/>
        <v>0</v>
      </c>
      <c r="AO60" s="128">
        <f t="shared" si="18"/>
        <v>410447</v>
      </c>
      <c r="AP60" s="130">
        <f t="shared" si="19"/>
        <v>302244</v>
      </c>
      <c r="AQ60" s="130">
        <f t="shared" si="20"/>
        <v>0</v>
      </c>
      <c r="AR60" s="130">
        <f t="shared" si="21"/>
        <v>102158</v>
      </c>
      <c r="AS60" s="130">
        <f t="shared" si="22"/>
        <v>6045</v>
      </c>
      <c r="AT60" s="130">
        <f t="shared" si="23"/>
        <v>0</v>
      </c>
      <c r="AU60" s="132">
        <f t="shared" si="24"/>
        <v>1</v>
      </c>
      <c r="AV60" s="132">
        <f t="shared" si="25"/>
        <v>1</v>
      </c>
      <c r="AW60" s="133">
        <f t="shared" si="26"/>
        <v>0</v>
      </c>
    </row>
    <row r="61" spans="1:49" ht="14.1" customHeight="1" x14ac:dyDescent="0.2">
      <c r="A61" s="124">
        <v>14</v>
      </c>
      <c r="B61" s="121">
        <v>2410</v>
      </c>
      <c r="C61" s="122">
        <v>600079121</v>
      </c>
      <c r="D61" s="121">
        <v>72742348</v>
      </c>
      <c r="E61" s="123" t="s">
        <v>600</v>
      </c>
      <c r="F61" s="124">
        <v>3141</v>
      </c>
      <c r="G61" s="123" t="s">
        <v>321</v>
      </c>
      <c r="H61" s="125" t="s">
        <v>284</v>
      </c>
      <c r="I61" s="126">
        <f t="shared" si="4"/>
        <v>890794</v>
      </c>
      <c r="J61" s="666">
        <v>652458</v>
      </c>
      <c r="K61" s="127">
        <f t="shared" si="5"/>
        <v>220531</v>
      </c>
      <c r="L61" s="477">
        <f t="shared" si="6"/>
        <v>13049</v>
      </c>
      <c r="M61" s="666">
        <v>4756</v>
      </c>
      <c r="N61" s="390">
        <f t="shared" si="7"/>
        <v>2.2200000000000002</v>
      </c>
      <c r="O61" s="668">
        <v>0</v>
      </c>
      <c r="P61" s="667">
        <v>2.2200000000000002</v>
      </c>
      <c r="Q61" s="129">
        <f t="shared" si="8"/>
        <v>0</v>
      </c>
      <c r="R61" s="130">
        <v>0</v>
      </c>
      <c r="S61" s="130">
        <v>0</v>
      </c>
      <c r="T61" s="130">
        <v>0</v>
      </c>
      <c r="U61" s="130">
        <f t="shared" si="9"/>
        <v>0</v>
      </c>
      <c r="V61" s="130">
        <v>0</v>
      </c>
      <c r="W61" s="130">
        <v>0</v>
      </c>
      <c r="X61" s="130">
        <v>0</v>
      </c>
      <c r="Y61" s="130">
        <f t="shared" si="112"/>
        <v>0</v>
      </c>
      <c r="Z61" s="130">
        <f t="shared" si="113"/>
        <v>0</v>
      </c>
      <c r="AA61" s="131">
        <f t="shared" si="114"/>
        <v>0</v>
      </c>
      <c r="AB61" s="131">
        <f t="shared" si="115"/>
        <v>0</v>
      </c>
      <c r="AC61" s="130">
        <v>0</v>
      </c>
      <c r="AD61" s="130">
        <v>0</v>
      </c>
      <c r="AE61" s="130">
        <f t="shared" si="14"/>
        <v>0</v>
      </c>
      <c r="AF61" s="130">
        <f t="shared" si="15"/>
        <v>0</v>
      </c>
      <c r="AG61" s="132">
        <v>0</v>
      </c>
      <c r="AH61" s="132">
        <v>0</v>
      </c>
      <c r="AI61" s="132">
        <v>0</v>
      </c>
      <c r="AJ61" s="132">
        <v>0</v>
      </c>
      <c r="AK61" s="132">
        <v>0</v>
      </c>
      <c r="AL61" s="132">
        <f t="shared" si="16"/>
        <v>0</v>
      </c>
      <c r="AM61" s="132">
        <f>AH61+AK61</f>
        <v>0</v>
      </c>
      <c r="AN61" s="403">
        <f t="shared" si="17"/>
        <v>0</v>
      </c>
      <c r="AO61" s="128">
        <f t="shared" si="18"/>
        <v>890794</v>
      </c>
      <c r="AP61" s="130">
        <f t="shared" si="19"/>
        <v>652458</v>
      </c>
      <c r="AQ61" s="130">
        <f t="shared" si="20"/>
        <v>0</v>
      </c>
      <c r="AR61" s="130">
        <f t="shared" si="21"/>
        <v>220531</v>
      </c>
      <c r="AS61" s="130">
        <f t="shared" si="22"/>
        <v>13049</v>
      </c>
      <c r="AT61" s="130">
        <f t="shared" si="23"/>
        <v>4756</v>
      </c>
      <c r="AU61" s="132">
        <f t="shared" si="24"/>
        <v>2.2200000000000002</v>
      </c>
      <c r="AV61" s="132">
        <f t="shared" si="25"/>
        <v>0</v>
      </c>
      <c r="AW61" s="133">
        <f t="shared" si="26"/>
        <v>2.2200000000000002</v>
      </c>
    </row>
    <row r="62" spans="1:49" ht="14.1" customHeight="1" x14ac:dyDescent="0.2">
      <c r="A62" s="137">
        <v>14</v>
      </c>
      <c r="B62" s="134">
        <v>2410</v>
      </c>
      <c r="C62" s="135">
        <v>600079121</v>
      </c>
      <c r="D62" s="134">
        <v>72742348</v>
      </c>
      <c r="E62" s="136" t="s">
        <v>601</v>
      </c>
      <c r="F62" s="137"/>
      <c r="G62" s="136"/>
      <c r="H62" s="138"/>
      <c r="I62" s="139">
        <f t="shared" ref="I62:P62" si="116">SUM(I59:I61)</f>
        <v>8358355</v>
      </c>
      <c r="J62" s="140">
        <f t="shared" si="116"/>
        <v>6116347</v>
      </c>
      <c r="K62" s="140">
        <f t="shared" si="116"/>
        <v>2067325</v>
      </c>
      <c r="L62" s="140">
        <f t="shared" si="116"/>
        <v>122327</v>
      </c>
      <c r="M62" s="140">
        <f t="shared" si="116"/>
        <v>52356</v>
      </c>
      <c r="N62" s="141">
        <f t="shared" si="116"/>
        <v>14.7658</v>
      </c>
      <c r="O62" s="141">
        <f t="shared" si="116"/>
        <v>9.5806000000000004</v>
      </c>
      <c r="P62" s="142">
        <f t="shared" si="116"/>
        <v>5.1852</v>
      </c>
      <c r="Q62" s="342">
        <f t="shared" ref="Q62:AW62" si="117">SUM(Q59:Q61)</f>
        <v>-21600</v>
      </c>
      <c r="R62" s="140">
        <f t="shared" si="117"/>
        <v>0</v>
      </c>
      <c r="S62" s="140">
        <f t="shared" si="117"/>
        <v>0</v>
      </c>
      <c r="T62" s="140">
        <f t="shared" si="117"/>
        <v>0</v>
      </c>
      <c r="U62" s="140">
        <f t="shared" si="117"/>
        <v>-21600</v>
      </c>
      <c r="V62" s="140">
        <f t="shared" si="117"/>
        <v>21600</v>
      </c>
      <c r="W62" s="140">
        <f t="shared" si="117"/>
        <v>0</v>
      </c>
      <c r="X62" s="140">
        <f t="shared" si="117"/>
        <v>0</v>
      </c>
      <c r="Y62" s="140">
        <f t="shared" si="117"/>
        <v>21600</v>
      </c>
      <c r="Z62" s="140">
        <f t="shared" si="117"/>
        <v>0</v>
      </c>
      <c r="AA62" s="140">
        <f t="shared" si="117"/>
        <v>0</v>
      </c>
      <c r="AB62" s="140">
        <f t="shared" si="117"/>
        <v>-432</v>
      </c>
      <c r="AC62" s="140">
        <f t="shared" si="117"/>
        <v>0</v>
      </c>
      <c r="AD62" s="140">
        <f t="shared" si="117"/>
        <v>0</v>
      </c>
      <c r="AE62" s="140">
        <f t="shared" si="117"/>
        <v>0</v>
      </c>
      <c r="AF62" s="140">
        <f t="shared" si="117"/>
        <v>-432</v>
      </c>
      <c r="AG62" s="141">
        <f t="shared" si="117"/>
        <v>0</v>
      </c>
      <c r="AH62" s="141">
        <f t="shared" si="117"/>
        <v>0</v>
      </c>
      <c r="AI62" s="141">
        <f t="shared" si="117"/>
        <v>0</v>
      </c>
      <c r="AJ62" s="141">
        <f t="shared" si="117"/>
        <v>0</v>
      </c>
      <c r="AK62" s="141">
        <f t="shared" si="117"/>
        <v>0</v>
      </c>
      <c r="AL62" s="141">
        <f t="shared" si="117"/>
        <v>0</v>
      </c>
      <c r="AM62" s="141">
        <f t="shared" si="117"/>
        <v>0</v>
      </c>
      <c r="AN62" s="635">
        <f t="shared" si="117"/>
        <v>0</v>
      </c>
      <c r="AO62" s="139">
        <f t="shared" si="117"/>
        <v>8357923</v>
      </c>
      <c r="AP62" s="140">
        <f t="shared" si="117"/>
        <v>6094747</v>
      </c>
      <c r="AQ62" s="140">
        <f t="shared" si="117"/>
        <v>21600</v>
      </c>
      <c r="AR62" s="140">
        <f t="shared" si="117"/>
        <v>2067325</v>
      </c>
      <c r="AS62" s="140">
        <f t="shared" si="117"/>
        <v>121895</v>
      </c>
      <c r="AT62" s="140">
        <f t="shared" si="117"/>
        <v>52356</v>
      </c>
      <c r="AU62" s="141">
        <f t="shared" si="117"/>
        <v>14.7658</v>
      </c>
      <c r="AV62" s="141">
        <f t="shared" si="117"/>
        <v>9.5806000000000004</v>
      </c>
      <c r="AW62" s="142">
        <f t="shared" si="117"/>
        <v>5.1852</v>
      </c>
    </row>
    <row r="63" spans="1:49" ht="14.1" customHeight="1" x14ac:dyDescent="0.2">
      <c r="A63" s="124">
        <v>15</v>
      </c>
      <c r="B63" s="121">
        <v>2436</v>
      </c>
      <c r="C63" s="122">
        <v>600079538</v>
      </c>
      <c r="D63" s="121">
        <v>72741546</v>
      </c>
      <c r="E63" s="123" t="s">
        <v>602</v>
      </c>
      <c r="F63" s="124">
        <v>3111</v>
      </c>
      <c r="G63" s="123" t="s">
        <v>317</v>
      </c>
      <c r="H63" s="125" t="s">
        <v>283</v>
      </c>
      <c r="I63" s="126">
        <f t="shared" si="4"/>
        <v>4866316</v>
      </c>
      <c r="J63" s="127">
        <v>3561904</v>
      </c>
      <c r="K63" s="127">
        <f t="shared" si="5"/>
        <v>1203924</v>
      </c>
      <c r="L63" s="477">
        <f t="shared" si="6"/>
        <v>71238</v>
      </c>
      <c r="M63" s="127">
        <v>29250</v>
      </c>
      <c r="N63" s="390">
        <f t="shared" si="7"/>
        <v>8.3742000000000001</v>
      </c>
      <c r="O63" s="390">
        <v>6.24</v>
      </c>
      <c r="P63" s="439">
        <v>2.1341999999999999</v>
      </c>
      <c r="Q63" s="129">
        <f t="shared" si="8"/>
        <v>-12000</v>
      </c>
      <c r="R63" s="130">
        <v>0</v>
      </c>
      <c r="S63" s="130">
        <v>0</v>
      </c>
      <c r="T63" s="130">
        <v>0</v>
      </c>
      <c r="U63" s="130">
        <f t="shared" si="9"/>
        <v>-12000</v>
      </c>
      <c r="V63" s="130">
        <v>12000</v>
      </c>
      <c r="W63" s="130">
        <v>0</v>
      </c>
      <c r="X63" s="130">
        <v>0</v>
      </c>
      <c r="Y63" s="130">
        <f t="shared" ref="Y63:Y65" si="118">SUM(V63:X63)</f>
        <v>12000</v>
      </c>
      <c r="Z63" s="130">
        <f t="shared" ref="Z63:Z65" si="119">U63+Y63</f>
        <v>0</v>
      </c>
      <c r="AA63" s="131">
        <f t="shared" ref="AA63:AA65" si="120">ROUND((U63+V63+W63)*33.8%,0)</f>
        <v>0</v>
      </c>
      <c r="AB63" s="131">
        <f t="shared" ref="AB63:AB65" si="121">ROUND(U63*2%,0)</f>
        <v>-240</v>
      </c>
      <c r="AC63" s="130">
        <v>0</v>
      </c>
      <c r="AD63" s="130">
        <v>0</v>
      </c>
      <c r="AE63" s="130">
        <f t="shared" si="14"/>
        <v>0</v>
      </c>
      <c r="AF63" s="130">
        <f t="shared" si="15"/>
        <v>-240</v>
      </c>
      <c r="AG63" s="132">
        <v>0</v>
      </c>
      <c r="AH63" s="132">
        <v>0</v>
      </c>
      <c r="AI63" s="132">
        <v>0</v>
      </c>
      <c r="AJ63" s="132">
        <v>0</v>
      </c>
      <c r="AK63" s="132">
        <v>0</v>
      </c>
      <c r="AL63" s="132">
        <f t="shared" si="16"/>
        <v>0</v>
      </c>
      <c r="AM63" s="132">
        <f>AH63+AK63</f>
        <v>0</v>
      </c>
      <c r="AN63" s="403">
        <f t="shared" si="17"/>
        <v>0</v>
      </c>
      <c r="AO63" s="128">
        <f t="shared" si="18"/>
        <v>4866076</v>
      </c>
      <c r="AP63" s="130">
        <f t="shared" si="19"/>
        <v>3549904</v>
      </c>
      <c r="AQ63" s="130">
        <f t="shared" si="20"/>
        <v>12000</v>
      </c>
      <c r="AR63" s="130">
        <f t="shared" si="21"/>
        <v>1203924</v>
      </c>
      <c r="AS63" s="130">
        <f t="shared" si="22"/>
        <v>70998</v>
      </c>
      <c r="AT63" s="130">
        <f t="shared" si="23"/>
        <v>29250</v>
      </c>
      <c r="AU63" s="132">
        <f t="shared" si="24"/>
        <v>8.3742000000000001</v>
      </c>
      <c r="AV63" s="132">
        <f t="shared" si="25"/>
        <v>6.24</v>
      </c>
      <c r="AW63" s="133">
        <f t="shared" si="26"/>
        <v>2.1341999999999999</v>
      </c>
    </row>
    <row r="64" spans="1:49" ht="14.1" customHeight="1" x14ac:dyDescent="0.2">
      <c r="A64" s="124">
        <v>15</v>
      </c>
      <c r="B64" s="121">
        <v>2436</v>
      </c>
      <c r="C64" s="122">
        <v>600079538</v>
      </c>
      <c r="D64" s="121">
        <v>72741546</v>
      </c>
      <c r="E64" s="123" t="s">
        <v>602</v>
      </c>
      <c r="F64" s="124">
        <v>3111</v>
      </c>
      <c r="G64" s="143" t="s">
        <v>318</v>
      </c>
      <c r="H64" s="125" t="s">
        <v>284</v>
      </c>
      <c r="I64" s="126">
        <f t="shared" si="4"/>
        <v>0</v>
      </c>
      <c r="J64" s="29">
        <v>0</v>
      </c>
      <c r="K64" s="127">
        <f t="shared" si="5"/>
        <v>0</v>
      </c>
      <c r="L64" s="477">
        <f t="shared" si="6"/>
        <v>0</v>
      </c>
      <c r="M64" s="29">
        <v>0</v>
      </c>
      <c r="N64" s="390">
        <f t="shared" si="7"/>
        <v>0</v>
      </c>
      <c r="O64" s="349">
        <v>0</v>
      </c>
      <c r="P64" s="639">
        <v>0</v>
      </c>
      <c r="Q64" s="129">
        <f t="shared" si="8"/>
        <v>0</v>
      </c>
      <c r="R64" s="130">
        <f>1039329+(-288703)</f>
        <v>750626</v>
      </c>
      <c r="S64" s="130">
        <v>0</v>
      </c>
      <c r="T64" s="130">
        <v>0</v>
      </c>
      <c r="U64" s="130">
        <f t="shared" si="9"/>
        <v>750626</v>
      </c>
      <c r="V64" s="130">
        <v>0</v>
      </c>
      <c r="W64" s="130">
        <v>0</v>
      </c>
      <c r="X64" s="130">
        <v>0</v>
      </c>
      <c r="Y64" s="130">
        <f t="shared" si="118"/>
        <v>0</v>
      </c>
      <c r="Z64" s="130">
        <f t="shared" si="119"/>
        <v>750626</v>
      </c>
      <c r="AA64" s="131">
        <f t="shared" si="120"/>
        <v>253712</v>
      </c>
      <c r="AB64" s="131">
        <f t="shared" si="121"/>
        <v>15013</v>
      </c>
      <c r="AC64" s="130">
        <v>1500</v>
      </c>
      <c r="AD64" s="130">
        <v>0</v>
      </c>
      <c r="AE64" s="130">
        <f t="shared" si="14"/>
        <v>1500</v>
      </c>
      <c r="AF64" s="130">
        <f t="shared" si="15"/>
        <v>1020851</v>
      </c>
      <c r="AG64" s="132">
        <v>0</v>
      </c>
      <c r="AH64" s="132">
        <v>0</v>
      </c>
      <c r="AI64" s="132">
        <v>2.17</v>
      </c>
      <c r="AJ64" s="132">
        <v>0</v>
      </c>
      <c r="AK64" s="132">
        <v>0</v>
      </c>
      <c r="AL64" s="132">
        <f t="shared" si="16"/>
        <v>2.17</v>
      </c>
      <c r="AM64" s="132">
        <f>AH64+AK64</f>
        <v>0</v>
      </c>
      <c r="AN64" s="403">
        <f t="shared" si="17"/>
        <v>2.17</v>
      </c>
      <c r="AO64" s="128">
        <f t="shared" si="18"/>
        <v>1020851</v>
      </c>
      <c r="AP64" s="130">
        <f t="shared" si="19"/>
        <v>750626</v>
      </c>
      <c r="AQ64" s="130">
        <f t="shared" si="20"/>
        <v>0</v>
      </c>
      <c r="AR64" s="130">
        <f t="shared" si="21"/>
        <v>253712</v>
      </c>
      <c r="AS64" s="130">
        <f t="shared" si="22"/>
        <v>15013</v>
      </c>
      <c r="AT64" s="130">
        <f t="shared" si="23"/>
        <v>1500</v>
      </c>
      <c r="AU64" s="132">
        <f t="shared" si="24"/>
        <v>2.17</v>
      </c>
      <c r="AV64" s="132">
        <f t="shared" si="25"/>
        <v>2.17</v>
      </c>
      <c r="AW64" s="133">
        <f t="shared" si="26"/>
        <v>0</v>
      </c>
    </row>
    <row r="65" spans="1:49" ht="14.1" customHeight="1" x14ac:dyDescent="0.2">
      <c r="A65" s="124">
        <v>15</v>
      </c>
      <c r="B65" s="121">
        <v>2436</v>
      </c>
      <c r="C65" s="122">
        <v>600079538</v>
      </c>
      <c r="D65" s="121">
        <v>72741546</v>
      </c>
      <c r="E65" s="123" t="s">
        <v>602</v>
      </c>
      <c r="F65" s="124">
        <v>3141</v>
      </c>
      <c r="G65" s="123" t="s">
        <v>321</v>
      </c>
      <c r="H65" s="125" t="s">
        <v>284</v>
      </c>
      <c r="I65" s="126">
        <f t="shared" si="4"/>
        <v>752921</v>
      </c>
      <c r="J65" s="666">
        <v>551700</v>
      </c>
      <c r="K65" s="127">
        <f t="shared" si="5"/>
        <v>186475</v>
      </c>
      <c r="L65" s="477">
        <f t="shared" si="6"/>
        <v>11034</v>
      </c>
      <c r="M65" s="666">
        <v>3712</v>
      </c>
      <c r="N65" s="390">
        <f t="shared" si="7"/>
        <v>1.88</v>
      </c>
      <c r="O65" s="668">
        <v>0</v>
      </c>
      <c r="P65" s="667">
        <v>1.88</v>
      </c>
      <c r="Q65" s="129">
        <f t="shared" si="8"/>
        <v>0</v>
      </c>
      <c r="R65" s="130">
        <v>0</v>
      </c>
      <c r="S65" s="130">
        <v>0</v>
      </c>
      <c r="T65" s="130">
        <v>0</v>
      </c>
      <c r="U65" s="130">
        <f t="shared" si="9"/>
        <v>0</v>
      </c>
      <c r="V65" s="130">
        <v>0</v>
      </c>
      <c r="W65" s="130">
        <v>0</v>
      </c>
      <c r="X65" s="130">
        <v>0</v>
      </c>
      <c r="Y65" s="130">
        <f t="shared" si="118"/>
        <v>0</v>
      </c>
      <c r="Z65" s="130">
        <f t="shared" si="119"/>
        <v>0</v>
      </c>
      <c r="AA65" s="131">
        <f t="shared" si="120"/>
        <v>0</v>
      </c>
      <c r="AB65" s="131">
        <f t="shared" si="121"/>
        <v>0</v>
      </c>
      <c r="AC65" s="130">
        <v>0</v>
      </c>
      <c r="AD65" s="130">
        <v>0</v>
      </c>
      <c r="AE65" s="130">
        <f t="shared" si="14"/>
        <v>0</v>
      </c>
      <c r="AF65" s="130">
        <f t="shared" si="15"/>
        <v>0</v>
      </c>
      <c r="AG65" s="132">
        <v>0</v>
      </c>
      <c r="AH65" s="132">
        <v>0</v>
      </c>
      <c r="AI65" s="132">
        <v>0</v>
      </c>
      <c r="AJ65" s="132">
        <v>0</v>
      </c>
      <c r="AK65" s="132">
        <v>0</v>
      </c>
      <c r="AL65" s="132">
        <f t="shared" si="16"/>
        <v>0</v>
      </c>
      <c r="AM65" s="132">
        <f>AH65+AK65</f>
        <v>0</v>
      </c>
      <c r="AN65" s="403">
        <f t="shared" si="17"/>
        <v>0</v>
      </c>
      <c r="AO65" s="128">
        <f t="shared" si="18"/>
        <v>752921</v>
      </c>
      <c r="AP65" s="130">
        <f t="shared" si="19"/>
        <v>551700</v>
      </c>
      <c r="AQ65" s="130">
        <f t="shared" si="20"/>
        <v>0</v>
      </c>
      <c r="AR65" s="130">
        <f t="shared" si="21"/>
        <v>186475</v>
      </c>
      <c r="AS65" s="130">
        <f t="shared" si="22"/>
        <v>11034</v>
      </c>
      <c r="AT65" s="130">
        <f t="shared" si="23"/>
        <v>3712</v>
      </c>
      <c r="AU65" s="132">
        <f t="shared" si="24"/>
        <v>1.88</v>
      </c>
      <c r="AV65" s="132">
        <f t="shared" si="25"/>
        <v>0</v>
      </c>
      <c r="AW65" s="133">
        <f t="shared" si="26"/>
        <v>1.88</v>
      </c>
    </row>
    <row r="66" spans="1:49" ht="14.1" customHeight="1" x14ac:dyDescent="0.2">
      <c r="A66" s="137">
        <v>15</v>
      </c>
      <c r="B66" s="134">
        <v>2436</v>
      </c>
      <c r="C66" s="135">
        <v>600079538</v>
      </c>
      <c r="D66" s="134">
        <v>72741546</v>
      </c>
      <c r="E66" s="136" t="s">
        <v>603</v>
      </c>
      <c r="F66" s="137"/>
      <c r="G66" s="136"/>
      <c r="H66" s="138"/>
      <c r="I66" s="139">
        <f t="shared" ref="I66:P66" si="122">SUM(I63:I65)</f>
        <v>5619237</v>
      </c>
      <c r="J66" s="140">
        <f t="shared" si="122"/>
        <v>4113604</v>
      </c>
      <c r="K66" s="140">
        <f t="shared" si="122"/>
        <v>1390399</v>
      </c>
      <c r="L66" s="140">
        <f t="shared" si="122"/>
        <v>82272</v>
      </c>
      <c r="M66" s="140">
        <f t="shared" si="122"/>
        <v>32962</v>
      </c>
      <c r="N66" s="141">
        <f t="shared" si="122"/>
        <v>10.254200000000001</v>
      </c>
      <c r="O66" s="141">
        <f t="shared" si="122"/>
        <v>6.24</v>
      </c>
      <c r="P66" s="142">
        <f t="shared" si="122"/>
        <v>4.0141999999999998</v>
      </c>
      <c r="Q66" s="342">
        <f t="shared" ref="Q66:AW66" si="123">SUM(Q63:Q65)</f>
        <v>-12000</v>
      </c>
      <c r="R66" s="140">
        <f t="shared" si="123"/>
        <v>750626</v>
      </c>
      <c r="S66" s="140">
        <f t="shared" si="123"/>
        <v>0</v>
      </c>
      <c r="T66" s="140">
        <f t="shared" si="123"/>
        <v>0</v>
      </c>
      <c r="U66" s="140">
        <f t="shared" si="123"/>
        <v>738626</v>
      </c>
      <c r="V66" s="140">
        <f t="shared" si="123"/>
        <v>12000</v>
      </c>
      <c r="W66" s="140">
        <f t="shared" si="123"/>
        <v>0</v>
      </c>
      <c r="X66" s="140">
        <f t="shared" si="123"/>
        <v>0</v>
      </c>
      <c r="Y66" s="140">
        <f t="shared" si="123"/>
        <v>12000</v>
      </c>
      <c r="Z66" s="140">
        <f t="shared" si="123"/>
        <v>750626</v>
      </c>
      <c r="AA66" s="140">
        <f t="shared" si="123"/>
        <v>253712</v>
      </c>
      <c r="AB66" s="140">
        <f t="shared" si="123"/>
        <v>14773</v>
      </c>
      <c r="AC66" s="140">
        <f t="shared" si="123"/>
        <v>1500</v>
      </c>
      <c r="AD66" s="140">
        <f t="shared" si="123"/>
        <v>0</v>
      </c>
      <c r="AE66" s="140">
        <f t="shared" si="123"/>
        <v>1500</v>
      </c>
      <c r="AF66" s="140">
        <f t="shared" si="123"/>
        <v>1020611</v>
      </c>
      <c r="AG66" s="141">
        <f t="shared" si="123"/>
        <v>0</v>
      </c>
      <c r="AH66" s="141">
        <f t="shared" si="123"/>
        <v>0</v>
      </c>
      <c r="AI66" s="141">
        <f t="shared" si="123"/>
        <v>2.17</v>
      </c>
      <c r="AJ66" s="141">
        <f t="shared" si="123"/>
        <v>0</v>
      </c>
      <c r="AK66" s="141">
        <f t="shared" si="123"/>
        <v>0</v>
      </c>
      <c r="AL66" s="141">
        <f t="shared" si="123"/>
        <v>2.17</v>
      </c>
      <c r="AM66" s="141">
        <f t="shared" si="123"/>
        <v>0</v>
      </c>
      <c r="AN66" s="635">
        <f t="shared" si="123"/>
        <v>2.17</v>
      </c>
      <c r="AO66" s="139">
        <f t="shared" si="123"/>
        <v>6639848</v>
      </c>
      <c r="AP66" s="140">
        <f t="shared" si="123"/>
        <v>4852230</v>
      </c>
      <c r="AQ66" s="140">
        <f t="shared" si="123"/>
        <v>12000</v>
      </c>
      <c r="AR66" s="140">
        <f t="shared" si="123"/>
        <v>1644111</v>
      </c>
      <c r="AS66" s="140">
        <f t="shared" si="123"/>
        <v>97045</v>
      </c>
      <c r="AT66" s="140">
        <f t="shared" si="123"/>
        <v>34462</v>
      </c>
      <c r="AU66" s="141">
        <f t="shared" si="123"/>
        <v>12.424199999999999</v>
      </c>
      <c r="AV66" s="141">
        <f t="shared" si="123"/>
        <v>8.41</v>
      </c>
      <c r="AW66" s="142">
        <f t="shared" si="123"/>
        <v>4.0141999999999998</v>
      </c>
    </row>
    <row r="67" spans="1:49" ht="14.1" customHeight="1" x14ac:dyDescent="0.2">
      <c r="A67" s="124">
        <v>16</v>
      </c>
      <c r="B67" s="121">
        <v>2424</v>
      </c>
      <c r="C67" s="122">
        <v>600079147</v>
      </c>
      <c r="D67" s="121">
        <v>72741945</v>
      </c>
      <c r="E67" s="123" t="s">
        <v>604</v>
      </c>
      <c r="F67" s="124">
        <v>3111</v>
      </c>
      <c r="G67" s="123" t="s">
        <v>317</v>
      </c>
      <c r="H67" s="125" t="s">
        <v>283</v>
      </c>
      <c r="I67" s="126">
        <f t="shared" si="4"/>
        <v>3242972</v>
      </c>
      <c r="J67" s="127">
        <v>2372807</v>
      </c>
      <c r="K67" s="127">
        <f t="shared" si="5"/>
        <v>802009</v>
      </c>
      <c r="L67" s="477">
        <f t="shared" si="6"/>
        <v>47456</v>
      </c>
      <c r="M67" s="127">
        <v>20700</v>
      </c>
      <c r="N67" s="390">
        <f t="shared" si="7"/>
        <v>5.4897999999999998</v>
      </c>
      <c r="O67" s="390">
        <v>4</v>
      </c>
      <c r="P67" s="439">
        <v>1.4898</v>
      </c>
      <c r="Q67" s="129">
        <f t="shared" si="8"/>
        <v>0</v>
      </c>
      <c r="R67" s="130">
        <v>0</v>
      </c>
      <c r="S67" s="130">
        <v>0</v>
      </c>
      <c r="T67" s="130">
        <v>0</v>
      </c>
      <c r="U67" s="130">
        <f t="shared" si="9"/>
        <v>0</v>
      </c>
      <c r="V67" s="130">
        <v>0</v>
      </c>
      <c r="W67" s="130">
        <v>0</v>
      </c>
      <c r="X67" s="130">
        <v>0</v>
      </c>
      <c r="Y67" s="130">
        <f t="shared" ref="Y67:Y68" si="124">SUM(V67:X67)</f>
        <v>0</v>
      </c>
      <c r="Z67" s="130">
        <f t="shared" ref="Z67:Z68" si="125">U67+Y67</f>
        <v>0</v>
      </c>
      <c r="AA67" s="131">
        <f t="shared" ref="AA67:AA68" si="126">ROUND((U67+V67+W67)*33.8%,0)</f>
        <v>0</v>
      </c>
      <c r="AB67" s="131">
        <f t="shared" ref="AB67:AB68" si="127">ROUND(U67*2%,0)</f>
        <v>0</v>
      </c>
      <c r="AC67" s="130">
        <v>0</v>
      </c>
      <c r="AD67" s="130">
        <v>0</v>
      </c>
      <c r="AE67" s="130">
        <f t="shared" si="14"/>
        <v>0</v>
      </c>
      <c r="AF67" s="130">
        <f t="shared" si="15"/>
        <v>0</v>
      </c>
      <c r="AG67" s="132">
        <v>0</v>
      </c>
      <c r="AH67" s="132">
        <v>0</v>
      </c>
      <c r="AI67" s="132">
        <v>0</v>
      </c>
      <c r="AJ67" s="132">
        <v>0</v>
      </c>
      <c r="AK67" s="132">
        <v>0</v>
      </c>
      <c r="AL67" s="132">
        <f t="shared" si="16"/>
        <v>0</v>
      </c>
      <c r="AM67" s="132">
        <f>AH67+AK67</f>
        <v>0</v>
      </c>
      <c r="AN67" s="403">
        <f t="shared" si="17"/>
        <v>0</v>
      </c>
      <c r="AO67" s="128">
        <f t="shared" si="18"/>
        <v>3242972</v>
      </c>
      <c r="AP67" s="130">
        <f t="shared" si="19"/>
        <v>2372807</v>
      </c>
      <c r="AQ67" s="130">
        <f t="shared" si="20"/>
        <v>0</v>
      </c>
      <c r="AR67" s="130">
        <f t="shared" si="21"/>
        <v>802009</v>
      </c>
      <c r="AS67" s="130">
        <f t="shared" si="22"/>
        <v>47456</v>
      </c>
      <c r="AT67" s="130">
        <f t="shared" si="23"/>
        <v>20700</v>
      </c>
      <c r="AU67" s="132">
        <f t="shared" si="24"/>
        <v>5.4897999999999998</v>
      </c>
      <c r="AV67" s="132">
        <f t="shared" si="25"/>
        <v>4</v>
      </c>
      <c r="AW67" s="133">
        <f t="shared" si="26"/>
        <v>1.4898</v>
      </c>
    </row>
    <row r="68" spans="1:49" ht="14.1" customHeight="1" x14ac:dyDescent="0.2">
      <c r="A68" s="124">
        <v>16</v>
      </c>
      <c r="B68" s="121">
        <v>2424</v>
      </c>
      <c r="C68" s="122">
        <v>600079147</v>
      </c>
      <c r="D68" s="121">
        <v>72741945</v>
      </c>
      <c r="E68" s="123" t="s">
        <v>604</v>
      </c>
      <c r="F68" s="124">
        <v>3141</v>
      </c>
      <c r="G68" s="123" t="s">
        <v>321</v>
      </c>
      <c r="H68" s="125" t="s">
        <v>284</v>
      </c>
      <c r="I68" s="126">
        <f t="shared" si="4"/>
        <v>610527</v>
      </c>
      <c r="J68" s="666">
        <v>447571</v>
      </c>
      <c r="K68" s="127">
        <f t="shared" si="5"/>
        <v>151279</v>
      </c>
      <c r="L68" s="477">
        <f t="shared" si="6"/>
        <v>8951</v>
      </c>
      <c r="M68" s="666">
        <v>2726</v>
      </c>
      <c r="N68" s="390">
        <f t="shared" si="7"/>
        <v>1.52</v>
      </c>
      <c r="O68" s="668">
        <v>0</v>
      </c>
      <c r="P68" s="667">
        <v>1.52</v>
      </c>
      <c r="Q68" s="129">
        <f t="shared" si="8"/>
        <v>0</v>
      </c>
      <c r="R68" s="130">
        <v>0</v>
      </c>
      <c r="S68" s="130">
        <v>0</v>
      </c>
      <c r="T68" s="130">
        <v>0</v>
      </c>
      <c r="U68" s="130">
        <f t="shared" si="9"/>
        <v>0</v>
      </c>
      <c r="V68" s="130">
        <v>0</v>
      </c>
      <c r="W68" s="130">
        <v>0</v>
      </c>
      <c r="X68" s="130">
        <v>0</v>
      </c>
      <c r="Y68" s="130">
        <f t="shared" si="124"/>
        <v>0</v>
      </c>
      <c r="Z68" s="130">
        <f t="shared" si="125"/>
        <v>0</v>
      </c>
      <c r="AA68" s="131">
        <f t="shared" si="126"/>
        <v>0</v>
      </c>
      <c r="AB68" s="131">
        <f t="shared" si="127"/>
        <v>0</v>
      </c>
      <c r="AC68" s="130">
        <v>0</v>
      </c>
      <c r="AD68" s="130">
        <v>0</v>
      </c>
      <c r="AE68" s="130">
        <f t="shared" si="14"/>
        <v>0</v>
      </c>
      <c r="AF68" s="130">
        <f t="shared" si="15"/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f t="shared" si="16"/>
        <v>0</v>
      </c>
      <c r="AM68" s="132">
        <f>AH68+AK68</f>
        <v>0</v>
      </c>
      <c r="AN68" s="403">
        <f t="shared" si="17"/>
        <v>0</v>
      </c>
      <c r="AO68" s="128">
        <f t="shared" si="18"/>
        <v>610527</v>
      </c>
      <c r="AP68" s="130">
        <f t="shared" si="19"/>
        <v>447571</v>
      </c>
      <c r="AQ68" s="130">
        <f t="shared" si="20"/>
        <v>0</v>
      </c>
      <c r="AR68" s="130">
        <f t="shared" si="21"/>
        <v>151279</v>
      </c>
      <c r="AS68" s="130">
        <f t="shared" si="22"/>
        <v>8951</v>
      </c>
      <c r="AT68" s="130">
        <f t="shared" si="23"/>
        <v>2726</v>
      </c>
      <c r="AU68" s="132">
        <f t="shared" si="24"/>
        <v>1.52</v>
      </c>
      <c r="AV68" s="132">
        <f t="shared" si="25"/>
        <v>0</v>
      </c>
      <c r="AW68" s="133">
        <f t="shared" si="26"/>
        <v>1.52</v>
      </c>
    </row>
    <row r="69" spans="1:49" ht="14.1" customHeight="1" x14ac:dyDescent="0.2">
      <c r="A69" s="137">
        <v>16</v>
      </c>
      <c r="B69" s="134">
        <v>2424</v>
      </c>
      <c r="C69" s="135">
        <v>600079147</v>
      </c>
      <c r="D69" s="134">
        <v>72741945</v>
      </c>
      <c r="E69" s="136" t="s">
        <v>605</v>
      </c>
      <c r="F69" s="137"/>
      <c r="G69" s="136"/>
      <c r="H69" s="138"/>
      <c r="I69" s="139">
        <f t="shared" ref="I69:P69" si="128">SUM(I67:I68)</f>
        <v>3853499</v>
      </c>
      <c r="J69" s="140">
        <f t="shared" si="128"/>
        <v>2820378</v>
      </c>
      <c r="K69" s="140">
        <f t="shared" si="128"/>
        <v>953288</v>
      </c>
      <c r="L69" s="140">
        <f t="shared" si="128"/>
        <v>56407</v>
      </c>
      <c r="M69" s="140">
        <f t="shared" si="128"/>
        <v>23426</v>
      </c>
      <c r="N69" s="141">
        <f t="shared" si="128"/>
        <v>7.0098000000000003</v>
      </c>
      <c r="O69" s="141">
        <f t="shared" si="128"/>
        <v>4</v>
      </c>
      <c r="P69" s="142">
        <f t="shared" si="128"/>
        <v>3.0098000000000003</v>
      </c>
      <c r="Q69" s="342">
        <f t="shared" ref="Q69:AW69" si="129">SUM(Q67:Q68)</f>
        <v>0</v>
      </c>
      <c r="R69" s="140">
        <f t="shared" si="129"/>
        <v>0</v>
      </c>
      <c r="S69" s="140">
        <f t="shared" si="129"/>
        <v>0</v>
      </c>
      <c r="T69" s="140">
        <f t="shared" si="129"/>
        <v>0</v>
      </c>
      <c r="U69" s="140">
        <f t="shared" si="129"/>
        <v>0</v>
      </c>
      <c r="V69" s="140">
        <f t="shared" si="129"/>
        <v>0</v>
      </c>
      <c r="W69" s="140">
        <f t="shared" si="129"/>
        <v>0</v>
      </c>
      <c r="X69" s="140">
        <f t="shared" si="129"/>
        <v>0</v>
      </c>
      <c r="Y69" s="140">
        <f t="shared" si="129"/>
        <v>0</v>
      </c>
      <c r="Z69" s="140">
        <f t="shared" si="129"/>
        <v>0</v>
      </c>
      <c r="AA69" s="140">
        <f t="shared" si="129"/>
        <v>0</v>
      </c>
      <c r="AB69" s="140">
        <f t="shared" si="129"/>
        <v>0</v>
      </c>
      <c r="AC69" s="140">
        <f t="shared" si="129"/>
        <v>0</v>
      </c>
      <c r="AD69" s="140">
        <f t="shared" si="129"/>
        <v>0</v>
      </c>
      <c r="AE69" s="140">
        <f t="shared" si="129"/>
        <v>0</v>
      </c>
      <c r="AF69" s="140">
        <f t="shared" si="129"/>
        <v>0</v>
      </c>
      <c r="AG69" s="141">
        <f t="shared" si="129"/>
        <v>0</v>
      </c>
      <c r="AH69" s="141">
        <f t="shared" si="129"/>
        <v>0</v>
      </c>
      <c r="AI69" s="141">
        <f t="shared" si="129"/>
        <v>0</v>
      </c>
      <c r="AJ69" s="141">
        <f t="shared" si="129"/>
        <v>0</v>
      </c>
      <c r="AK69" s="141">
        <f t="shared" si="129"/>
        <v>0</v>
      </c>
      <c r="AL69" s="141">
        <f t="shared" si="129"/>
        <v>0</v>
      </c>
      <c r="AM69" s="141">
        <f t="shared" si="129"/>
        <v>0</v>
      </c>
      <c r="AN69" s="635">
        <f t="shared" si="129"/>
        <v>0</v>
      </c>
      <c r="AO69" s="139">
        <f t="shared" si="129"/>
        <v>3853499</v>
      </c>
      <c r="AP69" s="140">
        <f t="shared" si="129"/>
        <v>2820378</v>
      </c>
      <c r="AQ69" s="140">
        <f t="shared" si="129"/>
        <v>0</v>
      </c>
      <c r="AR69" s="140">
        <f t="shared" si="129"/>
        <v>953288</v>
      </c>
      <c r="AS69" s="140">
        <f t="shared" si="129"/>
        <v>56407</v>
      </c>
      <c r="AT69" s="140">
        <f t="shared" si="129"/>
        <v>23426</v>
      </c>
      <c r="AU69" s="141">
        <f t="shared" si="129"/>
        <v>7.0098000000000003</v>
      </c>
      <c r="AV69" s="141">
        <f t="shared" si="129"/>
        <v>4</v>
      </c>
      <c r="AW69" s="142">
        <f t="shared" si="129"/>
        <v>3.0098000000000003</v>
      </c>
    </row>
    <row r="70" spans="1:49" ht="14.1" customHeight="1" x14ac:dyDescent="0.2">
      <c r="A70" s="124">
        <v>17</v>
      </c>
      <c r="B70" s="121">
        <v>2417</v>
      </c>
      <c r="C70" s="122">
        <v>600079562</v>
      </c>
      <c r="D70" s="121">
        <v>72742810</v>
      </c>
      <c r="E70" s="123" t="s">
        <v>606</v>
      </c>
      <c r="F70" s="124">
        <v>3111</v>
      </c>
      <c r="G70" s="123" t="s">
        <v>317</v>
      </c>
      <c r="H70" s="125" t="s">
        <v>283</v>
      </c>
      <c r="I70" s="126">
        <f t="shared" si="4"/>
        <v>16380870</v>
      </c>
      <c r="J70" s="127">
        <v>11991288</v>
      </c>
      <c r="K70" s="127">
        <v>4053056</v>
      </c>
      <c r="L70" s="477">
        <f t="shared" si="6"/>
        <v>239826</v>
      </c>
      <c r="M70" s="127">
        <v>96700</v>
      </c>
      <c r="N70" s="390">
        <f t="shared" si="7"/>
        <v>28.137500000000003</v>
      </c>
      <c r="O70" s="390">
        <v>21</v>
      </c>
      <c r="P70" s="439">
        <v>7.1375000000000011</v>
      </c>
      <c r="Q70" s="129">
        <f t="shared" si="8"/>
        <v>-7680</v>
      </c>
      <c r="R70" s="130">
        <v>0</v>
      </c>
      <c r="S70" s="130">
        <v>0</v>
      </c>
      <c r="T70" s="130">
        <v>0</v>
      </c>
      <c r="U70" s="130">
        <f t="shared" si="9"/>
        <v>-7680</v>
      </c>
      <c r="V70" s="130">
        <v>7680</v>
      </c>
      <c r="W70" s="130">
        <v>0</v>
      </c>
      <c r="X70" s="130">
        <v>0</v>
      </c>
      <c r="Y70" s="130">
        <f t="shared" ref="Y70:Y73" si="130">SUM(V70:X70)</f>
        <v>7680</v>
      </c>
      <c r="Z70" s="130">
        <f t="shared" ref="Z70:Z73" si="131">U70+Y70</f>
        <v>0</v>
      </c>
      <c r="AA70" s="131">
        <f t="shared" ref="AA70:AA73" si="132">ROUND((U70+V70+W70)*33.8%,0)</f>
        <v>0</v>
      </c>
      <c r="AB70" s="131">
        <f t="shared" ref="AB70:AB73" si="133">ROUND(U70*2%,0)</f>
        <v>-154</v>
      </c>
      <c r="AC70" s="130">
        <v>0</v>
      </c>
      <c r="AD70" s="130">
        <v>0</v>
      </c>
      <c r="AE70" s="130">
        <f t="shared" si="14"/>
        <v>0</v>
      </c>
      <c r="AF70" s="130">
        <f t="shared" si="15"/>
        <v>-154</v>
      </c>
      <c r="AG70" s="132">
        <v>0</v>
      </c>
      <c r="AH70" s="132">
        <v>-0.04</v>
      </c>
      <c r="AI70" s="132">
        <v>0</v>
      </c>
      <c r="AJ70" s="132">
        <v>0</v>
      </c>
      <c r="AK70" s="132">
        <v>0</v>
      </c>
      <c r="AL70" s="132">
        <f t="shared" si="16"/>
        <v>0</v>
      </c>
      <c r="AM70" s="132">
        <f>AH70+AK70</f>
        <v>-0.04</v>
      </c>
      <c r="AN70" s="403">
        <f t="shared" si="17"/>
        <v>-0.04</v>
      </c>
      <c r="AO70" s="128">
        <f t="shared" si="18"/>
        <v>16380716</v>
      </c>
      <c r="AP70" s="130">
        <f t="shared" si="19"/>
        <v>11983608</v>
      </c>
      <c r="AQ70" s="130">
        <f t="shared" si="20"/>
        <v>7680</v>
      </c>
      <c r="AR70" s="130">
        <f t="shared" si="21"/>
        <v>4053056</v>
      </c>
      <c r="AS70" s="130">
        <f t="shared" si="22"/>
        <v>239672</v>
      </c>
      <c r="AT70" s="130">
        <f t="shared" si="23"/>
        <v>96700</v>
      </c>
      <c r="AU70" s="132">
        <f t="shared" si="24"/>
        <v>28.097500000000004</v>
      </c>
      <c r="AV70" s="132">
        <f t="shared" si="25"/>
        <v>21</v>
      </c>
      <c r="AW70" s="133">
        <f t="shared" si="26"/>
        <v>7.097500000000001</v>
      </c>
    </row>
    <row r="71" spans="1:49" ht="14.1" customHeight="1" x14ac:dyDescent="0.2">
      <c r="A71" s="124">
        <v>17</v>
      </c>
      <c r="B71" s="121">
        <v>2417</v>
      </c>
      <c r="C71" s="122">
        <v>600079562</v>
      </c>
      <c r="D71" s="121">
        <v>72742810</v>
      </c>
      <c r="E71" s="123" t="s">
        <v>606</v>
      </c>
      <c r="F71" s="124">
        <v>3111</v>
      </c>
      <c r="G71" s="98" t="s">
        <v>319</v>
      </c>
      <c r="H71" s="125" t="s">
        <v>283</v>
      </c>
      <c r="I71" s="126">
        <f t="shared" si="4"/>
        <v>1209831</v>
      </c>
      <c r="J71" s="631">
        <v>890892</v>
      </c>
      <c r="K71" s="127">
        <f t="shared" si="5"/>
        <v>301121</v>
      </c>
      <c r="L71" s="477">
        <f t="shared" si="6"/>
        <v>17818</v>
      </c>
      <c r="M71" s="478">
        <v>0</v>
      </c>
      <c r="N71" s="390">
        <f t="shared" si="7"/>
        <v>3</v>
      </c>
      <c r="O71" s="644">
        <v>3</v>
      </c>
      <c r="P71" s="639">
        <v>0</v>
      </c>
      <c r="Q71" s="129">
        <f t="shared" si="8"/>
        <v>0</v>
      </c>
      <c r="R71" s="130">
        <v>0</v>
      </c>
      <c r="S71" s="130">
        <v>0</v>
      </c>
      <c r="T71" s="130">
        <v>0</v>
      </c>
      <c r="U71" s="130">
        <f t="shared" si="9"/>
        <v>0</v>
      </c>
      <c r="V71" s="130">
        <v>0</v>
      </c>
      <c r="W71" s="130">
        <v>0</v>
      </c>
      <c r="X71" s="130">
        <v>0</v>
      </c>
      <c r="Y71" s="130">
        <f t="shared" si="130"/>
        <v>0</v>
      </c>
      <c r="Z71" s="130">
        <f t="shared" si="131"/>
        <v>0</v>
      </c>
      <c r="AA71" s="131">
        <f t="shared" si="132"/>
        <v>0</v>
      </c>
      <c r="AB71" s="131">
        <f t="shared" si="133"/>
        <v>0</v>
      </c>
      <c r="AC71" s="130">
        <v>0</v>
      </c>
      <c r="AD71" s="130">
        <v>0</v>
      </c>
      <c r="AE71" s="130">
        <f t="shared" si="14"/>
        <v>0</v>
      </c>
      <c r="AF71" s="130">
        <f t="shared" si="15"/>
        <v>0</v>
      </c>
      <c r="AG71" s="132">
        <v>0</v>
      </c>
      <c r="AH71" s="132">
        <v>0</v>
      </c>
      <c r="AI71" s="132">
        <v>0</v>
      </c>
      <c r="AJ71" s="132">
        <v>0</v>
      </c>
      <c r="AK71" s="132">
        <v>0</v>
      </c>
      <c r="AL71" s="132">
        <f t="shared" si="16"/>
        <v>0</v>
      </c>
      <c r="AM71" s="132">
        <f>AH71+AK71</f>
        <v>0</v>
      </c>
      <c r="AN71" s="403">
        <f t="shared" si="17"/>
        <v>0</v>
      </c>
      <c r="AO71" s="128">
        <f t="shared" si="18"/>
        <v>1209831</v>
      </c>
      <c r="AP71" s="130">
        <f t="shared" si="19"/>
        <v>890892</v>
      </c>
      <c r="AQ71" s="130">
        <f t="shared" si="20"/>
        <v>0</v>
      </c>
      <c r="AR71" s="130">
        <f t="shared" si="21"/>
        <v>301121</v>
      </c>
      <c r="AS71" s="130">
        <f t="shared" si="22"/>
        <v>17818</v>
      </c>
      <c r="AT71" s="130">
        <f t="shared" si="23"/>
        <v>0</v>
      </c>
      <c r="AU71" s="132">
        <f t="shared" si="24"/>
        <v>3</v>
      </c>
      <c r="AV71" s="132">
        <f t="shared" si="25"/>
        <v>3</v>
      </c>
      <c r="AW71" s="133">
        <f t="shared" si="26"/>
        <v>0</v>
      </c>
    </row>
    <row r="72" spans="1:49" ht="14.1" customHeight="1" x14ac:dyDescent="0.2">
      <c r="A72" s="124">
        <v>17</v>
      </c>
      <c r="B72" s="121">
        <v>2417</v>
      </c>
      <c r="C72" s="122">
        <v>600079562</v>
      </c>
      <c r="D72" s="121">
        <v>72742810</v>
      </c>
      <c r="E72" s="123" t="s">
        <v>606</v>
      </c>
      <c r="F72" s="124">
        <v>3111</v>
      </c>
      <c r="G72" s="98" t="s">
        <v>318</v>
      </c>
      <c r="H72" s="125" t="s">
        <v>284</v>
      </c>
      <c r="I72" s="126">
        <f t="shared" si="4"/>
        <v>0</v>
      </c>
      <c r="J72" s="29">
        <v>0</v>
      </c>
      <c r="K72" s="127">
        <f t="shared" si="5"/>
        <v>0</v>
      </c>
      <c r="L72" s="477">
        <f t="shared" si="6"/>
        <v>0</v>
      </c>
      <c r="M72" s="29">
        <v>0</v>
      </c>
      <c r="N72" s="390">
        <f t="shared" si="7"/>
        <v>0</v>
      </c>
      <c r="O72" s="349">
        <v>0</v>
      </c>
      <c r="P72" s="639">
        <v>0</v>
      </c>
      <c r="Q72" s="129">
        <f t="shared" si="8"/>
        <v>0</v>
      </c>
      <c r="R72" s="130">
        <v>473464</v>
      </c>
      <c r="S72" s="130">
        <v>0</v>
      </c>
      <c r="T72" s="130">
        <v>0</v>
      </c>
      <c r="U72" s="130">
        <f t="shared" si="9"/>
        <v>473464</v>
      </c>
      <c r="V72" s="130">
        <v>0</v>
      </c>
      <c r="W72" s="130">
        <v>0</v>
      </c>
      <c r="X72" s="130">
        <v>0</v>
      </c>
      <c r="Y72" s="130">
        <f t="shared" si="130"/>
        <v>0</v>
      </c>
      <c r="Z72" s="130">
        <f t="shared" si="131"/>
        <v>473464</v>
      </c>
      <c r="AA72" s="131">
        <f t="shared" si="132"/>
        <v>160031</v>
      </c>
      <c r="AB72" s="131">
        <f t="shared" si="133"/>
        <v>9469</v>
      </c>
      <c r="AC72" s="130">
        <v>0</v>
      </c>
      <c r="AD72" s="130">
        <v>0</v>
      </c>
      <c r="AE72" s="130">
        <f t="shared" si="14"/>
        <v>0</v>
      </c>
      <c r="AF72" s="130">
        <f t="shared" si="15"/>
        <v>642964</v>
      </c>
      <c r="AG72" s="132">
        <v>0</v>
      </c>
      <c r="AH72" s="132">
        <v>0</v>
      </c>
      <c r="AI72" s="132">
        <v>1.5</v>
      </c>
      <c r="AJ72" s="132">
        <v>0</v>
      </c>
      <c r="AK72" s="132">
        <v>0</v>
      </c>
      <c r="AL72" s="132">
        <f t="shared" si="16"/>
        <v>1.5</v>
      </c>
      <c r="AM72" s="132">
        <f>AH72+AK72</f>
        <v>0</v>
      </c>
      <c r="AN72" s="403">
        <f t="shared" si="17"/>
        <v>1.5</v>
      </c>
      <c r="AO72" s="128">
        <f t="shared" si="18"/>
        <v>642964</v>
      </c>
      <c r="AP72" s="130">
        <f t="shared" si="19"/>
        <v>473464</v>
      </c>
      <c r="AQ72" s="130">
        <f t="shared" si="20"/>
        <v>0</v>
      </c>
      <c r="AR72" s="130">
        <f t="shared" si="21"/>
        <v>160031</v>
      </c>
      <c r="AS72" s="130">
        <f t="shared" si="22"/>
        <v>9469</v>
      </c>
      <c r="AT72" s="130">
        <f t="shared" si="23"/>
        <v>0</v>
      </c>
      <c r="AU72" s="132">
        <f t="shared" si="24"/>
        <v>1.5</v>
      </c>
      <c r="AV72" s="132">
        <f t="shared" si="25"/>
        <v>1.5</v>
      </c>
      <c r="AW72" s="133">
        <f t="shared" si="26"/>
        <v>0</v>
      </c>
    </row>
    <row r="73" spans="1:49" ht="14.1" customHeight="1" x14ac:dyDescent="0.2">
      <c r="A73" s="124">
        <v>17</v>
      </c>
      <c r="B73" s="121">
        <v>2417</v>
      </c>
      <c r="C73" s="122">
        <v>600079562</v>
      </c>
      <c r="D73" s="121">
        <v>72742810</v>
      </c>
      <c r="E73" s="123" t="s">
        <v>606</v>
      </c>
      <c r="F73" s="124">
        <v>3141</v>
      </c>
      <c r="G73" s="123" t="s">
        <v>321</v>
      </c>
      <c r="H73" s="125" t="s">
        <v>284</v>
      </c>
      <c r="I73" s="126">
        <f t="shared" si="4"/>
        <v>1895030</v>
      </c>
      <c r="J73" s="666">
        <v>1387726</v>
      </c>
      <c r="K73" s="127">
        <f t="shared" si="5"/>
        <v>469051</v>
      </c>
      <c r="L73" s="477">
        <f t="shared" si="6"/>
        <v>27755</v>
      </c>
      <c r="M73" s="666">
        <v>10498</v>
      </c>
      <c r="N73" s="390">
        <f t="shared" si="7"/>
        <v>4.72</v>
      </c>
      <c r="O73" s="668">
        <v>0</v>
      </c>
      <c r="P73" s="674">
        <v>4.72</v>
      </c>
      <c r="Q73" s="129">
        <f t="shared" si="8"/>
        <v>0</v>
      </c>
      <c r="R73" s="130">
        <v>0</v>
      </c>
      <c r="S73" s="130">
        <v>0</v>
      </c>
      <c r="T73" s="130">
        <v>0</v>
      </c>
      <c r="U73" s="130">
        <f t="shared" si="9"/>
        <v>0</v>
      </c>
      <c r="V73" s="130">
        <v>0</v>
      </c>
      <c r="W73" s="130">
        <v>0</v>
      </c>
      <c r="X73" s="130">
        <v>0</v>
      </c>
      <c r="Y73" s="130">
        <f t="shared" si="130"/>
        <v>0</v>
      </c>
      <c r="Z73" s="130">
        <f t="shared" si="131"/>
        <v>0</v>
      </c>
      <c r="AA73" s="131">
        <f t="shared" si="132"/>
        <v>0</v>
      </c>
      <c r="AB73" s="131">
        <f t="shared" si="133"/>
        <v>0</v>
      </c>
      <c r="AC73" s="130">
        <v>0</v>
      </c>
      <c r="AD73" s="130">
        <v>0</v>
      </c>
      <c r="AE73" s="130">
        <f t="shared" si="14"/>
        <v>0</v>
      </c>
      <c r="AF73" s="130">
        <f t="shared" si="15"/>
        <v>0</v>
      </c>
      <c r="AG73" s="132">
        <v>0</v>
      </c>
      <c r="AH73" s="132">
        <v>0</v>
      </c>
      <c r="AI73" s="132">
        <v>0</v>
      </c>
      <c r="AJ73" s="132">
        <v>0</v>
      </c>
      <c r="AK73" s="132">
        <v>0</v>
      </c>
      <c r="AL73" s="132">
        <f t="shared" si="16"/>
        <v>0</v>
      </c>
      <c r="AM73" s="132">
        <f>AH73+AK73</f>
        <v>0</v>
      </c>
      <c r="AN73" s="403">
        <f t="shared" si="17"/>
        <v>0</v>
      </c>
      <c r="AO73" s="128">
        <f t="shared" si="18"/>
        <v>1895030</v>
      </c>
      <c r="AP73" s="130">
        <f t="shared" si="19"/>
        <v>1387726</v>
      </c>
      <c r="AQ73" s="130">
        <f t="shared" si="20"/>
        <v>0</v>
      </c>
      <c r="AR73" s="130">
        <f t="shared" si="21"/>
        <v>469051</v>
      </c>
      <c r="AS73" s="130">
        <f t="shared" si="22"/>
        <v>27755</v>
      </c>
      <c r="AT73" s="130">
        <f t="shared" si="23"/>
        <v>10498</v>
      </c>
      <c r="AU73" s="132">
        <f t="shared" si="24"/>
        <v>4.72</v>
      </c>
      <c r="AV73" s="132">
        <f t="shared" si="25"/>
        <v>0</v>
      </c>
      <c r="AW73" s="133">
        <f t="shared" si="26"/>
        <v>4.72</v>
      </c>
    </row>
    <row r="74" spans="1:49" ht="14.1" customHeight="1" x14ac:dyDescent="0.2">
      <c r="A74" s="137">
        <v>17</v>
      </c>
      <c r="B74" s="134">
        <v>2417</v>
      </c>
      <c r="C74" s="135">
        <v>600079562</v>
      </c>
      <c r="D74" s="134">
        <v>72742810</v>
      </c>
      <c r="E74" s="136" t="s">
        <v>607</v>
      </c>
      <c r="F74" s="137"/>
      <c r="G74" s="136"/>
      <c r="H74" s="138"/>
      <c r="I74" s="139">
        <f t="shared" ref="I74:P74" si="134">SUM(I70:I73)</f>
        <v>19485731</v>
      </c>
      <c r="J74" s="140">
        <f t="shared" si="134"/>
        <v>14269906</v>
      </c>
      <c r="K74" s="140">
        <f t="shared" si="134"/>
        <v>4823228</v>
      </c>
      <c r="L74" s="140">
        <f t="shared" si="134"/>
        <v>285399</v>
      </c>
      <c r="M74" s="140">
        <f t="shared" si="134"/>
        <v>107198</v>
      </c>
      <c r="N74" s="141">
        <f t="shared" si="134"/>
        <v>35.857500000000002</v>
      </c>
      <c r="O74" s="141">
        <f t="shared" si="134"/>
        <v>24</v>
      </c>
      <c r="P74" s="142">
        <f t="shared" si="134"/>
        <v>11.857500000000002</v>
      </c>
      <c r="Q74" s="342">
        <f t="shared" ref="Q74:AW74" si="135">SUM(Q70:Q73)</f>
        <v>-7680</v>
      </c>
      <c r="R74" s="140">
        <f t="shared" si="135"/>
        <v>473464</v>
      </c>
      <c r="S74" s="140">
        <f t="shared" si="135"/>
        <v>0</v>
      </c>
      <c r="T74" s="140">
        <f t="shared" si="135"/>
        <v>0</v>
      </c>
      <c r="U74" s="140">
        <f t="shared" si="135"/>
        <v>465784</v>
      </c>
      <c r="V74" s="140">
        <f t="shared" si="135"/>
        <v>7680</v>
      </c>
      <c r="W74" s="140">
        <f t="shared" si="135"/>
        <v>0</v>
      </c>
      <c r="X74" s="140">
        <f t="shared" si="135"/>
        <v>0</v>
      </c>
      <c r="Y74" s="140">
        <f t="shared" si="135"/>
        <v>7680</v>
      </c>
      <c r="Z74" s="140">
        <f t="shared" si="135"/>
        <v>473464</v>
      </c>
      <c r="AA74" s="140">
        <f t="shared" si="135"/>
        <v>160031</v>
      </c>
      <c r="AB74" s="140">
        <f t="shared" si="135"/>
        <v>9315</v>
      </c>
      <c r="AC74" s="140">
        <f t="shared" si="135"/>
        <v>0</v>
      </c>
      <c r="AD74" s="140">
        <f t="shared" si="135"/>
        <v>0</v>
      </c>
      <c r="AE74" s="140">
        <f t="shared" si="135"/>
        <v>0</v>
      </c>
      <c r="AF74" s="140">
        <f t="shared" si="135"/>
        <v>642810</v>
      </c>
      <c r="AG74" s="141">
        <f t="shared" si="135"/>
        <v>0</v>
      </c>
      <c r="AH74" s="141">
        <f t="shared" si="135"/>
        <v>-0.04</v>
      </c>
      <c r="AI74" s="141">
        <f t="shared" si="135"/>
        <v>1.5</v>
      </c>
      <c r="AJ74" s="141">
        <f t="shared" si="135"/>
        <v>0</v>
      </c>
      <c r="AK74" s="141">
        <f t="shared" si="135"/>
        <v>0</v>
      </c>
      <c r="AL74" s="141">
        <f t="shared" si="135"/>
        <v>1.5</v>
      </c>
      <c r="AM74" s="141">
        <f t="shared" si="135"/>
        <v>-0.04</v>
      </c>
      <c r="AN74" s="635">
        <f t="shared" si="135"/>
        <v>1.46</v>
      </c>
      <c r="AO74" s="139">
        <f t="shared" si="135"/>
        <v>20128541</v>
      </c>
      <c r="AP74" s="140">
        <f t="shared" si="135"/>
        <v>14735690</v>
      </c>
      <c r="AQ74" s="140">
        <f t="shared" si="135"/>
        <v>7680</v>
      </c>
      <c r="AR74" s="140">
        <f t="shared" si="135"/>
        <v>4983259</v>
      </c>
      <c r="AS74" s="140">
        <f t="shared" si="135"/>
        <v>294714</v>
      </c>
      <c r="AT74" s="140">
        <f t="shared" si="135"/>
        <v>107198</v>
      </c>
      <c r="AU74" s="141">
        <f t="shared" si="135"/>
        <v>37.317500000000003</v>
      </c>
      <c r="AV74" s="141">
        <f t="shared" si="135"/>
        <v>25.5</v>
      </c>
      <c r="AW74" s="142">
        <f t="shared" si="135"/>
        <v>11.817500000000001</v>
      </c>
    </row>
    <row r="75" spans="1:49" ht="14.1" customHeight="1" x14ac:dyDescent="0.2">
      <c r="A75" s="124">
        <v>18</v>
      </c>
      <c r="B75" s="121">
        <v>2416</v>
      </c>
      <c r="C75" s="122">
        <v>600079571</v>
      </c>
      <c r="D75" s="121">
        <v>72742895</v>
      </c>
      <c r="E75" s="123" t="s">
        <v>608</v>
      </c>
      <c r="F75" s="124">
        <v>3111</v>
      </c>
      <c r="G75" s="123" t="s">
        <v>317</v>
      </c>
      <c r="H75" s="125" t="s">
        <v>283</v>
      </c>
      <c r="I75" s="126">
        <f t="shared" si="4"/>
        <v>4905571</v>
      </c>
      <c r="J75" s="127">
        <v>3584073</v>
      </c>
      <c r="K75" s="127">
        <f t="shared" si="5"/>
        <v>1211417</v>
      </c>
      <c r="L75" s="477">
        <f t="shared" si="6"/>
        <v>71681</v>
      </c>
      <c r="M75" s="127">
        <v>38400</v>
      </c>
      <c r="N75" s="390">
        <f t="shared" si="7"/>
        <v>8.3281999999999989</v>
      </c>
      <c r="O75" s="390">
        <v>6</v>
      </c>
      <c r="P75" s="439">
        <v>2.3281999999999998</v>
      </c>
      <c r="Q75" s="129">
        <f t="shared" si="8"/>
        <v>-58400</v>
      </c>
      <c r="R75" s="130">
        <v>0</v>
      </c>
      <c r="S75" s="130">
        <v>0</v>
      </c>
      <c r="T75" s="130">
        <v>0</v>
      </c>
      <c r="U75" s="130">
        <f t="shared" si="9"/>
        <v>-58400</v>
      </c>
      <c r="V75" s="130">
        <v>58400</v>
      </c>
      <c r="W75" s="130">
        <v>0</v>
      </c>
      <c r="X75" s="130">
        <v>0</v>
      </c>
      <c r="Y75" s="130">
        <f t="shared" ref="Y75:Y77" si="136">SUM(V75:X75)</f>
        <v>58400</v>
      </c>
      <c r="Z75" s="130">
        <f t="shared" ref="Z75:Z77" si="137">U75+Y75</f>
        <v>0</v>
      </c>
      <c r="AA75" s="131">
        <f t="shared" ref="AA75:AA77" si="138">ROUND((U75+V75+W75)*33.8%,0)</f>
        <v>0</v>
      </c>
      <c r="AB75" s="131">
        <f t="shared" ref="AB75:AB77" si="139">ROUND(U75*2%,0)</f>
        <v>-1168</v>
      </c>
      <c r="AC75" s="130">
        <v>0</v>
      </c>
      <c r="AD75" s="130">
        <v>0</v>
      </c>
      <c r="AE75" s="130">
        <f t="shared" si="14"/>
        <v>0</v>
      </c>
      <c r="AF75" s="130">
        <f t="shared" si="15"/>
        <v>-1168</v>
      </c>
      <c r="AG75" s="132">
        <v>0</v>
      </c>
      <c r="AH75" s="132">
        <v>-0.31</v>
      </c>
      <c r="AI75" s="132">
        <v>0</v>
      </c>
      <c r="AJ75" s="132">
        <v>0</v>
      </c>
      <c r="AK75" s="132">
        <v>0</v>
      </c>
      <c r="AL75" s="132">
        <f t="shared" si="16"/>
        <v>0</v>
      </c>
      <c r="AM75" s="132">
        <f>AH75+AK75</f>
        <v>-0.31</v>
      </c>
      <c r="AN75" s="403">
        <f t="shared" si="17"/>
        <v>-0.31</v>
      </c>
      <c r="AO75" s="128">
        <f t="shared" si="18"/>
        <v>4904403</v>
      </c>
      <c r="AP75" s="130">
        <f t="shared" si="19"/>
        <v>3525673</v>
      </c>
      <c r="AQ75" s="130">
        <f t="shared" si="20"/>
        <v>58400</v>
      </c>
      <c r="AR75" s="130">
        <f t="shared" si="21"/>
        <v>1211417</v>
      </c>
      <c r="AS75" s="130">
        <f t="shared" si="22"/>
        <v>70513</v>
      </c>
      <c r="AT75" s="130">
        <f t="shared" si="23"/>
        <v>38400</v>
      </c>
      <c r="AU75" s="132">
        <f t="shared" si="24"/>
        <v>8.0181999999999984</v>
      </c>
      <c r="AV75" s="132">
        <f t="shared" si="25"/>
        <v>6</v>
      </c>
      <c r="AW75" s="133">
        <f t="shared" si="26"/>
        <v>2.0181999999999998</v>
      </c>
    </row>
    <row r="76" spans="1:49" ht="14.1" customHeight="1" x14ac:dyDescent="0.2">
      <c r="A76" s="124">
        <v>18</v>
      </c>
      <c r="B76" s="121">
        <v>2416</v>
      </c>
      <c r="C76" s="122">
        <v>600079571</v>
      </c>
      <c r="D76" s="121">
        <v>72742895</v>
      </c>
      <c r="E76" s="123" t="s">
        <v>608</v>
      </c>
      <c r="F76" s="124">
        <v>3111</v>
      </c>
      <c r="G76" s="98" t="s">
        <v>319</v>
      </c>
      <c r="H76" s="125" t="s">
        <v>283</v>
      </c>
      <c r="I76" s="126">
        <f t="shared" si="4"/>
        <v>737785</v>
      </c>
      <c r="J76" s="631">
        <v>543288</v>
      </c>
      <c r="K76" s="127">
        <f t="shared" si="5"/>
        <v>183631</v>
      </c>
      <c r="L76" s="477">
        <f t="shared" si="6"/>
        <v>10866</v>
      </c>
      <c r="M76" s="478">
        <v>0</v>
      </c>
      <c r="N76" s="390">
        <f t="shared" si="7"/>
        <v>2</v>
      </c>
      <c r="O76" s="644">
        <v>2</v>
      </c>
      <c r="P76" s="639">
        <v>0</v>
      </c>
      <c r="Q76" s="129">
        <f t="shared" si="8"/>
        <v>0</v>
      </c>
      <c r="R76" s="130">
        <v>0</v>
      </c>
      <c r="S76" s="130">
        <v>0</v>
      </c>
      <c r="T76" s="130">
        <v>0</v>
      </c>
      <c r="U76" s="130">
        <f t="shared" si="9"/>
        <v>0</v>
      </c>
      <c r="V76" s="130">
        <v>0</v>
      </c>
      <c r="W76" s="130">
        <v>0</v>
      </c>
      <c r="X76" s="130">
        <v>0</v>
      </c>
      <c r="Y76" s="130">
        <f t="shared" si="136"/>
        <v>0</v>
      </c>
      <c r="Z76" s="130">
        <f t="shared" si="137"/>
        <v>0</v>
      </c>
      <c r="AA76" s="131">
        <f t="shared" si="138"/>
        <v>0</v>
      </c>
      <c r="AB76" s="131">
        <f t="shared" si="139"/>
        <v>0</v>
      </c>
      <c r="AC76" s="130">
        <v>0</v>
      </c>
      <c r="AD76" s="130">
        <v>0</v>
      </c>
      <c r="AE76" s="130">
        <f t="shared" si="14"/>
        <v>0</v>
      </c>
      <c r="AF76" s="130">
        <f t="shared" si="15"/>
        <v>0</v>
      </c>
      <c r="AG76" s="132">
        <v>0</v>
      </c>
      <c r="AH76" s="132">
        <v>0</v>
      </c>
      <c r="AI76" s="132">
        <v>0</v>
      </c>
      <c r="AJ76" s="132">
        <v>0</v>
      </c>
      <c r="AK76" s="132">
        <v>0</v>
      </c>
      <c r="AL76" s="132">
        <f t="shared" si="16"/>
        <v>0</v>
      </c>
      <c r="AM76" s="132">
        <f>AH76+AK76</f>
        <v>0</v>
      </c>
      <c r="AN76" s="403">
        <f t="shared" si="17"/>
        <v>0</v>
      </c>
      <c r="AO76" s="128">
        <f t="shared" si="18"/>
        <v>737785</v>
      </c>
      <c r="AP76" s="130">
        <f t="shared" si="19"/>
        <v>543288</v>
      </c>
      <c r="AQ76" s="130">
        <f t="shared" si="20"/>
        <v>0</v>
      </c>
      <c r="AR76" s="130">
        <f t="shared" si="21"/>
        <v>183631</v>
      </c>
      <c r="AS76" s="130">
        <f t="shared" si="22"/>
        <v>10866</v>
      </c>
      <c r="AT76" s="130">
        <f t="shared" si="23"/>
        <v>0</v>
      </c>
      <c r="AU76" s="132">
        <f t="shared" si="24"/>
        <v>2</v>
      </c>
      <c r="AV76" s="132">
        <f t="shared" si="25"/>
        <v>2</v>
      </c>
      <c r="AW76" s="133">
        <f t="shared" si="26"/>
        <v>0</v>
      </c>
    </row>
    <row r="77" spans="1:49" ht="14.1" customHeight="1" x14ac:dyDescent="0.2">
      <c r="A77" s="124">
        <v>18</v>
      </c>
      <c r="B77" s="121">
        <v>2416</v>
      </c>
      <c r="C77" s="122">
        <v>600079571</v>
      </c>
      <c r="D77" s="121">
        <v>72742895</v>
      </c>
      <c r="E77" s="123" t="s">
        <v>608</v>
      </c>
      <c r="F77" s="124">
        <v>3141</v>
      </c>
      <c r="G77" s="123" t="s">
        <v>321</v>
      </c>
      <c r="H77" s="125" t="s">
        <v>284</v>
      </c>
      <c r="I77" s="126">
        <f t="shared" ref="I77:I140" si="140">SUM(J77:M77)</f>
        <v>619426</v>
      </c>
      <c r="J77" s="666">
        <v>454081</v>
      </c>
      <c r="K77" s="127">
        <f t="shared" si="5"/>
        <v>153479</v>
      </c>
      <c r="L77" s="477">
        <f t="shared" si="6"/>
        <v>9082</v>
      </c>
      <c r="M77" s="666">
        <v>2784</v>
      </c>
      <c r="N77" s="390">
        <f t="shared" ref="N77:N140" si="141">O77+P77</f>
        <v>1.54</v>
      </c>
      <c r="O77" s="668">
        <v>0</v>
      </c>
      <c r="P77" s="667">
        <v>1.54</v>
      </c>
      <c r="Q77" s="129">
        <f t="shared" ref="Q77:Q140" si="142">V77*-1</f>
        <v>0</v>
      </c>
      <c r="R77" s="130">
        <v>0</v>
      </c>
      <c r="S77" s="130">
        <v>0</v>
      </c>
      <c r="T77" s="130">
        <v>0</v>
      </c>
      <c r="U77" s="130">
        <f t="shared" ref="U77:U140" si="143">SUM(Q77:T77)</f>
        <v>0</v>
      </c>
      <c r="V77" s="130">
        <v>0</v>
      </c>
      <c r="W77" s="130">
        <v>0</v>
      </c>
      <c r="X77" s="130">
        <v>0</v>
      </c>
      <c r="Y77" s="130">
        <f t="shared" si="136"/>
        <v>0</v>
      </c>
      <c r="Z77" s="130">
        <f t="shared" si="137"/>
        <v>0</v>
      </c>
      <c r="AA77" s="131">
        <f t="shared" si="138"/>
        <v>0</v>
      </c>
      <c r="AB77" s="131">
        <f t="shared" si="139"/>
        <v>0</v>
      </c>
      <c r="AC77" s="130">
        <v>0</v>
      </c>
      <c r="AD77" s="130">
        <v>0</v>
      </c>
      <c r="AE77" s="130">
        <f t="shared" si="14"/>
        <v>0</v>
      </c>
      <c r="AF77" s="130">
        <f t="shared" si="15"/>
        <v>0</v>
      </c>
      <c r="AG77" s="132">
        <v>0</v>
      </c>
      <c r="AH77" s="132">
        <v>0</v>
      </c>
      <c r="AI77" s="132">
        <v>0</v>
      </c>
      <c r="AJ77" s="132">
        <v>0</v>
      </c>
      <c r="AK77" s="132">
        <v>0</v>
      </c>
      <c r="AL77" s="132">
        <f t="shared" si="16"/>
        <v>0</v>
      </c>
      <c r="AM77" s="132">
        <f>AH77+AK77</f>
        <v>0</v>
      </c>
      <c r="AN77" s="403">
        <f t="shared" si="17"/>
        <v>0</v>
      </c>
      <c r="AO77" s="128">
        <f t="shared" ref="AO77:AO140" si="144">I77+AF77</f>
        <v>619426</v>
      </c>
      <c r="AP77" s="130">
        <f t="shared" ref="AP77:AP140" si="145">J77+U77</f>
        <v>454081</v>
      </c>
      <c r="AQ77" s="130">
        <f t="shared" ref="AQ77:AQ140" si="146">Y77</f>
        <v>0</v>
      </c>
      <c r="AR77" s="130">
        <f t="shared" ref="AR77:AR140" si="147">K77+AA77</f>
        <v>153479</v>
      </c>
      <c r="AS77" s="130">
        <f t="shared" ref="AS77:AS140" si="148">L77+AB77</f>
        <v>9082</v>
      </c>
      <c r="AT77" s="130">
        <f t="shared" ref="AT77:AT140" si="149">M77+AE77</f>
        <v>2784</v>
      </c>
      <c r="AU77" s="132">
        <f t="shared" ref="AU77:AU140" si="150">N77+AN77</f>
        <v>1.54</v>
      </c>
      <c r="AV77" s="132">
        <f t="shared" ref="AV77:AV140" si="151">O77+AL77</f>
        <v>0</v>
      </c>
      <c r="AW77" s="133">
        <f t="shared" ref="AW77:AW140" si="152">P77+AM77</f>
        <v>1.54</v>
      </c>
    </row>
    <row r="78" spans="1:49" ht="14.1" customHeight="1" x14ac:dyDescent="0.2">
      <c r="A78" s="137">
        <v>18</v>
      </c>
      <c r="B78" s="134">
        <v>2416</v>
      </c>
      <c r="C78" s="135">
        <v>600079571</v>
      </c>
      <c r="D78" s="134">
        <v>72742895</v>
      </c>
      <c r="E78" s="136" t="s">
        <v>609</v>
      </c>
      <c r="F78" s="137"/>
      <c r="G78" s="136"/>
      <c r="H78" s="138"/>
      <c r="I78" s="139">
        <f t="shared" ref="I78:P78" si="153">SUM(I75:I77)</f>
        <v>6262782</v>
      </c>
      <c r="J78" s="140">
        <f t="shared" si="153"/>
        <v>4581442</v>
      </c>
      <c r="K78" s="140">
        <f t="shared" si="153"/>
        <v>1548527</v>
      </c>
      <c r="L78" s="140">
        <f t="shared" si="153"/>
        <v>91629</v>
      </c>
      <c r="M78" s="140">
        <f t="shared" si="153"/>
        <v>41184</v>
      </c>
      <c r="N78" s="141">
        <f t="shared" si="153"/>
        <v>11.868199999999998</v>
      </c>
      <c r="O78" s="141">
        <f t="shared" si="153"/>
        <v>8</v>
      </c>
      <c r="P78" s="142">
        <f t="shared" si="153"/>
        <v>3.8681999999999999</v>
      </c>
      <c r="Q78" s="342">
        <f t="shared" ref="Q78:AW78" si="154">SUM(Q75:Q77)</f>
        <v>-58400</v>
      </c>
      <c r="R78" s="140">
        <f t="shared" si="154"/>
        <v>0</v>
      </c>
      <c r="S78" s="140">
        <f t="shared" si="154"/>
        <v>0</v>
      </c>
      <c r="T78" s="140">
        <f t="shared" si="154"/>
        <v>0</v>
      </c>
      <c r="U78" s="140">
        <f t="shared" si="154"/>
        <v>-58400</v>
      </c>
      <c r="V78" s="140">
        <f t="shared" si="154"/>
        <v>58400</v>
      </c>
      <c r="W78" s="140">
        <f t="shared" si="154"/>
        <v>0</v>
      </c>
      <c r="X78" s="140">
        <f t="shared" si="154"/>
        <v>0</v>
      </c>
      <c r="Y78" s="140">
        <f t="shared" si="154"/>
        <v>58400</v>
      </c>
      <c r="Z78" s="140">
        <f t="shared" si="154"/>
        <v>0</v>
      </c>
      <c r="AA78" s="140">
        <f t="shared" si="154"/>
        <v>0</v>
      </c>
      <c r="AB78" s="140">
        <f t="shared" si="154"/>
        <v>-1168</v>
      </c>
      <c r="AC78" s="140">
        <f t="shared" si="154"/>
        <v>0</v>
      </c>
      <c r="AD78" s="140">
        <f t="shared" si="154"/>
        <v>0</v>
      </c>
      <c r="AE78" s="140">
        <f t="shared" si="154"/>
        <v>0</v>
      </c>
      <c r="AF78" s="140">
        <f t="shared" si="154"/>
        <v>-1168</v>
      </c>
      <c r="AG78" s="141">
        <f t="shared" si="154"/>
        <v>0</v>
      </c>
      <c r="AH78" s="141">
        <f t="shared" si="154"/>
        <v>-0.31</v>
      </c>
      <c r="AI78" s="141">
        <f t="shared" si="154"/>
        <v>0</v>
      </c>
      <c r="AJ78" s="141">
        <f t="shared" si="154"/>
        <v>0</v>
      </c>
      <c r="AK78" s="141">
        <f t="shared" si="154"/>
        <v>0</v>
      </c>
      <c r="AL78" s="141">
        <f t="shared" si="154"/>
        <v>0</v>
      </c>
      <c r="AM78" s="141">
        <f t="shared" si="154"/>
        <v>-0.31</v>
      </c>
      <c r="AN78" s="635">
        <f t="shared" si="154"/>
        <v>-0.31</v>
      </c>
      <c r="AO78" s="139">
        <f t="shared" si="154"/>
        <v>6261614</v>
      </c>
      <c r="AP78" s="140">
        <f t="shared" si="154"/>
        <v>4523042</v>
      </c>
      <c r="AQ78" s="140">
        <f t="shared" si="154"/>
        <v>58400</v>
      </c>
      <c r="AR78" s="140">
        <f t="shared" si="154"/>
        <v>1548527</v>
      </c>
      <c r="AS78" s="140">
        <f t="shared" si="154"/>
        <v>90461</v>
      </c>
      <c r="AT78" s="140">
        <f t="shared" si="154"/>
        <v>41184</v>
      </c>
      <c r="AU78" s="141">
        <f t="shared" si="154"/>
        <v>11.558199999999999</v>
      </c>
      <c r="AV78" s="141">
        <f t="shared" si="154"/>
        <v>8</v>
      </c>
      <c r="AW78" s="142">
        <f t="shared" si="154"/>
        <v>3.5581999999999998</v>
      </c>
    </row>
    <row r="79" spans="1:49" ht="14.1" customHeight="1" x14ac:dyDescent="0.2">
      <c r="A79" s="124">
        <v>19</v>
      </c>
      <c r="B79" s="121">
        <v>2421</v>
      </c>
      <c r="C79" s="122">
        <v>600079163</v>
      </c>
      <c r="D79" s="121">
        <v>72743301</v>
      </c>
      <c r="E79" s="123" t="s">
        <v>610</v>
      </c>
      <c r="F79" s="124">
        <v>3111</v>
      </c>
      <c r="G79" s="123" t="s">
        <v>317</v>
      </c>
      <c r="H79" s="125" t="s">
        <v>283</v>
      </c>
      <c r="I79" s="126">
        <f t="shared" si="140"/>
        <v>10191297</v>
      </c>
      <c r="J79" s="127">
        <v>7456588</v>
      </c>
      <c r="K79" s="127">
        <f t="shared" ref="K79:K141" si="155">ROUND(J79*33.8%,0)</f>
        <v>2520327</v>
      </c>
      <c r="L79" s="477">
        <f t="shared" ref="L79:L141" si="156">ROUND(J79*2%,0)</f>
        <v>149132</v>
      </c>
      <c r="M79" s="127">
        <v>65250</v>
      </c>
      <c r="N79" s="390">
        <f t="shared" si="141"/>
        <v>16.946400000000001</v>
      </c>
      <c r="O79" s="390">
        <v>12.741899999999999</v>
      </c>
      <c r="P79" s="439">
        <v>4.2045000000000003</v>
      </c>
      <c r="Q79" s="129">
        <f t="shared" si="142"/>
        <v>0</v>
      </c>
      <c r="R79" s="130">
        <v>0</v>
      </c>
      <c r="S79" s="130">
        <v>0</v>
      </c>
      <c r="T79" s="130">
        <v>0</v>
      </c>
      <c r="U79" s="130">
        <f t="shared" si="143"/>
        <v>0</v>
      </c>
      <c r="V79" s="130">
        <v>0</v>
      </c>
      <c r="W79" s="130">
        <v>0</v>
      </c>
      <c r="X79" s="130">
        <v>0</v>
      </c>
      <c r="Y79" s="130">
        <f t="shared" ref="Y79:Y80" si="157">SUM(V79:X79)</f>
        <v>0</v>
      </c>
      <c r="Z79" s="130">
        <f t="shared" ref="Z79:Z80" si="158">U79+Y79</f>
        <v>0</v>
      </c>
      <c r="AA79" s="131">
        <f t="shared" ref="AA79:AA80" si="159">ROUND((U79+V79+W79)*33.8%,0)</f>
        <v>0</v>
      </c>
      <c r="AB79" s="131">
        <f t="shared" ref="AB79:AB80" si="160">ROUND(U79*2%,0)</f>
        <v>0</v>
      </c>
      <c r="AC79" s="130">
        <v>0</v>
      </c>
      <c r="AD79" s="130">
        <v>0</v>
      </c>
      <c r="AE79" s="130">
        <f t="shared" ref="AE79:AE144" si="161">SUM(AC79:AD79)</f>
        <v>0</v>
      </c>
      <c r="AF79" s="130">
        <f t="shared" ref="AF79:AF144" si="162">Z79+AA79+AB79+AE79</f>
        <v>0</v>
      </c>
      <c r="AG79" s="132">
        <v>0</v>
      </c>
      <c r="AH79" s="132">
        <v>0</v>
      </c>
      <c r="AI79" s="132">
        <v>0</v>
      </c>
      <c r="AJ79" s="132">
        <v>0</v>
      </c>
      <c r="AK79" s="132">
        <v>0</v>
      </c>
      <c r="AL79" s="132">
        <f t="shared" ref="AL79:AL144" si="163">AG79+AI79+AJ79</f>
        <v>0</v>
      </c>
      <c r="AM79" s="132">
        <f>AH79+AK79</f>
        <v>0</v>
      </c>
      <c r="AN79" s="403">
        <f t="shared" ref="AN79:AN144" si="164">SUM(AL79:AM79)</f>
        <v>0</v>
      </c>
      <c r="AO79" s="128">
        <f t="shared" si="144"/>
        <v>10191297</v>
      </c>
      <c r="AP79" s="130">
        <f t="shared" si="145"/>
        <v>7456588</v>
      </c>
      <c r="AQ79" s="130">
        <f t="shared" si="146"/>
        <v>0</v>
      </c>
      <c r="AR79" s="130">
        <f t="shared" si="147"/>
        <v>2520327</v>
      </c>
      <c r="AS79" s="130">
        <f t="shared" si="148"/>
        <v>149132</v>
      </c>
      <c r="AT79" s="130">
        <f t="shared" si="149"/>
        <v>65250</v>
      </c>
      <c r="AU79" s="132">
        <f t="shared" si="150"/>
        <v>16.946400000000001</v>
      </c>
      <c r="AV79" s="132">
        <f t="shared" si="151"/>
        <v>12.741899999999999</v>
      </c>
      <c r="AW79" s="133">
        <f t="shared" si="152"/>
        <v>4.2045000000000003</v>
      </c>
    </row>
    <row r="80" spans="1:49" ht="14.1" customHeight="1" x14ac:dyDescent="0.2">
      <c r="A80" s="124">
        <v>19</v>
      </c>
      <c r="B80" s="121">
        <v>2421</v>
      </c>
      <c r="C80" s="122">
        <v>600079163</v>
      </c>
      <c r="D80" s="121">
        <v>72743301</v>
      </c>
      <c r="E80" s="123" t="s">
        <v>610</v>
      </c>
      <c r="F80" s="124">
        <v>3141</v>
      </c>
      <c r="G80" s="123" t="s">
        <v>321</v>
      </c>
      <c r="H80" s="125" t="s">
        <v>284</v>
      </c>
      <c r="I80" s="126">
        <f t="shared" si="140"/>
        <v>1379636</v>
      </c>
      <c r="J80" s="666">
        <v>1009739</v>
      </c>
      <c r="K80" s="127">
        <f t="shared" ref="K80" si="165">ROUND(J80*33.8%,0)</f>
        <v>341292</v>
      </c>
      <c r="L80" s="477">
        <f t="shared" ref="L80" si="166">ROUND(J80*2%,0)</f>
        <v>20195</v>
      </c>
      <c r="M80" s="666">
        <v>8410</v>
      </c>
      <c r="N80" s="390">
        <f t="shared" si="141"/>
        <v>3.43</v>
      </c>
      <c r="O80" s="668">
        <v>0</v>
      </c>
      <c r="P80" s="667">
        <v>3.43</v>
      </c>
      <c r="Q80" s="129">
        <f t="shared" si="142"/>
        <v>0</v>
      </c>
      <c r="R80" s="130">
        <v>0</v>
      </c>
      <c r="S80" s="130">
        <v>0</v>
      </c>
      <c r="T80" s="130">
        <v>0</v>
      </c>
      <c r="U80" s="130">
        <f t="shared" si="143"/>
        <v>0</v>
      </c>
      <c r="V80" s="130">
        <v>0</v>
      </c>
      <c r="W80" s="130">
        <v>0</v>
      </c>
      <c r="X80" s="130">
        <v>0</v>
      </c>
      <c r="Y80" s="130">
        <f t="shared" si="157"/>
        <v>0</v>
      </c>
      <c r="Z80" s="130">
        <f t="shared" si="158"/>
        <v>0</v>
      </c>
      <c r="AA80" s="131">
        <f t="shared" si="159"/>
        <v>0</v>
      </c>
      <c r="AB80" s="131">
        <f t="shared" si="160"/>
        <v>0</v>
      </c>
      <c r="AC80" s="130">
        <v>0</v>
      </c>
      <c r="AD80" s="130">
        <v>0</v>
      </c>
      <c r="AE80" s="130">
        <f t="shared" si="161"/>
        <v>0</v>
      </c>
      <c r="AF80" s="130">
        <f t="shared" si="162"/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f t="shared" si="163"/>
        <v>0</v>
      </c>
      <c r="AM80" s="132">
        <f>AH80+AK80</f>
        <v>0</v>
      </c>
      <c r="AN80" s="403">
        <f t="shared" si="164"/>
        <v>0</v>
      </c>
      <c r="AO80" s="128">
        <f t="shared" si="144"/>
        <v>1379636</v>
      </c>
      <c r="AP80" s="130">
        <f t="shared" si="145"/>
        <v>1009739</v>
      </c>
      <c r="AQ80" s="130">
        <f t="shared" si="146"/>
        <v>0</v>
      </c>
      <c r="AR80" s="130">
        <f t="shared" si="147"/>
        <v>341292</v>
      </c>
      <c r="AS80" s="130">
        <f t="shared" si="148"/>
        <v>20195</v>
      </c>
      <c r="AT80" s="130">
        <f t="shared" si="149"/>
        <v>8410</v>
      </c>
      <c r="AU80" s="132">
        <f t="shared" si="150"/>
        <v>3.43</v>
      </c>
      <c r="AV80" s="132">
        <f t="shared" si="151"/>
        <v>0</v>
      </c>
      <c r="AW80" s="133">
        <f t="shared" si="152"/>
        <v>3.43</v>
      </c>
    </row>
    <row r="81" spans="1:49" ht="14.1" customHeight="1" x14ac:dyDescent="0.2">
      <c r="A81" s="137">
        <v>19</v>
      </c>
      <c r="B81" s="134">
        <v>2421</v>
      </c>
      <c r="C81" s="135">
        <v>600079163</v>
      </c>
      <c r="D81" s="134">
        <v>72743301</v>
      </c>
      <c r="E81" s="136" t="s">
        <v>611</v>
      </c>
      <c r="F81" s="137"/>
      <c r="G81" s="136"/>
      <c r="H81" s="138"/>
      <c r="I81" s="139">
        <f t="shared" ref="I81:P81" si="167">SUM(I79:I80)</f>
        <v>11570933</v>
      </c>
      <c r="J81" s="140">
        <f t="shared" si="167"/>
        <v>8466327</v>
      </c>
      <c r="K81" s="140">
        <f t="shared" si="167"/>
        <v>2861619</v>
      </c>
      <c r="L81" s="140">
        <f t="shared" si="167"/>
        <v>169327</v>
      </c>
      <c r="M81" s="140">
        <f t="shared" si="167"/>
        <v>73660</v>
      </c>
      <c r="N81" s="141">
        <f t="shared" si="167"/>
        <v>20.3764</v>
      </c>
      <c r="O81" s="141">
        <f t="shared" si="167"/>
        <v>12.741899999999999</v>
      </c>
      <c r="P81" s="142">
        <f t="shared" si="167"/>
        <v>7.634500000000001</v>
      </c>
      <c r="Q81" s="342">
        <f t="shared" ref="Q81:AW81" si="168">SUM(Q79:Q80)</f>
        <v>0</v>
      </c>
      <c r="R81" s="140">
        <f t="shared" si="168"/>
        <v>0</v>
      </c>
      <c r="S81" s="140">
        <f t="shared" si="168"/>
        <v>0</v>
      </c>
      <c r="T81" s="140">
        <f t="shared" si="168"/>
        <v>0</v>
      </c>
      <c r="U81" s="140">
        <f t="shared" si="168"/>
        <v>0</v>
      </c>
      <c r="V81" s="140">
        <f t="shared" si="168"/>
        <v>0</v>
      </c>
      <c r="W81" s="140">
        <f t="shared" si="168"/>
        <v>0</v>
      </c>
      <c r="X81" s="140">
        <f t="shared" si="168"/>
        <v>0</v>
      </c>
      <c r="Y81" s="140">
        <f t="shared" si="168"/>
        <v>0</v>
      </c>
      <c r="Z81" s="140">
        <f t="shared" si="168"/>
        <v>0</v>
      </c>
      <c r="AA81" s="140">
        <f t="shared" si="168"/>
        <v>0</v>
      </c>
      <c r="AB81" s="140">
        <f t="shared" si="168"/>
        <v>0</v>
      </c>
      <c r="AC81" s="140">
        <f t="shared" si="168"/>
        <v>0</v>
      </c>
      <c r="AD81" s="140">
        <f t="shared" si="168"/>
        <v>0</v>
      </c>
      <c r="AE81" s="140">
        <f t="shared" si="168"/>
        <v>0</v>
      </c>
      <c r="AF81" s="140">
        <f t="shared" si="168"/>
        <v>0</v>
      </c>
      <c r="AG81" s="141">
        <f t="shared" si="168"/>
        <v>0</v>
      </c>
      <c r="AH81" s="141">
        <f t="shared" si="168"/>
        <v>0</v>
      </c>
      <c r="AI81" s="141">
        <f t="shared" si="168"/>
        <v>0</v>
      </c>
      <c r="AJ81" s="141">
        <f t="shared" si="168"/>
        <v>0</v>
      </c>
      <c r="AK81" s="141">
        <f t="shared" si="168"/>
        <v>0</v>
      </c>
      <c r="AL81" s="141">
        <f t="shared" si="168"/>
        <v>0</v>
      </c>
      <c r="AM81" s="141">
        <f t="shared" si="168"/>
        <v>0</v>
      </c>
      <c r="AN81" s="635">
        <f t="shared" si="168"/>
        <v>0</v>
      </c>
      <c r="AO81" s="139">
        <f t="shared" si="168"/>
        <v>11570933</v>
      </c>
      <c r="AP81" s="140">
        <f t="shared" si="168"/>
        <v>8466327</v>
      </c>
      <c r="AQ81" s="140">
        <f t="shared" si="168"/>
        <v>0</v>
      </c>
      <c r="AR81" s="140">
        <f t="shared" si="168"/>
        <v>2861619</v>
      </c>
      <c r="AS81" s="140">
        <f t="shared" si="168"/>
        <v>169327</v>
      </c>
      <c r="AT81" s="140">
        <f t="shared" si="168"/>
        <v>73660</v>
      </c>
      <c r="AU81" s="141">
        <f t="shared" si="168"/>
        <v>20.3764</v>
      </c>
      <c r="AV81" s="141">
        <f t="shared" si="168"/>
        <v>12.741899999999999</v>
      </c>
      <c r="AW81" s="142">
        <f t="shared" si="168"/>
        <v>7.634500000000001</v>
      </c>
    </row>
    <row r="82" spans="1:49" ht="14.1" customHeight="1" x14ac:dyDescent="0.2">
      <c r="A82" s="124">
        <v>20</v>
      </c>
      <c r="B82" s="121">
        <v>2419</v>
      </c>
      <c r="C82" s="122">
        <v>600079171</v>
      </c>
      <c r="D82" s="121">
        <v>72742500</v>
      </c>
      <c r="E82" s="123" t="s">
        <v>612</v>
      </c>
      <c r="F82" s="124">
        <v>3111</v>
      </c>
      <c r="G82" s="123" t="s">
        <v>317</v>
      </c>
      <c r="H82" s="125" t="s">
        <v>283</v>
      </c>
      <c r="I82" s="126">
        <f t="shared" si="140"/>
        <v>5087447</v>
      </c>
      <c r="J82" s="127">
        <v>3722752</v>
      </c>
      <c r="K82" s="127">
        <f t="shared" si="155"/>
        <v>1258290</v>
      </c>
      <c r="L82" s="477">
        <f t="shared" si="156"/>
        <v>74455</v>
      </c>
      <c r="M82" s="127">
        <v>31950</v>
      </c>
      <c r="N82" s="390">
        <f t="shared" si="141"/>
        <v>8.376100000000001</v>
      </c>
      <c r="O82" s="390">
        <v>6.2419000000000002</v>
      </c>
      <c r="P82" s="439">
        <v>2.1341999999999999</v>
      </c>
      <c r="Q82" s="129">
        <f t="shared" si="142"/>
        <v>0</v>
      </c>
      <c r="R82" s="130">
        <v>0</v>
      </c>
      <c r="S82" s="130">
        <v>0</v>
      </c>
      <c r="T82" s="130">
        <v>0</v>
      </c>
      <c r="U82" s="130">
        <f t="shared" si="143"/>
        <v>0</v>
      </c>
      <c r="V82" s="130">
        <v>0</v>
      </c>
      <c r="W82" s="130">
        <v>0</v>
      </c>
      <c r="X82" s="130">
        <v>0</v>
      </c>
      <c r="Y82" s="130">
        <f t="shared" ref="Y82:Y84" si="169">SUM(V82:X82)</f>
        <v>0</v>
      </c>
      <c r="Z82" s="130">
        <f t="shared" ref="Z82:Z84" si="170">U82+Y82</f>
        <v>0</v>
      </c>
      <c r="AA82" s="131">
        <f t="shared" ref="AA82:AA84" si="171">ROUND((U82+V82+W82)*33.8%,0)</f>
        <v>0</v>
      </c>
      <c r="AB82" s="131">
        <f t="shared" ref="AB82:AB84" si="172">ROUND(U82*2%,0)</f>
        <v>0</v>
      </c>
      <c r="AC82" s="130">
        <v>0</v>
      </c>
      <c r="AD82" s="130">
        <v>0</v>
      </c>
      <c r="AE82" s="130">
        <f t="shared" si="161"/>
        <v>0</v>
      </c>
      <c r="AF82" s="130">
        <f t="shared" si="162"/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f t="shared" si="163"/>
        <v>0</v>
      </c>
      <c r="AM82" s="132">
        <f>AH82+AK82</f>
        <v>0</v>
      </c>
      <c r="AN82" s="403">
        <f t="shared" si="164"/>
        <v>0</v>
      </c>
      <c r="AO82" s="128">
        <f t="shared" si="144"/>
        <v>5087447</v>
      </c>
      <c r="AP82" s="130">
        <f t="shared" si="145"/>
        <v>3722752</v>
      </c>
      <c r="AQ82" s="130">
        <f t="shared" si="146"/>
        <v>0</v>
      </c>
      <c r="AR82" s="130">
        <f t="shared" si="147"/>
        <v>1258290</v>
      </c>
      <c r="AS82" s="130">
        <f t="shared" si="148"/>
        <v>74455</v>
      </c>
      <c r="AT82" s="130">
        <f t="shared" si="149"/>
        <v>31950</v>
      </c>
      <c r="AU82" s="132">
        <f t="shared" si="150"/>
        <v>8.376100000000001</v>
      </c>
      <c r="AV82" s="132">
        <f t="shared" si="151"/>
        <v>6.2419000000000002</v>
      </c>
      <c r="AW82" s="133">
        <f t="shared" si="152"/>
        <v>2.1341999999999999</v>
      </c>
    </row>
    <row r="83" spans="1:49" ht="14.1" customHeight="1" x14ac:dyDescent="0.2">
      <c r="A83" s="124">
        <v>20</v>
      </c>
      <c r="B83" s="121">
        <v>2419</v>
      </c>
      <c r="C83" s="122">
        <v>600079171</v>
      </c>
      <c r="D83" s="121">
        <v>72742500</v>
      </c>
      <c r="E83" s="123" t="s">
        <v>612</v>
      </c>
      <c r="F83" s="124">
        <v>3111</v>
      </c>
      <c r="G83" s="98" t="s">
        <v>318</v>
      </c>
      <c r="H83" s="125" t="s">
        <v>284</v>
      </c>
      <c r="I83" s="126">
        <f t="shared" si="140"/>
        <v>0</v>
      </c>
      <c r="J83" s="29">
        <v>0</v>
      </c>
      <c r="K83" s="127">
        <f t="shared" si="155"/>
        <v>0</v>
      </c>
      <c r="L83" s="477">
        <f t="shared" si="156"/>
        <v>0</v>
      </c>
      <c r="M83" s="29">
        <v>0</v>
      </c>
      <c r="N83" s="390">
        <f t="shared" si="141"/>
        <v>0</v>
      </c>
      <c r="O83" s="349">
        <v>0</v>
      </c>
      <c r="P83" s="639">
        <v>0</v>
      </c>
      <c r="Q83" s="129">
        <f t="shared" si="142"/>
        <v>0</v>
      </c>
      <c r="R83" s="130">
        <v>202897</v>
      </c>
      <c r="S83" s="130">
        <v>0</v>
      </c>
      <c r="T83" s="130">
        <v>0</v>
      </c>
      <c r="U83" s="130">
        <f t="shared" si="143"/>
        <v>202897</v>
      </c>
      <c r="V83" s="130">
        <v>0</v>
      </c>
      <c r="W83" s="130">
        <v>0</v>
      </c>
      <c r="X83" s="130">
        <v>0</v>
      </c>
      <c r="Y83" s="130">
        <f t="shared" ref="Y83" si="173">SUM(V83:X83)</f>
        <v>0</v>
      </c>
      <c r="Z83" s="130">
        <f t="shared" ref="Z83" si="174">U83+Y83</f>
        <v>202897</v>
      </c>
      <c r="AA83" s="131">
        <f t="shared" ref="AA83" si="175">ROUND((U83+V83+W83)*33.8%,0)</f>
        <v>68579</v>
      </c>
      <c r="AB83" s="131">
        <f t="shared" ref="AB83" si="176">ROUND(U83*2%,0)</f>
        <v>4058</v>
      </c>
      <c r="AC83" s="130">
        <v>0</v>
      </c>
      <c r="AD83" s="130">
        <v>0</v>
      </c>
      <c r="AE83" s="130">
        <f t="shared" ref="AE83" si="177">SUM(AC83:AD83)</f>
        <v>0</v>
      </c>
      <c r="AF83" s="130">
        <f t="shared" ref="AF83" si="178">Z83+AA83+AB83+AE83</f>
        <v>275534</v>
      </c>
      <c r="AG83" s="132">
        <v>0</v>
      </c>
      <c r="AH83" s="132">
        <v>0</v>
      </c>
      <c r="AI83" s="132">
        <v>0.59</v>
      </c>
      <c r="AJ83" s="132">
        <v>0</v>
      </c>
      <c r="AK83" s="132">
        <v>0</v>
      </c>
      <c r="AL83" s="132">
        <f t="shared" ref="AL83" si="179">AG83+AI83+AJ83</f>
        <v>0.59</v>
      </c>
      <c r="AM83" s="132">
        <f>AH83+AK83</f>
        <v>0</v>
      </c>
      <c r="AN83" s="403">
        <f t="shared" ref="AN83" si="180">SUM(AL83:AM83)</f>
        <v>0.59</v>
      </c>
      <c r="AO83" s="128">
        <f t="shared" si="144"/>
        <v>275534</v>
      </c>
      <c r="AP83" s="130">
        <f t="shared" si="145"/>
        <v>202897</v>
      </c>
      <c r="AQ83" s="130">
        <f t="shared" si="146"/>
        <v>0</v>
      </c>
      <c r="AR83" s="130">
        <f t="shared" si="147"/>
        <v>68579</v>
      </c>
      <c r="AS83" s="130">
        <f t="shared" si="148"/>
        <v>4058</v>
      </c>
      <c r="AT83" s="130">
        <f t="shared" si="149"/>
        <v>0</v>
      </c>
      <c r="AU83" s="132">
        <f t="shared" si="150"/>
        <v>0.59</v>
      </c>
      <c r="AV83" s="132">
        <f t="shared" si="151"/>
        <v>0.59</v>
      </c>
      <c r="AW83" s="133">
        <f t="shared" si="152"/>
        <v>0</v>
      </c>
    </row>
    <row r="84" spans="1:49" ht="14.1" customHeight="1" x14ac:dyDescent="0.2">
      <c r="A84" s="124">
        <v>20</v>
      </c>
      <c r="B84" s="121">
        <v>2419</v>
      </c>
      <c r="C84" s="122">
        <v>600079171</v>
      </c>
      <c r="D84" s="121">
        <v>72742500</v>
      </c>
      <c r="E84" s="123" t="s">
        <v>612</v>
      </c>
      <c r="F84" s="124">
        <v>3141</v>
      </c>
      <c r="G84" s="123" t="s">
        <v>321</v>
      </c>
      <c r="H84" s="125" t="s">
        <v>284</v>
      </c>
      <c r="I84" s="126">
        <f t="shared" si="140"/>
        <v>807552</v>
      </c>
      <c r="J84" s="666">
        <v>591630</v>
      </c>
      <c r="K84" s="127">
        <f t="shared" ref="K84" si="181">ROUND(J84*33.8%,0)</f>
        <v>199971</v>
      </c>
      <c r="L84" s="477">
        <f t="shared" ref="L84" si="182">ROUND(J84*2%,0)</f>
        <v>11833</v>
      </c>
      <c r="M84" s="666">
        <v>4118</v>
      </c>
      <c r="N84" s="390">
        <f t="shared" si="141"/>
        <v>2.0099999999999998</v>
      </c>
      <c r="O84" s="668">
        <v>0</v>
      </c>
      <c r="P84" s="667">
        <v>2.0099999999999998</v>
      </c>
      <c r="Q84" s="129">
        <f t="shared" si="142"/>
        <v>-576</v>
      </c>
      <c r="R84" s="130">
        <v>0</v>
      </c>
      <c r="S84" s="130">
        <v>0</v>
      </c>
      <c r="T84" s="130">
        <v>0</v>
      </c>
      <c r="U84" s="130">
        <f t="shared" si="143"/>
        <v>-576</v>
      </c>
      <c r="V84" s="130">
        <v>576</v>
      </c>
      <c r="W84" s="130">
        <v>0</v>
      </c>
      <c r="X84" s="130">
        <v>0</v>
      </c>
      <c r="Y84" s="130">
        <f t="shared" si="169"/>
        <v>576</v>
      </c>
      <c r="Z84" s="130">
        <f t="shared" si="170"/>
        <v>0</v>
      </c>
      <c r="AA84" s="131">
        <f t="shared" si="171"/>
        <v>0</v>
      </c>
      <c r="AB84" s="131">
        <f t="shared" si="172"/>
        <v>-12</v>
      </c>
      <c r="AC84" s="130">
        <v>0</v>
      </c>
      <c r="AD84" s="130">
        <v>0</v>
      </c>
      <c r="AE84" s="130">
        <f t="shared" si="161"/>
        <v>0</v>
      </c>
      <c r="AF84" s="130">
        <f t="shared" si="162"/>
        <v>-12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f t="shared" si="163"/>
        <v>0</v>
      </c>
      <c r="AM84" s="132">
        <f>AH84+AK84</f>
        <v>0</v>
      </c>
      <c r="AN84" s="403">
        <f t="shared" si="164"/>
        <v>0</v>
      </c>
      <c r="AO84" s="128">
        <f t="shared" si="144"/>
        <v>807540</v>
      </c>
      <c r="AP84" s="130">
        <f t="shared" si="145"/>
        <v>591054</v>
      </c>
      <c r="AQ84" s="130">
        <f t="shared" si="146"/>
        <v>576</v>
      </c>
      <c r="AR84" s="130">
        <f t="shared" si="147"/>
        <v>199971</v>
      </c>
      <c r="AS84" s="130">
        <f t="shared" si="148"/>
        <v>11821</v>
      </c>
      <c r="AT84" s="130">
        <f t="shared" si="149"/>
        <v>4118</v>
      </c>
      <c r="AU84" s="132">
        <f t="shared" si="150"/>
        <v>2.0099999999999998</v>
      </c>
      <c r="AV84" s="132">
        <f t="shared" si="151"/>
        <v>0</v>
      </c>
      <c r="AW84" s="133">
        <f t="shared" si="152"/>
        <v>2.0099999999999998</v>
      </c>
    </row>
    <row r="85" spans="1:49" ht="14.1" customHeight="1" x14ac:dyDescent="0.2">
      <c r="A85" s="137">
        <v>20</v>
      </c>
      <c r="B85" s="134">
        <v>2419</v>
      </c>
      <c r="C85" s="135">
        <v>600079171</v>
      </c>
      <c r="D85" s="134">
        <v>72742500</v>
      </c>
      <c r="E85" s="136" t="s">
        <v>613</v>
      </c>
      <c r="F85" s="137"/>
      <c r="G85" s="136"/>
      <c r="H85" s="138"/>
      <c r="I85" s="139">
        <f t="shared" ref="I85:P85" si="183">SUM(I82:I84)</f>
        <v>5894999</v>
      </c>
      <c r="J85" s="140">
        <f t="shared" si="183"/>
        <v>4314382</v>
      </c>
      <c r="K85" s="140">
        <f t="shared" si="183"/>
        <v>1458261</v>
      </c>
      <c r="L85" s="140">
        <f t="shared" si="183"/>
        <v>86288</v>
      </c>
      <c r="M85" s="140">
        <f t="shared" si="183"/>
        <v>36068</v>
      </c>
      <c r="N85" s="141">
        <f t="shared" si="183"/>
        <v>10.386100000000001</v>
      </c>
      <c r="O85" s="141">
        <f t="shared" si="183"/>
        <v>6.2419000000000002</v>
      </c>
      <c r="P85" s="142">
        <f t="shared" si="183"/>
        <v>4.1441999999999997</v>
      </c>
      <c r="Q85" s="342">
        <f t="shared" ref="Q85:AW85" si="184">SUM(Q82:Q84)</f>
        <v>-576</v>
      </c>
      <c r="R85" s="140">
        <f t="shared" si="184"/>
        <v>202897</v>
      </c>
      <c r="S85" s="140">
        <f t="shared" si="184"/>
        <v>0</v>
      </c>
      <c r="T85" s="140">
        <f t="shared" si="184"/>
        <v>0</v>
      </c>
      <c r="U85" s="140">
        <f t="shared" si="184"/>
        <v>202321</v>
      </c>
      <c r="V85" s="140">
        <f t="shared" si="184"/>
        <v>576</v>
      </c>
      <c r="W85" s="140">
        <f t="shared" si="184"/>
        <v>0</v>
      </c>
      <c r="X85" s="140">
        <f t="shared" si="184"/>
        <v>0</v>
      </c>
      <c r="Y85" s="140">
        <f t="shared" si="184"/>
        <v>576</v>
      </c>
      <c r="Z85" s="140">
        <f t="shared" si="184"/>
        <v>202897</v>
      </c>
      <c r="AA85" s="140">
        <f t="shared" si="184"/>
        <v>68579</v>
      </c>
      <c r="AB85" s="140">
        <f t="shared" si="184"/>
        <v>4046</v>
      </c>
      <c r="AC85" s="140">
        <f t="shared" si="184"/>
        <v>0</v>
      </c>
      <c r="AD85" s="140">
        <f t="shared" si="184"/>
        <v>0</v>
      </c>
      <c r="AE85" s="140">
        <f t="shared" si="184"/>
        <v>0</v>
      </c>
      <c r="AF85" s="140">
        <f t="shared" si="184"/>
        <v>275522</v>
      </c>
      <c r="AG85" s="141">
        <f t="shared" si="184"/>
        <v>0</v>
      </c>
      <c r="AH85" s="141">
        <f t="shared" si="184"/>
        <v>0</v>
      </c>
      <c r="AI85" s="141">
        <f t="shared" si="184"/>
        <v>0.59</v>
      </c>
      <c r="AJ85" s="141">
        <f t="shared" si="184"/>
        <v>0</v>
      </c>
      <c r="AK85" s="141">
        <f t="shared" si="184"/>
        <v>0</v>
      </c>
      <c r="AL85" s="141">
        <f t="shared" si="184"/>
        <v>0.59</v>
      </c>
      <c r="AM85" s="141">
        <f t="shared" si="184"/>
        <v>0</v>
      </c>
      <c r="AN85" s="635">
        <f t="shared" si="184"/>
        <v>0.59</v>
      </c>
      <c r="AO85" s="139">
        <f t="shared" si="184"/>
        <v>6170521</v>
      </c>
      <c r="AP85" s="140">
        <f t="shared" si="184"/>
        <v>4516703</v>
      </c>
      <c r="AQ85" s="140">
        <f t="shared" si="184"/>
        <v>576</v>
      </c>
      <c r="AR85" s="140">
        <f t="shared" si="184"/>
        <v>1526840</v>
      </c>
      <c r="AS85" s="140">
        <f t="shared" si="184"/>
        <v>90334</v>
      </c>
      <c r="AT85" s="140">
        <f t="shared" si="184"/>
        <v>36068</v>
      </c>
      <c r="AU85" s="141">
        <f t="shared" si="184"/>
        <v>10.976100000000001</v>
      </c>
      <c r="AV85" s="141">
        <f t="shared" si="184"/>
        <v>6.8319000000000001</v>
      </c>
      <c r="AW85" s="142">
        <f t="shared" si="184"/>
        <v>4.1441999999999997</v>
      </c>
    </row>
    <row r="86" spans="1:49" ht="14.1" customHeight="1" x14ac:dyDescent="0.2">
      <c r="A86" s="124">
        <v>21</v>
      </c>
      <c r="B86" s="121">
        <v>2430</v>
      </c>
      <c r="C86" s="122">
        <v>600079180</v>
      </c>
      <c r="D86" s="121">
        <v>46747532</v>
      </c>
      <c r="E86" s="123" t="s">
        <v>614</v>
      </c>
      <c r="F86" s="124">
        <v>3111</v>
      </c>
      <c r="G86" s="123" t="s">
        <v>317</v>
      </c>
      <c r="H86" s="125" t="s">
        <v>283</v>
      </c>
      <c r="I86" s="126">
        <f t="shared" si="140"/>
        <v>4809924</v>
      </c>
      <c r="J86" s="127">
        <v>3521373</v>
      </c>
      <c r="K86" s="127">
        <f t="shared" si="155"/>
        <v>1190224</v>
      </c>
      <c r="L86" s="477">
        <f t="shared" si="156"/>
        <v>70427</v>
      </c>
      <c r="M86" s="127">
        <v>27900</v>
      </c>
      <c r="N86" s="390">
        <f t="shared" si="141"/>
        <v>7.9841999999999995</v>
      </c>
      <c r="O86" s="390">
        <v>6</v>
      </c>
      <c r="P86" s="439">
        <v>1.9842</v>
      </c>
      <c r="Q86" s="129">
        <f t="shared" si="142"/>
        <v>0</v>
      </c>
      <c r="R86" s="130">
        <v>0</v>
      </c>
      <c r="S86" s="130">
        <v>0</v>
      </c>
      <c r="T86" s="130">
        <v>0</v>
      </c>
      <c r="U86" s="130">
        <f t="shared" si="143"/>
        <v>0</v>
      </c>
      <c r="V86" s="130">
        <v>0</v>
      </c>
      <c r="W86" s="130">
        <v>0</v>
      </c>
      <c r="X86" s="130">
        <v>0</v>
      </c>
      <c r="Y86" s="130">
        <f t="shared" ref="Y86:Y88" si="185">SUM(V86:X86)</f>
        <v>0</v>
      </c>
      <c r="Z86" s="130">
        <f t="shared" ref="Z86:Z88" si="186">U86+Y86</f>
        <v>0</v>
      </c>
      <c r="AA86" s="131">
        <f t="shared" ref="AA86:AA88" si="187">ROUND((U86+V86+W86)*33.8%,0)</f>
        <v>0</v>
      </c>
      <c r="AB86" s="131">
        <f t="shared" ref="AB86:AB88" si="188">ROUND(U86*2%,0)</f>
        <v>0</v>
      </c>
      <c r="AC86" s="130">
        <v>0</v>
      </c>
      <c r="AD86" s="130">
        <v>0</v>
      </c>
      <c r="AE86" s="130">
        <f t="shared" si="161"/>
        <v>0</v>
      </c>
      <c r="AF86" s="130">
        <f t="shared" si="162"/>
        <v>0</v>
      </c>
      <c r="AG86" s="132">
        <v>0</v>
      </c>
      <c r="AH86" s="132">
        <v>0</v>
      </c>
      <c r="AI86" s="132">
        <v>0</v>
      </c>
      <c r="AJ86" s="132">
        <v>0</v>
      </c>
      <c r="AK86" s="132">
        <v>0</v>
      </c>
      <c r="AL86" s="132">
        <f t="shared" si="163"/>
        <v>0</v>
      </c>
      <c r="AM86" s="132">
        <f>AH86+AK86</f>
        <v>0</v>
      </c>
      <c r="AN86" s="403">
        <f t="shared" si="164"/>
        <v>0</v>
      </c>
      <c r="AO86" s="128">
        <f t="shared" si="144"/>
        <v>4809924</v>
      </c>
      <c r="AP86" s="130">
        <f t="shared" si="145"/>
        <v>3521373</v>
      </c>
      <c r="AQ86" s="130">
        <f t="shared" si="146"/>
        <v>0</v>
      </c>
      <c r="AR86" s="130">
        <f t="shared" si="147"/>
        <v>1190224</v>
      </c>
      <c r="AS86" s="130">
        <f t="shared" si="148"/>
        <v>70427</v>
      </c>
      <c r="AT86" s="130">
        <f t="shared" si="149"/>
        <v>27900</v>
      </c>
      <c r="AU86" s="132">
        <f t="shared" si="150"/>
        <v>7.9841999999999995</v>
      </c>
      <c r="AV86" s="132">
        <f t="shared" si="151"/>
        <v>6</v>
      </c>
      <c r="AW86" s="133">
        <f t="shared" si="152"/>
        <v>1.9842</v>
      </c>
    </row>
    <row r="87" spans="1:49" ht="14.1" customHeight="1" x14ac:dyDescent="0.2">
      <c r="A87" s="124">
        <v>21</v>
      </c>
      <c r="B87" s="121">
        <v>2430</v>
      </c>
      <c r="C87" s="122">
        <v>600079180</v>
      </c>
      <c r="D87" s="121">
        <v>46747532</v>
      </c>
      <c r="E87" s="123" t="s">
        <v>614</v>
      </c>
      <c r="F87" s="124">
        <v>3111</v>
      </c>
      <c r="G87" s="143" t="s">
        <v>318</v>
      </c>
      <c r="H87" s="125" t="s">
        <v>284</v>
      </c>
      <c r="I87" s="126">
        <f t="shared" si="140"/>
        <v>0</v>
      </c>
      <c r="J87" s="29">
        <v>0</v>
      </c>
      <c r="K87" s="127">
        <f t="shared" si="155"/>
        <v>0</v>
      </c>
      <c r="L87" s="477">
        <f t="shared" si="156"/>
        <v>0</v>
      </c>
      <c r="M87" s="29">
        <v>0</v>
      </c>
      <c r="N87" s="390">
        <f t="shared" si="141"/>
        <v>0</v>
      </c>
      <c r="O87" s="349">
        <v>0</v>
      </c>
      <c r="P87" s="639">
        <v>0</v>
      </c>
      <c r="Q87" s="129">
        <f t="shared" si="142"/>
        <v>0</v>
      </c>
      <c r="R87" s="130">
        <v>173222</v>
      </c>
      <c r="S87" s="130">
        <v>0</v>
      </c>
      <c r="T87" s="130">
        <v>0</v>
      </c>
      <c r="U87" s="130">
        <f t="shared" si="143"/>
        <v>173222</v>
      </c>
      <c r="V87" s="130">
        <v>0</v>
      </c>
      <c r="W87" s="130">
        <v>0</v>
      </c>
      <c r="X87" s="130">
        <v>0</v>
      </c>
      <c r="Y87" s="130">
        <f t="shared" si="185"/>
        <v>0</v>
      </c>
      <c r="Z87" s="130">
        <f t="shared" si="186"/>
        <v>173222</v>
      </c>
      <c r="AA87" s="131">
        <f t="shared" si="187"/>
        <v>58549</v>
      </c>
      <c r="AB87" s="131">
        <f t="shared" si="188"/>
        <v>3464</v>
      </c>
      <c r="AC87" s="130">
        <v>0</v>
      </c>
      <c r="AD87" s="130">
        <v>0</v>
      </c>
      <c r="AE87" s="130">
        <f t="shared" si="161"/>
        <v>0</v>
      </c>
      <c r="AF87" s="130">
        <f t="shared" si="162"/>
        <v>235235</v>
      </c>
      <c r="AG87" s="132">
        <v>0</v>
      </c>
      <c r="AH87" s="132">
        <v>0</v>
      </c>
      <c r="AI87" s="132">
        <v>0.5</v>
      </c>
      <c r="AJ87" s="132">
        <v>0</v>
      </c>
      <c r="AK87" s="132">
        <v>0</v>
      </c>
      <c r="AL87" s="132">
        <f t="shared" si="163"/>
        <v>0.5</v>
      </c>
      <c r="AM87" s="132">
        <f>AH87+AK87</f>
        <v>0</v>
      </c>
      <c r="AN87" s="403">
        <f t="shared" si="164"/>
        <v>0.5</v>
      </c>
      <c r="AO87" s="128">
        <f t="shared" si="144"/>
        <v>235235</v>
      </c>
      <c r="AP87" s="130">
        <f t="shared" si="145"/>
        <v>173222</v>
      </c>
      <c r="AQ87" s="130">
        <f t="shared" si="146"/>
        <v>0</v>
      </c>
      <c r="AR87" s="130">
        <f t="shared" si="147"/>
        <v>58549</v>
      </c>
      <c r="AS87" s="130">
        <f t="shared" si="148"/>
        <v>3464</v>
      </c>
      <c r="AT87" s="130">
        <f t="shared" si="149"/>
        <v>0</v>
      </c>
      <c r="AU87" s="132">
        <f t="shared" si="150"/>
        <v>0.5</v>
      </c>
      <c r="AV87" s="132">
        <f t="shared" si="151"/>
        <v>0.5</v>
      </c>
      <c r="AW87" s="133">
        <f t="shared" si="152"/>
        <v>0</v>
      </c>
    </row>
    <row r="88" spans="1:49" ht="14.1" customHeight="1" x14ac:dyDescent="0.2">
      <c r="A88" s="124">
        <v>21</v>
      </c>
      <c r="B88" s="121">
        <v>2430</v>
      </c>
      <c r="C88" s="122">
        <v>600079180</v>
      </c>
      <c r="D88" s="121">
        <v>46747532</v>
      </c>
      <c r="E88" s="123" t="s">
        <v>614</v>
      </c>
      <c r="F88" s="124">
        <v>3141</v>
      </c>
      <c r="G88" s="123" t="s">
        <v>321</v>
      </c>
      <c r="H88" s="125" t="s">
        <v>284</v>
      </c>
      <c r="I88" s="126">
        <f t="shared" si="140"/>
        <v>728938</v>
      </c>
      <c r="J88" s="666">
        <v>534168</v>
      </c>
      <c r="K88" s="127">
        <f t="shared" ref="K88" si="189">ROUND(J88*33.8%,0)</f>
        <v>180549</v>
      </c>
      <c r="L88" s="477">
        <f t="shared" ref="L88" si="190">ROUND(J88*2%,0)</f>
        <v>10683</v>
      </c>
      <c r="M88" s="666">
        <v>3538</v>
      </c>
      <c r="N88" s="390">
        <f t="shared" si="141"/>
        <v>1.82</v>
      </c>
      <c r="O88" s="668">
        <v>0</v>
      </c>
      <c r="P88" s="667">
        <v>1.82</v>
      </c>
      <c r="Q88" s="129">
        <f t="shared" si="142"/>
        <v>0</v>
      </c>
      <c r="R88" s="130">
        <v>0</v>
      </c>
      <c r="S88" s="130">
        <v>0</v>
      </c>
      <c r="T88" s="130">
        <v>0</v>
      </c>
      <c r="U88" s="130">
        <f t="shared" si="143"/>
        <v>0</v>
      </c>
      <c r="V88" s="130">
        <v>0</v>
      </c>
      <c r="W88" s="130">
        <v>0</v>
      </c>
      <c r="X88" s="130">
        <v>0</v>
      </c>
      <c r="Y88" s="130">
        <f t="shared" si="185"/>
        <v>0</v>
      </c>
      <c r="Z88" s="130">
        <f t="shared" si="186"/>
        <v>0</v>
      </c>
      <c r="AA88" s="131">
        <f t="shared" si="187"/>
        <v>0</v>
      </c>
      <c r="AB88" s="131">
        <f t="shared" si="188"/>
        <v>0</v>
      </c>
      <c r="AC88" s="130">
        <v>0</v>
      </c>
      <c r="AD88" s="130">
        <v>0</v>
      </c>
      <c r="AE88" s="130">
        <f t="shared" si="161"/>
        <v>0</v>
      </c>
      <c r="AF88" s="130">
        <f t="shared" si="162"/>
        <v>0</v>
      </c>
      <c r="AG88" s="132">
        <v>0</v>
      </c>
      <c r="AH88" s="132">
        <v>0</v>
      </c>
      <c r="AI88" s="132">
        <v>0</v>
      </c>
      <c r="AJ88" s="132">
        <v>0</v>
      </c>
      <c r="AK88" s="132">
        <v>0</v>
      </c>
      <c r="AL88" s="132">
        <f t="shared" si="163"/>
        <v>0</v>
      </c>
      <c r="AM88" s="132">
        <f>AH88+AK88</f>
        <v>0</v>
      </c>
      <c r="AN88" s="403">
        <f t="shared" si="164"/>
        <v>0</v>
      </c>
      <c r="AO88" s="128">
        <f t="shared" si="144"/>
        <v>728938</v>
      </c>
      <c r="AP88" s="130">
        <f t="shared" si="145"/>
        <v>534168</v>
      </c>
      <c r="AQ88" s="130">
        <f t="shared" si="146"/>
        <v>0</v>
      </c>
      <c r="AR88" s="130">
        <f t="shared" si="147"/>
        <v>180549</v>
      </c>
      <c r="AS88" s="130">
        <f t="shared" si="148"/>
        <v>10683</v>
      </c>
      <c r="AT88" s="130">
        <f t="shared" si="149"/>
        <v>3538</v>
      </c>
      <c r="AU88" s="132">
        <f t="shared" si="150"/>
        <v>1.82</v>
      </c>
      <c r="AV88" s="132">
        <f t="shared" si="151"/>
        <v>0</v>
      </c>
      <c r="AW88" s="133">
        <f t="shared" si="152"/>
        <v>1.82</v>
      </c>
    </row>
    <row r="89" spans="1:49" ht="14.1" customHeight="1" x14ac:dyDescent="0.2">
      <c r="A89" s="137">
        <v>21</v>
      </c>
      <c r="B89" s="134">
        <v>2430</v>
      </c>
      <c r="C89" s="135">
        <v>600079180</v>
      </c>
      <c r="D89" s="134">
        <v>46747532</v>
      </c>
      <c r="E89" s="136" t="s">
        <v>615</v>
      </c>
      <c r="F89" s="137"/>
      <c r="G89" s="136"/>
      <c r="H89" s="138"/>
      <c r="I89" s="139">
        <f t="shared" ref="I89:P89" si="191">SUM(I86:I88)</f>
        <v>5538862</v>
      </c>
      <c r="J89" s="140">
        <f t="shared" si="191"/>
        <v>4055541</v>
      </c>
      <c r="K89" s="140">
        <f t="shared" si="191"/>
        <v>1370773</v>
      </c>
      <c r="L89" s="140">
        <f t="shared" si="191"/>
        <v>81110</v>
      </c>
      <c r="M89" s="140">
        <f t="shared" si="191"/>
        <v>31438</v>
      </c>
      <c r="N89" s="141">
        <f t="shared" si="191"/>
        <v>9.8041999999999998</v>
      </c>
      <c r="O89" s="141">
        <f t="shared" si="191"/>
        <v>6</v>
      </c>
      <c r="P89" s="142">
        <f t="shared" si="191"/>
        <v>3.8041999999999998</v>
      </c>
      <c r="Q89" s="342">
        <f t="shared" ref="Q89:AW89" si="192">SUM(Q86:Q88)</f>
        <v>0</v>
      </c>
      <c r="R89" s="140">
        <f t="shared" si="192"/>
        <v>173222</v>
      </c>
      <c r="S89" s="140">
        <f t="shared" si="192"/>
        <v>0</v>
      </c>
      <c r="T89" s="140">
        <f t="shared" si="192"/>
        <v>0</v>
      </c>
      <c r="U89" s="140">
        <f t="shared" si="192"/>
        <v>173222</v>
      </c>
      <c r="V89" s="140">
        <f t="shared" si="192"/>
        <v>0</v>
      </c>
      <c r="W89" s="140">
        <f t="shared" si="192"/>
        <v>0</v>
      </c>
      <c r="X89" s="140">
        <f t="shared" si="192"/>
        <v>0</v>
      </c>
      <c r="Y89" s="140">
        <f t="shared" si="192"/>
        <v>0</v>
      </c>
      <c r="Z89" s="140">
        <f t="shared" si="192"/>
        <v>173222</v>
      </c>
      <c r="AA89" s="140">
        <f t="shared" si="192"/>
        <v>58549</v>
      </c>
      <c r="AB89" s="140">
        <f t="shared" si="192"/>
        <v>3464</v>
      </c>
      <c r="AC89" s="140">
        <f t="shared" si="192"/>
        <v>0</v>
      </c>
      <c r="AD89" s="140">
        <f t="shared" si="192"/>
        <v>0</v>
      </c>
      <c r="AE89" s="140">
        <f t="shared" si="192"/>
        <v>0</v>
      </c>
      <c r="AF89" s="140">
        <f t="shared" si="192"/>
        <v>235235</v>
      </c>
      <c r="AG89" s="141">
        <f t="shared" si="192"/>
        <v>0</v>
      </c>
      <c r="AH89" s="141">
        <f t="shared" si="192"/>
        <v>0</v>
      </c>
      <c r="AI89" s="141">
        <f t="shared" si="192"/>
        <v>0.5</v>
      </c>
      <c r="AJ89" s="141">
        <f t="shared" si="192"/>
        <v>0</v>
      </c>
      <c r="AK89" s="141">
        <f t="shared" si="192"/>
        <v>0</v>
      </c>
      <c r="AL89" s="141">
        <f t="shared" si="192"/>
        <v>0.5</v>
      </c>
      <c r="AM89" s="141">
        <f t="shared" si="192"/>
        <v>0</v>
      </c>
      <c r="AN89" s="635">
        <f t="shared" si="192"/>
        <v>0.5</v>
      </c>
      <c r="AO89" s="139">
        <f t="shared" si="192"/>
        <v>5774097</v>
      </c>
      <c r="AP89" s="140">
        <f t="shared" si="192"/>
        <v>4228763</v>
      </c>
      <c r="AQ89" s="140">
        <f t="shared" si="192"/>
        <v>0</v>
      </c>
      <c r="AR89" s="140">
        <f t="shared" si="192"/>
        <v>1429322</v>
      </c>
      <c r="AS89" s="140">
        <f t="shared" si="192"/>
        <v>84574</v>
      </c>
      <c r="AT89" s="140">
        <f t="shared" si="192"/>
        <v>31438</v>
      </c>
      <c r="AU89" s="141">
        <f t="shared" si="192"/>
        <v>10.3042</v>
      </c>
      <c r="AV89" s="141">
        <f t="shared" si="192"/>
        <v>6.5</v>
      </c>
      <c r="AW89" s="142">
        <f t="shared" si="192"/>
        <v>3.8041999999999998</v>
      </c>
    </row>
    <row r="90" spans="1:49" ht="14.1" customHeight="1" x14ac:dyDescent="0.2">
      <c r="A90" s="124">
        <v>22</v>
      </c>
      <c r="B90" s="121">
        <v>2409</v>
      </c>
      <c r="C90" s="122">
        <v>600079635</v>
      </c>
      <c r="D90" s="121">
        <v>72742747</v>
      </c>
      <c r="E90" s="123" t="s">
        <v>616</v>
      </c>
      <c r="F90" s="124">
        <v>3111</v>
      </c>
      <c r="G90" s="123" t="s">
        <v>317</v>
      </c>
      <c r="H90" s="125" t="s">
        <v>283</v>
      </c>
      <c r="I90" s="126">
        <f t="shared" si="140"/>
        <v>7224526</v>
      </c>
      <c r="J90" s="127">
        <v>5288164</v>
      </c>
      <c r="K90" s="127">
        <f t="shared" si="155"/>
        <v>1787399</v>
      </c>
      <c r="L90" s="477">
        <f t="shared" si="156"/>
        <v>105763</v>
      </c>
      <c r="M90" s="127">
        <v>43200</v>
      </c>
      <c r="N90" s="390">
        <f t="shared" si="141"/>
        <v>12.168200000000001</v>
      </c>
      <c r="O90" s="390">
        <v>8.9</v>
      </c>
      <c r="P90" s="439">
        <v>3.2681999999999998</v>
      </c>
      <c r="Q90" s="129">
        <f t="shared" si="142"/>
        <v>0</v>
      </c>
      <c r="R90" s="130">
        <v>0</v>
      </c>
      <c r="S90" s="130">
        <v>0</v>
      </c>
      <c r="T90" s="130">
        <v>0</v>
      </c>
      <c r="U90" s="130">
        <f t="shared" si="143"/>
        <v>0</v>
      </c>
      <c r="V90" s="130">
        <v>0</v>
      </c>
      <c r="W90" s="130">
        <v>0</v>
      </c>
      <c r="X90" s="130">
        <v>0</v>
      </c>
      <c r="Y90" s="130">
        <f t="shared" ref="Y90:Y91" si="193">SUM(V90:X90)</f>
        <v>0</v>
      </c>
      <c r="Z90" s="130">
        <f t="shared" ref="Z90:Z91" si="194">U90+Y90</f>
        <v>0</v>
      </c>
      <c r="AA90" s="131">
        <f t="shared" ref="AA90:AA91" si="195">ROUND((U90+V90+W90)*33.8%,0)</f>
        <v>0</v>
      </c>
      <c r="AB90" s="131">
        <f t="shared" ref="AB90:AB91" si="196">ROUND(U90*2%,0)</f>
        <v>0</v>
      </c>
      <c r="AC90" s="130">
        <v>0</v>
      </c>
      <c r="AD90" s="130">
        <v>0</v>
      </c>
      <c r="AE90" s="130">
        <f t="shared" si="161"/>
        <v>0</v>
      </c>
      <c r="AF90" s="130">
        <f t="shared" si="162"/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f t="shared" si="163"/>
        <v>0</v>
      </c>
      <c r="AM90" s="132">
        <f>AH90+AK90</f>
        <v>0</v>
      </c>
      <c r="AN90" s="403">
        <f t="shared" si="164"/>
        <v>0</v>
      </c>
      <c r="AO90" s="128">
        <f t="shared" si="144"/>
        <v>7224526</v>
      </c>
      <c r="AP90" s="130">
        <f t="shared" si="145"/>
        <v>5288164</v>
      </c>
      <c r="AQ90" s="130">
        <f t="shared" si="146"/>
        <v>0</v>
      </c>
      <c r="AR90" s="130">
        <f t="shared" si="147"/>
        <v>1787399</v>
      </c>
      <c r="AS90" s="130">
        <f t="shared" si="148"/>
        <v>105763</v>
      </c>
      <c r="AT90" s="130">
        <f t="shared" si="149"/>
        <v>43200</v>
      </c>
      <c r="AU90" s="132">
        <f t="shared" si="150"/>
        <v>12.168200000000001</v>
      </c>
      <c r="AV90" s="132">
        <f t="shared" si="151"/>
        <v>8.9</v>
      </c>
      <c r="AW90" s="133">
        <f t="shared" si="152"/>
        <v>3.2681999999999998</v>
      </c>
    </row>
    <row r="91" spans="1:49" ht="14.1" customHeight="1" x14ac:dyDescent="0.2">
      <c r="A91" s="124">
        <v>22</v>
      </c>
      <c r="B91" s="121">
        <v>2409</v>
      </c>
      <c r="C91" s="122">
        <v>600079635</v>
      </c>
      <c r="D91" s="121">
        <v>72742747</v>
      </c>
      <c r="E91" s="123" t="s">
        <v>616</v>
      </c>
      <c r="F91" s="124">
        <v>3141</v>
      </c>
      <c r="G91" s="123" t="s">
        <v>321</v>
      </c>
      <c r="H91" s="125" t="s">
        <v>284</v>
      </c>
      <c r="I91" s="126">
        <f t="shared" si="140"/>
        <v>1247517</v>
      </c>
      <c r="J91" s="666">
        <v>914500</v>
      </c>
      <c r="K91" s="127">
        <f t="shared" ref="K91" si="197">ROUND(J91*33.8%,0)</f>
        <v>309101</v>
      </c>
      <c r="L91" s="477">
        <f t="shared" ref="L91" si="198">ROUND(J91*2%,0)</f>
        <v>18290</v>
      </c>
      <c r="M91" s="666">
        <v>5626</v>
      </c>
      <c r="N91" s="390">
        <f t="shared" si="141"/>
        <v>3.1100000000000003</v>
      </c>
      <c r="O91" s="668">
        <v>0</v>
      </c>
      <c r="P91" s="674">
        <v>3.1100000000000003</v>
      </c>
      <c r="Q91" s="129">
        <f t="shared" si="142"/>
        <v>0</v>
      </c>
      <c r="R91" s="130">
        <v>0</v>
      </c>
      <c r="S91" s="130">
        <v>0</v>
      </c>
      <c r="T91" s="130">
        <v>0</v>
      </c>
      <c r="U91" s="130">
        <f t="shared" si="143"/>
        <v>0</v>
      </c>
      <c r="V91" s="130">
        <v>0</v>
      </c>
      <c r="W91" s="130">
        <v>0</v>
      </c>
      <c r="X91" s="130">
        <v>0</v>
      </c>
      <c r="Y91" s="130">
        <f t="shared" si="193"/>
        <v>0</v>
      </c>
      <c r="Z91" s="130">
        <f t="shared" si="194"/>
        <v>0</v>
      </c>
      <c r="AA91" s="131">
        <f t="shared" si="195"/>
        <v>0</v>
      </c>
      <c r="AB91" s="131">
        <f t="shared" si="196"/>
        <v>0</v>
      </c>
      <c r="AC91" s="130">
        <v>0</v>
      </c>
      <c r="AD91" s="130">
        <v>0</v>
      </c>
      <c r="AE91" s="130">
        <f t="shared" si="161"/>
        <v>0</v>
      </c>
      <c r="AF91" s="130">
        <f t="shared" si="162"/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f t="shared" si="163"/>
        <v>0</v>
      </c>
      <c r="AM91" s="132">
        <f>AH91+AK91</f>
        <v>0</v>
      </c>
      <c r="AN91" s="403">
        <f t="shared" si="164"/>
        <v>0</v>
      </c>
      <c r="AO91" s="128">
        <f t="shared" si="144"/>
        <v>1247517</v>
      </c>
      <c r="AP91" s="130">
        <f t="shared" si="145"/>
        <v>914500</v>
      </c>
      <c r="AQ91" s="130">
        <f t="shared" si="146"/>
        <v>0</v>
      </c>
      <c r="AR91" s="130">
        <f t="shared" si="147"/>
        <v>309101</v>
      </c>
      <c r="AS91" s="130">
        <f t="shared" si="148"/>
        <v>18290</v>
      </c>
      <c r="AT91" s="130">
        <f t="shared" si="149"/>
        <v>5626</v>
      </c>
      <c r="AU91" s="132">
        <f t="shared" si="150"/>
        <v>3.1100000000000003</v>
      </c>
      <c r="AV91" s="132">
        <f t="shared" si="151"/>
        <v>0</v>
      </c>
      <c r="AW91" s="133">
        <f t="shared" si="152"/>
        <v>3.1100000000000003</v>
      </c>
    </row>
    <row r="92" spans="1:49" ht="14.1" customHeight="1" x14ac:dyDescent="0.2">
      <c r="A92" s="137">
        <v>22</v>
      </c>
      <c r="B92" s="134">
        <v>2409</v>
      </c>
      <c r="C92" s="135">
        <v>600079635</v>
      </c>
      <c r="D92" s="134">
        <v>72742747</v>
      </c>
      <c r="E92" s="136" t="s">
        <v>617</v>
      </c>
      <c r="F92" s="137"/>
      <c r="G92" s="136"/>
      <c r="H92" s="138"/>
      <c r="I92" s="139">
        <f t="shared" ref="I92:P92" si="199">SUM(I90:I91)</f>
        <v>8472043</v>
      </c>
      <c r="J92" s="140">
        <f t="shared" si="199"/>
        <v>6202664</v>
      </c>
      <c r="K92" s="140">
        <f t="shared" si="199"/>
        <v>2096500</v>
      </c>
      <c r="L92" s="140">
        <f t="shared" si="199"/>
        <v>124053</v>
      </c>
      <c r="M92" s="140">
        <f t="shared" si="199"/>
        <v>48826</v>
      </c>
      <c r="N92" s="141">
        <f t="shared" si="199"/>
        <v>15.278200000000002</v>
      </c>
      <c r="O92" s="141">
        <f t="shared" si="199"/>
        <v>8.9</v>
      </c>
      <c r="P92" s="142">
        <f t="shared" si="199"/>
        <v>6.3781999999999996</v>
      </c>
      <c r="Q92" s="342">
        <f t="shared" ref="Q92:AW92" si="200">SUM(Q90:Q91)</f>
        <v>0</v>
      </c>
      <c r="R92" s="140">
        <f t="shared" si="200"/>
        <v>0</v>
      </c>
      <c r="S92" s="140">
        <f t="shared" si="200"/>
        <v>0</v>
      </c>
      <c r="T92" s="140">
        <f t="shared" si="200"/>
        <v>0</v>
      </c>
      <c r="U92" s="140">
        <f t="shared" si="200"/>
        <v>0</v>
      </c>
      <c r="V92" s="140">
        <f t="shared" si="200"/>
        <v>0</v>
      </c>
      <c r="W92" s="140">
        <f t="shared" si="200"/>
        <v>0</v>
      </c>
      <c r="X92" s="140">
        <f t="shared" si="200"/>
        <v>0</v>
      </c>
      <c r="Y92" s="140">
        <f t="shared" si="200"/>
        <v>0</v>
      </c>
      <c r="Z92" s="140">
        <f t="shared" si="200"/>
        <v>0</v>
      </c>
      <c r="AA92" s="140">
        <f t="shared" si="200"/>
        <v>0</v>
      </c>
      <c r="AB92" s="140">
        <f t="shared" si="200"/>
        <v>0</v>
      </c>
      <c r="AC92" s="140">
        <f t="shared" si="200"/>
        <v>0</v>
      </c>
      <c r="AD92" s="140">
        <f t="shared" si="200"/>
        <v>0</v>
      </c>
      <c r="AE92" s="140">
        <f t="shared" si="200"/>
        <v>0</v>
      </c>
      <c r="AF92" s="140">
        <f t="shared" si="200"/>
        <v>0</v>
      </c>
      <c r="AG92" s="141">
        <f t="shared" si="200"/>
        <v>0</v>
      </c>
      <c r="AH92" s="141">
        <f t="shared" si="200"/>
        <v>0</v>
      </c>
      <c r="AI92" s="141">
        <f t="shared" si="200"/>
        <v>0</v>
      </c>
      <c r="AJ92" s="141">
        <f t="shared" si="200"/>
        <v>0</v>
      </c>
      <c r="AK92" s="141">
        <f t="shared" si="200"/>
        <v>0</v>
      </c>
      <c r="AL92" s="141">
        <f t="shared" si="200"/>
        <v>0</v>
      </c>
      <c r="AM92" s="141">
        <f t="shared" si="200"/>
        <v>0</v>
      </c>
      <c r="AN92" s="635">
        <f t="shared" si="200"/>
        <v>0</v>
      </c>
      <c r="AO92" s="139">
        <f t="shared" si="200"/>
        <v>8472043</v>
      </c>
      <c r="AP92" s="140">
        <f t="shared" si="200"/>
        <v>6202664</v>
      </c>
      <c r="AQ92" s="140">
        <f t="shared" si="200"/>
        <v>0</v>
      </c>
      <c r="AR92" s="140">
        <f t="shared" si="200"/>
        <v>2096500</v>
      </c>
      <c r="AS92" s="140">
        <f t="shared" si="200"/>
        <v>124053</v>
      </c>
      <c r="AT92" s="140">
        <f t="shared" si="200"/>
        <v>48826</v>
      </c>
      <c r="AU92" s="141">
        <f t="shared" si="200"/>
        <v>15.278200000000002</v>
      </c>
      <c r="AV92" s="141">
        <f t="shared" si="200"/>
        <v>8.9</v>
      </c>
      <c r="AW92" s="142">
        <f t="shared" si="200"/>
        <v>6.3781999999999996</v>
      </c>
    </row>
    <row r="93" spans="1:49" ht="14.1" customHeight="1" x14ac:dyDescent="0.2">
      <c r="A93" s="124">
        <v>23</v>
      </c>
      <c r="B93" s="121">
        <v>2429</v>
      </c>
      <c r="C93" s="122">
        <v>600079244</v>
      </c>
      <c r="D93" s="121">
        <v>72741708</v>
      </c>
      <c r="E93" s="123" t="s">
        <v>618</v>
      </c>
      <c r="F93" s="124">
        <v>3111</v>
      </c>
      <c r="G93" s="123" t="s">
        <v>317</v>
      </c>
      <c r="H93" s="125" t="s">
        <v>283</v>
      </c>
      <c r="I93" s="126">
        <f t="shared" si="140"/>
        <v>6778382</v>
      </c>
      <c r="J93" s="127">
        <v>4959633</v>
      </c>
      <c r="K93" s="127">
        <f t="shared" si="155"/>
        <v>1676356</v>
      </c>
      <c r="L93" s="477">
        <f t="shared" si="156"/>
        <v>99193</v>
      </c>
      <c r="M93" s="127">
        <v>43200</v>
      </c>
      <c r="N93" s="390">
        <f t="shared" si="141"/>
        <v>11.319799999999999</v>
      </c>
      <c r="O93" s="390">
        <v>8.4515999999999991</v>
      </c>
      <c r="P93" s="439">
        <v>2.8681999999999999</v>
      </c>
      <c r="Q93" s="129">
        <f t="shared" si="142"/>
        <v>0</v>
      </c>
      <c r="R93" s="130">
        <v>0</v>
      </c>
      <c r="S93" s="130">
        <v>0</v>
      </c>
      <c r="T93" s="130">
        <v>0</v>
      </c>
      <c r="U93" s="130">
        <f t="shared" si="143"/>
        <v>0</v>
      </c>
      <c r="V93" s="130">
        <v>0</v>
      </c>
      <c r="W93" s="130">
        <v>0</v>
      </c>
      <c r="X93" s="130">
        <v>0</v>
      </c>
      <c r="Y93" s="130">
        <f t="shared" ref="Y93:Y95" si="201">SUM(V93:X93)</f>
        <v>0</v>
      </c>
      <c r="Z93" s="130">
        <f t="shared" ref="Z93:Z95" si="202">U93+Y93</f>
        <v>0</v>
      </c>
      <c r="AA93" s="131">
        <f t="shared" ref="AA93:AA95" si="203">ROUND((U93+V93+W93)*33.8%,0)</f>
        <v>0</v>
      </c>
      <c r="AB93" s="131">
        <f t="shared" ref="AB93:AB95" si="204">ROUND(U93*2%,0)</f>
        <v>0</v>
      </c>
      <c r="AC93" s="130">
        <v>0</v>
      </c>
      <c r="AD93" s="130">
        <v>0</v>
      </c>
      <c r="AE93" s="130">
        <f t="shared" si="161"/>
        <v>0</v>
      </c>
      <c r="AF93" s="130">
        <f t="shared" si="162"/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f t="shared" si="163"/>
        <v>0</v>
      </c>
      <c r="AM93" s="132">
        <f>AH93+AK93</f>
        <v>0</v>
      </c>
      <c r="AN93" s="403">
        <f t="shared" si="164"/>
        <v>0</v>
      </c>
      <c r="AO93" s="128">
        <f t="shared" si="144"/>
        <v>6778382</v>
      </c>
      <c r="AP93" s="130">
        <f t="shared" si="145"/>
        <v>4959633</v>
      </c>
      <c r="AQ93" s="130">
        <f t="shared" si="146"/>
        <v>0</v>
      </c>
      <c r="AR93" s="130">
        <f t="shared" si="147"/>
        <v>1676356</v>
      </c>
      <c r="AS93" s="130">
        <f t="shared" si="148"/>
        <v>99193</v>
      </c>
      <c r="AT93" s="130">
        <f t="shared" si="149"/>
        <v>43200</v>
      </c>
      <c r="AU93" s="132">
        <f t="shared" si="150"/>
        <v>11.319799999999999</v>
      </c>
      <c r="AV93" s="132">
        <f t="shared" si="151"/>
        <v>8.4515999999999991</v>
      </c>
      <c r="AW93" s="133">
        <f t="shared" si="152"/>
        <v>2.8681999999999999</v>
      </c>
    </row>
    <row r="94" spans="1:49" ht="14.1" customHeight="1" x14ac:dyDescent="0.2">
      <c r="A94" s="124">
        <v>23</v>
      </c>
      <c r="B94" s="121">
        <v>2429</v>
      </c>
      <c r="C94" s="122">
        <v>600079244</v>
      </c>
      <c r="D94" s="121">
        <v>72741708</v>
      </c>
      <c r="E94" s="123" t="s">
        <v>618</v>
      </c>
      <c r="F94" s="124">
        <v>3111</v>
      </c>
      <c r="G94" s="143" t="s">
        <v>318</v>
      </c>
      <c r="H94" s="125" t="s">
        <v>284</v>
      </c>
      <c r="I94" s="126">
        <f t="shared" si="140"/>
        <v>0</v>
      </c>
      <c r="J94" s="29">
        <v>0</v>
      </c>
      <c r="K94" s="127">
        <f t="shared" si="155"/>
        <v>0</v>
      </c>
      <c r="L94" s="477">
        <f t="shared" si="156"/>
        <v>0</v>
      </c>
      <c r="M94" s="29">
        <v>0</v>
      </c>
      <c r="N94" s="390">
        <f t="shared" si="141"/>
        <v>0</v>
      </c>
      <c r="O94" s="349">
        <v>0</v>
      </c>
      <c r="P94" s="639">
        <v>0</v>
      </c>
      <c r="Q94" s="129">
        <f t="shared" si="142"/>
        <v>0</v>
      </c>
      <c r="R94" s="130">
        <v>173222</v>
      </c>
      <c r="S94" s="130">
        <v>0</v>
      </c>
      <c r="T94" s="130">
        <v>0</v>
      </c>
      <c r="U94" s="130">
        <f t="shared" si="143"/>
        <v>173222</v>
      </c>
      <c r="V94" s="130">
        <v>0</v>
      </c>
      <c r="W94" s="130">
        <v>0</v>
      </c>
      <c r="X94" s="130">
        <v>0</v>
      </c>
      <c r="Y94" s="130">
        <f t="shared" si="201"/>
        <v>0</v>
      </c>
      <c r="Z94" s="130">
        <f t="shared" si="202"/>
        <v>173222</v>
      </c>
      <c r="AA94" s="131">
        <f t="shared" si="203"/>
        <v>58549</v>
      </c>
      <c r="AB94" s="131">
        <f t="shared" si="204"/>
        <v>3464</v>
      </c>
      <c r="AC94" s="130">
        <v>0</v>
      </c>
      <c r="AD94" s="130">
        <v>0</v>
      </c>
      <c r="AE94" s="130">
        <f t="shared" si="161"/>
        <v>0</v>
      </c>
      <c r="AF94" s="130">
        <f t="shared" si="162"/>
        <v>235235</v>
      </c>
      <c r="AG94" s="132">
        <v>0</v>
      </c>
      <c r="AH94" s="132">
        <v>0</v>
      </c>
      <c r="AI94" s="132">
        <v>0.5</v>
      </c>
      <c r="AJ94" s="132">
        <v>0</v>
      </c>
      <c r="AK94" s="132">
        <v>0</v>
      </c>
      <c r="AL94" s="132">
        <f t="shared" si="163"/>
        <v>0.5</v>
      </c>
      <c r="AM94" s="132">
        <f>AH94+AK94</f>
        <v>0</v>
      </c>
      <c r="AN94" s="403">
        <f t="shared" si="164"/>
        <v>0.5</v>
      </c>
      <c r="AO94" s="128">
        <f t="shared" si="144"/>
        <v>235235</v>
      </c>
      <c r="AP94" s="130">
        <f t="shared" si="145"/>
        <v>173222</v>
      </c>
      <c r="AQ94" s="130">
        <f t="shared" si="146"/>
        <v>0</v>
      </c>
      <c r="AR94" s="130">
        <f t="shared" si="147"/>
        <v>58549</v>
      </c>
      <c r="AS94" s="130">
        <f t="shared" si="148"/>
        <v>3464</v>
      </c>
      <c r="AT94" s="130">
        <f t="shared" si="149"/>
        <v>0</v>
      </c>
      <c r="AU94" s="132">
        <f t="shared" si="150"/>
        <v>0.5</v>
      </c>
      <c r="AV94" s="132">
        <f t="shared" si="151"/>
        <v>0.5</v>
      </c>
      <c r="AW94" s="133">
        <f t="shared" si="152"/>
        <v>0</v>
      </c>
    </row>
    <row r="95" spans="1:49" ht="14.1" customHeight="1" x14ac:dyDescent="0.2">
      <c r="A95" s="124">
        <v>23</v>
      </c>
      <c r="B95" s="121">
        <v>2429</v>
      </c>
      <c r="C95" s="122">
        <v>600079244</v>
      </c>
      <c r="D95" s="121">
        <v>72741708</v>
      </c>
      <c r="E95" s="123" t="s">
        <v>618</v>
      </c>
      <c r="F95" s="124">
        <v>3141</v>
      </c>
      <c r="G95" s="123" t="s">
        <v>321</v>
      </c>
      <c r="H95" s="125" t="s">
        <v>284</v>
      </c>
      <c r="I95" s="126">
        <f t="shared" si="140"/>
        <v>987272</v>
      </c>
      <c r="J95" s="666">
        <v>722947</v>
      </c>
      <c r="K95" s="127">
        <f t="shared" ref="K95" si="205">ROUND(J95*33.8%,0)</f>
        <v>244356</v>
      </c>
      <c r="L95" s="477">
        <f t="shared" ref="L95" si="206">ROUND(J95*2%,0)</f>
        <v>14459</v>
      </c>
      <c r="M95" s="666">
        <v>5510</v>
      </c>
      <c r="N95" s="390">
        <f t="shared" si="141"/>
        <v>2.46</v>
      </c>
      <c r="O95" s="668">
        <v>0</v>
      </c>
      <c r="P95" s="667">
        <v>2.46</v>
      </c>
      <c r="Q95" s="129">
        <f t="shared" si="142"/>
        <v>0</v>
      </c>
      <c r="R95" s="130">
        <v>0</v>
      </c>
      <c r="S95" s="130">
        <v>0</v>
      </c>
      <c r="T95" s="130">
        <v>0</v>
      </c>
      <c r="U95" s="130">
        <f t="shared" si="143"/>
        <v>0</v>
      </c>
      <c r="V95" s="130">
        <v>0</v>
      </c>
      <c r="W95" s="130">
        <v>0</v>
      </c>
      <c r="X95" s="130">
        <v>0</v>
      </c>
      <c r="Y95" s="130">
        <f t="shared" si="201"/>
        <v>0</v>
      </c>
      <c r="Z95" s="130">
        <f t="shared" si="202"/>
        <v>0</v>
      </c>
      <c r="AA95" s="131">
        <f t="shared" si="203"/>
        <v>0</v>
      </c>
      <c r="AB95" s="131">
        <f t="shared" si="204"/>
        <v>0</v>
      </c>
      <c r="AC95" s="130">
        <v>0</v>
      </c>
      <c r="AD95" s="130">
        <v>0</v>
      </c>
      <c r="AE95" s="130">
        <f t="shared" si="161"/>
        <v>0</v>
      </c>
      <c r="AF95" s="130">
        <f t="shared" si="162"/>
        <v>0</v>
      </c>
      <c r="AG95" s="132">
        <v>0</v>
      </c>
      <c r="AH95" s="132">
        <v>0</v>
      </c>
      <c r="AI95" s="132">
        <v>0</v>
      </c>
      <c r="AJ95" s="132">
        <v>0</v>
      </c>
      <c r="AK95" s="132">
        <v>0</v>
      </c>
      <c r="AL95" s="132">
        <f t="shared" si="163"/>
        <v>0</v>
      </c>
      <c r="AM95" s="132">
        <f>AH95+AK95</f>
        <v>0</v>
      </c>
      <c r="AN95" s="403">
        <f t="shared" si="164"/>
        <v>0</v>
      </c>
      <c r="AO95" s="128">
        <f t="shared" si="144"/>
        <v>987272</v>
      </c>
      <c r="AP95" s="130">
        <f t="shared" si="145"/>
        <v>722947</v>
      </c>
      <c r="AQ95" s="130">
        <f t="shared" si="146"/>
        <v>0</v>
      </c>
      <c r="AR95" s="130">
        <f t="shared" si="147"/>
        <v>244356</v>
      </c>
      <c r="AS95" s="130">
        <f t="shared" si="148"/>
        <v>14459</v>
      </c>
      <c r="AT95" s="130">
        <f t="shared" si="149"/>
        <v>5510</v>
      </c>
      <c r="AU95" s="132">
        <f t="shared" si="150"/>
        <v>2.46</v>
      </c>
      <c r="AV95" s="132">
        <f t="shared" si="151"/>
        <v>0</v>
      </c>
      <c r="AW95" s="133">
        <f t="shared" si="152"/>
        <v>2.46</v>
      </c>
    </row>
    <row r="96" spans="1:49" ht="14.1" customHeight="1" x14ac:dyDescent="0.2">
      <c r="A96" s="137">
        <v>23</v>
      </c>
      <c r="B96" s="134">
        <v>2429</v>
      </c>
      <c r="C96" s="135">
        <v>600079244</v>
      </c>
      <c r="D96" s="134">
        <v>72741708</v>
      </c>
      <c r="E96" s="136" t="s">
        <v>619</v>
      </c>
      <c r="F96" s="137"/>
      <c r="G96" s="136"/>
      <c r="H96" s="138"/>
      <c r="I96" s="139">
        <f t="shared" ref="I96:P96" si="207">SUM(I93:I95)</f>
        <v>7765654</v>
      </c>
      <c r="J96" s="140">
        <f t="shared" si="207"/>
        <v>5682580</v>
      </c>
      <c r="K96" s="140">
        <f t="shared" si="207"/>
        <v>1920712</v>
      </c>
      <c r="L96" s="140">
        <f t="shared" si="207"/>
        <v>113652</v>
      </c>
      <c r="M96" s="140">
        <f t="shared" si="207"/>
        <v>48710</v>
      </c>
      <c r="N96" s="141">
        <f t="shared" si="207"/>
        <v>13.779799999999998</v>
      </c>
      <c r="O96" s="141">
        <f t="shared" si="207"/>
        <v>8.4515999999999991</v>
      </c>
      <c r="P96" s="142">
        <f t="shared" si="207"/>
        <v>5.3281999999999998</v>
      </c>
      <c r="Q96" s="342">
        <f t="shared" ref="Q96:AW96" si="208">SUM(Q93:Q95)</f>
        <v>0</v>
      </c>
      <c r="R96" s="140">
        <f t="shared" si="208"/>
        <v>173222</v>
      </c>
      <c r="S96" s="140">
        <f t="shared" si="208"/>
        <v>0</v>
      </c>
      <c r="T96" s="140">
        <f t="shared" si="208"/>
        <v>0</v>
      </c>
      <c r="U96" s="140">
        <f t="shared" si="208"/>
        <v>173222</v>
      </c>
      <c r="V96" s="140">
        <f t="shared" si="208"/>
        <v>0</v>
      </c>
      <c r="W96" s="140">
        <f t="shared" si="208"/>
        <v>0</v>
      </c>
      <c r="X96" s="140">
        <f t="shared" si="208"/>
        <v>0</v>
      </c>
      <c r="Y96" s="140">
        <f t="shared" si="208"/>
        <v>0</v>
      </c>
      <c r="Z96" s="140">
        <f t="shared" si="208"/>
        <v>173222</v>
      </c>
      <c r="AA96" s="140">
        <f t="shared" si="208"/>
        <v>58549</v>
      </c>
      <c r="AB96" s="140">
        <f t="shared" si="208"/>
        <v>3464</v>
      </c>
      <c r="AC96" s="140">
        <f t="shared" si="208"/>
        <v>0</v>
      </c>
      <c r="AD96" s="140">
        <f t="shared" si="208"/>
        <v>0</v>
      </c>
      <c r="AE96" s="140">
        <f t="shared" si="208"/>
        <v>0</v>
      </c>
      <c r="AF96" s="140">
        <f t="shared" si="208"/>
        <v>235235</v>
      </c>
      <c r="AG96" s="141">
        <f t="shared" si="208"/>
        <v>0</v>
      </c>
      <c r="AH96" s="141">
        <f t="shared" si="208"/>
        <v>0</v>
      </c>
      <c r="AI96" s="141">
        <f t="shared" si="208"/>
        <v>0.5</v>
      </c>
      <c r="AJ96" s="141">
        <f t="shared" si="208"/>
        <v>0</v>
      </c>
      <c r="AK96" s="141">
        <f t="shared" si="208"/>
        <v>0</v>
      </c>
      <c r="AL96" s="141">
        <f t="shared" si="208"/>
        <v>0.5</v>
      </c>
      <c r="AM96" s="141">
        <f t="shared" si="208"/>
        <v>0</v>
      </c>
      <c r="AN96" s="635">
        <f t="shared" si="208"/>
        <v>0.5</v>
      </c>
      <c r="AO96" s="139">
        <f t="shared" si="208"/>
        <v>8000889</v>
      </c>
      <c r="AP96" s="140">
        <f t="shared" si="208"/>
        <v>5855802</v>
      </c>
      <c r="AQ96" s="140">
        <f t="shared" si="208"/>
        <v>0</v>
      </c>
      <c r="AR96" s="140">
        <f t="shared" si="208"/>
        <v>1979261</v>
      </c>
      <c r="AS96" s="140">
        <f t="shared" si="208"/>
        <v>117116</v>
      </c>
      <c r="AT96" s="140">
        <f t="shared" si="208"/>
        <v>48710</v>
      </c>
      <c r="AU96" s="141">
        <f t="shared" si="208"/>
        <v>14.279799999999998</v>
      </c>
      <c r="AV96" s="141">
        <f t="shared" si="208"/>
        <v>8.9515999999999991</v>
      </c>
      <c r="AW96" s="142">
        <f t="shared" si="208"/>
        <v>5.3281999999999998</v>
      </c>
    </row>
    <row r="97" spans="1:49" ht="14.1" customHeight="1" x14ac:dyDescent="0.2">
      <c r="A97" s="124">
        <v>24</v>
      </c>
      <c r="B97" s="121">
        <v>2412</v>
      </c>
      <c r="C97" s="122">
        <v>600079252</v>
      </c>
      <c r="D97" s="121">
        <v>72742429</v>
      </c>
      <c r="E97" s="123" t="s">
        <v>620</v>
      </c>
      <c r="F97" s="124">
        <v>3111</v>
      </c>
      <c r="G97" s="123" t="s">
        <v>317</v>
      </c>
      <c r="H97" s="125" t="s">
        <v>283</v>
      </c>
      <c r="I97" s="126">
        <f t="shared" si="140"/>
        <v>10069507</v>
      </c>
      <c r="J97" s="127">
        <v>7371875</v>
      </c>
      <c r="K97" s="127">
        <f t="shared" si="155"/>
        <v>2491694</v>
      </c>
      <c r="L97" s="477">
        <f t="shared" si="156"/>
        <v>147438</v>
      </c>
      <c r="M97" s="127">
        <v>58500</v>
      </c>
      <c r="N97" s="390">
        <f t="shared" si="141"/>
        <v>17.346499999999999</v>
      </c>
      <c r="O97" s="390">
        <v>12.742000000000001</v>
      </c>
      <c r="P97" s="439">
        <v>4.6044999999999998</v>
      </c>
      <c r="Q97" s="129">
        <f t="shared" si="142"/>
        <v>-10240</v>
      </c>
      <c r="R97" s="130">
        <v>0</v>
      </c>
      <c r="S97" s="130">
        <v>0</v>
      </c>
      <c r="T97" s="130">
        <v>0</v>
      </c>
      <c r="U97" s="130">
        <f t="shared" si="143"/>
        <v>-10240</v>
      </c>
      <c r="V97" s="130">
        <v>10240</v>
      </c>
      <c r="W97" s="130">
        <v>0</v>
      </c>
      <c r="X97" s="130">
        <v>0</v>
      </c>
      <c r="Y97" s="130">
        <f t="shared" ref="Y97:Y99" si="209">SUM(V97:X97)</f>
        <v>10240</v>
      </c>
      <c r="Z97" s="130">
        <f t="shared" ref="Z97:Z99" si="210">U97+Y97</f>
        <v>0</v>
      </c>
      <c r="AA97" s="131">
        <f t="shared" ref="AA97:AA99" si="211">ROUND((U97+V97+W97)*33.8%,0)</f>
        <v>0</v>
      </c>
      <c r="AB97" s="131">
        <f t="shared" ref="AB97:AB99" si="212">ROUND(U97*2%,0)</f>
        <v>-205</v>
      </c>
      <c r="AC97" s="130">
        <v>0</v>
      </c>
      <c r="AD97" s="130">
        <v>0</v>
      </c>
      <c r="AE97" s="130">
        <f t="shared" si="161"/>
        <v>0</v>
      </c>
      <c r="AF97" s="130">
        <f t="shared" si="162"/>
        <v>-205</v>
      </c>
      <c r="AG97" s="132">
        <v>0</v>
      </c>
      <c r="AH97" s="132">
        <v>0</v>
      </c>
      <c r="AI97" s="132">
        <v>0</v>
      </c>
      <c r="AJ97" s="132">
        <v>0</v>
      </c>
      <c r="AK97" s="132">
        <v>0</v>
      </c>
      <c r="AL97" s="132">
        <f t="shared" si="163"/>
        <v>0</v>
      </c>
      <c r="AM97" s="132">
        <f>AH97+AK97</f>
        <v>0</v>
      </c>
      <c r="AN97" s="403">
        <f t="shared" si="164"/>
        <v>0</v>
      </c>
      <c r="AO97" s="128">
        <f t="shared" si="144"/>
        <v>10069302</v>
      </c>
      <c r="AP97" s="130">
        <f t="shared" si="145"/>
        <v>7361635</v>
      </c>
      <c r="AQ97" s="130">
        <f t="shared" si="146"/>
        <v>10240</v>
      </c>
      <c r="AR97" s="130">
        <f t="shared" si="147"/>
        <v>2491694</v>
      </c>
      <c r="AS97" s="130">
        <f t="shared" si="148"/>
        <v>147233</v>
      </c>
      <c r="AT97" s="130">
        <f t="shared" si="149"/>
        <v>58500</v>
      </c>
      <c r="AU97" s="132">
        <f t="shared" si="150"/>
        <v>17.346499999999999</v>
      </c>
      <c r="AV97" s="132">
        <f t="shared" si="151"/>
        <v>12.742000000000001</v>
      </c>
      <c r="AW97" s="133">
        <f t="shared" si="152"/>
        <v>4.6044999999999998</v>
      </c>
    </row>
    <row r="98" spans="1:49" ht="14.1" customHeight="1" x14ac:dyDescent="0.2">
      <c r="A98" s="124">
        <v>24</v>
      </c>
      <c r="B98" s="121">
        <v>2412</v>
      </c>
      <c r="C98" s="122">
        <v>600079252</v>
      </c>
      <c r="D98" s="121">
        <v>72742429</v>
      </c>
      <c r="E98" s="123" t="s">
        <v>620</v>
      </c>
      <c r="F98" s="124">
        <v>3111</v>
      </c>
      <c r="G98" s="143" t="s">
        <v>318</v>
      </c>
      <c r="H98" s="125" t="s">
        <v>284</v>
      </c>
      <c r="I98" s="126">
        <f t="shared" si="140"/>
        <v>0</v>
      </c>
      <c r="J98" s="29">
        <v>0</v>
      </c>
      <c r="K98" s="127">
        <f t="shared" si="155"/>
        <v>0</v>
      </c>
      <c r="L98" s="477">
        <f t="shared" si="156"/>
        <v>0</v>
      </c>
      <c r="M98" s="29">
        <v>0</v>
      </c>
      <c r="N98" s="390">
        <f t="shared" si="141"/>
        <v>0</v>
      </c>
      <c r="O98" s="349">
        <v>0</v>
      </c>
      <c r="P98" s="639">
        <v>0</v>
      </c>
      <c r="Q98" s="129">
        <f t="shared" si="142"/>
        <v>0</v>
      </c>
      <c r="R98" s="130">
        <v>735218</v>
      </c>
      <c r="S98" s="130">
        <v>0</v>
      </c>
      <c r="T98" s="130">
        <v>0</v>
      </c>
      <c r="U98" s="130">
        <f t="shared" si="143"/>
        <v>735218</v>
      </c>
      <c r="V98" s="130">
        <v>0</v>
      </c>
      <c r="W98" s="130">
        <v>0</v>
      </c>
      <c r="X98" s="130">
        <v>0</v>
      </c>
      <c r="Y98" s="130">
        <f t="shared" si="209"/>
        <v>0</v>
      </c>
      <c r="Z98" s="130">
        <f t="shared" si="210"/>
        <v>735218</v>
      </c>
      <c r="AA98" s="131">
        <f t="shared" si="211"/>
        <v>248504</v>
      </c>
      <c r="AB98" s="131">
        <f t="shared" si="212"/>
        <v>14704</v>
      </c>
      <c r="AC98" s="130">
        <v>0</v>
      </c>
      <c r="AD98" s="130">
        <v>0</v>
      </c>
      <c r="AE98" s="130">
        <f t="shared" si="161"/>
        <v>0</v>
      </c>
      <c r="AF98" s="130">
        <f t="shared" si="162"/>
        <v>998426</v>
      </c>
      <c r="AG98" s="132">
        <v>0</v>
      </c>
      <c r="AH98" s="132">
        <v>0</v>
      </c>
      <c r="AI98" s="132">
        <v>2.39</v>
      </c>
      <c r="AJ98" s="132">
        <v>0</v>
      </c>
      <c r="AK98" s="132">
        <v>0</v>
      </c>
      <c r="AL98" s="132">
        <f t="shared" si="163"/>
        <v>2.39</v>
      </c>
      <c r="AM98" s="132">
        <f>AH98+AK98</f>
        <v>0</v>
      </c>
      <c r="AN98" s="403">
        <f t="shared" si="164"/>
        <v>2.39</v>
      </c>
      <c r="AO98" s="128">
        <f t="shared" si="144"/>
        <v>998426</v>
      </c>
      <c r="AP98" s="130">
        <f t="shared" si="145"/>
        <v>735218</v>
      </c>
      <c r="AQ98" s="130">
        <f t="shared" si="146"/>
        <v>0</v>
      </c>
      <c r="AR98" s="130">
        <f t="shared" si="147"/>
        <v>248504</v>
      </c>
      <c r="AS98" s="130">
        <f t="shared" si="148"/>
        <v>14704</v>
      </c>
      <c r="AT98" s="130">
        <f t="shared" si="149"/>
        <v>0</v>
      </c>
      <c r="AU98" s="132">
        <f t="shared" si="150"/>
        <v>2.39</v>
      </c>
      <c r="AV98" s="132">
        <f t="shared" si="151"/>
        <v>2.39</v>
      </c>
      <c r="AW98" s="133">
        <f t="shared" si="152"/>
        <v>0</v>
      </c>
    </row>
    <row r="99" spans="1:49" ht="14.1" customHeight="1" x14ac:dyDescent="0.2">
      <c r="A99" s="124">
        <v>24</v>
      </c>
      <c r="B99" s="121">
        <v>2412</v>
      </c>
      <c r="C99" s="122">
        <v>600079252</v>
      </c>
      <c r="D99" s="121">
        <v>72742429</v>
      </c>
      <c r="E99" s="123" t="s">
        <v>620</v>
      </c>
      <c r="F99" s="124">
        <v>3141</v>
      </c>
      <c r="G99" s="123" t="s">
        <v>321</v>
      </c>
      <c r="H99" s="125" t="s">
        <v>284</v>
      </c>
      <c r="I99" s="126">
        <f t="shared" si="140"/>
        <v>1503699</v>
      </c>
      <c r="J99" s="666">
        <v>1101652</v>
      </c>
      <c r="K99" s="127">
        <f t="shared" ref="K99" si="213">ROUND(J99*33.8%,0)</f>
        <v>372358</v>
      </c>
      <c r="L99" s="477">
        <f t="shared" ref="L99" si="214">ROUND(J99*2%,0)</f>
        <v>22033</v>
      </c>
      <c r="M99" s="666">
        <v>7656</v>
      </c>
      <c r="N99" s="390">
        <f t="shared" si="141"/>
        <v>3.75</v>
      </c>
      <c r="O99" s="668">
        <v>0</v>
      </c>
      <c r="P99" s="674">
        <v>3.75</v>
      </c>
      <c r="Q99" s="129">
        <f t="shared" si="142"/>
        <v>-3200</v>
      </c>
      <c r="R99" s="130">
        <v>0</v>
      </c>
      <c r="S99" s="130">
        <v>0</v>
      </c>
      <c r="T99" s="130">
        <v>0</v>
      </c>
      <c r="U99" s="130">
        <f t="shared" si="143"/>
        <v>-3200</v>
      </c>
      <c r="V99" s="130">
        <v>3200</v>
      </c>
      <c r="W99" s="130">
        <v>0</v>
      </c>
      <c r="X99" s="130">
        <v>0</v>
      </c>
      <c r="Y99" s="130">
        <f t="shared" si="209"/>
        <v>3200</v>
      </c>
      <c r="Z99" s="130">
        <f t="shared" si="210"/>
        <v>0</v>
      </c>
      <c r="AA99" s="131">
        <f t="shared" si="211"/>
        <v>0</v>
      </c>
      <c r="AB99" s="131">
        <f t="shared" si="212"/>
        <v>-64</v>
      </c>
      <c r="AC99" s="130">
        <v>0</v>
      </c>
      <c r="AD99" s="130">
        <v>0</v>
      </c>
      <c r="AE99" s="130">
        <f t="shared" si="161"/>
        <v>0</v>
      </c>
      <c r="AF99" s="130">
        <f t="shared" si="162"/>
        <v>-64</v>
      </c>
      <c r="AG99" s="132">
        <v>0</v>
      </c>
      <c r="AH99" s="132">
        <v>0</v>
      </c>
      <c r="AI99" s="132">
        <v>0</v>
      </c>
      <c r="AJ99" s="132">
        <v>0</v>
      </c>
      <c r="AK99" s="132">
        <v>0</v>
      </c>
      <c r="AL99" s="132">
        <f t="shared" si="163"/>
        <v>0</v>
      </c>
      <c r="AM99" s="132">
        <f>AH99+AK99</f>
        <v>0</v>
      </c>
      <c r="AN99" s="403">
        <f t="shared" si="164"/>
        <v>0</v>
      </c>
      <c r="AO99" s="128">
        <f t="shared" si="144"/>
        <v>1503635</v>
      </c>
      <c r="AP99" s="130">
        <f t="shared" si="145"/>
        <v>1098452</v>
      </c>
      <c r="AQ99" s="130">
        <f t="shared" si="146"/>
        <v>3200</v>
      </c>
      <c r="AR99" s="130">
        <f t="shared" si="147"/>
        <v>372358</v>
      </c>
      <c r="AS99" s="130">
        <f t="shared" si="148"/>
        <v>21969</v>
      </c>
      <c r="AT99" s="130">
        <f t="shared" si="149"/>
        <v>7656</v>
      </c>
      <c r="AU99" s="132">
        <f t="shared" si="150"/>
        <v>3.75</v>
      </c>
      <c r="AV99" s="132">
        <f t="shared" si="151"/>
        <v>0</v>
      </c>
      <c r="AW99" s="133">
        <f t="shared" si="152"/>
        <v>3.75</v>
      </c>
    </row>
    <row r="100" spans="1:49" ht="14.1" customHeight="1" x14ac:dyDescent="0.2">
      <c r="A100" s="137">
        <v>24</v>
      </c>
      <c r="B100" s="134">
        <v>2412</v>
      </c>
      <c r="C100" s="135">
        <v>600079252</v>
      </c>
      <c r="D100" s="134">
        <v>72742429</v>
      </c>
      <c r="E100" s="136" t="s">
        <v>621</v>
      </c>
      <c r="F100" s="137"/>
      <c r="G100" s="136"/>
      <c r="H100" s="138"/>
      <c r="I100" s="139">
        <f t="shared" ref="I100:P100" si="215">SUM(I97:I99)</f>
        <v>11573206</v>
      </c>
      <c r="J100" s="140">
        <f t="shared" si="215"/>
        <v>8473527</v>
      </c>
      <c r="K100" s="140">
        <f t="shared" si="215"/>
        <v>2864052</v>
      </c>
      <c r="L100" s="140">
        <f t="shared" si="215"/>
        <v>169471</v>
      </c>
      <c r="M100" s="140">
        <f t="shared" si="215"/>
        <v>66156</v>
      </c>
      <c r="N100" s="141">
        <f t="shared" si="215"/>
        <v>21.096499999999999</v>
      </c>
      <c r="O100" s="141">
        <f t="shared" si="215"/>
        <v>12.742000000000001</v>
      </c>
      <c r="P100" s="142">
        <f t="shared" si="215"/>
        <v>8.3544999999999998</v>
      </c>
      <c r="Q100" s="342">
        <f t="shared" ref="Q100:AW100" si="216">SUM(Q97:Q99)</f>
        <v>-13440</v>
      </c>
      <c r="R100" s="140">
        <f t="shared" si="216"/>
        <v>735218</v>
      </c>
      <c r="S100" s="140">
        <f t="shared" si="216"/>
        <v>0</v>
      </c>
      <c r="T100" s="140">
        <f t="shared" si="216"/>
        <v>0</v>
      </c>
      <c r="U100" s="140">
        <f t="shared" si="216"/>
        <v>721778</v>
      </c>
      <c r="V100" s="140">
        <f t="shared" si="216"/>
        <v>13440</v>
      </c>
      <c r="W100" s="140">
        <f t="shared" si="216"/>
        <v>0</v>
      </c>
      <c r="X100" s="140">
        <f t="shared" si="216"/>
        <v>0</v>
      </c>
      <c r="Y100" s="140">
        <f t="shared" si="216"/>
        <v>13440</v>
      </c>
      <c r="Z100" s="140">
        <f t="shared" si="216"/>
        <v>735218</v>
      </c>
      <c r="AA100" s="140">
        <f t="shared" si="216"/>
        <v>248504</v>
      </c>
      <c r="AB100" s="140">
        <f t="shared" si="216"/>
        <v>14435</v>
      </c>
      <c r="AC100" s="140">
        <f t="shared" si="216"/>
        <v>0</v>
      </c>
      <c r="AD100" s="140">
        <f t="shared" si="216"/>
        <v>0</v>
      </c>
      <c r="AE100" s="140">
        <f t="shared" si="216"/>
        <v>0</v>
      </c>
      <c r="AF100" s="140">
        <f t="shared" si="216"/>
        <v>998157</v>
      </c>
      <c r="AG100" s="141">
        <f t="shared" si="216"/>
        <v>0</v>
      </c>
      <c r="AH100" s="141">
        <f t="shared" si="216"/>
        <v>0</v>
      </c>
      <c r="AI100" s="141">
        <f t="shared" si="216"/>
        <v>2.39</v>
      </c>
      <c r="AJ100" s="141">
        <f t="shared" si="216"/>
        <v>0</v>
      </c>
      <c r="AK100" s="141">
        <f t="shared" si="216"/>
        <v>0</v>
      </c>
      <c r="AL100" s="141">
        <f t="shared" si="216"/>
        <v>2.39</v>
      </c>
      <c r="AM100" s="141">
        <f t="shared" si="216"/>
        <v>0</v>
      </c>
      <c r="AN100" s="635">
        <f t="shared" si="216"/>
        <v>2.39</v>
      </c>
      <c r="AO100" s="139">
        <f t="shared" si="216"/>
        <v>12571363</v>
      </c>
      <c r="AP100" s="140">
        <f t="shared" si="216"/>
        <v>9195305</v>
      </c>
      <c r="AQ100" s="140">
        <f t="shared" si="216"/>
        <v>13440</v>
      </c>
      <c r="AR100" s="140">
        <f t="shared" si="216"/>
        <v>3112556</v>
      </c>
      <c r="AS100" s="140">
        <f t="shared" si="216"/>
        <v>183906</v>
      </c>
      <c r="AT100" s="140">
        <f t="shared" si="216"/>
        <v>66156</v>
      </c>
      <c r="AU100" s="141">
        <f t="shared" si="216"/>
        <v>23.486499999999999</v>
      </c>
      <c r="AV100" s="141">
        <f t="shared" si="216"/>
        <v>15.132000000000001</v>
      </c>
      <c r="AW100" s="142">
        <f t="shared" si="216"/>
        <v>8.3544999999999998</v>
      </c>
    </row>
    <row r="101" spans="1:49" ht="14.1" customHeight="1" x14ac:dyDescent="0.2">
      <c r="A101" s="124">
        <v>25</v>
      </c>
      <c r="B101" s="121">
        <v>2418</v>
      </c>
      <c r="C101" s="122">
        <v>600079261</v>
      </c>
      <c r="D101" s="121">
        <v>72741783</v>
      </c>
      <c r="E101" s="123" t="s">
        <v>622</v>
      </c>
      <c r="F101" s="124">
        <v>3111</v>
      </c>
      <c r="G101" s="123" t="s">
        <v>317</v>
      </c>
      <c r="H101" s="125" t="s">
        <v>283</v>
      </c>
      <c r="I101" s="126">
        <f t="shared" si="140"/>
        <v>3341368</v>
      </c>
      <c r="J101" s="127">
        <v>2446589</v>
      </c>
      <c r="K101" s="127">
        <f t="shared" si="155"/>
        <v>826947</v>
      </c>
      <c r="L101" s="477">
        <f t="shared" si="156"/>
        <v>48932</v>
      </c>
      <c r="M101" s="127">
        <v>18900</v>
      </c>
      <c r="N101" s="390">
        <f t="shared" si="141"/>
        <v>5.4897999999999998</v>
      </c>
      <c r="O101" s="390">
        <v>4</v>
      </c>
      <c r="P101" s="439">
        <v>1.4898</v>
      </c>
      <c r="Q101" s="129">
        <f t="shared" si="142"/>
        <v>0</v>
      </c>
      <c r="R101" s="130">
        <v>0</v>
      </c>
      <c r="S101" s="130">
        <v>0</v>
      </c>
      <c r="T101" s="130">
        <v>0</v>
      </c>
      <c r="U101" s="130">
        <f t="shared" si="143"/>
        <v>0</v>
      </c>
      <c r="V101" s="130">
        <v>0</v>
      </c>
      <c r="W101" s="130">
        <v>0</v>
      </c>
      <c r="X101" s="130">
        <v>0</v>
      </c>
      <c r="Y101" s="130">
        <f t="shared" ref="Y101:Y102" si="217">SUM(V101:X101)</f>
        <v>0</v>
      </c>
      <c r="Z101" s="130">
        <f t="shared" ref="Z101:Z102" si="218">U101+Y101</f>
        <v>0</v>
      </c>
      <c r="AA101" s="131">
        <f t="shared" ref="AA101:AA102" si="219">ROUND((U101+V101+W101)*33.8%,0)</f>
        <v>0</v>
      </c>
      <c r="AB101" s="131">
        <f t="shared" ref="AB101:AB102" si="220">ROUND(U101*2%,0)</f>
        <v>0</v>
      </c>
      <c r="AC101" s="130">
        <v>0</v>
      </c>
      <c r="AD101" s="130">
        <v>0</v>
      </c>
      <c r="AE101" s="130">
        <f t="shared" si="161"/>
        <v>0</v>
      </c>
      <c r="AF101" s="130">
        <f t="shared" si="162"/>
        <v>0</v>
      </c>
      <c r="AG101" s="132">
        <v>0</v>
      </c>
      <c r="AH101" s="132">
        <v>0</v>
      </c>
      <c r="AI101" s="132">
        <v>0</v>
      </c>
      <c r="AJ101" s="132">
        <v>0</v>
      </c>
      <c r="AK101" s="132">
        <v>0</v>
      </c>
      <c r="AL101" s="132">
        <f t="shared" si="163"/>
        <v>0</v>
      </c>
      <c r="AM101" s="132">
        <f>AH101+AK101</f>
        <v>0</v>
      </c>
      <c r="AN101" s="403">
        <f t="shared" si="164"/>
        <v>0</v>
      </c>
      <c r="AO101" s="128">
        <f t="shared" si="144"/>
        <v>3341368</v>
      </c>
      <c r="AP101" s="130">
        <f t="shared" si="145"/>
        <v>2446589</v>
      </c>
      <c r="AQ101" s="130">
        <f t="shared" si="146"/>
        <v>0</v>
      </c>
      <c r="AR101" s="130">
        <f t="shared" si="147"/>
        <v>826947</v>
      </c>
      <c r="AS101" s="130">
        <f t="shared" si="148"/>
        <v>48932</v>
      </c>
      <c r="AT101" s="130">
        <f t="shared" si="149"/>
        <v>18900</v>
      </c>
      <c r="AU101" s="132">
        <f t="shared" si="150"/>
        <v>5.4897999999999998</v>
      </c>
      <c r="AV101" s="132">
        <f t="shared" si="151"/>
        <v>4</v>
      </c>
      <c r="AW101" s="133">
        <f t="shared" si="152"/>
        <v>1.4898</v>
      </c>
    </row>
    <row r="102" spans="1:49" ht="14.1" customHeight="1" x14ac:dyDescent="0.2">
      <c r="A102" s="124">
        <v>25</v>
      </c>
      <c r="B102" s="121">
        <v>2418</v>
      </c>
      <c r="C102" s="122">
        <v>600079261</v>
      </c>
      <c r="D102" s="121">
        <v>72741783</v>
      </c>
      <c r="E102" s="123" t="s">
        <v>622</v>
      </c>
      <c r="F102" s="124">
        <v>3141</v>
      </c>
      <c r="G102" s="123" t="s">
        <v>321</v>
      </c>
      <c r="H102" s="125" t="s">
        <v>284</v>
      </c>
      <c r="I102" s="126">
        <f t="shared" si="140"/>
        <v>564729</v>
      </c>
      <c r="J102" s="666">
        <v>414060</v>
      </c>
      <c r="K102" s="127">
        <f t="shared" ref="K102" si="221">ROUND(J102*33.8%,0)</f>
        <v>139952</v>
      </c>
      <c r="L102" s="477">
        <f t="shared" ref="L102" si="222">ROUND(J102*2%,0)</f>
        <v>8281</v>
      </c>
      <c r="M102" s="666">
        <v>2436</v>
      </c>
      <c r="N102" s="390">
        <f t="shared" si="141"/>
        <v>1.41</v>
      </c>
      <c r="O102" s="668">
        <v>0</v>
      </c>
      <c r="P102" s="667">
        <v>1.41</v>
      </c>
      <c r="Q102" s="129">
        <f t="shared" si="142"/>
        <v>0</v>
      </c>
      <c r="R102" s="130">
        <v>0</v>
      </c>
      <c r="S102" s="130">
        <v>0</v>
      </c>
      <c r="T102" s="130">
        <v>0</v>
      </c>
      <c r="U102" s="130">
        <f t="shared" si="143"/>
        <v>0</v>
      </c>
      <c r="V102" s="130">
        <v>0</v>
      </c>
      <c r="W102" s="130">
        <v>0</v>
      </c>
      <c r="X102" s="130">
        <v>0</v>
      </c>
      <c r="Y102" s="130">
        <f t="shared" si="217"/>
        <v>0</v>
      </c>
      <c r="Z102" s="130">
        <f t="shared" si="218"/>
        <v>0</v>
      </c>
      <c r="AA102" s="131">
        <f t="shared" si="219"/>
        <v>0</v>
      </c>
      <c r="AB102" s="131">
        <f t="shared" si="220"/>
        <v>0</v>
      </c>
      <c r="AC102" s="130">
        <v>0</v>
      </c>
      <c r="AD102" s="130">
        <v>0</v>
      </c>
      <c r="AE102" s="130">
        <f t="shared" si="161"/>
        <v>0</v>
      </c>
      <c r="AF102" s="130">
        <f t="shared" si="162"/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f t="shared" si="163"/>
        <v>0</v>
      </c>
      <c r="AM102" s="132">
        <f>AH102+AK102</f>
        <v>0</v>
      </c>
      <c r="AN102" s="403">
        <f t="shared" si="164"/>
        <v>0</v>
      </c>
      <c r="AO102" s="128">
        <f t="shared" si="144"/>
        <v>564729</v>
      </c>
      <c r="AP102" s="130">
        <f t="shared" si="145"/>
        <v>414060</v>
      </c>
      <c r="AQ102" s="130">
        <f t="shared" si="146"/>
        <v>0</v>
      </c>
      <c r="AR102" s="130">
        <f t="shared" si="147"/>
        <v>139952</v>
      </c>
      <c r="AS102" s="130">
        <f t="shared" si="148"/>
        <v>8281</v>
      </c>
      <c r="AT102" s="130">
        <f t="shared" si="149"/>
        <v>2436</v>
      </c>
      <c r="AU102" s="132">
        <f t="shared" si="150"/>
        <v>1.41</v>
      </c>
      <c r="AV102" s="132">
        <f t="shared" si="151"/>
        <v>0</v>
      </c>
      <c r="AW102" s="133">
        <f t="shared" si="152"/>
        <v>1.41</v>
      </c>
    </row>
    <row r="103" spans="1:49" ht="14.1" customHeight="1" x14ac:dyDescent="0.2">
      <c r="A103" s="137">
        <v>25</v>
      </c>
      <c r="B103" s="134">
        <v>2418</v>
      </c>
      <c r="C103" s="135">
        <v>600079261</v>
      </c>
      <c r="D103" s="134">
        <v>72741783</v>
      </c>
      <c r="E103" s="136" t="s">
        <v>623</v>
      </c>
      <c r="F103" s="137"/>
      <c r="G103" s="136"/>
      <c r="H103" s="138"/>
      <c r="I103" s="139">
        <f t="shared" ref="I103:P103" si="223">SUM(I101:I102)</f>
        <v>3906097</v>
      </c>
      <c r="J103" s="140">
        <f t="shared" si="223"/>
        <v>2860649</v>
      </c>
      <c r="K103" s="140">
        <f t="shared" si="223"/>
        <v>966899</v>
      </c>
      <c r="L103" s="140">
        <f t="shared" si="223"/>
        <v>57213</v>
      </c>
      <c r="M103" s="140">
        <f t="shared" si="223"/>
        <v>21336</v>
      </c>
      <c r="N103" s="141">
        <f t="shared" si="223"/>
        <v>6.8997999999999999</v>
      </c>
      <c r="O103" s="141">
        <f t="shared" si="223"/>
        <v>4</v>
      </c>
      <c r="P103" s="142">
        <f t="shared" si="223"/>
        <v>2.8997999999999999</v>
      </c>
      <c r="Q103" s="342">
        <f t="shared" ref="Q103:AW103" si="224">SUM(Q101:Q102)</f>
        <v>0</v>
      </c>
      <c r="R103" s="140">
        <f t="shared" si="224"/>
        <v>0</v>
      </c>
      <c r="S103" s="140">
        <f t="shared" si="224"/>
        <v>0</v>
      </c>
      <c r="T103" s="140">
        <f t="shared" si="224"/>
        <v>0</v>
      </c>
      <c r="U103" s="140">
        <f t="shared" si="224"/>
        <v>0</v>
      </c>
      <c r="V103" s="140">
        <f t="shared" si="224"/>
        <v>0</v>
      </c>
      <c r="W103" s="140">
        <f t="shared" si="224"/>
        <v>0</v>
      </c>
      <c r="X103" s="140">
        <f t="shared" si="224"/>
        <v>0</v>
      </c>
      <c r="Y103" s="140">
        <f t="shared" si="224"/>
        <v>0</v>
      </c>
      <c r="Z103" s="140">
        <f t="shared" si="224"/>
        <v>0</v>
      </c>
      <c r="AA103" s="140">
        <f t="shared" si="224"/>
        <v>0</v>
      </c>
      <c r="AB103" s="140">
        <f t="shared" si="224"/>
        <v>0</v>
      </c>
      <c r="AC103" s="140">
        <f t="shared" si="224"/>
        <v>0</v>
      </c>
      <c r="AD103" s="140">
        <f t="shared" si="224"/>
        <v>0</v>
      </c>
      <c r="AE103" s="140">
        <f t="shared" si="224"/>
        <v>0</v>
      </c>
      <c r="AF103" s="140">
        <f t="shared" si="224"/>
        <v>0</v>
      </c>
      <c r="AG103" s="141">
        <f t="shared" si="224"/>
        <v>0</v>
      </c>
      <c r="AH103" s="141">
        <f t="shared" si="224"/>
        <v>0</v>
      </c>
      <c r="AI103" s="141">
        <f t="shared" si="224"/>
        <v>0</v>
      </c>
      <c r="AJ103" s="141">
        <f t="shared" si="224"/>
        <v>0</v>
      </c>
      <c r="AK103" s="141">
        <f t="shared" si="224"/>
        <v>0</v>
      </c>
      <c r="AL103" s="141">
        <f t="shared" si="224"/>
        <v>0</v>
      </c>
      <c r="AM103" s="141">
        <f t="shared" si="224"/>
        <v>0</v>
      </c>
      <c r="AN103" s="635">
        <f t="shared" si="224"/>
        <v>0</v>
      </c>
      <c r="AO103" s="139">
        <f t="shared" si="224"/>
        <v>3906097</v>
      </c>
      <c r="AP103" s="140">
        <f t="shared" si="224"/>
        <v>2860649</v>
      </c>
      <c r="AQ103" s="140">
        <f t="shared" si="224"/>
        <v>0</v>
      </c>
      <c r="AR103" s="140">
        <f t="shared" si="224"/>
        <v>966899</v>
      </c>
      <c r="AS103" s="140">
        <f t="shared" si="224"/>
        <v>57213</v>
      </c>
      <c r="AT103" s="140">
        <f t="shared" si="224"/>
        <v>21336</v>
      </c>
      <c r="AU103" s="141">
        <f t="shared" si="224"/>
        <v>6.8997999999999999</v>
      </c>
      <c r="AV103" s="141">
        <f t="shared" si="224"/>
        <v>4</v>
      </c>
      <c r="AW103" s="142">
        <f t="shared" si="224"/>
        <v>2.8997999999999999</v>
      </c>
    </row>
    <row r="104" spans="1:49" ht="14.1" customHeight="1" x14ac:dyDescent="0.2">
      <c r="A104" s="124">
        <v>26</v>
      </c>
      <c r="B104" s="121">
        <v>2414</v>
      </c>
      <c r="C104" s="122">
        <v>600079295</v>
      </c>
      <c r="D104" s="121">
        <v>72742020</v>
      </c>
      <c r="E104" s="123" t="s">
        <v>624</v>
      </c>
      <c r="F104" s="124">
        <v>3111</v>
      </c>
      <c r="G104" s="123" t="s">
        <v>317</v>
      </c>
      <c r="H104" s="125" t="s">
        <v>283</v>
      </c>
      <c r="I104" s="126">
        <f t="shared" si="140"/>
        <v>4691575</v>
      </c>
      <c r="J104" s="127">
        <v>3434886</v>
      </c>
      <c r="K104" s="127">
        <f t="shared" si="155"/>
        <v>1160991</v>
      </c>
      <c r="L104" s="477">
        <f t="shared" si="156"/>
        <v>68698</v>
      </c>
      <c r="M104" s="127">
        <v>27000</v>
      </c>
      <c r="N104" s="390">
        <f t="shared" si="141"/>
        <v>8.2261000000000006</v>
      </c>
      <c r="O104" s="390">
        <v>6.2419000000000002</v>
      </c>
      <c r="P104" s="439">
        <v>1.9842</v>
      </c>
      <c r="Q104" s="129">
        <f t="shared" si="142"/>
        <v>-15000</v>
      </c>
      <c r="R104" s="130">
        <v>0</v>
      </c>
      <c r="S104" s="130">
        <v>0</v>
      </c>
      <c r="T104" s="130">
        <v>0</v>
      </c>
      <c r="U104" s="130">
        <f t="shared" si="143"/>
        <v>-15000</v>
      </c>
      <c r="V104" s="130">
        <v>15000</v>
      </c>
      <c r="W104" s="130">
        <v>0</v>
      </c>
      <c r="X104" s="130">
        <v>0</v>
      </c>
      <c r="Y104" s="130">
        <f t="shared" ref="Y104:Y106" si="225">SUM(V104:X104)</f>
        <v>15000</v>
      </c>
      <c r="Z104" s="130">
        <f t="shared" ref="Z104:Z106" si="226">U104+Y104</f>
        <v>0</v>
      </c>
      <c r="AA104" s="131">
        <f t="shared" ref="AA104:AA106" si="227">ROUND((U104+V104+W104)*33.8%,0)</f>
        <v>0</v>
      </c>
      <c r="AB104" s="131">
        <f t="shared" ref="AB104:AB106" si="228">ROUND(U104*2%,0)</f>
        <v>-300</v>
      </c>
      <c r="AC104" s="130">
        <v>0</v>
      </c>
      <c r="AD104" s="130">
        <v>0</v>
      </c>
      <c r="AE104" s="130">
        <f t="shared" si="161"/>
        <v>0</v>
      </c>
      <c r="AF104" s="130">
        <f t="shared" si="162"/>
        <v>-300</v>
      </c>
      <c r="AG104" s="132">
        <v>0</v>
      </c>
      <c r="AH104" s="132">
        <v>-0.08</v>
      </c>
      <c r="AI104" s="132">
        <v>0</v>
      </c>
      <c r="AJ104" s="132">
        <v>0</v>
      </c>
      <c r="AK104" s="132">
        <v>0</v>
      </c>
      <c r="AL104" s="132">
        <f t="shared" si="163"/>
        <v>0</v>
      </c>
      <c r="AM104" s="132">
        <f>AH104+AK104</f>
        <v>-0.08</v>
      </c>
      <c r="AN104" s="403">
        <f t="shared" si="164"/>
        <v>-0.08</v>
      </c>
      <c r="AO104" s="128">
        <f t="shared" si="144"/>
        <v>4691275</v>
      </c>
      <c r="AP104" s="130">
        <f t="shared" si="145"/>
        <v>3419886</v>
      </c>
      <c r="AQ104" s="130">
        <f t="shared" si="146"/>
        <v>15000</v>
      </c>
      <c r="AR104" s="130">
        <f t="shared" si="147"/>
        <v>1160991</v>
      </c>
      <c r="AS104" s="130">
        <f t="shared" si="148"/>
        <v>68398</v>
      </c>
      <c r="AT104" s="130">
        <f t="shared" si="149"/>
        <v>27000</v>
      </c>
      <c r="AU104" s="132">
        <f t="shared" si="150"/>
        <v>8.1461000000000006</v>
      </c>
      <c r="AV104" s="132">
        <f t="shared" si="151"/>
        <v>6.2419000000000002</v>
      </c>
      <c r="AW104" s="133">
        <f t="shared" si="152"/>
        <v>1.9041999999999999</v>
      </c>
    </row>
    <row r="105" spans="1:49" ht="14.1" customHeight="1" x14ac:dyDescent="0.2">
      <c r="A105" s="124">
        <v>26</v>
      </c>
      <c r="B105" s="121">
        <v>2414</v>
      </c>
      <c r="C105" s="122">
        <v>600079295</v>
      </c>
      <c r="D105" s="121">
        <v>72742020</v>
      </c>
      <c r="E105" s="123" t="s">
        <v>624</v>
      </c>
      <c r="F105" s="124">
        <v>3111</v>
      </c>
      <c r="G105" s="143" t="s">
        <v>318</v>
      </c>
      <c r="H105" s="125" t="s">
        <v>284</v>
      </c>
      <c r="I105" s="126">
        <f t="shared" si="140"/>
        <v>0</v>
      </c>
      <c r="J105" s="29">
        <v>0</v>
      </c>
      <c r="K105" s="127">
        <f t="shared" si="155"/>
        <v>0</v>
      </c>
      <c r="L105" s="477">
        <f t="shared" si="156"/>
        <v>0</v>
      </c>
      <c r="M105" s="29">
        <v>0</v>
      </c>
      <c r="N105" s="390">
        <f t="shared" si="141"/>
        <v>0</v>
      </c>
      <c r="O105" s="349">
        <v>0</v>
      </c>
      <c r="P105" s="639">
        <v>0</v>
      </c>
      <c r="Q105" s="129">
        <f t="shared" si="142"/>
        <v>0</v>
      </c>
      <c r="R105" s="130">
        <v>0</v>
      </c>
      <c r="S105" s="130">
        <v>0</v>
      </c>
      <c r="T105" s="130">
        <v>0</v>
      </c>
      <c r="U105" s="130">
        <f t="shared" si="143"/>
        <v>0</v>
      </c>
      <c r="V105" s="130">
        <v>0</v>
      </c>
      <c r="W105" s="130">
        <v>0</v>
      </c>
      <c r="X105" s="130">
        <v>0</v>
      </c>
      <c r="Y105" s="130">
        <f t="shared" si="225"/>
        <v>0</v>
      </c>
      <c r="Z105" s="130">
        <f t="shared" si="226"/>
        <v>0</v>
      </c>
      <c r="AA105" s="131">
        <f t="shared" si="227"/>
        <v>0</v>
      </c>
      <c r="AB105" s="131">
        <f t="shared" si="228"/>
        <v>0</v>
      </c>
      <c r="AC105" s="130">
        <v>0</v>
      </c>
      <c r="AD105" s="130">
        <v>0</v>
      </c>
      <c r="AE105" s="130">
        <f t="shared" si="161"/>
        <v>0</v>
      </c>
      <c r="AF105" s="130">
        <f t="shared" si="162"/>
        <v>0</v>
      </c>
      <c r="AG105" s="132">
        <v>0</v>
      </c>
      <c r="AH105" s="132">
        <v>0</v>
      </c>
      <c r="AI105" s="132">
        <v>0</v>
      </c>
      <c r="AJ105" s="132">
        <v>0</v>
      </c>
      <c r="AK105" s="132">
        <v>0</v>
      </c>
      <c r="AL105" s="132">
        <f t="shared" si="163"/>
        <v>0</v>
      </c>
      <c r="AM105" s="132">
        <f>AH105+AK105</f>
        <v>0</v>
      </c>
      <c r="AN105" s="403">
        <f t="shared" si="164"/>
        <v>0</v>
      </c>
      <c r="AO105" s="128">
        <f t="shared" si="144"/>
        <v>0</v>
      </c>
      <c r="AP105" s="130">
        <f t="shared" si="145"/>
        <v>0</v>
      </c>
      <c r="AQ105" s="130">
        <f t="shared" si="146"/>
        <v>0</v>
      </c>
      <c r="AR105" s="130">
        <f t="shared" si="147"/>
        <v>0</v>
      </c>
      <c r="AS105" s="130">
        <f t="shared" si="148"/>
        <v>0</v>
      </c>
      <c r="AT105" s="130">
        <f t="shared" si="149"/>
        <v>0</v>
      </c>
      <c r="AU105" s="132">
        <f t="shared" si="150"/>
        <v>0</v>
      </c>
      <c r="AV105" s="132">
        <f t="shared" si="151"/>
        <v>0</v>
      </c>
      <c r="AW105" s="133">
        <f t="shared" si="152"/>
        <v>0</v>
      </c>
    </row>
    <row r="106" spans="1:49" ht="14.1" customHeight="1" x14ac:dyDescent="0.2">
      <c r="A106" s="124">
        <v>26</v>
      </c>
      <c r="B106" s="121">
        <v>2414</v>
      </c>
      <c r="C106" s="122">
        <v>600079295</v>
      </c>
      <c r="D106" s="121">
        <v>72742020</v>
      </c>
      <c r="E106" s="123" t="s">
        <v>624</v>
      </c>
      <c r="F106" s="124">
        <v>3141</v>
      </c>
      <c r="G106" s="123" t="s">
        <v>321</v>
      </c>
      <c r="H106" s="125" t="s">
        <v>284</v>
      </c>
      <c r="I106" s="126">
        <f t="shared" si="140"/>
        <v>720854</v>
      </c>
      <c r="J106" s="666">
        <v>528258</v>
      </c>
      <c r="K106" s="127">
        <f t="shared" ref="K106" si="229">ROUND(J106*33.8%,0)</f>
        <v>178551</v>
      </c>
      <c r="L106" s="477">
        <f t="shared" ref="L106" si="230">ROUND(J106*2%,0)</f>
        <v>10565</v>
      </c>
      <c r="M106" s="666">
        <v>3480</v>
      </c>
      <c r="N106" s="390">
        <f t="shared" si="141"/>
        <v>1.8</v>
      </c>
      <c r="O106" s="668">
        <v>0</v>
      </c>
      <c r="P106" s="667">
        <v>1.8</v>
      </c>
      <c r="Q106" s="129">
        <f t="shared" si="142"/>
        <v>0</v>
      </c>
      <c r="R106" s="130">
        <v>0</v>
      </c>
      <c r="S106" s="130">
        <v>0</v>
      </c>
      <c r="T106" s="130">
        <v>0</v>
      </c>
      <c r="U106" s="130">
        <f t="shared" si="143"/>
        <v>0</v>
      </c>
      <c r="V106" s="130">
        <v>0</v>
      </c>
      <c r="W106" s="130">
        <v>0</v>
      </c>
      <c r="X106" s="130">
        <v>0</v>
      </c>
      <c r="Y106" s="130">
        <f t="shared" si="225"/>
        <v>0</v>
      </c>
      <c r="Z106" s="130">
        <f t="shared" si="226"/>
        <v>0</v>
      </c>
      <c r="AA106" s="131">
        <f t="shared" si="227"/>
        <v>0</v>
      </c>
      <c r="AB106" s="131">
        <f t="shared" si="228"/>
        <v>0</v>
      </c>
      <c r="AC106" s="130">
        <v>0</v>
      </c>
      <c r="AD106" s="130">
        <v>0</v>
      </c>
      <c r="AE106" s="130">
        <f t="shared" si="161"/>
        <v>0</v>
      </c>
      <c r="AF106" s="130">
        <f t="shared" si="162"/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f t="shared" si="163"/>
        <v>0</v>
      </c>
      <c r="AM106" s="132">
        <f>AH106+AK106</f>
        <v>0</v>
      </c>
      <c r="AN106" s="403">
        <f t="shared" si="164"/>
        <v>0</v>
      </c>
      <c r="AO106" s="128">
        <f t="shared" si="144"/>
        <v>720854</v>
      </c>
      <c r="AP106" s="130">
        <f t="shared" si="145"/>
        <v>528258</v>
      </c>
      <c r="AQ106" s="130">
        <f t="shared" si="146"/>
        <v>0</v>
      </c>
      <c r="AR106" s="130">
        <f t="shared" si="147"/>
        <v>178551</v>
      </c>
      <c r="AS106" s="130">
        <f t="shared" si="148"/>
        <v>10565</v>
      </c>
      <c r="AT106" s="130">
        <f t="shared" si="149"/>
        <v>3480</v>
      </c>
      <c r="AU106" s="132">
        <f t="shared" si="150"/>
        <v>1.8</v>
      </c>
      <c r="AV106" s="132">
        <f t="shared" si="151"/>
        <v>0</v>
      </c>
      <c r="AW106" s="133">
        <f t="shared" si="152"/>
        <v>1.8</v>
      </c>
    </row>
    <row r="107" spans="1:49" ht="14.1" customHeight="1" x14ac:dyDescent="0.2">
      <c r="A107" s="137">
        <v>26</v>
      </c>
      <c r="B107" s="134">
        <v>2414</v>
      </c>
      <c r="C107" s="135">
        <v>600079295</v>
      </c>
      <c r="D107" s="134">
        <v>72742020</v>
      </c>
      <c r="E107" s="136" t="s">
        <v>625</v>
      </c>
      <c r="F107" s="137"/>
      <c r="G107" s="136"/>
      <c r="H107" s="138"/>
      <c r="I107" s="139">
        <f t="shared" ref="I107:P107" si="231">SUM(I104:I106)</f>
        <v>5412429</v>
      </c>
      <c r="J107" s="140">
        <f t="shared" si="231"/>
        <v>3963144</v>
      </c>
      <c r="K107" s="140">
        <f t="shared" si="231"/>
        <v>1339542</v>
      </c>
      <c r="L107" s="140">
        <f t="shared" si="231"/>
        <v>79263</v>
      </c>
      <c r="M107" s="140">
        <f t="shared" si="231"/>
        <v>30480</v>
      </c>
      <c r="N107" s="141">
        <f t="shared" si="231"/>
        <v>10.026100000000001</v>
      </c>
      <c r="O107" s="141">
        <f t="shared" si="231"/>
        <v>6.2419000000000002</v>
      </c>
      <c r="P107" s="142">
        <f t="shared" si="231"/>
        <v>3.7842000000000002</v>
      </c>
      <c r="Q107" s="342">
        <f t="shared" ref="Q107:AW107" si="232">SUM(Q104:Q106)</f>
        <v>-15000</v>
      </c>
      <c r="R107" s="140">
        <f t="shared" si="232"/>
        <v>0</v>
      </c>
      <c r="S107" s="140">
        <f t="shared" si="232"/>
        <v>0</v>
      </c>
      <c r="T107" s="140">
        <f t="shared" si="232"/>
        <v>0</v>
      </c>
      <c r="U107" s="140">
        <f t="shared" si="232"/>
        <v>-15000</v>
      </c>
      <c r="V107" s="140">
        <f t="shared" si="232"/>
        <v>15000</v>
      </c>
      <c r="W107" s="140">
        <f t="shared" si="232"/>
        <v>0</v>
      </c>
      <c r="X107" s="140">
        <f t="shared" si="232"/>
        <v>0</v>
      </c>
      <c r="Y107" s="140">
        <f t="shared" si="232"/>
        <v>15000</v>
      </c>
      <c r="Z107" s="140">
        <f t="shared" si="232"/>
        <v>0</v>
      </c>
      <c r="AA107" s="140">
        <f t="shared" si="232"/>
        <v>0</v>
      </c>
      <c r="AB107" s="140">
        <f t="shared" si="232"/>
        <v>-300</v>
      </c>
      <c r="AC107" s="140">
        <f t="shared" si="232"/>
        <v>0</v>
      </c>
      <c r="AD107" s="140">
        <f t="shared" si="232"/>
        <v>0</v>
      </c>
      <c r="AE107" s="140">
        <f t="shared" si="232"/>
        <v>0</v>
      </c>
      <c r="AF107" s="140">
        <f t="shared" si="232"/>
        <v>-300</v>
      </c>
      <c r="AG107" s="141">
        <f t="shared" si="232"/>
        <v>0</v>
      </c>
      <c r="AH107" s="141">
        <f t="shared" si="232"/>
        <v>-0.08</v>
      </c>
      <c r="AI107" s="141">
        <f t="shared" si="232"/>
        <v>0</v>
      </c>
      <c r="AJ107" s="141">
        <f t="shared" si="232"/>
        <v>0</v>
      </c>
      <c r="AK107" s="141">
        <f t="shared" si="232"/>
        <v>0</v>
      </c>
      <c r="AL107" s="141">
        <f t="shared" si="232"/>
        <v>0</v>
      </c>
      <c r="AM107" s="141">
        <f t="shared" si="232"/>
        <v>-0.08</v>
      </c>
      <c r="AN107" s="635">
        <f t="shared" si="232"/>
        <v>-0.08</v>
      </c>
      <c r="AO107" s="139">
        <f t="shared" si="232"/>
        <v>5412129</v>
      </c>
      <c r="AP107" s="140">
        <f t="shared" si="232"/>
        <v>3948144</v>
      </c>
      <c r="AQ107" s="140">
        <f t="shared" si="232"/>
        <v>15000</v>
      </c>
      <c r="AR107" s="140">
        <f t="shared" si="232"/>
        <v>1339542</v>
      </c>
      <c r="AS107" s="140">
        <f t="shared" si="232"/>
        <v>78963</v>
      </c>
      <c r="AT107" s="140">
        <f t="shared" si="232"/>
        <v>30480</v>
      </c>
      <c r="AU107" s="141">
        <f t="shared" si="232"/>
        <v>9.9461000000000013</v>
      </c>
      <c r="AV107" s="141">
        <f t="shared" si="232"/>
        <v>6.2419000000000002</v>
      </c>
      <c r="AW107" s="142">
        <f t="shared" si="232"/>
        <v>3.7042000000000002</v>
      </c>
    </row>
    <row r="108" spans="1:49" ht="14.1" customHeight="1" x14ac:dyDescent="0.2">
      <c r="A108" s="124">
        <v>27</v>
      </c>
      <c r="B108" s="121">
        <v>2443</v>
      </c>
      <c r="C108" s="122">
        <v>600079309</v>
      </c>
      <c r="D108" s="121">
        <v>72743051</v>
      </c>
      <c r="E108" s="123" t="s">
        <v>626</v>
      </c>
      <c r="F108" s="124">
        <v>3111</v>
      </c>
      <c r="G108" s="123" t="s">
        <v>317</v>
      </c>
      <c r="H108" s="125" t="s">
        <v>283</v>
      </c>
      <c r="I108" s="126">
        <f t="shared" si="140"/>
        <v>4540284</v>
      </c>
      <c r="J108" s="127">
        <v>3323478</v>
      </c>
      <c r="K108" s="127">
        <f t="shared" si="155"/>
        <v>1123336</v>
      </c>
      <c r="L108" s="477">
        <f t="shared" si="156"/>
        <v>66470</v>
      </c>
      <c r="M108" s="127">
        <v>27000</v>
      </c>
      <c r="N108" s="390">
        <f t="shared" si="141"/>
        <v>7.9841999999999995</v>
      </c>
      <c r="O108" s="390">
        <v>6</v>
      </c>
      <c r="P108" s="439">
        <v>1.9842</v>
      </c>
      <c r="Q108" s="129">
        <f t="shared" si="142"/>
        <v>0</v>
      </c>
      <c r="R108" s="130">
        <v>0</v>
      </c>
      <c r="S108" s="130">
        <v>0</v>
      </c>
      <c r="T108" s="130">
        <v>0</v>
      </c>
      <c r="U108" s="130">
        <f t="shared" si="143"/>
        <v>0</v>
      </c>
      <c r="V108" s="130">
        <v>0</v>
      </c>
      <c r="W108" s="130">
        <v>0</v>
      </c>
      <c r="X108" s="130">
        <v>0</v>
      </c>
      <c r="Y108" s="130">
        <f t="shared" ref="Y108:Y110" si="233">SUM(V108:X108)</f>
        <v>0</v>
      </c>
      <c r="Z108" s="130">
        <f t="shared" ref="Z108:Z110" si="234">U108+Y108</f>
        <v>0</v>
      </c>
      <c r="AA108" s="131">
        <f t="shared" ref="AA108:AA110" si="235">ROUND((U108+V108+W108)*33.8%,0)</f>
        <v>0</v>
      </c>
      <c r="AB108" s="131">
        <f t="shared" ref="AB108:AB110" si="236">ROUND(U108*2%,0)</f>
        <v>0</v>
      </c>
      <c r="AC108" s="130">
        <v>0</v>
      </c>
      <c r="AD108" s="130">
        <v>0</v>
      </c>
      <c r="AE108" s="130">
        <f t="shared" si="161"/>
        <v>0</v>
      </c>
      <c r="AF108" s="130">
        <f t="shared" si="162"/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f t="shared" si="163"/>
        <v>0</v>
      </c>
      <c r="AM108" s="132">
        <f>AH108+AK108</f>
        <v>0</v>
      </c>
      <c r="AN108" s="403">
        <f t="shared" si="164"/>
        <v>0</v>
      </c>
      <c r="AO108" s="128">
        <f t="shared" si="144"/>
        <v>4540284</v>
      </c>
      <c r="AP108" s="130">
        <f t="shared" si="145"/>
        <v>3323478</v>
      </c>
      <c r="AQ108" s="130">
        <f t="shared" si="146"/>
        <v>0</v>
      </c>
      <c r="AR108" s="130">
        <f t="shared" si="147"/>
        <v>1123336</v>
      </c>
      <c r="AS108" s="130">
        <f t="shared" si="148"/>
        <v>66470</v>
      </c>
      <c r="AT108" s="130">
        <f t="shared" si="149"/>
        <v>27000</v>
      </c>
      <c r="AU108" s="132">
        <f t="shared" si="150"/>
        <v>7.9841999999999995</v>
      </c>
      <c r="AV108" s="132">
        <f t="shared" si="151"/>
        <v>6</v>
      </c>
      <c r="AW108" s="133">
        <f t="shared" si="152"/>
        <v>1.9842</v>
      </c>
    </row>
    <row r="109" spans="1:49" ht="14.1" customHeight="1" x14ac:dyDescent="0.2">
      <c r="A109" s="124">
        <v>27</v>
      </c>
      <c r="B109" s="121">
        <v>2443</v>
      </c>
      <c r="C109" s="122">
        <v>600079309</v>
      </c>
      <c r="D109" s="121">
        <v>72743051</v>
      </c>
      <c r="E109" s="123" t="s">
        <v>626</v>
      </c>
      <c r="F109" s="124">
        <v>3111</v>
      </c>
      <c r="G109" s="143" t="s">
        <v>318</v>
      </c>
      <c r="H109" s="125" t="s">
        <v>284</v>
      </c>
      <c r="I109" s="126">
        <f t="shared" si="140"/>
        <v>0</v>
      </c>
      <c r="J109" s="29">
        <v>0</v>
      </c>
      <c r="K109" s="127">
        <f t="shared" si="155"/>
        <v>0</v>
      </c>
      <c r="L109" s="477">
        <f t="shared" si="156"/>
        <v>0</v>
      </c>
      <c r="M109" s="29">
        <v>0</v>
      </c>
      <c r="N109" s="390">
        <f t="shared" si="141"/>
        <v>0</v>
      </c>
      <c r="O109" s="349">
        <v>0</v>
      </c>
      <c r="P109" s="639">
        <v>0</v>
      </c>
      <c r="Q109" s="129">
        <f t="shared" si="142"/>
        <v>0</v>
      </c>
      <c r="R109" s="130">
        <v>0</v>
      </c>
      <c r="S109" s="130">
        <v>0</v>
      </c>
      <c r="T109" s="130">
        <v>0</v>
      </c>
      <c r="U109" s="130">
        <f t="shared" si="143"/>
        <v>0</v>
      </c>
      <c r="V109" s="130">
        <v>0</v>
      </c>
      <c r="W109" s="130">
        <v>0</v>
      </c>
      <c r="X109" s="130">
        <v>0</v>
      </c>
      <c r="Y109" s="130">
        <f t="shared" si="233"/>
        <v>0</v>
      </c>
      <c r="Z109" s="130">
        <f t="shared" si="234"/>
        <v>0</v>
      </c>
      <c r="AA109" s="131">
        <f t="shared" si="235"/>
        <v>0</v>
      </c>
      <c r="AB109" s="131">
        <f t="shared" si="236"/>
        <v>0</v>
      </c>
      <c r="AC109" s="130">
        <v>0</v>
      </c>
      <c r="AD109" s="130">
        <v>0</v>
      </c>
      <c r="AE109" s="130">
        <f t="shared" si="161"/>
        <v>0</v>
      </c>
      <c r="AF109" s="130">
        <f t="shared" si="162"/>
        <v>0</v>
      </c>
      <c r="AG109" s="132">
        <v>0</v>
      </c>
      <c r="AH109" s="132">
        <v>0</v>
      </c>
      <c r="AI109" s="132">
        <v>0</v>
      </c>
      <c r="AJ109" s="132">
        <v>0</v>
      </c>
      <c r="AK109" s="132">
        <v>0</v>
      </c>
      <c r="AL109" s="132">
        <f t="shared" si="163"/>
        <v>0</v>
      </c>
      <c r="AM109" s="132">
        <f>AH109+AK109</f>
        <v>0</v>
      </c>
      <c r="AN109" s="403">
        <f t="shared" si="164"/>
        <v>0</v>
      </c>
      <c r="AO109" s="128">
        <f t="shared" si="144"/>
        <v>0</v>
      </c>
      <c r="AP109" s="130">
        <f t="shared" si="145"/>
        <v>0</v>
      </c>
      <c r="AQ109" s="130">
        <f t="shared" si="146"/>
        <v>0</v>
      </c>
      <c r="AR109" s="130">
        <f t="shared" si="147"/>
        <v>0</v>
      </c>
      <c r="AS109" s="130">
        <f t="shared" si="148"/>
        <v>0</v>
      </c>
      <c r="AT109" s="130">
        <f t="shared" si="149"/>
        <v>0</v>
      </c>
      <c r="AU109" s="132">
        <f t="shared" si="150"/>
        <v>0</v>
      </c>
      <c r="AV109" s="132">
        <f t="shared" si="151"/>
        <v>0</v>
      </c>
      <c r="AW109" s="133">
        <f t="shared" si="152"/>
        <v>0</v>
      </c>
    </row>
    <row r="110" spans="1:49" ht="14.1" customHeight="1" x14ac:dyDescent="0.2">
      <c r="A110" s="124">
        <v>27</v>
      </c>
      <c r="B110" s="121">
        <v>2443</v>
      </c>
      <c r="C110" s="122">
        <v>600079309</v>
      </c>
      <c r="D110" s="121">
        <v>72743051</v>
      </c>
      <c r="E110" s="123" t="s">
        <v>626</v>
      </c>
      <c r="F110" s="124">
        <v>3141</v>
      </c>
      <c r="G110" s="123" t="s">
        <v>321</v>
      </c>
      <c r="H110" s="125" t="s">
        <v>284</v>
      </c>
      <c r="I110" s="126">
        <f t="shared" si="140"/>
        <v>720854</v>
      </c>
      <c r="J110" s="666">
        <v>528258</v>
      </c>
      <c r="K110" s="127">
        <f t="shared" ref="K110" si="237">ROUND(J110*33.8%,0)</f>
        <v>178551</v>
      </c>
      <c r="L110" s="477">
        <f t="shared" ref="L110" si="238">ROUND(J110*2%,0)</f>
        <v>10565</v>
      </c>
      <c r="M110" s="666">
        <v>3480</v>
      </c>
      <c r="N110" s="390">
        <f t="shared" si="141"/>
        <v>1.8</v>
      </c>
      <c r="O110" s="668">
        <v>0</v>
      </c>
      <c r="P110" s="667">
        <v>1.8</v>
      </c>
      <c r="Q110" s="129">
        <f t="shared" si="142"/>
        <v>0</v>
      </c>
      <c r="R110" s="130">
        <v>0</v>
      </c>
      <c r="S110" s="130">
        <v>0</v>
      </c>
      <c r="T110" s="130">
        <v>0</v>
      </c>
      <c r="U110" s="130">
        <f t="shared" si="143"/>
        <v>0</v>
      </c>
      <c r="V110" s="130">
        <v>0</v>
      </c>
      <c r="W110" s="130">
        <v>0</v>
      </c>
      <c r="X110" s="130">
        <v>0</v>
      </c>
      <c r="Y110" s="130">
        <f t="shared" si="233"/>
        <v>0</v>
      </c>
      <c r="Z110" s="130">
        <f t="shared" si="234"/>
        <v>0</v>
      </c>
      <c r="AA110" s="131">
        <f t="shared" si="235"/>
        <v>0</v>
      </c>
      <c r="AB110" s="131">
        <f t="shared" si="236"/>
        <v>0</v>
      </c>
      <c r="AC110" s="130">
        <v>0</v>
      </c>
      <c r="AD110" s="130">
        <v>0</v>
      </c>
      <c r="AE110" s="130">
        <f t="shared" si="161"/>
        <v>0</v>
      </c>
      <c r="AF110" s="130">
        <f t="shared" si="162"/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f t="shared" si="163"/>
        <v>0</v>
      </c>
      <c r="AM110" s="132">
        <f>AH110+AK110</f>
        <v>0</v>
      </c>
      <c r="AN110" s="403">
        <f t="shared" si="164"/>
        <v>0</v>
      </c>
      <c r="AO110" s="128">
        <f t="shared" si="144"/>
        <v>720854</v>
      </c>
      <c r="AP110" s="130">
        <f t="shared" si="145"/>
        <v>528258</v>
      </c>
      <c r="AQ110" s="130">
        <f t="shared" si="146"/>
        <v>0</v>
      </c>
      <c r="AR110" s="130">
        <f t="shared" si="147"/>
        <v>178551</v>
      </c>
      <c r="AS110" s="130">
        <f t="shared" si="148"/>
        <v>10565</v>
      </c>
      <c r="AT110" s="130">
        <f t="shared" si="149"/>
        <v>3480</v>
      </c>
      <c r="AU110" s="132">
        <f t="shared" si="150"/>
        <v>1.8</v>
      </c>
      <c r="AV110" s="132">
        <f t="shared" si="151"/>
        <v>0</v>
      </c>
      <c r="AW110" s="133">
        <f t="shared" si="152"/>
        <v>1.8</v>
      </c>
    </row>
    <row r="111" spans="1:49" ht="14.1" customHeight="1" x14ac:dyDescent="0.2">
      <c r="A111" s="137">
        <v>27</v>
      </c>
      <c r="B111" s="134">
        <v>2443</v>
      </c>
      <c r="C111" s="135">
        <v>600079309</v>
      </c>
      <c r="D111" s="134">
        <v>72743051</v>
      </c>
      <c r="E111" s="136" t="s">
        <v>627</v>
      </c>
      <c r="F111" s="137"/>
      <c r="G111" s="136"/>
      <c r="H111" s="138"/>
      <c r="I111" s="139">
        <f t="shared" ref="I111:P111" si="239">SUM(I108:I110)</f>
        <v>5261138</v>
      </c>
      <c r="J111" s="140">
        <f t="shared" si="239"/>
        <v>3851736</v>
      </c>
      <c r="K111" s="140">
        <f t="shared" si="239"/>
        <v>1301887</v>
      </c>
      <c r="L111" s="140">
        <f t="shared" si="239"/>
        <v>77035</v>
      </c>
      <c r="M111" s="140">
        <f t="shared" si="239"/>
        <v>30480</v>
      </c>
      <c r="N111" s="141">
        <f t="shared" si="239"/>
        <v>9.7842000000000002</v>
      </c>
      <c r="O111" s="141">
        <f t="shared" si="239"/>
        <v>6</v>
      </c>
      <c r="P111" s="142">
        <f t="shared" si="239"/>
        <v>3.7842000000000002</v>
      </c>
      <c r="Q111" s="342">
        <f t="shared" ref="Q111:AW111" si="240">SUM(Q108:Q110)</f>
        <v>0</v>
      </c>
      <c r="R111" s="140">
        <f t="shared" si="240"/>
        <v>0</v>
      </c>
      <c r="S111" s="140">
        <f t="shared" si="240"/>
        <v>0</v>
      </c>
      <c r="T111" s="140">
        <f t="shared" si="240"/>
        <v>0</v>
      </c>
      <c r="U111" s="140">
        <f t="shared" si="240"/>
        <v>0</v>
      </c>
      <c r="V111" s="140">
        <f t="shared" si="240"/>
        <v>0</v>
      </c>
      <c r="W111" s="140">
        <f t="shared" si="240"/>
        <v>0</v>
      </c>
      <c r="X111" s="140">
        <f t="shared" si="240"/>
        <v>0</v>
      </c>
      <c r="Y111" s="140">
        <f t="shared" si="240"/>
        <v>0</v>
      </c>
      <c r="Z111" s="140">
        <f t="shared" si="240"/>
        <v>0</v>
      </c>
      <c r="AA111" s="140">
        <f t="shared" si="240"/>
        <v>0</v>
      </c>
      <c r="AB111" s="140">
        <f t="shared" si="240"/>
        <v>0</v>
      </c>
      <c r="AC111" s="140">
        <f t="shared" si="240"/>
        <v>0</v>
      </c>
      <c r="AD111" s="140">
        <f t="shared" si="240"/>
        <v>0</v>
      </c>
      <c r="AE111" s="140">
        <f t="shared" si="240"/>
        <v>0</v>
      </c>
      <c r="AF111" s="140">
        <f t="shared" si="240"/>
        <v>0</v>
      </c>
      <c r="AG111" s="141">
        <f t="shared" si="240"/>
        <v>0</v>
      </c>
      <c r="AH111" s="141">
        <f t="shared" si="240"/>
        <v>0</v>
      </c>
      <c r="AI111" s="141">
        <f t="shared" si="240"/>
        <v>0</v>
      </c>
      <c r="AJ111" s="141">
        <f t="shared" si="240"/>
        <v>0</v>
      </c>
      <c r="AK111" s="141">
        <f t="shared" si="240"/>
        <v>0</v>
      </c>
      <c r="AL111" s="141">
        <f t="shared" si="240"/>
        <v>0</v>
      </c>
      <c r="AM111" s="141">
        <f t="shared" si="240"/>
        <v>0</v>
      </c>
      <c r="AN111" s="635">
        <f t="shared" si="240"/>
        <v>0</v>
      </c>
      <c r="AO111" s="139">
        <f t="shared" si="240"/>
        <v>5261138</v>
      </c>
      <c r="AP111" s="140">
        <f t="shared" si="240"/>
        <v>3851736</v>
      </c>
      <c r="AQ111" s="140">
        <f t="shared" si="240"/>
        <v>0</v>
      </c>
      <c r="AR111" s="140">
        <f t="shared" si="240"/>
        <v>1301887</v>
      </c>
      <c r="AS111" s="140">
        <f t="shared" si="240"/>
        <v>77035</v>
      </c>
      <c r="AT111" s="140">
        <f t="shared" si="240"/>
        <v>30480</v>
      </c>
      <c r="AU111" s="141">
        <f t="shared" si="240"/>
        <v>9.7842000000000002</v>
      </c>
      <c r="AV111" s="141">
        <f t="shared" si="240"/>
        <v>6</v>
      </c>
      <c r="AW111" s="142">
        <f t="shared" si="240"/>
        <v>3.7842000000000002</v>
      </c>
    </row>
    <row r="112" spans="1:49" ht="14.1" customHeight="1" x14ac:dyDescent="0.2">
      <c r="A112" s="124">
        <v>28</v>
      </c>
      <c r="B112" s="121">
        <v>2425</v>
      </c>
      <c r="C112" s="122">
        <v>600079333</v>
      </c>
      <c r="D112" s="121">
        <v>72741864</v>
      </c>
      <c r="E112" s="123" t="s">
        <v>628</v>
      </c>
      <c r="F112" s="124">
        <v>3111</v>
      </c>
      <c r="G112" s="123" t="s">
        <v>317</v>
      </c>
      <c r="H112" s="125" t="s">
        <v>283</v>
      </c>
      <c r="I112" s="126">
        <f t="shared" si="140"/>
        <v>3266895</v>
      </c>
      <c r="J112" s="127">
        <v>2391749</v>
      </c>
      <c r="K112" s="127">
        <f t="shared" si="155"/>
        <v>808411</v>
      </c>
      <c r="L112" s="477">
        <f t="shared" si="156"/>
        <v>47835</v>
      </c>
      <c r="M112" s="127">
        <v>18900</v>
      </c>
      <c r="N112" s="390">
        <f t="shared" si="141"/>
        <v>5.4897999999999998</v>
      </c>
      <c r="O112" s="390">
        <v>4</v>
      </c>
      <c r="P112" s="439">
        <v>1.4898</v>
      </c>
      <c r="Q112" s="129">
        <f t="shared" si="142"/>
        <v>0</v>
      </c>
      <c r="R112" s="130">
        <v>0</v>
      </c>
      <c r="S112" s="130">
        <v>0</v>
      </c>
      <c r="T112" s="130">
        <v>0</v>
      </c>
      <c r="U112" s="130">
        <f t="shared" si="143"/>
        <v>0</v>
      </c>
      <c r="V112" s="130">
        <v>0</v>
      </c>
      <c r="W112" s="130">
        <v>0</v>
      </c>
      <c r="X112" s="130">
        <v>0</v>
      </c>
      <c r="Y112" s="130">
        <f t="shared" ref="Y112:Y113" si="241">SUM(V112:X112)</f>
        <v>0</v>
      </c>
      <c r="Z112" s="130">
        <f t="shared" ref="Z112:Z113" si="242">U112+Y112</f>
        <v>0</v>
      </c>
      <c r="AA112" s="131">
        <f t="shared" ref="AA112:AA113" si="243">ROUND((U112+V112+W112)*33.8%,0)</f>
        <v>0</v>
      </c>
      <c r="AB112" s="131">
        <f t="shared" ref="AB112:AB113" si="244">ROUND(U112*2%,0)</f>
        <v>0</v>
      </c>
      <c r="AC112" s="130">
        <v>0</v>
      </c>
      <c r="AD112" s="130">
        <v>0</v>
      </c>
      <c r="AE112" s="130">
        <f t="shared" si="161"/>
        <v>0</v>
      </c>
      <c r="AF112" s="130">
        <f t="shared" si="162"/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f t="shared" si="163"/>
        <v>0</v>
      </c>
      <c r="AM112" s="132">
        <f>AH112+AK112</f>
        <v>0</v>
      </c>
      <c r="AN112" s="403">
        <f t="shared" si="164"/>
        <v>0</v>
      </c>
      <c r="AO112" s="128">
        <f t="shared" si="144"/>
        <v>3266895</v>
      </c>
      <c r="AP112" s="130">
        <f t="shared" si="145"/>
        <v>2391749</v>
      </c>
      <c r="AQ112" s="130">
        <f t="shared" si="146"/>
        <v>0</v>
      </c>
      <c r="AR112" s="130">
        <f t="shared" si="147"/>
        <v>808411</v>
      </c>
      <c r="AS112" s="130">
        <f t="shared" si="148"/>
        <v>47835</v>
      </c>
      <c r="AT112" s="130">
        <f t="shared" si="149"/>
        <v>18900</v>
      </c>
      <c r="AU112" s="132">
        <f t="shared" si="150"/>
        <v>5.4897999999999998</v>
      </c>
      <c r="AV112" s="132">
        <f t="shared" si="151"/>
        <v>4</v>
      </c>
      <c r="AW112" s="133">
        <f t="shared" si="152"/>
        <v>1.4898</v>
      </c>
    </row>
    <row r="113" spans="1:49" ht="14.1" customHeight="1" x14ac:dyDescent="0.2">
      <c r="A113" s="124">
        <v>28</v>
      </c>
      <c r="B113" s="121">
        <v>2425</v>
      </c>
      <c r="C113" s="122">
        <v>600079333</v>
      </c>
      <c r="D113" s="121">
        <v>72741864</v>
      </c>
      <c r="E113" s="123" t="s">
        <v>628</v>
      </c>
      <c r="F113" s="124">
        <v>3141</v>
      </c>
      <c r="G113" s="123" t="s">
        <v>321</v>
      </c>
      <c r="H113" s="125" t="s">
        <v>284</v>
      </c>
      <c r="I113" s="126">
        <f t="shared" si="140"/>
        <v>574074</v>
      </c>
      <c r="J113" s="666">
        <v>420898</v>
      </c>
      <c r="K113" s="127">
        <f t="shared" ref="K113" si="245">ROUND(J113*33.8%,0)</f>
        <v>142264</v>
      </c>
      <c r="L113" s="477">
        <f t="shared" ref="L113" si="246">ROUND(J113*2%,0)</f>
        <v>8418</v>
      </c>
      <c r="M113" s="666">
        <v>2494</v>
      </c>
      <c r="N113" s="390">
        <f t="shared" si="141"/>
        <v>1.43</v>
      </c>
      <c r="O113" s="668">
        <v>0</v>
      </c>
      <c r="P113" s="667">
        <v>1.43</v>
      </c>
      <c r="Q113" s="129">
        <f t="shared" si="142"/>
        <v>0</v>
      </c>
      <c r="R113" s="130">
        <v>0</v>
      </c>
      <c r="S113" s="130">
        <v>0</v>
      </c>
      <c r="T113" s="130">
        <v>0</v>
      </c>
      <c r="U113" s="130">
        <f t="shared" si="143"/>
        <v>0</v>
      </c>
      <c r="V113" s="130">
        <v>0</v>
      </c>
      <c r="W113" s="130">
        <v>0</v>
      </c>
      <c r="X113" s="130">
        <v>0</v>
      </c>
      <c r="Y113" s="130">
        <f t="shared" si="241"/>
        <v>0</v>
      </c>
      <c r="Z113" s="130">
        <f t="shared" si="242"/>
        <v>0</v>
      </c>
      <c r="AA113" s="131">
        <f t="shared" si="243"/>
        <v>0</v>
      </c>
      <c r="AB113" s="131">
        <f t="shared" si="244"/>
        <v>0</v>
      </c>
      <c r="AC113" s="130">
        <v>0</v>
      </c>
      <c r="AD113" s="130">
        <v>0</v>
      </c>
      <c r="AE113" s="130">
        <f t="shared" si="161"/>
        <v>0</v>
      </c>
      <c r="AF113" s="130">
        <f t="shared" si="162"/>
        <v>0</v>
      </c>
      <c r="AG113" s="132">
        <v>0</v>
      </c>
      <c r="AH113" s="132">
        <v>0</v>
      </c>
      <c r="AI113" s="132">
        <v>0</v>
      </c>
      <c r="AJ113" s="132">
        <v>0</v>
      </c>
      <c r="AK113" s="132">
        <v>0</v>
      </c>
      <c r="AL113" s="132">
        <f t="shared" si="163"/>
        <v>0</v>
      </c>
      <c r="AM113" s="132">
        <f>AH113+AK113</f>
        <v>0</v>
      </c>
      <c r="AN113" s="403">
        <f t="shared" si="164"/>
        <v>0</v>
      </c>
      <c r="AO113" s="128">
        <f t="shared" si="144"/>
        <v>574074</v>
      </c>
      <c r="AP113" s="130">
        <f t="shared" si="145"/>
        <v>420898</v>
      </c>
      <c r="AQ113" s="130">
        <f t="shared" si="146"/>
        <v>0</v>
      </c>
      <c r="AR113" s="130">
        <f t="shared" si="147"/>
        <v>142264</v>
      </c>
      <c r="AS113" s="130">
        <f t="shared" si="148"/>
        <v>8418</v>
      </c>
      <c r="AT113" s="130">
        <f t="shared" si="149"/>
        <v>2494</v>
      </c>
      <c r="AU113" s="132">
        <f t="shared" si="150"/>
        <v>1.43</v>
      </c>
      <c r="AV113" s="132">
        <f t="shared" si="151"/>
        <v>0</v>
      </c>
      <c r="AW113" s="133">
        <f t="shared" si="152"/>
        <v>1.43</v>
      </c>
    </row>
    <row r="114" spans="1:49" ht="14.1" customHeight="1" x14ac:dyDescent="0.2">
      <c r="A114" s="137">
        <v>28</v>
      </c>
      <c r="B114" s="134">
        <v>2425</v>
      </c>
      <c r="C114" s="135">
        <v>600079333</v>
      </c>
      <c r="D114" s="134">
        <v>72741864</v>
      </c>
      <c r="E114" s="136" t="s">
        <v>629</v>
      </c>
      <c r="F114" s="137"/>
      <c r="G114" s="136"/>
      <c r="H114" s="138"/>
      <c r="I114" s="139">
        <f t="shared" ref="I114:P114" si="247">SUM(I112:I113)</f>
        <v>3840969</v>
      </c>
      <c r="J114" s="140">
        <f t="shared" si="247"/>
        <v>2812647</v>
      </c>
      <c r="K114" s="140">
        <f t="shared" si="247"/>
        <v>950675</v>
      </c>
      <c r="L114" s="140">
        <f t="shared" si="247"/>
        <v>56253</v>
      </c>
      <c r="M114" s="140">
        <f t="shared" si="247"/>
        <v>21394</v>
      </c>
      <c r="N114" s="141">
        <f t="shared" si="247"/>
        <v>6.9197999999999995</v>
      </c>
      <c r="O114" s="141">
        <f t="shared" si="247"/>
        <v>4</v>
      </c>
      <c r="P114" s="142">
        <f t="shared" si="247"/>
        <v>2.9198</v>
      </c>
      <c r="Q114" s="342">
        <f t="shared" ref="Q114:AW114" si="248">SUM(Q112:Q113)</f>
        <v>0</v>
      </c>
      <c r="R114" s="140">
        <f t="shared" si="248"/>
        <v>0</v>
      </c>
      <c r="S114" s="140">
        <f t="shared" si="248"/>
        <v>0</v>
      </c>
      <c r="T114" s="140">
        <f t="shared" si="248"/>
        <v>0</v>
      </c>
      <c r="U114" s="140">
        <f t="shared" si="248"/>
        <v>0</v>
      </c>
      <c r="V114" s="140">
        <f t="shared" si="248"/>
        <v>0</v>
      </c>
      <c r="W114" s="140">
        <f t="shared" si="248"/>
        <v>0</v>
      </c>
      <c r="X114" s="140">
        <f t="shared" si="248"/>
        <v>0</v>
      </c>
      <c r="Y114" s="140">
        <f t="shared" si="248"/>
        <v>0</v>
      </c>
      <c r="Z114" s="140">
        <f t="shared" si="248"/>
        <v>0</v>
      </c>
      <c r="AA114" s="140">
        <f t="shared" si="248"/>
        <v>0</v>
      </c>
      <c r="AB114" s="140">
        <f t="shared" si="248"/>
        <v>0</v>
      </c>
      <c r="AC114" s="140">
        <f t="shared" si="248"/>
        <v>0</v>
      </c>
      <c r="AD114" s="140">
        <f t="shared" si="248"/>
        <v>0</v>
      </c>
      <c r="AE114" s="140">
        <f t="shared" si="248"/>
        <v>0</v>
      </c>
      <c r="AF114" s="140">
        <f t="shared" si="248"/>
        <v>0</v>
      </c>
      <c r="AG114" s="141">
        <f t="shared" si="248"/>
        <v>0</v>
      </c>
      <c r="AH114" s="141">
        <f t="shared" si="248"/>
        <v>0</v>
      </c>
      <c r="AI114" s="141">
        <f t="shared" si="248"/>
        <v>0</v>
      </c>
      <c r="AJ114" s="141">
        <f t="shared" si="248"/>
        <v>0</v>
      </c>
      <c r="AK114" s="141">
        <f t="shared" si="248"/>
        <v>0</v>
      </c>
      <c r="AL114" s="141">
        <f t="shared" si="248"/>
        <v>0</v>
      </c>
      <c r="AM114" s="141">
        <f t="shared" si="248"/>
        <v>0</v>
      </c>
      <c r="AN114" s="635">
        <f t="shared" si="248"/>
        <v>0</v>
      </c>
      <c r="AO114" s="139">
        <f t="shared" si="248"/>
        <v>3840969</v>
      </c>
      <c r="AP114" s="140">
        <f t="shared" si="248"/>
        <v>2812647</v>
      </c>
      <c r="AQ114" s="140">
        <f t="shared" si="248"/>
        <v>0</v>
      </c>
      <c r="AR114" s="140">
        <f t="shared" si="248"/>
        <v>950675</v>
      </c>
      <c r="AS114" s="140">
        <f t="shared" si="248"/>
        <v>56253</v>
      </c>
      <c r="AT114" s="140">
        <f t="shared" si="248"/>
        <v>21394</v>
      </c>
      <c r="AU114" s="141">
        <f t="shared" si="248"/>
        <v>6.9197999999999995</v>
      </c>
      <c r="AV114" s="141">
        <f t="shared" si="248"/>
        <v>4</v>
      </c>
      <c r="AW114" s="142">
        <f t="shared" si="248"/>
        <v>2.9198</v>
      </c>
    </row>
    <row r="115" spans="1:49" ht="14.1" customHeight="1" x14ac:dyDescent="0.2">
      <c r="A115" s="124">
        <v>29</v>
      </c>
      <c r="B115" s="121">
        <v>2433</v>
      </c>
      <c r="C115" s="122">
        <v>600079643</v>
      </c>
      <c r="D115" s="121">
        <v>66113334</v>
      </c>
      <c r="E115" s="123" t="s">
        <v>630</v>
      </c>
      <c r="F115" s="124">
        <v>3111</v>
      </c>
      <c r="G115" s="123" t="s">
        <v>317</v>
      </c>
      <c r="H115" s="125" t="s">
        <v>283</v>
      </c>
      <c r="I115" s="126">
        <f t="shared" si="140"/>
        <v>6492979</v>
      </c>
      <c r="J115" s="127">
        <v>4755765</v>
      </c>
      <c r="K115" s="127">
        <f t="shared" si="155"/>
        <v>1607449</v>
      </c>
      <c r="L115" s="477">
        <f t="shared" si="156"/>
        <v>95115</v>
      </c>
      <c r="M115" s="127">
        <v>34650</v>
      </c>
      <c r="N115" s="390">
        <f t="shared" si="141"/>
        <v>11.119799999999998</v>
      </c>
      <c r="O115" s="390">
        <v>8.4515999999999991</v>
      </c>
      <c r="P115" s="439">
        <v>2.6681999999999997</v>
      </c>
      <c r="Q115" s="129">
        <f t="shared" si="142"/>
        <v>0</v>
      </c>
      <c r="R115" s="130">
        <v>0</v>
      </c>
      <c r="S115" s="130">
        <v>0</v>
      </c>
      <c r="T115" s="130">
        <v>0</v>
      </c>
      <c r="U115" s="130">
        <f t="shared" si="143"/>
        <v>0</v>
      </c>
      <c r="V115" s="130">
        <v>0</v>
      </c>
      <c r="W115" s="130">
        <v>0</v>
      </c>
      <c r="X115" s="130">
        <v>0</v>
      </c>
      <c r="Y115" s="130">
        <f t="shared" ref="Y115:Y116" si="249">SUM(V115:X115)</f>
        <v>0</v>
      </c>
      <c r="Z115" s="130">
        <f t="shared" ref="Z115:Z116" si="250">U115+Y115</f>
        <v>0</v>
      </c>
      <c r="AA115" s="131">
        <f t="shared" ref="AA115:AA116" si="251">ROUND((U115+V115+W115)*33.8%,0)</f>
        <v>0</v>
      </c>
      <c r="AB115" s="131">
        <f t="shared" ref="AB115:AB116" si="252">ROUND(U115*2%,0)</f>
        <v>0</v>
      </c>
      <c r="AC115" s="130">
        <v>0</v>
      </c>
      <c r="AD115" s="130">
        <v>0</v>
      </c>
      <c r="AE115" s="130">
        <f t="shared" si="161"/>
        <v>0</v>
      </c>
      <c r="AF115" s="130">
        <f t="shared" si="162"/>
        <v>0</v>
      </c>
      <c r="AG115" s="132">
        <v>0</v>
      </c>
      <c r="AH115" s="132">
        <v>0</v>
      </c>
      <c r="AI115" s="132">
        <v>0</v>
      </c>
      <c r="AJ115" s="132">
        <v>0</v>
      </c>
      <c r="AK115" s="132">
        <v>0</v>
      </c>
      <c r="AL115" s="132">
        <f t="shared" si="163"/>
        <v>0</v>
      </c>
      <c r="AM115" s="132">
        <f>AH115+AK115</f>
        <v>0</v>
      </c>
      <c r="AN115" s="403">
        <f t="shared" si="164"/>
        <v>0</v>
      </c>
      <c r="AO115" s="128">
        <f t="shared" si="144"/>
        <v>6492979</v>
      </c>
      <c r="AP115" s="130">
        <f t="shared" si="145"/>
        <v>4755765</v>
      </c>
      <c r="AQ115" s="130">
        <f t="shared" si="146"/>
        <v>0</v>
      </c>
      <c r="AR115" s="130">
        <f t="shared" si="147"/>
        <v>1607449</v>
      </c>
      <c r="AS115" s="130">
        <f t="shared" si="148"/>
        <v>95115</v>
      </c>
      <c r="AT115" s="130">
        <f t="shared" si="149"/>
        <v>34650</v>
      </c>
      <c r="AU115" s="132">
        <f t="shared" si="150"/>
        <v>11.119799999999998</v>
      </c>
      <c r="AV115" s="132">
        <f t="shared" si="151"/>
        <v>8.4515999999999991</v>
      </c>
      <c r="AW115" s="133">
        <f t="shared" si="152"/>
        <v>2.6681999999999997</v>
      </c>
    </row>
    <row r="116" spans="1:49" ht="14.1" customHeight="1" x14ac:dyDescent="0.2">
      <c r="A116" s="124">
        <v>29</v>
      </c>
      <c r="B116" s="121">
        <v>2433</v>
      </c>
      <c r="C116" s="122">
        <v>600079643</v>
      </c>
      <c r="D116" s="121">
        <v>66113334</v>
      </c>
      <c r="E116" s="123" t="s">
        <v>630</v>
      </c>
      <c r="F116" s="124">
        <v>3141</v>
      </c>
      <c r="G116" s="123" t="s">
        <v>321</v>
      </c>
      <c r="H116" s="125" t="s">
        <v>284</v>
      </c>
      <c r="I116" s="126">
        <f t="shared" si="140"/>
        <v>853254</v>
      </c>
      <c r="J116" s="666">
        <v>625028</v>
      </c>
      <c r="K116" s="127">
        <f t="shared" ref="K116" si="253">ROUND(J116*33.8%,0)</f>
        <v>211259</v>
      </c>
      <c r="L116" s="477">
        <f t="shared" ref="L116" si="254">ROUND(J116*2%,0)</f>
        <v>12501</v>
      </c>
      <c r="M116" s="666">
        <v>4466</v>
      </c>
      <c r="N116" s="390">
        <f t="shared" si="141"/>
        <v>2.13</v>
      </c>
      <c r="O116" s="668">
        <v>0</v>
      </c>
      <c r="P116" s="667">
        <v>2.13</v>
      </c>
      <c r="Q116" s="129">
        <f t="shared" si="142"/>
        <v>0</v>
      </c>
      <c r="R116" s="130">
        <v>0</v>
      </c>
      <c r="S116" s="130">
        <v>0</v>
      </c>
      <c r="T116" s="130">
        <v>0</v>
      </c>
      <c r="U116" s="130">
        <f t="shared" si="143"/>
        <v>0</v>
      </c>
      <c r="V116" s="130">
        <v>0</v>
      </c>
      <c r="W116" s="130">
        <v>0</v>
      </c>
      <c r="X116" s="130">
        <v>0</v>
      </c>
      <c r="Y116" s="130">
        <f t="shared" si="249"/>
        <v>0</v>
      </c>
      <c r="Z116" s="130">
        <f t="shared" si="250"/>
        <v>0</v>
      </c>
      <c r="AA116" s="131">
        <f t="shared" si="251"/>
        <v>0</v>
      </c>
      <c r="AB116" s="131">
        <f t="shared" si="252"/>
        <v>0</v>
      </c>
      <c r="AC116" s="130">
        <v>0</v>
      </c>
      <c r="AD116" s="130">
        <v>0</v>
      </c>
      <c r="AE116" s="130">
        <f t="shared" si="161"/>
        <v>0</v>
      </c>
      <c r="AF116" s="130">
        <f t="shared" si="162"/>
        <v>0</v>
      </c>
      <c r="AG116" s="132">
        <v>0</v>
      </c>
      <c r="AH116" s="132">
        <v>0</v>
      </c>
      <c r="AI116" s="132">
        <v>0</v>
      </c>
      <c r="AJ116" s="132">
        <v>0</v>
      </c>
      <c r="AK116" s="132">
        <v>0</v>
      </c>
      <c r="AL116" s="132">
        <f t="shared" si="163"/>
        <v>0</v>
      </c>
      <c r="AM116" s="132">
        <f>AH116+AK116</f>
        <v>0</v>
      </c>
      <c r="AN116" s="403">
        <f t="shared" si="164"/>
        <v>0</v>
      </c>
      <c r="AO116" s="128">
        <f t="shared" si="144"/>
        <v>853254</v>
      </c>
      <c r="AP116" s="130">
        <f t="shared" si="145"/>
        <v>625028</v>
      </c>
      <c r="AQ116" s="130">
        <f t="shared" si="146"/>
        <v>0</v>
      </c>
      <c r="AR116" s="130">
        <f t="shared" si="147"/>
        <v>211259</v>
      </c>
      <c r="AS116" s="130">
        <f t="shared" si="148"/>
        <v>12501</v>
      </c>
      <c r="AT116" s="130">
        <f t="shared" si="149"/>
        <v>4466</v>
      </c>
      <c r="AU116" s="132">
        <f t="shared" si="150"/>
        <v>2.13</v>
      </c>
      <c r="AV116" s="132">
        <f t="shared" si="151"/>
        <v>0</v>
      </c>
      <c r="AW116" s="133">
        <f t="shared" si="152"/>
        <v>2.13</v>
      </c>
    </row>
    <row r="117" spans="1:49" ht="14.1" customHeight="1" x14ac:dyDescent="0.2">
      <c r="A117" s="137">
        <v>29</v>
      </c>
      <c r="B117" s="134">
        <v>2433</v>
      </c>
      <c r="C117" s="135">
        <v>600079643</v>
      </c>
      <c r="D117" s="134">
        <v>66113334</v>
      </c>
      <c r="E117" s="136" t="s">
        <v>631</v>
      </c>
      <c r="F117" s="137"/>
      <c r="G117" s="136"/>
      <c r="H117" s="138"/>
      <c r="I117" s="139">
        <f t="shared" ref="I117:P117" si="255">SUM(I115:I116)</f>
        <v>7346233</v>
      </c>
      <c r="J117" s="140">
        <f t="shared" si="255"/>
        <v>5380793</v>
      </c>
      <c r="K117" s="140">
        <f t="shared" si="255"/>
        <v>1818708</v>
      </c>
      <c r="L117" s="140">
        <f t="shared" si="255"/>
        <v>107616</v>
      </c>
      <c r="M117" s="140">
        <f t="shared" si="255"/>
        <v>39116</v>
      </c>
      <c r="N117" s="141">
        <f t="shared" si="255"/>
        <v>13.249799999999997</v>
      </c>
      <c r="O117" s="141">
        <f t="shared" si="255"/>
        <v>8.4515999999999991</v>
      </c>
      <c r="P117" s="142">
        <f t="shared" si="255"/>
        <v>4.7981999999999996</v>
      </c>
      <c r="Q117" s="342">
        <f t="shared" ref="Q117:AW117" si="256">SUM(Q115:Q116)</f>
        <v>0</v>
      </c>
      <c r="R117" s="140">
        <f t="shared" si="256"/>
        <v>0</v>
      </c>
      <c r="S117" s="140">
        <f t="shared" si="256"/>
        <v>0</v>
      </c>
      <c r="T117" s="140">
        <f t="shared" si="256"/>
        <v>0</v>
      </c>
      <c r="U117" s="140">
        <f t="shared" si="256"/>
        <v>0</v>
      </c>
      <c r="V117" s="140">
        <f t="shared" si="256"/>
        <v>0</v>
      </c>
      <c r="W117" s="140">
        <f t="shared" si="256"/>
        <v>0</v>
      </c>
      <c r="X117" s="140">
        <f t="shared" si="256"/>
        <v>0</v>
      </c>
      <c r="Y117" s="140">
        <f t="shared" si="256"/>
        <v>0</v>
      </c>
      <c r="Z117" s="140">
        <f t="shared" si="256"/>
        <v>0</v>
      </c>
      <c r="AA117" s="140">
        <f t="shared" si="256"/>
        <v>0</v>
      </c>
      <c r="AB117" s="140">
        <f t="shared" si="256"/>
        <v>0</v>
      </c>
      <c r="AC117" s="140">
        <f t="shared" si="256"/>
        <v>0</v>
      </c>
      <c r="AD117" s="140">
        <f t="shared" si="256"/>
        <v>0</v>
      </c>
      <c r="AE117" s="140">
        <f t="shared" si="256"/>
        <v>0</v>
      </c>
      <c r="AF117" s="140">
        <f t="shared" si="256"/>
        <v>0</v>
      </c>
      <c r="AG117" s="141">
        <f t="shared" si="256"/>
        <v>0</v>
      </c>
      <c r="AH117" s="141">
        <f t="shared" si="256"/>
        <v>0</v>
      </c>
      <c r="AI117" s="141">
        <f t="shared" si="256"/>
        <v>0</v>
      </c>
      <c r="AJ117" s="141">
        <f t="shared" si="256"/>
        <v>0</v>
      </c>
      <c r="AK117" s="141">
        <f t="shared" si="256"/>
        <v>0</v>
      </c>
      <c r="AL117" s="141">
        <f t="shared" si="256"/>
        <v>0</v>
      </c>
      <c r="AM117" s="141">
        <f t="shared" si="256"/>
        <v>0</v>
      </c>
      <c r="AN117" s="635">
        <f t="shared" si="256"/>
        <v>0</v>
      </c>
      <c r="AO117" s="139">
        <f t="shared" si="256"/>
        <v>7346233</v>
      </c>
      <c r="AP117" s="140">
        <f t="shared" si="256"/>
        <v>5380793</v>
      </c>
      <c r="AQ117" s="140">
        <f t="shared" si="256"/>
        <v>0</v>
      </c>
      <c r="AR117" s="140">
        <f t="shared" si="256"/>
        <v>1818708</v>
      </c>
      <c r="AS117" s="140">
        <f t="shared" si="256"/>
        <v>107616</v>
      </c>
      <c r="AT117" s="140">
        <f t="shared" si="256"/>
        <v>39116</v>
      </c>
      <c r="AU117" s="141">
        <f t="shared" si="256"/>
        <v>13.249799999999997</v>
      </c>
      <c r="AV117" s="141">
        <f t="shared" si="256"/>
        <v>8.4515999999999991</v>
      </c>
      <c r="AW117" s="142">
        <f t="shared" si="256"/>
        <v>4.7981999999999996</v>
      </c>
    </row>
    <row r="118" spans="1:49" ht="14.1" customHeight="1" x14ac:dyDescent="0.2">
      <c r="A118" s="124">
        <v>30</v>
      </c>
      <c r="B118" s="121">
        <v>2435</v>
      </c>
      <c r="C118" s="122">
        <v>600079341</v>
      </c>
      <c r="D118" s="121">
        <v>72743069</v>
      </c>
      <c r="E118" s="123" t="s">
        <v>632</v>
      </c>
      <c r="F118" s="124">
        <v>3111</v>
      </c>
      <c r="G118" s="123" t="s">
        <v>317</v>
      </c>
      <c r="H118" s="125" t="s">
        <v>283</v>
      </c>
      <c r="I118" s="126">
        <f t="shared" si="140"/>
        <v>6731998</v>
      </c>
      <c r="J118" s="127">
        <v>4922605</v>
      </c>
      <c r="K118" s="127">
        <v>1663841</v>
      </c>
      <c r="L118" s="477">
        <f t="shared" si="156"/>
        <v>98452</v>
      </c>
      <c r="M118" s="127">
        <v>47100</v>
      </c>
      <c r="N118" s="390">
        <f t="shared" si="141"/>
        <v>11.223199999999999</v>
      </c>
      <c r="O118" s="390">
        <v>8.2579999999999991</v>
      </c>
      <c r="P118" s="439">
        <v>2.9651999999999998</v>
      </c>
      <c r="Q118" s="129">
        <f t="shared" si="142"/>
        <v>-33862</v>
      </c>
      <c r="R118" s="130">
        <v>0</v>
      </c>
      <c r="S118" s="130">
        <v>0</v>
      </c>
      <c r="T118" s="130">
        <v>0</v>
      </c>
      <c r="U118" s="130">
        <f t="shared" si="143"/>
        <v>-33862</v>
      </c>
      <c r="V118" s="130">
        <v>33862</v>
      </c>
      <c r="W118" s="130">
        <v>0</v>
      </c>
      <c r="X118" s="130">
        <v>0</v>
      </c>
      <c r="Y118" s="130">
        <f t="shared" ref="Y118:Y121" si="257">SUM(V118:X118)</f>
        <v>33862</v>
      </c>
      <c r="Z118" s="130">
        <f t="shared" ref="Z118:Z121" si="258">U118+Y118</f>
        <v>0</v>
      </c>
      <c r="AA118" s="131">
        <f t="shared" ref="AA118:AA121" si="259">ROUND((U118+V118+W118)*33.8%,0)</f>
        <v>0</v>
      </c>
      <c r="AB118" s="131">
        <f t="shared" ref="AB118:AB121" si="260">ROUND(U118*2%,0)</f>
        <v>-677</v>
      </c>
      <c r="AC118" s="130">
        <v>0</v>
      </c>
      <c r="AD118" s="130">
        <v>0</v>
      </c>
      <c r="AE118" s="130">
        <f t="shared" si="161"/>
        <v>0</v>
      </c>
      <c r="AF118" s="130">
        <f t="shared" si="162"/>
        <v>-677</v>
      </c>
      <c r="AG118" s="132">
        <v>0</v>
      </c>
      <c r="AH118" s="132">
        <v>-0.01</v>
      </c>
      <c r="AI118" s="132">
        <v>0</v>
      </c>
      <c r="AJ118" s="132">
        <v>0</v>
      </c>
      <c r="AK118" s="132">
        <v>0</v>
      </c>
      <c r="AL118" s="132">
        <f t="shared" si="163"/>
        <v>0</v>
      </c>
      <c r="AM118" s="132">
        <f>AH118+AK118</f>
        <v>-0.01</v>
      </c>
      <c r="AN118" s="403">
        <f t="shared" si="164"/>
        <v>-0.01</v>
      </c>
      <c r="AO118" s="128">
        <f t="shared" si="144"/>
        <v>6731321</v>
      </c>
      <c r="AP118" s="130">
        <f t="shared" si="145"/>
        <v>4888743</v>
      </c>
      <c r="AQ118" s="130">
        <f t="shared" si="146"/>
        <v>33862</v>
      </c>
      <c r="AR118" s="130">
        <f t="shared" si="147"/>
        <v>1663841</v>
      </c>
      <c r="AS118" s="130">
        <f t="shared" si="148"/>
        <v>97775</v>
      </c>
      <c r="AT118" s="130">
        <f t="shared" si="149"/>
        <v>47100</v>
      </c>
      <c r="AU118" s="132">
        <f t="shared" si="150"/>
        <v>11.213199999999999</v>
      </c>
      <c r="AV118" s="132">
        <f t="shared" si="151"/>
        <v>8.2579999999999991</v>
      </c>
      <c r="AW118" s="133">
        <f t="shared" si="152"/>
        <v>2.9552</v>
      </c>
    </row>
    <row r="119" spans="1:49" ht="14.1" customHeight="1" x14ac:dyDescent="0.2">
      <c r="A119" s="124">
        <v>30</v>
      </c>
      <c r="B119" s="121">
        <v>2435</v>
      </c>
      <c r="C119" s="122">
        <v>600079341</v>
      </c>
      <c r="D119" s="121">
        <v>72743069</v>
      </c>
      <c r="E119" s="123" t="s">
        <v>632</v>
      </c>
      <c r="F119" s="124">
        <v>3111</v>
      </c>
      <c r="G119" s="98" t="s">
        <v>319</v>
      </c>
      <c r="H119" s="125" t="s">
        <v>283</v>
      </c>
      <c r="I119" s="126">
        <f t="shared" si="140"/>
        <v>473187</v>
      </c>
      <c r="J119" s="631">
        <v>348444</v>
      </c>
      <c r="K119" s="127">
        <f t="shared" si="155"/>
        <v>117774</v>
      </c>
      <c r="L119" s="477">
        <f t="shared" si="156"/>
        <v>6969</v>
      </c>
      <c r="M119" s="478">
        <v>0</v>
      </c>
      <c r="N119" s="390">
        <f t="shared" si="141"/>
        <v>1</v>
      </c>
      <c r="O119" s="644">
        <v>1</v>
      </c>
      <c r="P119" s="639">
        <v>0</v>
      </c>
      <c r="Q119" s="129">
        <f t="shared" si="142"/>
        <v>0</v>
      </c>
      <c r="R119" s="130">
        <v>0</v>
      </c>
      <c r="S119" s="130">
        <v>0</v>
      </c>
      <c r="T119" s="130">
        <v>0</v>
      </c>
      <c r="U119" s="130">
        <f t="shared" si="143"/>
        <v>0</v>
      </c>
      <c r="V119" s="130">
        <v>0</v>
      </c>
      <c r="W119" s="130">
        <v>0</v>
      </c>
      <c r="X119" s="130">
        <v>0</v>
      </c>
      <c r="Y119" s="130">
        <f t="shared" si="257"/>
        <v>0</v>
      </c>
      <c r="Z119" s="130">
        <f t="shared" si="258"/>
        <v>0</v>
      </c>
      <c r="AA119" s="131">
        <f t="shared" si="259"/>
        <v>0</v>
      </c>
      <c r="AB119" s="131">
        <f t="shared" si="260"/>
        <v>0</v>
      </c>
      <c r="AC119" s="130">
        <v>0</v>
      </c>
      <c r="AD119" s="130">
        <v>0</v>
      </c>
      <c r="AE119" s="130">
        <f t="shared" si="161"/>
        <v>0</v>
      </c>
      <c r="AF119" s="130">
        <f t="shared" si="162"/>
        <v>0</v>
      </c>
      <c r="AG119" s="132">
        <v>0</v>
      </c>
      <c r="AH119" s="132">
        <v>0</v>
      </c>
      <c r="AI119" s="132">
        <v>0</v>
      </c>
      <c r="AJ119" s="132">
        <v>0</v>
      </c>
      <c r="AK119" s="132">
        <v>0</v>
      </c>
      <c r="AL119" s="132">
        <f t="shared" si="163"/>
        <v>0</v>
      </c>
      <c r="AM119" s="132">
        <f>AH119+AK119</f>
        <v>0</v>
      </c>
      <c r="AN119" s="403">
        <f t="shared" si="164"/>
        <v>0</v>
      </c>
      <c r="AO119" s="128">
        <f t="shared" si="144"/>
        <v>473187</v>
      </c>
      <c r="AP119" s="130">
        <f t="shared" si="145"/>
        <v>348444</v>
      </c>
      <c r="AQ119" s="130">
        <f t="shared" si="146"/>
        <v>0</v>
      </c>
      <c r="AR119" s="130">
        <f t="shared" si="147"/>
        <v>117774</v>
      </c>
      <c r="AS119" s="130">
        <f t="shared" si="148"/>
        <v>6969</v>
      </c>
      <c r="AT119" s="130">
        <f t="shared" si="149"/>
        <v>0</v>
      </c>
      <c r="AU119" s="132">
        <f t="shared" si="150"/>
        <v>1</v>
      </c>
      <c r="AV119" s="132">
        <f t="shared" si="151"/>
        <v>1</v>
      </c>
      <c r="AW119" s="133">
        <f t="shared" si="152"/>
        <v>0</v>
      </c>
    </row>
    <row r="120" spans="1:49" ht="14.1" customHeight="1" x14ac:dyDescent="0.2">
      <c r="A120" s="490">
        <v>30</v>
      </c>
      <c r="B120" s="491">
        <v>2435</v>
      </c>
      <c r="C120" s="492">
        <v>600079341</v>
      </c>
      <c r="D120" s="491">
        <v>72743069</v>
      </c>
      <c r="E120" s="493" t="s">
        <v>632</v>
      </c>
      <c r="F120" s="490">
        <v>3111</v>
      </c>
      <c r="G120" s="503" t="s">
        <v>318</v>
      </c>
      <c r="H120" s="494" t="s">
        <v>284</v>
      </c>
      <c r="I120" s="126">
        <f t="shared" si="140"/>
        <v>0</v>
      </c>
      <c r="J120" s="29">
        <v>0</v>
      </c>
      <c r="K120" s="127">
        <f t="shared" si="155"/>
        <v>0</v>
      </c>
      <c r="L120" s="477">
        <f t="shared" si="156"/>
        <v>0</v>
      </c>
      <c r="M120" s="29">
        <v>0</v>
      </c>
      <c r="N120" s="390">
        <f t="shared" si="141"/>
        <v>0</v>
      </c>
      <c r="O120" s="349">
        <v>0</v>
      </c>
      <c r="P120" s="639">
        <v>0</v>
      </c>
      <c r="Q120" s="129">
        <f t="shared" si="142"/>
        <v>0</v>
      </c>
      <c r="R120" s="130">
        <v>259832</v>
      </c>
      <c r="S120" s="130">
        <v>0</v>
      </c>
      <c r="T120" s="130">
        <v>0</v>
      </c>
      <c r="U120" s="130">
        <f t="shared" si="143"/>
        <v>259832</v>
      </c>
      <c r="V120" s="130">
        <v>0</v>
      </c>
      <c r="W120" s="498">
        <v>0</v>
      </c>
      <c r="X120" s="130">
        <v>0</v>
      </c>
      <c r="Y120" s="130">
        <f t="shared" si="257"/>
        <v>0</v>
      </c>
      <c r="Z120" s="130">
        <f t="shared" si="258"/>
        <v>259832</v>
      </c>
      <c r="AA120" s="131">
        <f t="shared" si="259"/>
        <v>87823</v>
      </c>
      <c r="AB120" s="131">
        <f t="shared" si="260"/>
        <v>5197</v>
      </c>
      <c r="AC120" s="130">
        <v>0</v>
      </c>
      <c r="AD120" s="130">
        <v>0</v>
      </c>
      <c r="AE120" s="498">
        <f t="shared" si="161"/>
        <v>0</v>
      </c>
      <c r="AF120" s="498">
        <f t="shared" si="162"/>
        <v>352852</v>
      </c>
      <c r="AG120" s="132">
        <v>0</v>
      </c>
      <c r="AH120" s="132">
        <v>0</v>
      </c>
      <c r="AI120" s="132">
        <v>0.75</v>
      </c>
      <c r="AJ120" s="132">
        <v>0</v>
      </c>
      <c r="AK120" s="132">
        <v>0</v>
      </c>
      <c r="AL120" s="499">
        <f t="shared" si="163"/>
        <v>0.75</v>
      </c>
      <c r="AM120" s="499">
        <f t="shared" ref="AM120" si="261">AH120+AK120</f>
        <v>0</v>
      </c>
      <c r="AN120" s="529">
        <f t="shared" si="164"/>
        <v>0.75</v>
      </c>
      <c r="AO120" s="128">
        <f t="shared" si="144"/>
        <v>352852</v>
      </c>
      <c r="AP120" s="130">
        <f t="shared" si="145"/>
        <v>259832</v>
      </c>
      <c r="AQ120" s="130">
        <f t="shared" si="146"/>
        <v>0</v>
      </c>
      <c r="AR120" s="130">
        <f t="shared" si="147"/>
        <v>87823</v>
      </c>
      <c r="AS120" s="130">
        <f t="shared" si="148"/>
        <v>5197</v>
      </c>
      <c r="AT120" s="130">
        <f t="shared" si="149"/>
        <v>0</v>
      </c>
      <c r="AU120" s="132">
        <f t="shared" si="150"/>
        <v>0.75</v>
      </c>
      <c r="AV120" s="132">
        <f t="shared" si="151"/>
        <v>0.75</v>
      </c>
      <c r="AW120" s="133">
        <f t="shared" si="152"/>
        <v>0</v>
      </c>
    </row>
    <row r="121" spans="1:49" ht="14.1" customHeight="1" x14ac:dyDescent="0.2">
      <c r="A121" s="124">
        <v>30</v>
      </c>
      <c r="B121" s="121">
        <v>2435</v>
      </c>
      <c r="C121" s="122">
        <v>600079341</v>
      </c>
      <c r="D121" s="121">
        <v>72743069</v>
      </c>
      <c r="E121" s="123" t="s">
        <v>632</v>
      </c>
      <c r="F121" s="124">
        <v>3141</v>
      </c>
      <c r="G121" s="123" t="s">
        <v>321</v>
      </c>
      <c r="H121" s="125" t="s">
        <v>284</v>
      </c>
      <c r="I121" s="126">
        <f t="shared" si="140"/>
        <v>928015</v>
      </c>
      <c r="J121" s="666">
        <v>679653</v>
      </c>
      <c r="K121" s="127">
        <f t="shared" ref="K121" si="262">ROUND(J121*33.8%,0)</f>
        <v>229723</v>
      </c>
      <c r="L121" s="477">
        <f t="shared" ref="L121" si="263">ROUND(J121*2%,0)</f>
        <v>13593</v>
      </c>
      <c r="M121" s="666">
        <v>5046</v>
      </c>
      <c r="N121" s="390">
        <f t="shared" si="141"/>
        <v>2.31</v>
      </c>
      <c r="O121" s="668">
        <v>0</v>
      </c>
      <c r="P121" s="667">
        <v>2.31</v>
      </c>
      <c r="Q121" s="129">
        <f t="shared" si="142"/>
        <v>0</v>
      </c>
      <c r="R121" s="130">
        <v>0</v>
      </c>
      <c r="S121" s="130">
        <v>0</v>
      </c>
      <c r="T121" s="130">
        <v>0</v>
      </c>
      <c r="U121" s="130">
        <f t="shared" si="143"/>
        <v>0</v>
      </c>
      <c r="V121" s="130">
        <v>0</v>
      </c>
      <c r="W121" s="130">
        <v>0</v>
      </c>
      <c r="X121" s="130">
        <v>0</v>
      </c>
      <c r="Y121" s="130">
        <f t="shared" si="257"/>
        <v>0</v>
      </c>
      <c r="Z121" s="130">
        <f t="shared" si="258"/>
        <v>0</v>
      </c>
      <c r="AA121" s="131">
        <f t="shared" si="259"/>
        <v>0</v>
      </c>
      <c r="AB121" s="131">
        <f t="shared" si="260"/>
        <v>0</v>
      </c>
      <c r="AC121" s="130">
        <v>0</v>
      </c>
      <c r="AD121" s="130">
        <v>0</v>
      </c>
      <c r="AE121" s="130">
        <f t="shared" si="161"/>
        <v>0</v>
      </c>
      <c r="AF121" s="130">
        <f t="shared" si="162"/>
        <v>0</v>
      </c>
      <c r="AG121" s="132">
        <v>0</v>
      </c>
      <c r="AH121" s="132">
        <v>0</v>
      </c>
      <c r="AI121" s="132">
        <v>0</v>
      </c>
      <c r="AJ121" s="132">
        <v>0</v>
      </c>
      <c r="AK121" s="132">
        <v>0</v>
      </c>
      <c r="AL121" s="132">
        <f t="shared" si="163"/>
        <v>0</v>
      </c>
      <c r="AM121" s="132">
        <f>AH121+AK121</f>
        <v>0</v>
      </c>
      <c r="AN121" s="403">
        <f t="shared" si="164"/>
        <v>0</v>
      </c>
      <c r="AO121" s="128">
        <f t="shared" si="144"/>
        <v>928015</v>
      </c>
      <c r="AP121" s="130">
        <f t="shared" si="145"/>
        <v>679653</v>
      </c>
      <c r="AQ121" s="130">
        <f t="shared" si="146"/>
        <v>0</v>
      </c>
      <c r="AR121" s="130">
        <f t="shared" si="147"/>
        <v>229723</v>
      </c>
      <c r="AS121" s="130">
        <f t="shared" si="148"/>
        <v>13593</v>
      </c>
      <c r="AT121" s="130">
        <f t="shared" si="149"/>
        <v>5046</v>
      </c>
      <c r="AU121" s="132">
        <f t="shared" si="150"/>
        <v>2.31</v>
      </c>
      <c r="AV121" s="132">
        <f t="shared" si="151"/>
        <v>0</v>
      </c>
      <c r="AW121" s="133">
        <f t="shared" si="152"/>
        <v>2.31</v>
      </c>
    </row>
    <row r="122" spans="1:49" ht="14.1" customHeight="1" x14ac:dyDescent="0.2">
      <c r="A122" s="137">
        <v>30</v>
      </c>
      <c r="B122" s="134">
        <v>2435</v>
      </c>
      <c r="C122" s="135">
        <v>600079341</v>
      </c>
      <c r="D122" s="134">
        <v>72743069</v>
      </c>
      <c r="E122" s="136" t="s">
        <v>633</v>
      </c>
      <c r="F122" s="137"/>
      <c r="G122" s="136"/>
      <c r="H122" s="138"/>
      <c r="I122" s="139">
        <f t="shared" ref="I122:P122" si="264">SUM(I118:I121)</f>
        <v>8133200</v>
      </c>
      <c r="J122" s="140">
        <f t="shared" si="264"/>
        <v>5950702</v>
      </c>
      <c r="K122" s="140">
        <f t="shared" si="264"/>
        <v>2011338</v>
      </c>
      <c r="L122" s="140">
        <f t="shared" si="264"/>
        <v>119014</v>
      </c>
      <c r="M122" s="140">
        <f t="shared" si="264"/>
        <v>52146</v>
      </c>
      <c r="N122" s="141">
        <f t="shared" si="264"/>
        <v>14.533199999999999</v>
      </c>
      <c r="O122" s="141">
        <f t="shared" si="264"/>
        <v>9.2579999999999991</v>
      </c>
      <c r="P122" s="142">
        <f t="shared" si="264"/>
        <v>5.2751999999999999</v>
      </c>
      <c r="Q122" s="342">
        <f t="shared" ref="Q122:AW122" si="265">SUM(Q118:Q121)</f>
        <v>-33862</v>
      </c>
      <c r="R122" s="140">
        <f t="shared" si="265"/>
        <v>259832</v>
      </c>
      <c r="S122" s="140">
        <f t="shared" si="265"/>
        <v>0</v>
      </c>
      <c r="T122" s="140">
        <f t="shared" si="265"/>
        <v>0</v>
      </c>
      <c r="U122" s="140">
        <f t="shared" si="265"/>
        <v>225970</v>
      </c>
      <c r="V122" s="140">
        <f t="shared" si="265"/>
        <v>33862</v>
      </c>
      <c r="W122" s="140">
        <f t="shared" si="265"/>
        <v>0</v>
      </c>
      <c r="X122" s="140">
        <f t="shared" si="265"/>
        <v>0</v>
      </c>
      <c r="Y122" s="140">
        <f t="shared" si="265"/>
        <v>33862</v>
      </c>
      <c r="Z122" s="140">
        <f t="shared" si="265"/>
        <v>259832</v>
      </c>
      <c r="AA122" s="140">
        <f t="shared" si="265"/>
        <v>87823</v>
      </c>
      <c r="AB122" s="140">
        <f t="shared" si="265"/>
        <v>4520</v>
      </c>
      <c r="AC122" s="140">
        <f t="shared" si="265"/>
        <v>0</v>
      </c>
      <c r="AD122" s="140">
        <f t="shared" si="265"/>
        <v>0</v>
      </c>
      <c r="AE122" s="140">
        <f t="shared" si="265"/>
        <v>0</v>
      </c>
      <c r="AF122" s="140">
        <f t="shared" si="265"/>
        <v>352175</v>
      </c>
      <c r="AG122" s="141">
        <f t="shared" si="265"/>
        <v>0</v>
      </c>
      <c r="AH122" s="141">
        <f t="shared" si="265"/>
        <v>-0.01</v>
      </c>
      <c r="AI122" s="141">
        <f t="shared" si="265"/>
        <v>0.75</v>
      </c>
      <c r="AJ122" s="141">
        <f t="shared" si="265"/>
        <v>0</v>
      </c>
      <c r="AK122" s="141">
        <f t="shared" si="265"/>
        <v>0</v>
      </c>
      <c r="AL122" s="141">
        <f t="shared" si="265"/>
        <v>0.75</v>
      </c>
      <c r="AM122" s="141">
        <f t="shared" si="265"/>
        <v>-0.01</v>
      </c>
      <c r="AN122" s="635">
        <f t="shared" si="265"/>
        <v>0.74</v>
      </c>
      <c r="AO122" s="139">
        <f t="shared" si="265"/>
        <v>8485375</v>
      </c>
      <c r="AP122" s="140">
        <f t="shared" si="265"/>
        <v>6176672</v>
      </c>
      <c r="AQ122" s="140">
        <f t="shared" si="265"/>
        <v>33862</v>
      </c>
      <c r="AR122" s="140">
        <f t="shared" si="265"/>
        <v>2099161</v>
      </c>
      <c r="AS122" s="140">
        <f t="shared" si="265"/>
        <v>123534</v>
      </c>
      <c r="AT122" s="140">
        <f t="shared" si="265"/>
        <v>52146</v>
      </c>
      <c r="AU122" s="141">
        <f t="shared" si="265"/>
        <v>15.273199999999999</v>
      </c>
      <c r="AV122" s="141">
        <f t="shared" si="265"/>
        <v>10.007999999999999</v>
      </c>
      <c r="AW122" s="142">
        <f t="shared" si="265"/>
        <v>5.2652000000000001</v>
      </c>
    </row>
    <row r="123" spans="1:49" ht="14.1" customHeight="1" x14ac:dyDescent="0.2">
      <c r="A123" s="124">
        <v>31</v>
      </c>
      <c r="B123" s="121">
        <v>2474</v>
      </c>
      <c r="C123" s="144">
        <v>600080307</v>
      </c>
      <c r="D123" s="121">
        <v>65635612</v>
      </c>
      <c r="E123" s="123" t="s">
        <v>634</v>
      </c>
      <c r="F123" s="124">
        <v>3111</v>
      </c>
      <c r="G123" s="123" t="s">
        <v>317</v>
      </c>
      <c r="H123" s="125" t="s">
        <v>283</v>
      </c>
      <c r="I123" s="126">
        <f t="shared" si="140"/>
        <v>3113548</v>
      </c>
      <c r="J123" s="127">
        <v>2279159</v>
      </c>
      <c r="K123" s="127">
        <f t="shared" si="155"/>
        <v>770356</v>
      </c>
      <c r="L123" s="477">
        <f t="shared" si="156"/>
        <v>45583</v>
      </c>
      <c r="M123" s="127">
        <v>18450</v>
      </c>
      <c r="N123" s="390">
        <f t="shared" si="141"/>
        <v>4.9218000000000002</v>
      </c>
      <c r="O123" s="390">
        <v>4</v>
      </c>
      <c r="P123" s="439">
        <v>0.92179999999999995</v>
      </c>
      <c r="Q123" s="129">
        <f t="shared" si="142"/>
        <v>-3200</v>
      </c>
      <c r="R123" s="130">
        <v>0</v>
      </c>
      <c r="S123" s="130">
        <v>0</v>
      </c>
      <c r="T123" s="130">
        <v>0</v>
      </c>
      <c r="U123" s="130">
        <f t="shared" si="143"/>
        <v>-3200</v>
      </c>
      <c r="V123" s="130">
        <v>3200</v>
      </c>
      <c r="W123" s="130">
        <v>0</v>
      </c>
      <c r="X123" s="130">
        <v>0</v>
      </c>
      <c r="Y123" s="130">
        <f t="shared" ref="Y123:Y128" si="266">SUM(V123:X123)</f>
        <v>3200</v>
      </c>
      <c r="Z123" s="130">
        <f t="shared" ref="Z123:Z128" si="267">U123+Y123</f>
        <v>0</v>
      </c>
      <c r="AA123" s="131">
        <f t="shared" ref="AA123:AA128" si="268">ROUND((U123+V123+W123)*33.8%,0)</f>
        <v>0</v>
      </c>
      <c r="AB123" s="131">
        <f t="shared" ref="AB123:AB128" si="269">ROUND(U123*2%,0)</f>
        <v>-64</v>
      </c>
      <c r="AC123" s="130">
        <v>0</v>
      </c>
      <c r="AD123" s="130">
        <v>0</v>
      </c>
      <c r="AE123" s="130">
        <f t="shared" si="161"/>
        <v>0</v>
      </c>
      <c r="AF123" s="130">
        <f t="shared" si="162"/>
        <v>-64</v>
      </c>
      <c r="AG123" s="132">
        <v>0</v>
      </c>
      <c r="AH123" s="132">
        <v>-0.02</v>
      </c>
      <c r="AI123" s="132">
        <v>0</v>
      </c>
      <c r="AJ123" s="132">
        <v>0</v>
      </c>
      <c r="AK123" s="132">
        <v>0</v>
      </c>
      <c r="AL123" s="132">
        <f t="shared" si="163"/>
        <v>0</v>
      </c>
      <c r="AM123" s="132">
        <f t="shared" ref="AM123:AM128" si="270">AH123+AK123</f>
        <v>-0.02</v>
      </c>
      <c r="AN123" s="403">
        <f t="shared" si="164"/>
        <v>-0.02</v>
      </c>
      <c r="AO123" s="128">
        <f t="shared" si="144"/>
        <v>3113484</v>
      </c>
      <c r="AP123" s="130">
        <f t="shared" si="145"/>
        <v>2275959</v>
      </c>
      <c r="AQ123" s="130">
        <f t="shared" si="146"/>
        <v>3200</v>
      </c>
      <c r="AR123" s="130">
        <f t="shared" si="147"/>
        <v>770356</v>
      </c>
      <c r="AS123" s="130">
        <f t="shared" si="148"/>
        <v>45519</v>
      </c>
      <c r="AT123" s="130">
        <f t="shared" si="149"/>
        <v>18450</v>
      </c>
      <c r="AU123" s="132">
        <f t="shared" si="150"/>
        <v>4.9018000000000006</v>
      </c>
      <c r="AV123" s="132">
        <f t="shared" si="151"/>
        <v>4</v>
      </c>
      <c r="AW123" s="133">
        <f t="shared" si="152"/>
        <v>0.90179999999999993</v>
      </c>
    </row>
    <row r="124" spans="1:49" ht="14.1" customHeight="1" x14ac:dyDescent="0.2">
      <c r="A124" s="124">
        <v>31</v>
      </c>
      <c r="B124" s="121">
        <v>2474</v>
      </c>
      <c r="C124" s="144">
        <v>600080307</v>
      </c>
      <c r="D124" s="121">
        <v>65635612</v>
      </c>
      <c r="E124" s="123" t="s">
        <v>634</v>
      </c>
      <c r="F124" s="124">
        <v>3113</v>
      </c>
      <c r="G124" s="123" t="s">
        <v>320</v>
      </c>
      <c r="H124" s="125" t="s">
        <v>283</v>
      </c>
      <c r="I124" s="126">
        <f t="shared" si="140"/>
        <v>25307334</v>
      </c>
      <c r="J124" s="478">
        <v>18189657</v>
      </c>
      <c r="K124" s="127">
        <f t="shared" si="155"/>
        <v>6148104</v>
      </c>
      <c r="L124" s="477">
        <f t="shared" si="156"/>
        <v>363793</v>
      </c>
      <c r="M124" s="478">
        <v>605780</v>
      </c>
      <c r="N124" s="390">
        <f t="shared" si="141"/>
        <v>34.748100000000001</v>
      </c>
      <c r="O124" s="349">
        <v>26.781099999999999</v>
      </c>
      <c r="P124" s="639">
        <v>7.9670000000000005</v>
      </c>
      <c r="Q124" s="129">
        <f t="shared" si="142"/>
        <v>-20000</v>
      </c>
      <c r="R124" s="130">
        <v>0</v>
      </c>
      <c r="S124" s="130">
        <v>0</v>
      </c>
      <c r="T124" s="130">
        <v>0</v>
      </c>
      <c r="U124" s="130">
        <f t="shared" si="143"/>
        <v>-20000</v>
      </c>
      <c r="V124" s="130">
        <v>20000</v>
      </c>
      <c r="W124" s="130">
        <v>0</v>
      </c>
      <c r="X124" s="130">
        <v>0</v>
      </c>
      <c r="Y124" s="130">
        <f t="shared" si="266"/>
        <v>20000</v>
      </c>
      <c r="Z124" s="130">
        <f t="shared" si="267"/>
        <v>0</v>
      </c>
      <c r="AA124" s="131">
        <f t="shared" si="268"/>
        <v>0</v>
      </c>
      <c r="AB124" s="131">
        <f t="shared" si="269"/>
        <v>-400</v>
      </c>
      <c r="AC124" s="130">
        <v>0</v>
      </c>
      <c r="AD124" s="130">
        <v>0</v>
      </c>
      <c r="AE124" s="130">
        <f t="shared" si="161"/>
        <v>0</v>
      </c>
      <c r="AF124" s="130">
        <f t="shared" si="162"/>
        <v>-400</v>
      </c>
      <c r="AG124" s="132">
        <v>0</v>
      </c>
      <c r="AH124" s="132">
        <v>-7.0000000000000007E-2</v>
      </c>
      <c r="AI124" s="132">
        <v>0</v>
      </c>
      <c r="AJ124" s="132">
        <v>0</v>
      </c>
      <c r="AK124" s="132">
        <v>0</v>
      </c>
      <c r="AL124" s="132">
        <f t="shared" si="163"/>
        <v>0</v>
      </c>
      <c r="AM124" s="132">
        <f t="shared" si="270"/>
        <v>-7.0000000000000007E-2</v>
      </c>
      <c r="AN124" s="403">
        <f t="shared" si="164"/>
        <v>-7.0000000000000007E-2</v>
      </c>
      <c r="AO124" s="128">
        <f t="shared" si="144"/>
        <v>25306934</v>
      </c>
      <c r="AP124" s="130">
        <f t="shared" si="145"/>
        <v>18169657</v>
      </c>
      <c r="AQ124" s="130">
        <f t="shared" si="146"/>
        <v>20000</v>
      </c>
      <c r="AR124" s="130">
        <f t="shared" si="147"/>
        <v>6148104</v>
      </c>
      <c r="AS124" s="130">
        <f t="shared" si="148"/>
        <v>363393</v>
      </c>
      <c r="AT124" s="130">
        <f t="shared" si="149"/>
        <v>605780</v>
      </c>
      <c r="AU124" s="132">
        <f t="shared" si="150"/>
        <v>34.678100000000001</v>
      </c>
      <c r="AV124" s="132">
        <f t="shared" si="151"/>
        <v>26.781099999999999</v>
      </c>
      <c r="AW124" s="133">
        <f t="shared" si="152"/>
        <v>7.8970000000000002</v>
      </c>
    </row>
    <row r="125" spans="1:49" ht="14.1" customHeight="1" x14ac:dyDescent="0.2">
      <c r="A125" s="124">
        <v>31</v>
      </c>
      <c r="B125" s="121">
        <v>2474</v>
      </c>
      <c r="C125" s="144">
        <v>600080307</v>
      </c>
      <c r="D125" s="121">
        <v>65635612</v>
      </c>
      <c r="E125" s="123" t="s">
        <v>634</v>
      </c>
      <c r="F125" s="124">
        <v>3113</v>
      </c>
      <c r="G125" s="143" t="s">
        <v>318</v>
      </c>
      <c r="H125" s="125" t="s">
        <v>284</v>
      </c>
      <c r="I125" s="126">
        <f t="shared" si="140"/>
        <v>0</v>
      </c>
      <c r="J125" s="29">
        <v>0</v>
      </c>
      <c r="K125" s="127">
        <f t="shared" si="155"/>
        <v>0</v>
      </c>
      <c r="L125" s="477">
        <f t="shared" si="156"/>
        <v>0</v>
      </c>
      <c r="M125" s="29">
        <v>0</v>
      </c>
      <c r="N125" s="390">
        <f t="shared" si="141"/>
        <v>0</v>
      </c>
      <c r="O125" s="349">
        <v>0</v>
      </c>
      <c r="P125" s="639">
        <v>0</v>
      </c>
      <c r="Q125" s="129">
        <f t="shared" si="142"/>
        <v>0</v>
      </c>
      <c r="R125" s="130">
        <f>1207748+505231</f>
        <v>1712979</v>
      </c>
      <c r="S125" s="130">
        <v>0</v>
      </c>
      <c r="T125" s="130">
        <v>0</v>
      </c>
      <c r="U125" s="130">
        <f t="shared" si="143"/>
        <v>1712979</v>
      </c>
      <c r="V125" s="130">
        <v>0</v>
      </c>
      <c r="W125" s="130">
        <v>0</v>
      </c>
      <c r="X125" s="130">
        <v>0</v>
      </c>
      <c r="Y125" s="130">
        <f t="shared" si="266"/>
        <v>0</v>
      </c>
      <c r="Z125" s="130">
        <f t="shared" si="267"/>
        <v>1712979</v>
      </c>
      <c r="AA125" s="131">
        <f t="shared" si="268"/>
        <v>578987</v>
      </c>
      <c r="AB125" s="131">
        <f t="shared" si="269"/>
        <v>34260</v>
      </c>
      <c r="AC125" s="130">
        <v>0</v>
      </c>
      <c r="AD125" s="130">
        <v>0</v>
      </c>
      <c r="AE125" s="130">
        <f t="shared" si="161"/>
        <v>0</v>
      </c>
      <c r="AF125" s="130">
        <f t="shared" si="162"/>
        <v>2326226</v>
      </c>
      <c r="AG125" s="132">
        <v>0</v>
      </c>
      <c r="AH125" s="132">
        <v>0</v>
      </c>
      <c r="AI125" s="132">
        <v>4.95</v>
      </c>
      <c r="AJ125" s="132">
        <v>0</v>
      </c>
      <c r="AK125" s="132">
        <v>0</v>
      </c>
      <c r="AL125" s="132">
        <f t="shared" si="163"/>
        <v>4.95</v>
      </c>
      <c r="AM125" s="132">
        <f t="shared" si="270"/>
        <v>0</v>
      </c>
      <c r="AN125" s="403">
        <f t="shared" si="164"/>
        <v>4.95</v>
      </c>
      <c r="AO125" s="128">
        <f t="shared" si="144"/>
        <v>2326226</v>
      </c>
      <c r="AP125" s="130">
        <f t="shared" si="145"/>
        <v>1712979</v>
      </c>
      <c r="AQ125" s="130">
        <f t="shared" si="146"/>
        <v>0</v>
      </c>
      <c r="AR125" s="130">
        <f t="shared" si="147"/>
        <v>578987</v>
      </c>
      <c r="AS125" s="130">
        <f t="shared" si="148"/>
        <v>34260</v>
      </c>
      <c r="AT125" s="130">
        <f t="shared" si="149"/>
        <v>0</v>
      </c>
      <c r="AU125" s="132">
        <f t="shared" si="150"/>
        <v>4.95</v>
      </c>
      <c r="AV125" s="132">
        <f t="shared" si="151"/>
        <v>4.95</v>
      </c>
      <c r="AW125" s="133">
        <f t="shared" si="152"/>
        <v>0</v>
      </c>
    </row>
    <row r="126" spans="1:49" ht="14.1" customHeight="1" x14ac:dyDescent="0.2">
      <c r="A126" s="124">
        <v>31</v>
      </c>
      <c r="B126" s="121">
        <v>2474</v>
      </c>
      <c r="C126" s="144">
        <v>600080307</v>
      </c>
      <c r="D126" s="121">
        <v>65635612</v>
      </c>
      <c r="E126" s="123" t="s">
        <v>634</v>
      </c>
      <c r="F126" s="124">
        <v>3141</v>
      </c>
      <c r="G126" s="123" t="s">
        <v>321</v>
      </c>
      <c r="H126" s="125" t="s">
        <v>284</v>
      </c>
      <c r="I126" s="126">
        <f t="shared" si="140"/>
        <v>222720</v>
      </c>
      <c r="J126" s="666">
        <v>162859</v>
      </c>
      <c r="K126" s="127">
        <f t="shared" ref="K126" si="271">ROUND(J126*33.8%,0)</f>
        <v>55046</v>
      </c>
      <c r="L126" s="477">
        <f t="shared" ref="L126" si="272">ROUND(J126*2%,0)</f>
        <v>3257</v>
      </c>
      <c r="M126" s="666">
        <v>1558</v>
      </c>
      <c r="N126" s="390">
        <f t="shared" si="141"/>
        <v>0.55000000000000004</v>
      </c>
      <c r="O126" s="668">
        <v>0</v>
      </c>
      <c r="P126" s="667">
        <v>0.55000000000000004</v>
      </c>
      <c r="Q126" s="129">
        <f t="shared" si="142"/>
        <v>0</v>
      </c>
      <c r="R126" s="130">
        <v>0</v>
      </c>
      <c r="S126" s="130">
        <v>0</v>
      </c>
      <c r="T126" s="130">
        <v>0</v>
      </c>
      <c r="U126" s="130">
        <f t="shared" si="143"/>
        <v>0</v>
      </c>
      <c r="V126" s="130">
        <v>0</v>
      </c>
      <c r="W126" s="130">
        <v>0</v>
      </c>
      <c r="X126" s="130">
        <v>0</v>
      </c>
      <c r="Y126" s="130">
        <f t="shared" si="266"/>
        <v>0</v>
      </c>
      <c r="Z126" s="130">
        <f t="shared" si="267"/>
        <v>0</v>
      </c>
      <c r="AA126" s="131">
        <f t="shared" si="268"/>
        <v>0</v>
      </c>
      <c r="AB126" s="131">
        <f t="shared" si="269"/>
        <v>0</v>
      </c>
      <c r="AC126" s="130">
        <v>0</v>
      </c>
      <c r="AD126" s="130">
        <v>0</v>
      </c>
      <c r="AE126" s="130">
        <f t="shared" si="161"/>
        <v>0</v>
      </c>
      <c r="AF126" s="130">
        <f t="shared" si="162"/>
        <v>0</v>
      </c>
      <c r="AG126" s="132">
        <v>0</v>
      </c>
      <c r="AH126" s="132">
        <v>0</v>
      </c>
      <c r="AI126" s="132">
        <v>0</v>
      </c>
      <c r="AJ126" s="132">
        <v>0</v>
      </c>
      <c r="AK126" s="132">
        <v>0</v>
      </c>
      <c r="AL126" s="132">
        <f t="shared" si="163"/>
        <v>0</v>
      </c>
      <c r="AM126" s="132">
        <f t="shared" si="270"/>
        <v>0</v>
      </c>
      <c r="AN126" s="403">
        <f t="shared" si="164"/>
        <v>0</v>
      </c>
      <c r="AO126" s="128">
        <f t="shared" si="144"/>
        <v>222720</v>
      </c>
      <c r="AP126" s="130">
        <f t="shared" si="145"/>
        <v>162859</v>
      </c>
      <c r="AQ126" s="130">
        <f t="shared" si="146"/>
        <v>0</v>
      </c>
      <c r="AR126" s="130">
        <f t="shared" si="147"/>
        <v>55046</v>
      </c>
      <c r="AS126" s="130">
        <f t="shared" si="148"/>
        <v>3257</v>
      </c>
      <c r="AT126" s="130">
        <f t="shared" si="149"/>
        <v>1558</v>
      </c>
      <c r="AU126" s="132">
        <f t="shared" si="150"/>
        <v>0.55000000000000004</v>
      </c>
      <c r="AV126" s="132">
        <f t="shared" si="151"/>
        <v>0</v>
      </c>
      <c r="AW126" s="133">
        <f t="shared" si="152"/>
        <v>0.55000000000000004</v>
      </c>
    </row>
    <row r="127" spans="1:49" ht="14.1" customHeight="1" x14ac:dyDescent="0.2">
      <c r="A127" s="124">
        <v>31</v>
      </c>
      <c r="B127" s="121">
        <v>2474</v>
      </c>
      <c r="C127" s="144">
        <v>600080307</v>
      </c>
      <c r="D127" s="121">
        <v>65635612</v>
      </c>
      <c r="E127" s="123" t="s">
        <v>634</v>
      </c>
      <c r="F127" s="124">
        <v>3143</v>
      </c>
      <c r="G127" s="145" t="s">
        <v>635</v>
      </c>
      <c r="H127" s="125" t="s">
        <v>283</v>
      </c>
      <c r="I127" s="126">
        <f t="shared" si="140"/>
        <v>1930944</v>
      </c>
      <c r="J127" s="631">
        <v>1421903</v>
      </c>
      <c r="K127" s="127">
        <f t="shared" si="155"/>
        <v>480603</v>
      </c>
      <c r="L127" s="477">
        <f t="shared" si="156"/>
        <v>28438</v>
      </c>
      <c r="M127" s="478">
        <v>0</v>
      </c>
      <c r="N127" s="390">
        <f t="shared" si="141"/>
        <v>3.036</v>
      </c>
      <c r="O127" s="644">
        <v>3.036</v>
      </c>
      <c r="P127" s="639">
        <v>0</v>
      </c>
      <c r="Q127" s="129">
        <f t="shared" si="142"/>
        <v>-3200</v>
      </c>
      <c r="R127" s="130">
        <v>0</v>
      </c>
      <c r="S127" s="130">
        <v>0</v>
      </c>
      <c r="T127" s="130">
        <v>0</v>
      </c>
      <c r="U127" s="130">
        <f t="shared" si="143"/>
        <v>-3200</v>
      </c>
      <c r="V127" s="130">
        <v>3200</v>
      </c>
      <c r="W127" s="130">
        <v>0</v>
      </c>
      <c r="X127" s="130">
        <v>0</v>
      </c>
      <c r="Y127" s="130">
        <f t="shared" si="266"/>
        <v>3200</v>
      </c>
      <c r="Z127" s="130">
        <f t="shared" si="267"/>
        <v>0</v>
      </c>
      <c r="AA127" s="131">
        <f t="shared" si="268"/>
        <v>0</v>
      </c>
      <c r="AB127" s="131">
        <f t="shared" si="269"/>
        <v>-64</v>
      </c>
      <c r="AC127" s="130">
        <v>0</v>
      </c>
      <c r="AD127" s="130">
        <v>0</v>
      </c>
      <c r="AE127" s="130">
        <f t="shared" si="161"/>
        <v>0</v>
      </c>
      <c r="AF127" s="130">
        <f t="shared" si="162"/>
        <v>-64</v>
      </c>
      <c r="AG127" s="132">
        <v>0</v>
      </c>
      <c r="AH127" s="132">
        <v>0</v>
      </c>
      <c r="AI127" s="132">
        <v>0</v>
      </c>
      <c r="AJ127" s="132">
        <v>0</v>
      </c>
      <c r="AK127" s="132">
        <v>0</v>
      </c>
      <c r="AL127" s="132">
        <f t="shared" si="163"/>
        <v>0</v>
      </c>
      <c r="AM127" s="132">
        <f t="shared" si="270"/>
        <v>0</v>
      </c>
      <c r="AN127" s="403">
        <f t="shared" si="164"/>
        <v>0</v>
      </c>
      <c r="AO127" s="128">
        <f t="shared" si="144"/>
        <v>1930880</v>
      </c>
      <c r="AP127" s="130">
        <f t="shared" si="145"/>
        <v>1418703</v>
      </c>
      <c r="AQ127" s="130">
        <f t="shared" si="146"/>
        <v>3200</v>
      </c>
      <c r="AR127" s="130">
        <f t="shared" si="147"/>
        <v>480603</v>
      </c>
      <c r="AS127" s="130">
        <f t="shared" si="148"/>
        <v>28374</v>
      </c>
      <c r="AT127" s="130">
        <f t="shared" si="149"/>
        <v>0</v>
      </c>
      <c r="AU127" s="132">
        <f t="shared" si="150"/>
        <v>3.036</v>
      </c>
      <c r="AV127" s="132">
        <f t="shared" si="151"/>
        <v>3.036</v>
      </c>
      <c r="AW127" s="133">
        <f t="shared" si="152"/>
        <v>0</v>
      </c>
    </row>
    <row r="128" spans="1:49" ht="14.1" customHeight="1" x14ac:dyDescent="0.2">
      <c r="A128" s="124">
        <v>31</v>
      </c>
      <c r="B128" s="121">
        <v>2474</v>
      </c>
      <c r="C128" s="144">
        <v>600080307</v>
      </c>
      <c r="D128" s="121">
        <v>65635612</v>
      </c>
      <c r="E128" s="123" t="s">
        <v>634</v>
      </c>
      <c r="F128" s="124">
        <v>3143</v>
      </c>
      <c r="G128" s="145" t="s">
        <v>636</v>
      </c>
      <c r="H128" s="125" t="s">
        <v>284</v>
      </c>
      <c r="I128" s="126">
        <f t="shared" si="140"/>
        <v>70221</v>
      </c>
      <c r="J128" s="664">
        <v>49500</v>
      </c>
      <c r="K128" s="127">
        <f t="shared" si="155"/>
        <v>16731</v>
      </c>
      <c r="L128" s="477">
        <f t="shared" si="156"/>
        <v>990</v>
      </c>
      <c r="M128" s="664">
        <v>3000</v>
      </c>
      <c r="N128" s="390">
        <f t="shared" si="141"/>
        <v>0.21</v>
      </c>
      <c r="O128" s="665">
        <v>0</v>
      </c>
      <c r="P128" s="667">
        <v>0.21</v>
      </c>
      <c r="Q128" s="129">
        <f t="shared" si="142"/>
        <v>0</v>
      </c>
      <c r="R128" s="130">
        <v>0</v>
      </c>
      <c r="S128" s="130">
        <v>0</v>
      </c>
      <c r="T128" s="130">
        <v>0</v>
      </c>
      <c r="U128" s="130">
        <f t="shared" si="143"/>
        <v>0</v>
      </c>
      <c r="V128" s="130">
        <v>0</v>
      </c>
      <c r="W128" s="130">
        <v>0</v>
      </c>
      <c r="X128" s="130">
        <v>0</v>
      </c>
      <c r="Y128" s="130">
        <f t="shared" si="266"/>
        <v>0</v>
      </c>
      <c r="Z128" s="130">
        <f t="shared" si="267"/>
        <v>0</v>
      </c>
      <c r="AA128" s="131">
        <f t="shared" si="268"/>
        <v>0</v>
      </c>
      <c r="AB128" s="131">
        <f t="shared" si="269"/>
        <v>0</v>
      </c>
      <c r="AC128" s="130">
        <v>0</v>
      </c>
      <c r="AD128" s="130">
        <v>0</v>
      </c>
      <c r="AE128" s="130">
        <f t="shared" si="161"/>
        <v>0</v>
      </c>
      <c r="AF128" s="130">
        <f t="shared" si="162"/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f t="shared" si="163"/>
        <v>0</v>
      </c>
      <c r="AM128" s="132">
        <f t="shared" si="270"/>
        <v>0</v>
      </c>
      <c r="AN128" s="403">
        <f t="shared" si="164"/>
        <v>0</v>
      </c>
      <c r="AO128" s="128">
        <f t="shared" si="144"/>
        <v>70221</v>
      </c>
      <c r="AP128" s="130">
        <f t="shared" si="145"/>
        <v>49500</v>
      </c>
      <c r="AQ128" s="130">
        <f t="shared" si="146"/>
        <v>0</v>
      </c>
      <c r="AR128" s="130">
        <f t="shared" si="147"/>
        <v>16731</v>
      </c>
      <c r="AS128" s="130">
        <f t="shared" si="148"/>
        <v>990</v>
      </c>
      <c r="AT128" s="130">
        <f t="shared" si="149"/>
        <v>3000</v>
      </c>
      <c r="AU128" s="132">
        <f t="shared" si="150"/>
        <v>0.21</v>
      </c>
      <c r="AV128" s="132">
        <f t="shared" si="151"/>
        <v>0</v>
      </c>
      <c r="AW128" s="133">
        <f t="shared" si="152"/>
        <v>0.21</v>
      </c>
    </row>
    <row r="129" spans="1:49" ht="14.1" customHeight="1" x14ac:dyDescent="0.2">
      <c r="A129" s="137">
        <v>31</v>
      </c>
      <c r="B129" s="134">
        <v>2474</v>
      </c>
      <c r="C129" s="146">
        <v>600080307</v>
      </c>
      <c r="D129" s="134">
        <v>65635612</v>
      </c>
      <c r="E129" s="136" t="s">
        <v>637</v>
      </c>
      <c r="F129" s="137"/>
      <c r="G129" s="136"/>
      <c r="H129" s="138"/>
      <c r="I129" s="139">
        <f t="shared" ref="I129:P129" si="273">SUM(I123:I128)</f>
        <v>30644767</v>
      </c>
      <c r="J129" s="140">
        <f t="shared" si="273"/>
        <v>22103078</v>
      </c>
      <c r="K129" s="140">
        <f t="shared" si="273"/>
        <v>7470840</v>
      </c>
      <c r="L129" s="140">
        <f t="shared" si="273"/>
        <v>442061</v>
      </c>
      <c r="M129" s="140">
        <f t="shared" si="273"/>
        <v>628788</v>
      </c>
      <c r="N129" s="141">
        <f t="shared" si="273"/>
        <v>43.465899999999998</v>
      </c>
      <c r="O129" s="141">
        <f t="shared" si="273"/>
        <v>33.817099999999996</v>
      </c>
      <c r="P129" s="142">
        <f t="shared" si="273"/>
        <v>9.6488000000000014</v>
      </c>
      <c r="Q129" s="342">
        <f t="shared" ref="Q129:AW129" si="274">SUM(Q123:Q128)</f>
        <v>-26400</v>
      </c>
      <c r="R129" s="140">
        <f t="shared" si="274"/>
        <v>1712979</v>
      </c>
      <c r="S129" s="140">
        <f t="shared" si="274"/>
        <v>0</v>
      </c>
      <c r="T129" s="140">
        <f t="shared" si="274"/>
        <v>0</v>
      </c>
      <c r="U129" s="140">
        <f t="shared" si="274"/>
        <v>1686579</v>
      </c>
      <c r="V129" s="140">
        <f t="shared" si="274"/>
        <v>26400</v>
      </c>
      <c r="W129" s="140">
        <f t="shared" si="274"/>
        <v>0</v>
      </c>
      <c r="X129" s="140">
        <f t="shared" si="274"/>
        <v>0</v>
      </c>
      <c r="Y129" s="140">
        <f t="shared" si="274"/>
        <v>26400</v>
      </c>
      <c r="Z129" s="140">
        <f t="shared" si="274"/>
        <v>1712979</v>
      </c>
      <c r="AA129" s="140">
        <f t="shared" si="274"/>
        <v>578987</v>
      </c>
      <c r="AB129" s="140">
        <f t="shared" si="274"/>
        <v>33732</v>
      </c>
      <c r="AC129" s="140">
        <f t="shared" si="274"/>
        <v>0</v>
      </c>
      <c r="AD129" s="140">
        <f t="shared" si="274"/>
        <v>0</v>
      </c>
      <c r="AE129" s="140">
        <f t="shared" si="274"/>
        <v>0</v>
      </c>
      <c r="AF129" s="140">
        <f t="shared" si="274"/>
        <v>2325698</v>
      </c>
      <c r="AG129" s="141">
        <f t="shared" si="274"/>
        <v>0</v>
      </c>
      <c r="AH129" s="141">
        <f t="shared" si="274"/>
        <v>-9.0000000000000011E-2</v>
      </c>
      <c r="AI129" s="141">
        <f t="shared" si="274"/>
        <v>4.95</v>
      </c>
      <c r="AJ129" s="141">
        <f t="shared" si="274"/>
        <v>0</v>
      </c>
      <c r="AK129" s="141">
        <f t="shared" si="274"/>
        <v>0</v>
      </c>
      <c r="AL129" s="141">
        <f t="shared" si="274"/>
        <v>4.95</v>
      </c>
      <c r="AM129" s="141">
        <f t="shared" si="274"/>
        <v>-9.0000000000000011E-2</v>
      </c>
      <c r="AN129" s="635">
        <f t="shared" si="274"/>
        <v>4.8600000000000003</v>
      </c>
      <c r="AO129" s="139">
        <f t="shared" si="274"/>
        <v>32970465</v>
      </c>
      <c r="AP129" s="140">
        <f t="shared" si="274"/>
        <v>23789657</v>
      </c>
      <c r="AQ129" s="140">
        <f t="shared" si="274"/>
        <v>26400</v>
      </c>
      <c r="AR129" s="140">
        <f t="shared" si="274"/>
        <v>8049827</v>
      </c>
      <c r="AS129" s="140">
        <f t="shared" si="274"/>
        <v>475793</v>
      </c>
      <c r="AT129" s="140">
        <f t="shared" si="274"/>
        <v>628788</v>
      </c>
      <c r="AU129" s="141">
        <f t="shared" si="274"/>
        <v>48.325900000000004</v>
      </c>
      <c r="AV129" s="141">
        <f t="shared" si="274"/>
        <v>38.767099999999999</v>
      </c>
      <c r="AW129" s="142">
        <f t="shared" si="274"/>
        <v>9.5588000000000015</v>
      </c>
    </row>
    <row r="130" spans="1:49" ht="14.1" customHeight="1" x14ac:dyDescent="0.2">
      <c r="A130" s="124">
        <v>32</v>
      </c>
      <c r="B130" s="121">
        <v>2312</v>
      </c>
      <c r="C130" s="144">
        <v>600079899</v>
      </c>
      <c r="D130" s="121">
        <v>65642350</v>
      </c>
      <c r="E130" s="123" t="s">
        <v>638</v>
      </c>
      <c r="F130" s="124">
        <v>3113</v>
      </c>
      <c r="G130" s="123" t="s">
        <v>320</v>
      </c>
      <c r="H130" s="125" t="s">
        <v>283</v>
      </c>
      <c r="I130" s="126">
        <f t="shared" si="140"/>
        <v>31320389</v>
      </c>
      <c r="J130" s="127">
        <v>22523482</v>
      </c>
      <c r="K130" s="127">
        <f t="shared" si="155"/>
        <v>7612937</v>
      </c>
      <c r="L130" s="477">
        <f t="shared" si="156"/>
        <v>450470</v>
      </c>
      <c r="M130" s="127">
        <v>733500</v>
      </c>
      <c r="N130" s="390">
        <f t="shared" si="141"/>
        <v>41.055999999999997</v>
      </c>
      <c r="O130" s="390">
        <v>31.863399999999999</v>
      </c>
      <c r="P130" s="439">
        <v>9.1925999999999988</v>
      </c>
      <c r="Q130" s="129">
        <f t="shared" si="142"/>
        <v>-120000</v>
      </c>
      <c r="R130" s="130">
        <v>0</v>
      </c>
      <c r="S130" s="130">
        <v>0</v>
      </c>
      <c r="T130" s="130">
        <v>0</v>
      </c>
      <c r="U130" s="130">
        <f t="shared" si="143"/>
        <v>-120000</v>
      </c>
      <c r="V130" s="130">
        <v>120000</v>
      </c>
      <c r="W130" s="130">
        <v>0</v>
      </c>
      <c r="X130" s="130">
        <v>0</v>
      </c>
      <c r="Y130" s="130">
        <f t="shared" ref="Y130:Y135" si="275">SUM(V130:X130)</f>
        <v>120000</v>
      </c>
      <c r="Z130" s="130">
        <f t="shared" ref="Z130:Z135" si="276">U130+Y130</f>
        <v>0</v>
      </c>
      <c r="AA130" s="131">
        <f t="shared" ref="AA130:AA135" si="277">ROUND((U130+V130+W130)*33.8%,0)</f>
        <v>0</v>
      </c>
      <c r="AB130" s="131">
        <f t="shared" ref="AB130:AB135" si="278">ROUND(U130*2%,0)</f>
        <v>-2400</v>
      </c>
      <c r="AC130" s="130">
        <v>0</v>
      </c>
      <c r="AD130" s="130">
        <v>0</v>
      </c>
      <c r="AE130" s="130">
        <f t="shared" si="161"/>
        <v>0</v>
      </c>
      <c r="AF130" s="130">
        <f t="shared" si="162"/>
        <v>-2400</v>
      </c>
      <c r="AG130" s="132">
        <v>-0.06</v>
      </c>
      <c r="AH130" s="132">
        <v>-0.32</v>
      </c>
      <c r="AI130" s="132">
        <v>0</v>
      </c>
      <c r="AJ130" s="132">
        <v>0</v>
      </c>
      <c r="AK130" s="132">
        <v>0</v>
      </c>
      <c r="AL130" s="132">
        <f t="shared" si="163"/>
        <v>-0.06</v>
      </c>
      <c r="AM130" s="132">
        <f t="shared" ref="AM130:AM135" si="279">AH130+AK130</f>
        <v>-0.32</v>
      </c>
      <c r="AN130" s="403">
        <f t="shared" si="164"/>
        <v>-0.38</v>
      </c>
      <c r="AO130" s="128">
        <f t="shared" si="144"/>
        <v>31317989</v>
      </c>
      <c r="AP130" s="130">
        <f t="shared" si="145"/>
        <v>22403482</v>
      </c>
      <c r="AQ130" s="130">
        <f t="shared" si="146"/>
        <v>120000</v>
      </c>
      <c r="AR130" s="130">
        <f t="shared" si="147"/>
        <v>7612937</v>
      </c>
      <c r="AS130" s="130">
        <f t="shared" si="148"/>
        <v>448070</v>
      </c>
      <c r="AT130" s="130">
        <f t="shared" si="149"/>
        <v>733500</v>
      </c>
      <c r="AU130" s="132">
        <f t="shared" si="150"/>
        <v>40.675999999999995</v>
      </c>
      <c r="AV130" s="132">
        <f t="shared" si="151"/>
        <v>31.8034</v>
      </c>
      <c r="AW130" s="133">
        <f t="shared" si="152"/>
        <v>8.8725999999999985</v>
      </c>
    </row>
    <row r="131" spans="1:49" ht="14.1" customHeight="1" x14ac:dyDescent="0.2">
      <c r="A131" s="124">
        <v>32</v>
      </c>
      <c r="B131" s="121">
        <v>2312</v>
      </c>
      <c r="C131" s="144">
        <v>600079899</v>
      </c>
      <c r="D131" s="121">
        <v>65642350</v>
      </c>
      <c r="E131" s="123" t="s">
        <v>638</v>
      </c>
      <c r="F131" s="124">
        <v>3113</v>
      </c>
      <c r="G131" s="143" t="s">
        <v>318</v>
      </c>
      <c r="H131" s="125" t="s">
        <v>284</v>
      </c>
      <c r="I131" s="126">
        <f t="shared" si="140"/>
        <v>0</v>
      </c>
      <c r="J131" s="29">
        <v>0</v>
      </c>
      <c r="K131" s="127">
        <f t="shared" si="155"/>
        <v>0</v>
      </c>
      <c r="L131" s="477">
        <f t="shared" si="156"/>
        <v>0</v>
      </c>
      <c r="M131" s="29">
        <v>0</v>
      </c>
      <c r="N131" s="390">
        <f t="shared" si="141"/>
        <v>0</v>
      </c>
      <c r="O131" s="349">
        <v>0</v>
      </c>
      <c r="P131" s="639">
        <v>0</v>
      </c>
      <c r="Q131" s="129">
        <f t="shared" si="142"/>
        <v>0</v>
      </c>
      <c r="R131" s="130">
        <v>902960</v>
      </c>
      <c r="S131" s="130">
        <v>0</v>
      </c>
      <c r="T131" s="130">
        <v>0</v>
      </c>
      <c r="U131" s="130">
        <f t="shared" si="143"/>
        <v>902960</v>
      </c>
      <c r="V131" s="130">
        <v>0</v>
      </c>
      <c r="W131" s="130">
        <v>0</v>
      </c>
      <c r="X131" s="130">
        <v>0</v>
      </c>
      <c r="Y131" s="130">
        <f t="shared" si="275"/>
        <v>0</v>
      </c>
      <c r="Z131" s="130">
        <f t="shared" si="276"/>
        <v>902960</v>
      </c>
      <c r="AA131" s="131">
        <f t="shared" si="277"/>
        <v>305200</v>
      </c>
      <c r="AB131" s="131">
        <f t="shared" si="278"/>
        <v>18059</v>
      </c>
      <c r="AC131" s="130">
        <v>0</v>
      </c>
      <c r="AD131" s="130">
        <v>0</v>
      </c>
      <c r="AE131" s="130">
        <f t="shared" si="161"/>
        <v>0</v>
      </c>
      <c r="AF131" s="130">
        <f t="shared" si="162"/>
        <v>1226219</v>
      </c>
      <c r="AG131" s="132">
        <v>0</v>
      </c>
      <c r="AH131" s="132">
        <v>0</v>
      </c>
      <c r="AI131" s="132">
        <v>2.4900000000000002</v>
      </c>
      <c r="AJ131" s="132">
        <v>0</v>
      </c>
      <c r="AK131" s="132">
        <v>0</v>
      </c>
      <c r="AL131" s="132">
        <f t="shared" si="163"/>
        <v>2.4900000000000002</v>
      </c>
      <c r="AM131" s="132">
        <f t="shared" si="279"/>
        <v>0</v>
      </c>
      <c r="AN131" s="403">
        <f t="shared" si="164"/>
        <v>2.4900000000000002</v>
      </c>
      <c r="AO131" s="128">
        <f t="shared" si="144"/>
        <v>1226219</v>
      </c>
      <c r="AP131" s="130">
        <f t="shared" si="145"/>
        <v>902960</v>
      </c>
      <c r="AQ131" s="130">
        <f t="shared" si="146"/>
        <v>0</v>
      </c>
      <c r="AR131" s="130">
        <f t="shared" si="147"/>
        <v>305200</v>
      </c>
      <c r="AS131" s="130">
        <f t="shared" si="148"/>
        <v>18059</v>
      </c>
      <c r="AT131" s="130">
        <f t="shared" si="149"/>
        <v>0</v>
      </c>
      <c r="AU131" s="132">
        <f t="shared" si="150"/>
        <v>2.4900000000000002</v>
      </c>
      <c r="AV131" s="132">
        <f t="shared" si="151"/>
        <v>2.4900000000000002</v>
      </c>
      <c r="AW131" s="133">
        <f t="shared" si="152"/>
        <v>0</v>
      </c>
    </row>
    <row r="132" spans="1:49" ht="14.1" customHeight="1" x14ac:dyDescent="0.2">
      <c r="A132" s="124">
        <v>32</v>
      </c>
      <c r="B132" s="121">
        <v>2312</v>
      </c>
      <c r="C132" s="144">
        <v>600079899</v>
      </c>
      <c r="D132" s="121">
        <v>65642350</v>
      </c>
      <c r="E132" s="123" t="s">
        <v>638</v>
      </c>
      <c r="F132" s="124">
        <v>3141</v>
      </c>
      <c r="G132" s="123" t="s">
        <v>321</v>
      </c>
      <c r="H132" s="125" t="s">
        <v>284</v>
      </c>
      <c r="I132" s="126">
        <f t="shared" si="140"/>
        <v>2565904</v>
      </c>
      <c r="J132" s="666">
        <v>1871278</v>
      </c>
      <c r="K132" s="127">
        <f t="shared" ref="K132" si="280">ROUND(J132*33.8%,0)</f>
        <v>632492</v>
      </c>
      <c r="L132" s="477">
        <f t="shared" ref="L132" si="281">ROUND(J132*2%,0)</f>
        <v>37426</v>
      </c>
      <c r="M132" s="666">
        <v>24708</v>
      </c>
      <c r="N132" s="390">
        <f t="shared" si="141"/>
        <v>6.36</v>
      </c>
      <c r="O132" s="668">
        <v>0</v>
      </c>
      <c r="P132" s="667">
        <v>6.36</v>
      </c>
      <c r="Q132" s="129">
        <f t="shared" si="142"/>
        <v>-16000</v>
      </c>
      <c r="R132" s="130">
        <v>0</v>
      </c>
      <c r="S132" s="130">
        <v>0</v>
      </c>
      <c r="T132" s="130">
        <v>0</v>
      </c>
      <c r="U132" s="130">
        <f t="shared" si="143"/>
        <v>-16000</v>
      </c>
      <c r="V132" s="130">
        <v>16000</v>
      </c>
      <c r="W132" s="130">
        <v>0</v>
      </c>
      <c r="X132" s="130">
        <v>0</v>
      </c>
      <c r="Y132" s="130">
        <f t="shared" si="275"/>
        <v>16000</v>
      </c>
      <c r="Z132" s="130">
        <f t="shared" si="276"/>
        <v>0</v>
      </c>
      <c r="AA132" s="131">
        <f t="shared" si="277"/>
        <v>0</v>
      </c>
      <c r="AB132" s="131">
        <f t="shared" si="278"/>
        <v>-320</v>
      </c>
      <c r="AC132" s="130">
        <v>0</v>
      </c>
      <c r="AD132" s="130">
        <v>0</v>
      </c>
      <c r="AE132" s="130">
        <f t="shared" si="161"/>
        <v>0</v>
      </c>
      <c r="AF132" s="130">
        <f t="shared" si="162"/>
        <v>-320</v>
      </c>
      <c r="AG132" s="132">
        <v>0</v>
      </c>
      <c r="AH132" s="132">
        <v>-0.03</v>
      </c>
      <c r="AI132" s="132">
        <v>0</v>
      </c>
      <c r="AJ132" s="132">
        <v>0</v>
      </c>
      <c r="AK132" s="132">
        <v>0</v>
      </c>
      <c r="AL132" s="132">
        <f t="shared" si="163"/>
        <v>0</v>
      </c>
      <c r="AM132" s="132">
        <f t="shared" si="279"/>
        <v>-0.03</v>
      </c>
      <c r="AN132" s="403">
        <f t="shared" si="164"/>
        <v>-0.03</v>
      </c>
      <c r="AO132" s="128">
        <f t="shared" si="144"/>
        <v>2565584</v>
      </c>
      <c r="AP132" s="130">
        <f t="shared" si="145"/>
        <v>1855278</v>
      </c>
      <c r="AQ132" s="130">
        <f t="shared" si="146"/>
        <v>16000</v>
      </c>
      <c r="AR132" s="130">
        <f t="shared" si="147"/>
        <v>632492</v>
      </c>
      <c r="AS132" s="130">
        <f t="shared" si="148"/>
        <v>37106</v>
      </c>
      <c r="AT132" s="130">
        <f t="shared" si="149"/>
        <v>24708</v>
      </c>
      <c r="AU132" s="132">
        <f t="shared" si="150"/>
        <v>6.33</v>
      </c>
      <c r="AV132" s="132">
        <f t="shared" si="151"/>
        <v>0</v>
      </c>
      <c r="AW132" s="133">
        <f t="shared" si="152"/>
        <v>6.33</v>
      </c>
    </row>
    <row r="133" spans="1:49" ht="14.1" customHeight="1" x14ac:dyDescent="0.2">
      <c r="A133" s="124">
        <v>32</v>
      </c>
      <c r="B133" s="121">
        <v>2312</v>
      </c>
      <c r="C133" s="144">
        <v>600079899</v>
      </c>
      <c r="D133" s="121">
        <v>65642350</v>
      </c>
      <c r="E133" s="123" t="s">
        <v>638</v>
      </c>
      <c r="F133" s="124">
        <v>3143</v>
      </c>
      <c r="G133" s="145" t="s">
        <v>635</v>
      </c>
      <c r="H133" s="125" t="s">
        <v>283</v>
      </c>
      <c r="I133" s="126">
        <f t="shared" si="140"/>
        <v>3538358</v>
      </c>
      <c r="J133" s="631">
        <v>2605566</v>
      </c>
      <c r="K133" s="127">
        <f t="shared" si="155"/>
        <v>880681</v>
      </c>
      <c r="L133" s="477">
        <f t="shared" si="156"/>
        <v>52111</v>
      </c>
      <c r="M133" s="478">
        <v>0</v>
      </c>
      <c r="N133" s="390">
        <f t="shared" si="141"/>
        <v>5.5</v>
      </c>
      <c r="O133" s="644">
        <v>5.5</v>
      </c>
      <c r="P133" s="639">
        <v>0</v>
      </c>
      <c r="Q133" s="129">
        <f t="shared" si="142"/>
        <v>-16000</v>
      </c>
      <c r="R133" s="130">
        <v>0</v>
      </c>
      <c r="S133" s="130">
        <v>0</v>
      </c>
      <c r="T133" s="130">
        <v>0</v>
      </c>
      <c r="U133" s="130">
        <f t="shared" si="143"/>
        <v>-16000</v>
      </c>
      <c r="V133" s="130">
        <v>16000</v>
      </c>
      <c r="W133" s="130">
        <v>0</v>
      </c>
      <c r="X133" s="130">
        <v>0</v>
      </c>
      <c r="Y133" s="130">
        <f t="shared" si="275"/>
        <v>16000</v>
      </c>
      <c r="Z133" s="130">
        <f t="shared" si="276"/>
        <v>0</v>
      </c>
      <c r="AA133" s="131">
        <f t="shared" si="277"/>
        <v>0</v>
      </c>
      <c r="AB133" s="131">
        <f t="shared" si="278"/>
        <v>-320</v>
      </c>
      <c r="AC133" s="130">
        <v>0</v>
      </c>
      <c r="AD133" s="130">
        <v>0</v>
      </c>
      <c r="AE133" s="130">
        <f t="shared" si="161"/>
        <v>0</v>
      </c>
      <c r="AF133" s="130">
        <f t="shared" si="162"/>
        <v>-320</v>
      </c>
      <c r="AG133" s="132">
        <v>0</v>
      </c>
      <c r="AH133" s="132">
        <v>0</v>
      </c>
      <c r="AI133" s="132">
        <v>0</v>
      </c>
      <c r="AJ133" s="132">
        <v>0</v>
      </c>
      <c r="AK133" s="132">
        <v>0</v>
      </c>
      <c r="AL133" s="132">
        <f t="shared" si="163"/>
        <v>0</v>
      </c>
      <c r="AM133" s="132">
        <f t="shared" si="279"/>
        <v>0</v>
      </c>
      <c r="AN133" s="403">
        <f t="shared" si="164"/>
        <v>0</v>
      </c>
      <c r="AO133" s="128">
        <f t="shared" si="144"/>
        <v>3538038</v>
      </c>
      <c r="AP133" s="130">
        <f t="shared" si="145"/>
        <v>2589566</v>
      </c>
      <c r="AQ133" s="130">
        <f t="shared" si="146"/>
        <v>16000</v>
      </c>
      <c r="AR133" s="130">
        <f t="shared" si="147"/>
        <v>880681</v>
      </c>
      <c r="AS133" s="130">
        <f t="shared" si="148"/>
        <v>51791</v>
      </c>
      <c r="AT133" s="130">
        <f t="shared" si="149"/>
        <v>0</v>
      </c>
      <c r="AU133" s="132">
        <f t="shared" si="150"/>
        <v>5.5</v>
      </c>
      <c r="AV133" s="132">
        <f t="shared" si="151"/>
        <v>5.5</v>
      </c>
      <c r="AW133" s="133">
        <f t="shared" si="152"/>
        <v>0</v>
      </c>
    </row>
    <row r="134" spans="1:49" ht="14.1" customHeight="1" x14ac:dyDescent="0.2">
      <c r="A134" s="124">
        <v>32</v>
      </c>
      <c r="B134" s="121">
        <v>2312</v>
      </c>
      <c r="C134" s="144">
        <v>600079899</v>
      </c>
      <c r="D134" s="121">
        <v>65642350</v>
      </c>
      <c r="E134" s="123" t="s">
        <v>638</v>
      </c>
      <c r="F134" s="124">
        <v>3143</v>
      </c>
      <c r="G134" s="145" t="s">
        <v>636</v>
      </c>
      <c r="H134" s="125" t="s">
        <v>284</v>
      </c>
      <c r="I134" s="126">
        <f t="shared" si="140"/>
        <v>112354</v>
      </c>
      <c r="J134" s="664">
        <v>79200</v>
      </c>
      <c r="K134" s="127">
        <f t="shared" si="155"/>
        <v>26770</v>
      </c>
      <c r="L134" s="477">
        <f t="shared" si="156"/>
        <v>1584</v>
      </c>
      <c r="M134" s="664">
        <v>4800</v>
      </c>
      <c r="N134" s="390">
        <f t="shared" si="141"/>
        <v>0.33</v>
      </c>
      <c r="O134" s="665">
        <v>0</v>
      </c>
      <c r="P134" s="667">
        <v>0.33</v>
      </c>
      <c r="Q134" s="129">
        <f t="shared" si="142"/>
        <v>0</v>
      </c>
      <c r="R134" s="130">
        <v>0</v>
      </c>
      <c r="S134" s="130">
        <v>0</v>
      </c>
      <c r="T134" s="130">
        <v>0</v>
      </c>
      <c r="U134" s="130">
        <f t="shared" si="143"/>
        <v>0</v>
      </c>
      <c r="V134" s="130">
        <v>0</v>
      </c>
      <c r="W134" s="130">
        <v>0</v>
      </c>
      <c r="X134" s="130">
        <v>0</v>
      </c>
      <c r="Y134" s="130">
        <f t="shared" si="275"/>
        <v>0</v>
      </c>
      <c r="Z134" s="130">
        <f t="shared" si="276"/>
        <v>0</v>
      </c>
      <c r="AA134" s="131">
        <f t="shared" si="277"/>
        <v>0</v>
      </c>
      <c r="AB134" s="131">
        <f t="shared" si="278"/>
        <v>0</v>
      </c>
      <c r="AC134" s="130">
        <v>0</v>
      </c>
      <c r="AD134" s="130">
        <v>0</v>
      </c>
      <c r="AE134" s="130">
        <f t="shared" si="161"/>
        <v>0</v>
      </c>
      <c r="AF134" s="130">
        <f t="shared" si="162"/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f t="shared" si="163"/>
        <v>0</v>
      </c>
      <c r="AM134" s="132">
        <f t="shared" si="279"/>
        <v>0</v>
      </c>
      <c r="AN134" s="403">
        <f t="shared" si="164"/>
        <v>0</v>
      </c>
      <c r="AO134" s="128">
        <f t="shared" si="144"/>
        <v>112354</v>
      </c>
      <c r="AP134" s="130">
        <f t="shared" si="145"/>
        <v>79200</v>
      </c>
      <c r="AQ134" s="130">
        <f t="shared" si="146"/>
        <v>0</v>
      </c>
      <c r="AR134" s="130">
        <f t="shared" si="147"/>
        <v>26770</v>
      </c>
      <c r="AS134" s="130">
        <f t="shared" si="148"/>
        <v>1584</v>
      </c>
      <c r="AT134" s="130">
        <f t="shared" si="149"/>
        <v>4800</v>
      </c>
      <c r="AU134" s="132">
        <f t="shared" si="150"/>
        <v>0.33</v>
      </c>
      <c r="AV134" s="132">
        <f t="shared" si="151"/>
        <v>0</v>
      </c>
      <c r="AW134" s="133">
        <f t="shared" si="152"/>
        <v>0.33</v>
      </c>
    </row>
    <row r="135" spans="1:49" ht="14.1" customHeight="1" x14ac:dyDescent="0.2">
      <c r="A135" s="124">
        <v>32</v>
      </c>
      <c r="B135" s="121">
        <v>2312</v>
      </c>
      <c r="C135" s="144">
        <v>600079899</v>
      </c>
      <c r="D135" s="121">
        <v>65642350</v>
      </c>
      <c r="E135" s="123" t="s">
        <v>638</v>
      </c>
      <c r="F135" s="124">
        <v>3231</v>
      </c>
      <c r="G135" s="123" t="s">
        <v>322</v>
      </c>
      <c r="H135" s="125" t="s">
        <v>283</v>
      </c>
      <c r="I135" s="126">
        <f t="shared" si="140"/>
        <v>14751657</v>
      </c>
      <c r="J135" s="478">
        <v>10830793</v>
      </c>
      <c r="K135" s="127">
        <f t="shared" si="155"/>
        <v>3660808</v>
      </c>
      <c r="L135" s="477">
        <f t="shared" si="156"/>
        <v>216616</v>
      </c>
      <c r="M135" s="478">
        <v>43440</v>
      </c>
      <c r="N135" s="390">
        <f t="shared" si="141"/>
        <v>20.927900000000001</v>
      </c>
      <c r="O135" s="349">
        <v>18.7088</v>
      </c>
      <c r="P135" s="639">
        <v>2.2191000000000001</v>
      </c>
      <c r="Q135" s="129">
        <f t="shared" si="142"/>
        <v>-208000</v>
      </c>
      <c r="R135" s="130">
        <v>0</v>
      </c>
      <c r="S135" s="130">
        <v>0</v>
      </c>
      <c r="T135" s="130">
        <v>0</v>
      </c>
      <c r="U135" s="130">
        <f t="shared" si="143"/>
        <v>-208000</v>
      </c>
      <c r="V135" s="130">
        <v>208000</v>
      </c>
      <c r="W135" s="130">
        <v>0</v>
      </c>
      <c r="X135" s="130">
        <v>0</v>
      </c>
      <c r="Y135" s="130">
        <f t="shared" si="275"/>
        <v>208000</v>
      </c>
      <c r="Z135" s="130">
        <f t="shared" si="276"/>
        <v>0</v>
      </c>
      <c r="AA135" s="131">
        <f t="shared" si="277"/>
        <v>0</v>
      </c>
      <c r="AB135" s="131">
        <f t="shared" si="278"/>
        <v>-4160</v>
      </c>
      <c r="AC135" s="130">
        <v>0</v>
      </c>
      <c r="AD135" s="130">
        <v>0</v>
      </c>
      <c r="AE135" s="130">
        <f t="shared" si="161"/>
        <v>0</v>
      </c>
      <c r="AF135" s="130">
        <f t="shared" si="162"/>
        <v>-4160</v>
      </c>
      <c r="AG135" s="132">
        <v>-0.43</v>
      </c>
      <c r="AH135" s="132">
        <v>0</v>
      </c>
      <c r="AI135" s="132">
        <v>0</v>
      </c>
      <c r="AJ135" s="132">
        <v>0</v>
      </c>
      <c r="AK135" s="132">
        <v>0</v>
      </c>
      <c r="AL135" s="132">
        <f t="shared" si="163"/>
        <v>-0.43</v>
      </c>
      <c r="AM135" s="132">
        <f t="shared" si="279"/>
        <v>0</v>
      </c>
      <c r="AN135" s="403">
        <f t="shared" si="164"/>
        <v>-0.43</v>
      </c>
      <c r="AO135" s="128">
        <f t="shared" si="144"/>
        <v>14747497</v>
      </c>
      <c r="AP135" s="130">
        <f t="shared" si="145"/>
        <v>10622793</v>
      </c>
      <c r="AQ135" s="130">
        <f t="shared" si="146"/>
        <v>208000</v>
      </c>
      <c r="AR135" s="130">
        <f t="shared" si="147"/>
        <v>3660808</v>
      </c>
      <c r="AS135" s="130">
        <f t="shared" si="148"/>
        <v>212456</v>
      </c>
      <c r="AT135" s="130">
        <f t="shared" si="149"/>
        <v>43440</v>
      </c>
      <c r="AU135" s="132">
        <f t="shared" si="150"/>
        <v>20.497900000000001</v>
      </c>
      <c r="AV135" s="132">
        <f t="shared" si="151"/>
        <v>18.2788</v>
      </c>
      <c r="AW135" s="133">
        <f t="shared" si="152"/>
        <v>2.2191000000000001</v>
      </c>
    </row>
    <row r="136" spans="1:49" ht="14.1" customHeight="1" x14ac:dyDescent="0.2">
      <c r="A136" s="137">
        <v>32</v>
      </c>
      <c r="B136" s="134">
        <v>2312</v>
      </c>
      <c r="C136" s="146">
        <v>600079899</v>
      </c>
      <c r="D136" s="134">
        <v>65642350</v>
      </c>
      <c r="E136" s="136" t="s">
        <v>639</v>
      </c>
      <c r="F136" s="137"/>
      <c r="G136" s="136"/>
      <c r="H136" s="138"/>
      <c r="I136" s="147">
        <f t="shared" ref="I136:P136" si="282">SUM(I130:I135)</f>
        <v>52288662</v>
      </c>
      <c r="J136" s="148">
        <f t="shared" si="282"/>
        <v>37910319</v>
      </c>
      <c r="K136" s="148">
        <f t="shared" si="282"/>
        <v>12813688</v>
      </c>
      <c r="L136" s="148">
        <f t="shared" si="282"/>
        <v>758207</v>
      </c>
      <c r="M136" s="148">
        <f t="shared" si="282"/>
        <v>806448</v>
      </c>
      <c r="N136" s="149">
        <f t="shared" si="282"/>
        <v>74.173900000000003</v>
      </c>
      <c r="O136" s="149">
        <f t="shared" si="282"/>
        <v>56.072199999999995</v>
      </c>
      <c r="P136" s="150">
        <f t="shared" si="282"/>
        <v>18.101699999999997</v>
      </c>
      <c r="Q136" s="343">
        <f t="shared" ref="Q136:AW136" si="283">SUM(Q130:Q135)</f>
        <v>-360000</v>
      </c>
      <c r="R136" s="148">
        <f t="shared" si="283"/>
        <v>902960</v>
      </c>
      <c r="S136" s="148">
        <f t="shared" si="283"/>
        <v>0</v>
      </c>
      <c r="T136" s="148">
        <f t="shared" si="283"/>
        <v>0</v>
      </c>
      <c r="U136" s="148">
        <f t="shared" si="283"/>
        <v>542960</v>
      </c>
      <c r="V136" s="148">
        <f t="shared" si="283"/>
        <v>360000</v>
      </c>
      <c r="W136" s="148">
        <f t="shared" si="283"/>
        <v>0</v>
      </c>
      <c r="X136" s="148">
        <f t="shared" si="283"/>
        <v>0</v>
      </c>
      <c r="Y136" s="148">
        <f t="shared" si="283"/>
        <v>360000</v>
      </c>
      <c r="Z136" s="148">
        <f t="shared" si="283"/>
        <v>902960</v>
      </c>
      <c r="AA136" s="148">
        <f t="shared" si="283"/>
        <v>305200</v>
      </c>
      <c r="AB136" s="148">
        <f t="shared" si="283"/>
        <v>10859</v>
      </c>
      <c r="AC136" s="148">
        <f t="shared" si="283"/>
        <v>0</v>
      </c>
      <c r="AD136" s="148">
        <f t="shared" si="283"/>
        <v>0</v>
      </c>
      <c r="AE136" s="148">
        <f t="shared" si="283"/>
        <v>0</v>
      </c>
      <c r="AF136" s="148">
        <f t="shared" si="283"/>
        <v>1219019</v>
      </c>
      <c r="AG136" s="149">
        <f t="shared" si="283"/>
        <v>-0.49</v>
      </c>
      <c r="AH136" s="149">
        <f t="shared" si="283"/>
        <v>-0.35</v>
      </c>
      <c r="AI136" s="149">
        <f t="shared" si="283"/>
        <v>2.4900000000000002</v>
      </c>
      <c r="AJ136" s="149">
        <f t="shared" si="283"/>
        <v>0</v>
      </c>
      <c r="AK136" s="149">
        <f t="shared" si="283"/>
        <v>0</v>
      </c>
      <c r="AL136" s="149">
        <f t="shared" si="283"/>
        <v>2</v>
      </c>
      <c r="AM136" s="149">
        <f t="shared" si="283"/>
        <v>-0.35</v>
      </c>
      <c r="AN136" s="636">
        <f t="shared" si="283"/>
        <v>1.6500000000000006</v>
      </c>
      <c r="AO136" s="147">
        <f t="shared" si="283"/>
        <v>53507681</v>
      </c>
      <c r="AP136" s="148">
        <f t="shared" si="283"/>
        <v>38453279</v>
      </c>
      <c r="AQ136" s="148">
        <f t="shared" si="283"/>
        <v>360000</v>
      </c>
      <c r="AR136" s="148">
        <f t="shared" si="283"/>
        <v>13118888</v>
      </c>
      <c r="AS136" s="148">
        <f t="shared" si="283"/>
        <v>769066</v>
      </c>
      <c r="AT136" s="148">
        <f t="shared" si="283"/>
        <v>806448</v>
      </c>
      <c r="AU136" s="149">
        <f t="shared" si="283"/>
        <v>75.823899999999995</v>
      </c>
      <c r="AV136" s="149">
        <f t="shared" si="283"/>
        <v>58.072199999999995</v>
      </c>
      <c r="AW136" s="150">
        <f t="shared" si="283"/>
        <v>17.7517</v>
      </c>
    </row>
    <row r="137" spans="1:49" ht="14.1" customHeight="1" x14ac:dyDescent="0.2">
      <c r="A137" s="124">
        <v>33</v>
      </c>
      <c r="B137" s="121">
        <v>2479</v>
      </c>
      <c r="C137" s="144">
        <v>600080340</v>
      </c>
      <c r="D137" s="121">
        <v>65100280</v>
      </c>
      <c r="E137" s="123" t="s">
        <v>640</v>
      </c>
      <c r="F137" s="124">
        <v>3113</v>
      </c>
      <c r="G137" s="123" t="s">
        <v>320</v>
      </c>
      <c r="H137" s="125" t="s">
        <v>283</v>
      </c>
      <c r="I137" s="126">
        <f t="shared" si="140"/>
        <v>34065705</v>
      </c>
      <c r="J137" s="127">
        <v>24461623</v>
      </c>
      <c r="K137" s="127">
        <f t="shared" si="155"/>
        <v>8268029</v>
      </c>
      <c r="L137" s="477">
        <v>489233</v>
      </c>
      <c r="M137" s="127">
        <v>846820</v>
      </c>
      <c r="N137" s="390">
        <f t="shared" si="141"/>
        <v>46.035699999999999</v>
      </c>
      <c r="O137" s="390">
        <v>36.082599999999999</v>
      </c>
      <c r="P137" s="439">
        <v>9.9530999999999992</v>
      </c>
      <c r="Q137" s="129">
        <f t="shared" si="142"/>
        <v>-80000</v>
      </c>
      <c r="R137" s="130">
        <v>0</v>
      </c>
      <c r="S137" s="130">
        <v>0</v>
      </c>
      <c r="T137" s="130">
        <v>0</v>
      </c>
      <c r="U137" s="130">
        <f t="shared" si="143"/>
        <v>-80000</v>
      </c>
      <c r="V137" s="130">
        <v>80000</v>
      </c>
      <c r="W137" s="130">
        <v>0</v>
      </c>
      <c r="X137" s="130">
        <v>0</v>
      </c>
      <c r="Y137" s="130">
        <f t="shared" ref="Y137:Y141" si="284">SUM(V137:X137)</f>
        <v>80000</v>
      </c>
      <c r="Z137" s="130">
        <f t="shared" ref="Z137:Z141" si="285">U137+Y137</f>
        <v>0</v>
      </c>
      <c r="AA137" s="131">
        <f t="shared" ref="AA137:AA141" si="286">ROUND((U137+V137+W137)*33.8%,0)</f>
        <v>0</v>
      </c>
      <c r="AB137" s="131">
        <f t="shared" ref="AB137:AB141" si="287">ROUND(U137*2%,0)</f>
        <v>-1600</v>
      </c>
      <c r="AC137" s="130">
        <v>0</v>
      </c>
      <c r="AD137" s="130">
        <v>0</v>
      </c>
      <c r="AE137" s="130">
        <f t="shared" si="161"/>
        <v>0</v>
      </c>
      <c r="AF137" s="130">
        <f t="shared" si="162"/>
        <v>-1600</v>
      </c>
      <c r="AG137" s="132">
        <v>0</v>
      </c>
      <c r="AH137" s="132">
        <v>0</v>
      </c>
      <c r="AI137" s="132">
        <v>0</v>
      </c>
      <c r="AJ137" s="132">
        <v>0</v>
      </c>
      <c r="AK137" s="132">
        <v>0</v>
      </c>
      <c r="AL137" s="132">
        <f t="shared" si="163"/>
        <v>0</v>
      </c>
      <c r="AM137" s="132">
        <f>AH137+AK137</f>
        <v>0</v>
      </c>
      <c r="AN137" s="403">
        <f t="shared" si="164"/>
        <v>0</v>
      </c>
      <c r="AO137" s="128">
        <f t="shared" si="144"/>
        <v>34064105</v>
      </c>
      <c r="AP137" s="130">
        <f t="shared" si="145"/>
        <v>24381623</v>
      </c>
      <c r="AQ137" s="130">
        <f t="shared" si="146"/>
        <v>80000</v>
      </c>
      <c r="AR137" s="130">
        <f t="shared" si="147"/>
        <v>8268029</v>
      </c>
      <c r="AS137" s="130">
        <f t="shared" si="148"/>
        <v>487633</v>
      </c>
      <c r="AT137" s="130">
        <f t="shared" si="149"/>
        <v>846820</v>
      </c>
      <c r="AU137" s="132">
        <f t="shared" si="150"/>
        <v>46.035699999999999</v>
      </c>
      <c r="AV137" s="132">
        <f t="shared" si="151"/>
        <v>36.082599999999999</v>
      </c>
      <c r="AW137" s="133">
        <f t="shared" si="152"/>
        <v>9.9530999999999992</v>
      </c>
    </row>
    <row r="138" spans="1:49" ht="14.1" customHeight="1" x14ac:dyDescent="0.2">
      <c r="A138" s="124">
        <v>33</v>
      </c>
      <c r="B138" s="121">
        <v>2479</v>
      </c>
      <c r="C138" s="144">
        <v>600080340</v>
      </c>
      <c r="D138" s="121">
        <v>65100280</v>
      </c>
      <c r="E138" s="123" t="s">
        <v>640</v>
      </c>
      <c r="F138" s="124">
        <v>3113</v>
      </c>
      <c r="G138" s="143" t="s">
        <v>318</v>
      </c>
      <c r="H138" s="125" t="s">
        <v>284</v>
      </c>
      <c r="I138" s="126">
        <f t="shared" si="140"/>
        <v>0</v>
      </c>
      <c r="J138" s="29">
        <v>0</v>
      </c>
      <c r="K138" s="127">
        <f t="shared" si="155"/>
        <v>0</v>
      </c>
      <c r="L138" s="477">
        <f t="shared" si="156"/>
        <v>0</v>
      </c>
      <c r="M138" s="29">
        <v>0</v>
      </c>
      <c r="N138" s="390">
        <f t="shared" si="141"/>
        <v>0</v>
      </c>
      <c r="O138" s="349">
        <v>0</v>
      </c>
      <c r="P138" s="639">
        <v>0</v>
      </c>
      <c r="Q138" s="129">
        <f t="shared" si="142"/>
        <v>0</v>
      </c>
      <c r="R138" s="130">
        <f>2358423+117884</f>
        <v>2476307</v>
      </c>
      <c r="S138" s="130">
        <v>0</v>
      </c>
      <c r="T138" s="130">
        <v>0</v>
      </c>
      <c r="U138" s="130">
        <f t="shared" si="143"/>
        <v>2476307</v>
      </c>
      <c r="V138" s="130">
        <v>0</v>
      </c>
      <c r="W138" s="130">
        <v>0</v>
      </c>
      <c r="X138" s="130">
        <v>0</v>
      </c>
      <c r="Y138" s="130">
        <f t="shared" si="284"/>
        <v>0</v>
      </c>
      <c r="Z138" s="130">
        <f t="shared" si="285"/>
        <v>2476307</v>
      </c>
      <c r="AA138" s="131">
        <f t="shared" si="286"/>
        <v>836992</v>
      </c>
      <c r="AB138" s="131">
        <f t="shared" si="287"/>
        <v>49526</v>
      </c>
      <c r="AC138" s="130">
        <f>1500+6000</f>
        <v>7500</v>
      </c>
      <c r="AD138" s="130">
        <v>0</v>
      </c>
      <c r="AE138" s="130">
        <f t="shared" si="161"/>
        <v>7500</v>
      </c>
      <c r="AF138" s="130">
        <f t="shared" si="162"/>
        <v>3370325</v>
      </c>
      <c r="AG138" s="132">
        <v>0</v>
      </c>
      <c r="AH138" s="132">
        <v>0</v>
      </c>
      <c r="AI138" s="132">
        <v>7.06</v>
      </c>
      <c r="AJ138" s="132">
        <v>0</v>
      </c>
      <c r="AK138" s="132">
        <v>0</v>
      </c>
      <c r="AL138" s="132">
        <f t="shared" si="163"/>
        <v>7.06</v>
      </c>
      <c r="AM138" s="132">
        <f>AH138+AK138</f>
        <v>0</v>
      </c>
      <c r="AN138" s="403">
        <f t="shared" si="164"/>
        <v>7.06</v>
      </c>
      <c r="AO138" s="128">
        <f t="shared" si="144"/>
        <v>3370325</v>
      </c>
      <c r="AP138" s="130">
        <f t="shared" si="145"/>
        <v>2476307</v>
      </c>
      <c r="AQ138" s="130">
        <f t="shared" si="146"/>
        <v>0</v>
      </c>
      <c r="AR138" s="130">
        <f t="shared" si="147"/>
        <v>836992</v>
      </c>
      <c r="AS138" s="130">
        <f t="shared" si="148"/>
        <v>49526</v>
      </c>
      <c r="AT138" s="130">
        <f t="shared" si="149"/>
        <v>7500</v>
      </c>
      <c r="AU138" s="132">
        <f t="shared" si="150"/>
        <v>7.06</v>
      </c>
      <c r="AV138" s="132">
        <f t="shared" si="151"/>
        <v>7.06</v>
      </c>
      <c r="AW138" s="133">
        <f t="shared" si="152"/>
        <v>0</v>
      </c>
    </row>
    <row r="139" spans="1:49" ht="14.1" customHeight="1" x14ac:dyDescent="0.2">
      <c r="A139" s="124">
        <v>33</v>
      </c>
      <c r="B139" s="121">
        <v>2479</v>
      </c>
      <c r="C139" s="144">
        <v>600080340</v>
      </c>
      <c r="D139" s="121">
        <v>65100280</v>
      </c>
      <c r="E139" s="123" t="s">
        <v>640</v>
      </c>
      <c r="F139" s="124">
        <v>3141</v>
      </c>
      <c r="G139" s="123" t="s">
        <v>321</v>
      </c>
      <c r="H139" s="125" t="s">
        <v>284</v>
      </c>
      <c r="I139" s="126">
        <f t="shared" si="140"/>
        <v>3127899</v>
      </c>
      <c r="J139" s="666">
        <v>2280036</v>
      </c>
      <c r="K139" s="127">
        <f t="shared" ref="K139" si="288">ROUND(J139*33.8%,0)</f>
        <v>770652</v>
      </c>
      <c r="L139" s="477">
        <f t="shared" ref="L139" si="289">ROUND(J139*2%,0)</f>
        <v>45601</v>
      </c>
      <c r="M139" s="666">
        <v>31610</v>
      </c>
      <c r="N139" s="390">
        <f t="shared" si="141"/>
        <v>7.76</v>
      </c>
      <c r="O139" s="668">
        <v>0</v>
      </c>
      <c r="P139" s="667">
        <v>7.76</v>
      </c>
      <c r="Q139" s="129">
        <f t="shared" si="142"/>
        <v>-4960</v>
      </c>
      <c r="R139" s="130">
        <v>0</v>
      </c>
      <c r="S139" s="130">
        <v>0</v>
      </c>
      <c r="T139" s="130">
        <v>0</v>
      </c>
      <c r="U139" s="130">
        <f t="shared" si="143"/>
        <v>-4960</v>
      </c>
      <c r="V139" s="130">
        <v>4960</v>
      </c>
      <c r="W139" s="130">
        <v>0</v>
      </c>
      <c r="X139" s="130">
        <v>0</v>
      </c>
      <c r="Y139" s="130">
        <f t="shared" si="284"/>
        <v>4960</v>
      </c>
      <c r="Z139" s="130">
        <f t="shared" si="285"/>
        <v>0</v>
      </c>
      <c r="AA139" s="131">
        <f t="shared" si="286"/>
        <v>0</v>
      </c>
      <c r="AB139" s="131">
        <f t="shared" si="287"/>
        <v>-99</v>
      </c>
      <c r="AC139" s="130">
        <v>0</v>
      </c>
      <c r="AD139" s="130">
        <v>0</v>
      </c>
      <c r="AE139" s="130">
        <f t="shared" si="161"/>
        <v>0</v>
      </c>
      <c r="AF139" s="130">
        <f t="shared" si="162"/>
        <v>-99</v>
      </c>
      <c r="AG139" s="132">
        <v>0</v>
      </c>
      <c r="AH139" s="132">
        <v>0</v>
      </c>
      <c r="AI139" s="132">
        <v>0</v>
      </c>
      <c r="AJ139" s="132">
        <v>0</v>
      </c>
      <c r="AK139" s="132">
        <v>0</v>
      </c>
      <c r="AL139" s="132">
        <f t="shared" si="163"/>
        <v>0</v>
      </c>
      <c r="AM139" s="132">
        <f>AH139+AK139</f>
        <v>0</v>
      </c>
      <c r="AN139" s="403">
        <f t="shared" si="164"/>
        <v>0</v>
      </c>
      <c r="AO139" s="128">
        <f t="shared" si="144"/>
        <v>3127800</v>
      </c>
      <c r="AP139" s="130">
        <f t="shared" si="145"/>
        <v>2275076</v>
      </c>
      <c r="AQ139" s="130">
        <f t="shared" si="146"/>
        <v>4960</v>
      </c>
      <c r="AR139" s="130">
        <f t="shared" si="147"/>
        <v>770652</v>
      </c>
      <c r="AS139" s="130">
        <f t="shared" si="148"/>
        <v>45502</v>
      </c>
      <c r="AT139" s="130">
        <f t="shared" si="149"/>
        <v>31610</v>
      </c>
      <c r="AU139" s="132">
        <f t="shared" si="150"/>
        <v>7.76</v>
      </c>
      <c r="AV139" s="132">
        <f t="shared" si="151"/>
        <v>0</v>
      </c>
      <c r="AW139" s="133">
        <f t="shared" si="152"/>
        <v>7.76</v>
      </c>
    </row>
    <row r="140" spans="1:49" ht="14.1" customHeight="1" x14ac:dyDescent="0.2">
      <c r="A140" s="124">
        <v>33</v>
      </c>
      <c r="B140" s="121">
        <v>2479</v>
      </c>
      <c r="C140" s="144">
        <v>600080340</v>
      </c>
      <c r="D140" s="121">
        <v>65100280</v>
      </c>
      <c r="E140" s="123" t="s">
        <v>640</v>
      </c>
      <c r="F140" s="124">
        <v>3143</v>
      </c>
      <c r="G140" s="145" t="s">
        <v>635</v>
      </c>
      <c r="H140" s="125" t="s">
        <v>283</v>
      </c>
      <c r="I140" s="126">
        <f t="shared" si="140"/>
        <v>4139679</v>
      </c>
      <c r="J140" s="631">
        <v>3048365</v>
      </c>
      <c r="K140" s="127">
        <f t="shared" si="155"/>
        <v>1030347</v>
      </c>
      <c r="L140" s="477">
        <f t="shared" si="156"/>
        <v>60967</v>
      </c>
      <c r="M140" s="478">
        <v>0</v>
      </c>
      <c r="N140" s="390">
        <f t="shared" si="141"/>
        <v>6.2320000000000002</v>
      </c>
      <c r="O140" s="644">
        <v>6.2320000000000002</v>
      </c>
      <c r="P140" s="639">
        <v>0</v>
      </c>
      <c r="Q140" s="129">
        <f t="shared" si="142"/>
        <v>-1600</v>
      </c>
      <c r="R140" s="130">
        <v>0</v>
      </c>
      <c r="S140" s="130">
        <v>0</v>
      </c>
      <c r="T140" s="130">
        <v>0</v>
      </c>
      <c r="U140" s="130">
        <f t="shared" si="143"/>
        <v>-1600</v>
      </c>
      <c r="V140" s="130">
        <v>1600</v>
      </c>
      <c r="W140" s="130">
        <v>0</v>
      </c>
      <c r="X140" s="130">
        <v>0</v>
      </c>
      <c r="Y140" s="130">
        <f t="shared" si="284"/>
        <v>1600</v>
      </c>
      <c r="Z140" s="130">
        <f t="shared" si="285"/>
        <v>0</v>
      </c>
      <c r="AA140" s="131">
        <f t="shared" si="286"/>
        <v>0</v>
      </c>
      <c r="AB140" s="131">
        <f t="shared" si="287"/>
        <v>-32</v>
      </c>
      <c r="AC140" s="130">
        <v>0</v>
      </c>
      <c r="AD140" s="130">
        <v>0</v>
      </c>
      <c r="AE140" s="130">
        <f t="shared" si="161"/>
        <v>0</v>
      </c>
      <c r="AF140" s="130">
        <f t="shared" si="162"/>
        <v>-32</v>
      </c>
      <c r="AG140" s="132">
        <v>0</v>
      </c>
      <c r="AH140" s="132">
        <v>0</v>
      </c>
      <c r="AI140" s="132">
        <v>0</v>
      </c>
      <c r="AJ140" s="132">
        <v>0</v>
      </c>
      <c r="AK140" s="132">
        <v>0</v>
      </c>
      <c r="AL140" s="132">
        <f t="shared" si="163"/>
        <v>0</v>
      </c>
      <c r="AM140" s="132">
        <f>AH140+AK140</f>
        <v>0</v>
      </c>
      <c r="AN140" s="403">
        <f t="shared" si="164"/>
        <v>0</v>
      </c>
      <c r="AO140" s="128">
        <f t="shared" si="144"/>
        <v>4139647</v>
      </c>
      <c r="AP140" s="130">
        <f t="shared" si="145"/>
        <v>3046765</v>
      </c>
      <c r="AQ140" s="130">
        <f t="shared" si="146"/>
        <v>1600</v>
      </c>
      <c r="AR140" s="130">
        <f t="shared" si="147"/>
        <v>1030347</v>
      </c>
      <c r="AS140" s="130">
        <f t="shared" si="148"/>
        <v>60935</v>
      </c>
      <c r="AT140" s="130">
        <f t="shared" si="149"/>
        <v>0</v>
      </c>
      <c r="AU140" s="132">
        <f t="shared" si="150"/>
        <v>6.2320000000000002</v>
      </c>
      <c r="AV140" s="132">
        <f t="shared" si="151"/>
        <v>6.2320000000000002</v>
      </c>
      <c r="AW140" s="133">
        <f t="shared" si="152"/>
        <v>0</v>
      </c>
    </row>
    <row r="141" spans="1:49" ht="14.1" customHeight="1" x14ac:dyDescent="0.2">
      <c r="A141" s="124">
        <v>33</v>
      </c>
      <c r="B141" s="121">
        <v>2479</v>
      </c>
      <c r="C141" s="144">
        <v>600080340</v>
      </c>
      <c r="D141" s="121">
        <v>65100280</v>
      </c>
      <c r="E141" s="123" t="s">
        <v>640</v>
      </c>
      <c r="F141" s="124">
        <v>3143</v>
      </c>
      <c r="G141" s="145" t="s">
        <v>636</v>
      </c>
      <c r="H141" s="125" t="s">
        <v>284</v>
      </c>
      <c r="I141" s="126">
        <f t="shared" ref="I141:I204" si="290">SUM(J141:M141)</f>
        <v>140442</v>
      </c>
      <c r="J141" s="664">
        <v>99000</v>
      </c>
      <c r="K141" s="127">
        <f t="shared" si="155"/>
        <v>33462</v>
      </c>
      <c r="L141" s="477">
        <f t="shared" si="156"/>
        <v>1980</v>
      </c>
      <c r="M141" s="664">
        <v>6000</v>
      </c>
      <c r="N141" s="390">
        <f t="shared" ref="N141" si="291">O141+P141</f>
        <v>0.42</v>
      </c>
      <c r="O141" s="665">
        <v>0</v>
      </c>
      <c r="P141" s="667">
        <v>0.42</v>
      </c>
      <c r="Q141" s="129">
        <f t="shared" ref="Q141:Q204" si="292">V141*-1</f>
        <v>0</v>
      </c>
      <c r="R141" s="130">
        <v>0</v>
      </c>
      <c r="S141" s="130">
        <v>0</v>
      </c>
      <c r="T141" s="130">
        <v>0</v>
      </c>
      <c r="U141" s="130">
        <f t="shared" ref="U141:U204" si="293">SUM(Q141:T141)</f>
        <v>0</v>
      </c>
      <c r="V141" s="130">
        <v>0</v>
      </c>
      <c r="W141" s="130">
        <v>0</v>
      </c>
      <c r="X141" s="130">
        <v>0</v>
      </c>
      <c r="Y141" s="130">
        <f t="shared" si="284"/>
        <v>0</v>
      </c>
      <c r="Z141" s="130">
        <f t="shared" si="285"/>
        <v>0</v>
      </c>
      <c r="AA141" s="131">
        <f t="shared" si="286"/>
        <v>0</v>
      </c>
      <c r="AB141" s="131">
        <f t="shared" si="287"/>
        <v>0</v>
      </c>
      <c r="AC141" s="130">
        <v>0</v>
      </c>
      <c r="AD141" s="130">
        <v>0</v>
      </c>
      <c r="AE141" s="130">
        <f t="shared" si="161"/>
        <v>0</v>
      </c>
      <c r="AF141" s="130">
        <f t="shared" si="162"/>
        <v>0</v>
      </c>
      <c r="AG141" s="132">
        <v>0</v>
      </c>
      <c r="AH141" s="132">
        <v>0</v>
      </c>
      <c r="AI141" s="132">
        <v>0</v>
      </c>
      <c r="AJ141" s="132">
        <v>0</v>
      </c>
      <c r="AK141" s="132">
        <v>0</v>
      </c>
      <c r="AL141" s="132">
        <f t="shared" si="163"/>
        <v>0</v>
      </c>
      <c r="AM141" s="132">
        <f>AH141+AK141</f>
        <v>0</v>
      </c>
      <c r="AN141" s="403">
        <f t="shared" si="164"/>
        <v>0</v>
      </c>
      <c r="AO141" s="128">
        <f t="shared" ref="AO141:AO204" si="294">I141+AF141</f>
        <v>140442</v>
      </c>
      <c r="AP141" s="130">
        <f t="shared" ref="AP141:AP204" si="295">J141+U141</f>
        <v>99000</v>
      </c>
      <c r="AQ141" s="130">
        <f t="shared" ref="AQ141:AQ204" si="296">Y141</f>
        <v>0</v>
      </c>
      <c r="AR141" s="130">
        <f t="shared" ref="AR141:AR204" si="297">K141+AA141</f>
        <v>33462</v>
      </c>
      <c r="AS141" s="130">
        <f t="shared" ref="AS141:AS204" si="298">L141+AB141</f>
        <v>1980</v>
      </c>
      <c r="AT141" s="130">
        <f t="shared" ref="AT141:AT204" si="299">M141+AE141</f>
        <v>6000</v>
      </c>
      <c r="AU141" s="132">
        <f t="shared" ref="AU141:AU204" si="300">N141+AN141</f>
        <v>0.42</v>
      </c>
      <c r="AV141" s="132">
        <f t="shared" ref="AV141:AV204" si="301">O141+AL141</f>
        <v>0</v>
      </c>
      <c r="AW141" s="133">
        <f t="shared" ref="AW141:AW204" si="302">P141+AM141</f>
        <v>0.42</v>
      </c>
    </row>
    <row r="142" spans="1:49" ht="14.1" customHeight="1" x14ac:dyDescent="0.2">
      <c r="A142" s="137">
        <v>33</v>
      </c>
      <c r="B142" s="134">
        <v>2479</v>
      </c>
      <c r="C142" s="146">
        <v>600080340</v>
      </c>
      <c r="D142" s="134">
        <v>65100280</v>
      </c>
      <c r="E142" s="136" t="s">
        <v>641</v>
      </c>
      <c r="F142" s="137"/>
      <c r="G142" s="136"/>
      <c r="H142" s="138"/>
      <c r="I142" s="139">
        <f t="shared" ref="I142:P142" si="303">SUM(I137:I141)</f>
        <v>41473725</v>
      </c>
      <c r="J142" s="140">
        <f t="shared" si="303"/>
        <v>29889024</v>
      </c>
      <c r="K142" s="140">
        <f t="shared" si="303"/>
        <v>10102490</v>
      </c>
      <c r="L142" s="140">
        <f t="shared" si="303"/>
        <v>597781</v>
      </c>
      <c r="M142" s="140">
        <f t="shared" si="303"/>
        <v>884430</v>
      </c>
      <c r="N142" s="141">
        <f t="shared" si="303"/>
        <v>60.447699999999998</v>
      </c>
      <c r="O142" s="141">
        <f t="shared" si="303"/>
        <v>42.314599999999999</v>
      </c>
      <c r="P142" s="142">
        <f t="shared" si="303"/>
        <v>18.133099999999999</v>
      </c>
      <c r="Q142" s="342">
        <f t="shared" ref="Q142:AW142" si="304">SUM(Q137:Q141)</f>
        <v>-86560</v>
      </c>
      <c r="R142" s="140">
        <f t="shared" si="304"/>
        <v>2476307</v>
      </c>
      <c r="S142" s="140">
        <f t="shared" si="304"/>
        <v>0</v>
      </c>
      <c r="T142" s="140">
        <f t="shared" si="304"/>
        <v>0</v>
      </c>
      <c r="U142" s="140">
        <f t="shared" si="304"/>
        <v>2389747</v>
      </c>
      <c r="V142" s="140">
        <f t="shared" si="304"/>
        <v>86560</v>
      </c>
      <c r="W142" s="140">
        <f t="shared" si="304"/>
        <v>0</v>
      </c>
      <c r="X142" s="140">
        <f t="shared" si="304"/>
        <v>0</v>
      </c>
      <c r="Y142" s="140">
        <f t="shared" si="304"/>
        <v>86560</v>
      </c>
      <c r="Z142" s="140">
        <f t="shared" si="304"/>
        <v>2476307</v>
      </c>
      <c r="AA142" s="140">
        <f t="shared" si="304"/>
        <v>836992</v>
      </c>
      <c r="AB142" s="140">
        <f t="shared" si="304"/>
        <v>47795</v>
      </c>
      <c r="AC142" s="140">
        <f t="shared" si="304"/>
        <v>7500</v>
      </c>
      <c r="AD142" s="140">
        <f t="shared" si="304"/>
        <v>0</v>
      </c>
      <c r="AE142" s="140">
        <f t="shared" si="304"/>
        <v>7500</v>
      </c>
      <c r="AF142" s="140">
        <f t="shared" si="304"/>
        <v>3368594</v>
      </c>
      <c r="AG142" s="141">
        <f t="shared" si="304"/>
        <v>0</v>
      </c>
      <c r="AH142" s="141">
        <f t="shared" si="304"/>
        <v>0</v>
      </c>
      <c r="AI142" s="141">
        <f t="shared" si="304"/>
        <v>7.06</v>
      </c>
      <c r="AJ142" s="141">
        <f t="shared" si="304"/>
        <v>0</v>
      </c>
      <c r="AK142" s="141">
        <f t="shared" si="304"/>
        <v>0</v>
      </c>
      <c r="AL142" s="141">
        <f t="shared" si="304"/>
        <v>7.06</v>
      </c>
      <c r="AM142" s="141">
        <f t="shared" si="304"/>
        <v>0</v>
      </c>
      <c r="AN142" s="635">
        <f t="shared" si="304"/>
        <v>7.06</v>
      </c>
      <c r="AO142" s="139">
        <f t="shared" si="304"/>
        <v>44842319</v>
      </c>
      <c r="AP142" s="140">
        <f t="shared" si="304"/>
        <v>32278771</v>
      </c>
      <c r="AQ142" s="140">
        <f t="shared" si="304"/>
        <v>86560</v>
      </c>
      <c r="AR142" s="140">
        <f t="shared" si="304"/>
        <v>10939482</v>
      </c>
      <c r="AS142" s="140">
        <f t="shared" si="304"/>
        <v>645576</v>
      </c>
      <c r="AT142" s="140">
        <f t="shared" si="304"/>
        <v>891930</v>
      </c>
      <c r="AU142" s="141">
        <f t="shared" si="304"/>
        <v>67.5077</v>
      </c>
      <c r="AV142" s="141">
        <f t="shared" si="304"/>
        <v>49.374600000000001</v>
      </c>
      <c r="AW142" s="142">
        <f t="shared" si="304"/>
        <v>18.133099999999999</v>
      </c>
    </row>
    <row r="143" spans="1:49" ht="14.1" customHeight="1" x14ac:dyDescent="0.2">
      <c r="A143" s="124">
        <v>34</v>
      </c>
      <c r="B143" s="121">
        <v>2475</v>
      </c>
      <c r="C143" s="144">
        <v>600080331</v>
      </c>
      <c r="D143" s="121">
        <v>65642368</v>
      </c>
      <c r="E143" s="123" t="s">
        <v>642</v>
      </c>
      <c r="F143" s="124">
        <v>3113</v>
      </c>
      <c r="G143" s="123" t="s">
        <v>320</v>
      </c>
      <c r="H143" s="125" t="s">
        <v>283</v>
      </c>
      <c r="I143" s="126">
        <f t="shared" si="290"/>
        <v>35266275</v>
      </c>
      <c r="J143" s="127">
        <v>25348575</v>
      </c>
      <c r="K143" s="127">
        <v>8567819</v>
      </c>
      <c r="L143" s="477">
        <v>506971</v>
      </c>
      <c r="M143" s="127">
        <v>842910</v>
      </c>
      <c r="N143" s="390">
        <f t="shared" ref="N143:N204" si="305">O143+P143</f>
        <v>47.6218</v>
      </c>
      <c r="O143" s="390">
        <v>37.045999999999999</v>
      </c>
      <c r="P143" s="439">
        <v>10.575800000000001</v>
      </c>
      <c r="Q143" s="129">
        <f t="shared" si="292"/>
        <v>-200000</v>
      </c>
      <c r="R143" s="130">
        <v>0</v>
      </c>
      <c r="S143" s="130">
        <v>0</v>
      </c>
      <c r="T143" s="130">
        <v>0</v>
      </c>
      <c r="U143" s="130">
        <f t="shared" si="293"/>
        <v>-200000</v>
      </c>
      <c r="V143" s="130">
        <v>200000</v>
      </c>
      <c r="W143" s="130">
        <v>0</v>
      </c>
      <c r="X143" s="130">
        <v>0</v>
      </c>
      <c r="Y143" s="130">
        <f t="shared" ref="Y143:Y147" si="306">SUM(V143:X143)</f>
        <v>200000</v>
      </c>
      <c r="Z143" s="130">
        <f t="shared" ref="Z143:Z147" si="307">U143+Y143</f>
        <v>0</v>
      </c>
      <c r="AA143" s="131">
        <f t="shared" ref="AA143:AA147" si="308">ROUND((U143+V143+W143)*33.8%,0)</f>
        <v>0</v>
      </c>
      <c r="AB143" s="131">
        <f t="shared" ref="AB143:AB147" si="309">ROUND(U143*2%,0)</f>
        <v>-4000</v>
      </c>
      <c r="AC143" s="130">
        <v>0</v>
      </c>
      <c r="AD143" s="130">
        <v>0</v>
      </c>
      <c r="AE143" s="130">
        <f t="shared" si="161"/>
        <v>0</v>
      </c>
      <c r="AF143" s="130">
        <f t="shared" si="162"/>
        <v>-4000</v>
      </c>
      <c r="AG143" s="132">
        <v>-0.32</v>
      </c>
      <c r="AH143" s="132">
        <v>0</v>
      </c>
      <c r="AI143" s="132">
        <v>0</v>
      </c>
      <c r="AJ143" s="132">
        <v>0</v>
      </c>
      <c r="AK143" s="132">
        <v>0</v>
      </c>
      <c r="AL143" s="132">
        <f t="shared" si="163"/>
        <v>-0.32</v>
      </c>
      <c r="AM143" s="132">
        <f>AH143+AK143</f>
        <v>0</v>
      </c>
      <c r="AN143" s="403">
        <f t="shared" si="164"/>
        <v>-0.32</v>
      </c>
      <c r="AO143" s="128">
        <f t="shared" si="294"/>
        <v>35262275</v>
      </c>
      <c r="AP143" s="130">
        <f t="shared" si="295"/>
        <v>25148575</v>
      </c>
      <c r="AQ143" s="130">
        <f t="shared" si="296"/>
        <v>200000</v>
      </c>
      <c r="AR143" s="130">
        <f t="shared" si="297"/>
        <v>8567819</v>
      </c>
      <c r="AS143" s="130">
        <f t="shared" si="298"/>
        <v>502971</v>
      </c>
      <c r="AT143" s="130">
        <f t="shared" si="299"/>
        <v>842910</v>
      </c>
      <c r="AU143" s="132">
        <f t="shared" si="300"/>
        <v>47.3018</v>
      </c>
      <c r="AV143" s="132">
        <f t="shared" si="301"/>
        <v>36.725999999999999</v>
      </c>
      <c r="AW143" s="133">
        <f t="shared" si="302"/>
        <v>10.575800000000001</v>
      </c>
    </row>
    <row r="144" spans="1:49" ht="14.1" customHeight="1" x14ac:dyDescent="0.2">
      <c r="A144" s="124">
        <v>34</v>
      </c>
      <c r="B144" s="121">
        <v>2475</v>
      </c>
      <c r="C144" s="144">
        <v>600080331</v>
      </c>
      <c r="D144" s="121">
        <v>65642368</v>
      </c>
      <c r="E144" s="123" t="s">
        <v>642</v>
      </c>
      <c r="F144" s="124">
        <v>3113</v>
      </c>
      <c r="G144" s="143" t="s">
        <v>318</v>
      </c>
      <c r="H144" s="125" t="s">
        <v>284</v>
      </c>
      <c r="I144" s="126">
        <f t="shared" si="290"/>
        <v>0</v>
      </c>
      <c r="J144" s="29">
        <v>0</v>
      </c>
      <c r="K144" s="127">
        <f t="shared" ref="K144:K206" si="310">ROUND(J144*33.8%,0)</f>
        <v>0</v>
      </c>
      <c r="L144" s="477">
        <f t="shared" ref="L144:L206" si="311">ROUND(J144*2%,0)</f>
        <v>0</v>
      </c>
      <c r="M144" s="29">
        <v>0</v>
      </c>
      <c r="N144" s="390">
        <f t="shared" si="305"/>
        <v>0</v>
      </c>
      <c r="O144" s="349">
        <v>0</v>
      </c>
      <c r="P144" s="639">
        <v>0</v>
      </c>
      <c r="Q144" s="129">
        <f t="shared" si="292"/>
        <v>0</v>
      </c>
      <c r="R144" s="130">
        <f>2134763+19280</f>
        <v>2154043</v>
      </c>
      <c r="S144" s="130">
        <v>0</v>
      </c>
      <c r="T144" s="130">
        <v>0</v>
      </c>
      <c r="U144" s="130">
        <f t="shared" si="293"/>
        <v>2154043</v>
      </c>
      <c r="V144" s="130">
        <v>0</v>
      </c>
      <c r="W144" s="130">
        <v>0</v>
      </c>
      <c r="X144" s="130">
        <v>0</v>
      </c>
      <c r="Y144" s="130">
        <f t="shared" si="306"/>
        <v>0</v>
      </c>
      <c r="Z144" s="130">
        <f t="shared" si="307"/>
        <v>2154043</v>
      </c>
      <c r="AA144" s="131">
        <f t="shared" si="308"/>
        <v>728067</v>
      </c>
      <c r="AB144" s="131">
        <f t="shared" si="309"/>
        <v>43081</v>
      </c>
      <c r="AC144" s="130">
        <f>500+4000</f>
        <v>4500</v>
      </c>
      <c r="AD144" s="130">
        <v>0</v>
      </c>
      <c r="AE144" s="130">
        <f t="shared" si="161"/>
        <v>4500</v>
      </c>
      <c r="AF144" s="130">
        <f t="shared" si="162"/>
        <v>2929691</v>
      </c>
      <c r="AG144" s="132">
        <v>0</v>
      </c>
      <c r="AH144" s="132">
        <v>0</v>
      </c>
      <c r="AI144" s="132">
        <v>6.06</v>
      </c>
      <c r="AJ144" s="132">
        <v>0</v>
      </c>
      <c r="AK144" s="132">
        <v>0</v>
      </c>
      <c r="AL144" s="132">
        <f t="shared" si="163"/>
        <v>6.06</v>
      </c>
      <c r="AM144" s="132">
        <f>AH144+AK144</f>
        <v>0</v>
      </c>
      <c r="AN144" s="403">
        <f t="shared" si="164"/>
        <v>6.06</v>
      </c>
      <c r="AO144" s="128">
        <f t="shared" si="294"/>
        <v>2929691</v>
      </c>
      <c r="AP144" s="130">
        <f t="shared" si="295"/>
        <v>2154043</v>
      </c>
      <c r="AQ144" s="130">
        <f t="shared" si="296"/>
        <v>0</v>
      </c>
      <c r="AR144" s="130">
        <f t="shared" si="297"/>
        <v>728067</v>
      </c>
      <c r="AS144" s="130">
        <f t="shared" si="298"/>
        <v>43081</v>
      </c>
      <c r="AT144" s="130">
        <f t="shared" si="299"/>
        <v>4500</v>
      </c>
      <c r="AU144" s="132">
        <f t="shared" si="300"/>
        <v>6.06</v>
      </c>
      <c r="AV144" s="132">
        <f t="shared" si="301"/>
        <v>6.06</v>
      </c>
      <c r="AW144" s="133">
        <f t="shared" si="302"/>
        <v>0</v>
      </c>
    </row>
    <row r="145" spans="1:49" ht="14.1" customHeight="1" x14ac:dyDescent="0.2">
      <c r="A145" s="124">
        <v>34</v>
      </c>
      <c r="B145" s="121">
        <v>2475</v>
      </c>
      <c r="C145" s="144">
        <v>600080331</v>
      </c>
      <c r="D145" s="121">
        <v>65642368</v>
      </c>
      <c r="E145" s="123" t="s">
        <v>643</v>
      </c>
      <c r="F145" s="124">
        <v>3141</v>
      </c>
      <c r="G145" s="123" t="s">
        <v>321</v>
      </c>
      <c r="H145" s="125" t="s">
        <v>284</v>
      </c>
      <c r="I145" s="126">
        <f t="shared" si="290"/>
        <v>1338656</v>
      </c>
      <c r="J145" s="666">
        <v>969302</v>
      </c>
      <c r="K145" s="127">
        <f t="shared" si="310"/>
        <v>327624</v>
      </c>
      <c r="L145" s="477">
        <f t="shared" si="311"/>
        <v>19386</v>
      </c>
      <c r="M145" s="666">
        <v>22344</v>
      </c>
      <c r="N145" s="390">
        <f t="shared" si="305"/>
        <v>3.3</v>
      </c>
      <c r="O145" s="668">
        <v>0</v>
      </c>
      <c r="P145" s="667">
        <v>3.3</v>
      </c>
      <c r="Q145" s="129">
        <f t="shared" si="292"/>
        <v>-16000</v>
      </c>
      <c r="R145" s="130">
        <v>0</v>
      </c>
      <c r="S145" s="130">
        <v>0</v>
      </c>
      <c r="T145" s="130">
        <v>0</v>
      </c>
      <c r="U145" s="130">
        <f t="shared" si="293"/>
        <v>-16000</v>
      </c>
      <c r="V145" s="130">
        <v>16000</v>
      </c>
      <c r="W145" s="130">
        <v>0</v>
      </c>
      <c r="X145" s="130">
        <v>0</v>
      </c>
      <c r="Y145" s="130">
        <f t="shared" si="306"/>
        <v>16000</v>
      </c>
      <c r="Z145" s="130">
        <f t="shared" si="307"/>
        <v>0</v>
      </c>
      <c r="AA145" s="131">
        <f t="shared" si="308"/>
        <v>0</v>
      </c>
      <c r="AB145" s="131">
        <f t="shared" si="309"/>
        <v>-320</v>
      </c>
      <c r="AC145" s="130">
        <v>0</v>
      </c>
      <c r="AD145" s="130">
        <v>0</v>
      </c>
      <c r="AE145" s="130">
        <f t="shared" ref="AE145:AE209" si="312">SUM(AC145:AD145)</f>
        <v>0</v>
      </c>
      <c r="AF145" s="130">
        <f t="shared" ref="AF145:AF209" si="313">Z145+AA145+AB145+AE145</f>
        <v>-320</v>
      </c>
      <c r="AG145" s="132">
        <v>0</v>
      </c>
      <c r="AH145" s="132">
        <v>0</v>
      </c>
      <c r="AI145" s="132">
        <v>0</v>
      </c>
      <c r="AJ145" s="132">
        <v>0</v>
      </c>
      <c r="AK145" s="132">
        <v>0</v>
      </c>
      <c r="AL145" s="132">
        <f t="shared" ref="AL145:AL209" si="314">AG145+AI145+AJ145</f>
        <v>0</v>
      </c>
      <c r="AM145" s="132">
        <f>AH145+AK145</f>
        <v>0</v>
      </c>
      <c r="AN145" s="403">
        <f t="shared" ref="AN145:AN209" si="315">SUM(AL145:AM145)</f>
        <v>0</v>
      </c>
      <c r="AO145" s="128">
        <f t="shared" si="294"/>
        <v>1338336</v>
      </c>
      <c r="AP145" s="130">
        <f t="shared" si="295"/>
        <v>953302</v>
      </c>
      <c r="AQ145" s="130">
        <f t="shared" si="296"/>
        <v>16000</v>
      </c>
      <c r="AR145" s="130">
        <f t="shared" si="297"/>
        <v>327624</v>
      </c>
      <c r="AS145" s="130">
        <f t="shared" si="298"/>
        <v>19066</v>
      </c>
      <c r="AT145" s="130">
        <f t="shared" si="299"/>
        <v>22344</v>
      </c>
      <c r="AU145" s="132">
        <f t="shared" si="300"/>
        <v>3.3</v>
      </c>
      <c r="AV145" s="132">
        <f t="shared" si="301"/>
        <v>0</v>
      </c>
      <c r="AW145" s="133">
        <f t="shared" si="302"/>
        <v>3.3</v>
      </c>
    </row>
    <row r="146" spans="1:49" ht="14.1" customHeight="1" x14ac:dyDescent="0.2">
      <c r="A146" s="124">
        <v>34</v>
      </c>
      <c r="B146" s="121">
        <v>2475</v>
      </c>
      <c r="C146" s="144">
        <v>600080331</v>
      </c>
      <c r="D146" s="121">
        <v>65642368</v>
      </c>
      <c r="E146" s="123" t="s">
        <v>642</v>
      </c>
      <c r="F146" s="124">
        <v>3143</v>
      </c>
      <c r="G146" s="145" t="s">
        <v>635</v>
      </c>
      <c r="H146" s="125" t="s">
        <v>283</v>
      </c>
      <c r="I146" s="126">
        <f t="shared" si="290"/>
        <v>3847267</v>
      </c>
      <c r="J146" s="631">
        <v>2833039</v>
      </c>
      <c r="K146" s="127">
        <f t="shared" si="310"/>
        <v>957567</v>
      </c>
      <c r="L146" s="477">
        <f t="shared" si="311"/>
        <v>56661</v>
      </c>
      <c r="M146" s="478">
        <v>0</v>
      </c>
      <c r="N146" s="390">
        <f t="shared" si="305"/>
        <v>6.0170000000000003</v>
      </c>
      <c r="O146" s="644">
        <v>6.0170000000000003</v>
      </c>
      <c r="P146" s="639">
        <v>0</v>
      </c>
      <c r="Q146" s="129">
        <f t="shared" si="292"/>
        <v>0</v>
      </c>
      <c r="R146" s="130">
        <v>0</v>
      </c>
      <c r="S146" s="130">
        <v>0</v>
      </c>
      <c r="T146" s="130">
        <v>0</v>
      </c>
      <c r="U146" s="130">
        <f t="shared" si="293"/>
        <v>0</v>
      </c>
      <c r="V146" s="130">
        <v>0</v>
      </c>
      <c r="W146" s="130">
        <v>0</v>
      </c>
      <c r="X146" s="130">
        <v>0</v>
      </c>
      <c r="Y146" s="130">
        <f t="shared" si="306"/>
        <v>0</v>
      </c>
      <c r="Z146" s="130">
        <f t="shared" si="307"/>
        <v>0</v>
      </c>
      <c r="AA146" s="131">
        <f t="shared" si="308"/>
        <v>0</v>
      </c>
      <c r="AB146" s="131">
        <f t="shared" si="309"/>
        <v>0</v>
      </c>
      <c r="AC146" s="130">
        <v>0</v>
      </c>
      <c r="AD146" s="130">
        <v>0</v>
      </c>
      <c r="AE146" s="130">
        <f t="shared" si="312"/>
        <v>0</v>
      </c>
      <c r="AF146" s="130">
        <f t="shared" si="313"/>
        <v>0</v>
      </c>
      <c r="AG146" s="132">
        <v>0</v>
      </c>
      <c r="AH146" s="132">
        <v>0</v>
      </c>
      <c r="AI146" s="132">
        <v>0</v>
      </c>
      <c r="AJ146" s="132">
        <v>0</v>
      </c>
      <c r="AK146" s="132">
        <v>0</v>
      </c>
      <c r="AL146" s="132">
        <f t="shared" si="314"/>
        <v>0</v>
      </c>
      <c r="AM146" s="132">
        <f>AH146+AK146</f>
        <v>0</v>
      </c>
      <c r="AN146" s="403">
        <f t="shared" si="315"/>
        <v>0</v>
      </c>
      <c r="AO146" s="128">
        <f t="shared" si="294"/>
        <v>3847267</v>
      </c>
      <c r="AP146" s="130">
        <f t="shared" si="295"/>
        <v>2833039</v>
      </c>
      <c r="AQ146" s="130">
        <f t="shared" si="296"/>
        <v>0</v>
      </c>
      <c r="AR146" s="130">
        <f t="shared" si="297"/>
        <v>957567</v>
      </c>
      <c r="AS146" s="130">
        <f t="shared" si="298"/>
        <v>56661</v>
      </c>
      <c r="AT146" s="130">
        <f t="shared" si="299"/>
        <v>0</v>
      </c>
      <c r="AU146" s="132">
        <f t="shared" si="300"/>
        <v>6.0170000000000003</v>
      </c>
      <c r="AV146" s="132">
        <f t="shared" si="301"/>
        <v>6.0170000000000003</v>
      </c>
      <c r="AW146" s="133">
        <f t="shared" si="302"/>
        <v>0</v>
      </c>
    </row>
    <row r="147" spans="1:49" ht="14.1" customHeight="1" x14ac:dyDescent="0.2">
      <c r="A147" s="124">
        <v>34</v>
      </c>
      <c r="B147" s="121">
        <v>2475</v>
      </c>
      <c r="C147" s="144">
        <v>600080331</v>
      </c>
      <c r="D147" s="121">
        <v>65642368</v>
      </c>
      <c r="E147" s="123" t="s">
        <v>642</v>
      </c>
      <c r="F147" s="124">
        <v>3143</v>
      </c>
      <c r="G147" s="145" t="s">
        <v>636</v>
      </c>
      <c r="H147" s="125" t="s">
        <v>284</v>
      </c>
      <c r="I147" s="126">
        <f t="shared" si="290"/>
        <v>119376</v>
      </c>
      <c r="J147" s="664">
        <v>84150</v>
      </c>
      <c r="K147" s="127">
        <f t="shared" si="310"/>
        <v>28443</v>
      </c>
      <c r="L147" s="477">
        <f t="shared" si="311"/>
        <v>1683</v>
      </c>
      <c r="M147" s="664">
        <v>5100</v>
      </c>
      <c r="N147" s="390">
        <f t="shared" si="305"/>
        <v>0.35</v>
      </c>
      <c r="O147" s="665">
        <v>0</v>
      </c>
      <c r="P147" s="667">
        <v>0.35</v>
      </c>
      <c r="Q147" s="129">
        <f t="shared" si="292"/>
        <v>0</v>
      </c>
      <c r="R147" s="130">
        <v>0</v>
      </c>
      <c r="S147" s="130">
        <v>0</v>
      </c>
      <c r="T147" s="130">
        <v>0</v>
      </c>
      <c r="U147" s="130">
        <f t="shared" si="293"/>
        <v>0</v>
      </c>
      <c r="V147" s="130">
        <v>0</v>
      </c>
      <c r="W147" s="130">
        <v>0</v>
      </c>
      <c r="X147" s="130">
        <v>0</v>
      </c>
      <c r="Y147" s="130">
        <f t="shared" si="306"/>
        <v>0</v>
      </c>
      <c r="Z147" s="130">
        <f t="shared" si="307"/>
        <v>0</v>
      </c>
      <c r="AA147" s="131">
        <f t="shared" si="308"/>
        <v>0</v>
      </c>
      <c r="AB147" s="131">
        <f t="shared" si="309"/>
        <v>0</v>
      </c>
      <c r="AC147" s="130">
        <v>0</v>
      </c>
      <c r="AD147" s="130">
        <v>0</v>
      </c>
      <c r="AE147" s="130">
        <f t="shared" si="312"/>
        <v>0</v>
      </c>
      <c r="AF147" s="130">
        <f t="shared" si="313"/>
        <v>0</v>
      </c>
      <c r="AG147" s="132">
        <v>0</v>
      </c>
      <c r="AH147" s="132">
        <v>0</v>
      </c>
      <c r="AI147" s="132">
        <v>0</v>
      </c>
      <c r="AJ147" s="132">
        <v>0</v>
      </c>
      <c r="AK147" s="132">
        <v>0</v>
      </c>
      <c r="AL147" s="132">
        <f t="shared" si="314"/>
        <v>0</v>
      </c>
      <c r="AM147" s="132">
        <f>AH147+AK147</f>
        <v>0</v>
      </c>
      <c r="AN147" s="403">
        <f t="shared" si="315"/>
        <v>0</v>
      </c>
      <c r="AO147" s="128">
        <f t="shared" si="294"/>
        <v>119376</v>
      </c>
      <c r="AP147" s="130">
        <f t="shared" si="295"/>
        <v>84150</v>
      </c>
      <c r="AQ147" s="130">
        <f t="shared" si="296"/>
        <v>0</v>
      </c>
      <c r="AR147" s="130">
        <f t="shared" si="297"/>
        <v>28443</v>
      </c>
      <c r="AS147" s="130">
        <f t="shared" si="298"/>
        <v>1683</v>
      </c>
      <c r="AT147" s="130">
        <f t="shared" si="299"/>
        <v>5100</v>
      </c>
      <c r="AU147" s="132">
        <f t="shared" si="300"/>
        <v>0.35</v>
      </c>
      <c r="AV147" s="132">
        <f t="shared" si="301"/>
        <v>0</v>
      </c>
      <c r="AW147" s="133">
        <f t="shared" si="302"/>
        <v>0.35</v>
      </c>
    </row>
    <row r="148" spans="1:49" ht="14.1" customHeight="1" x14ac:dyDescent="0.2">
      <c r="A148" s="137">
        <v>34</v>
      </c>
      <c r="B148" s="134">
        <v>2475</v>
      </c>
      <c r="C148" s="146">
        <v>600080331</v>
      </c>
      <c r="D148" s="134">
        <v>65642368</v>
      </c>
      <c r="E148" s="136" t="s">
        <v>644</v>
      </c>
      <c r="F148" s="137"/>
      <c r="G148" s="136"/>
      <c r="H148" s="138"/>
      <c r="I148" s="139">
        <f t="shared" ref="I148:P148" si="316">SUM(I143:I147)</f>
        <v>40571574</v>
      </c>
      <c r="J148" s="140">
        <f t="shared" si="316"/>
        <v>29235066</v>
      </c>
      <c r="K148" s="140">
        <f t="shared" si="316"/>
        <v>9881453</v>
      </c>
      <c r="L148" s="140">
        <f t="shared" si="316"/>
        <v>584701</v>
      </c>
      <c r="M148" s="140">
        <f t="shared" si="316"/>
        <v>870354</v>
      </c>
      <c r="N148" s="141">
        <f t="shared" si="316"/>
        <v>57.288800000000002</v>
      </c>
      <c r="O148" s="141">
        <f t="shared" si="316"/>
        <v>43.063000000000002</v>
      </c>
      <c r="P148" s="142">
        <f t="shared" si="316"/>
        <v>14.225800000000001</v>
      </c>
      <c r="Q148" s="342">
        <f t="shared" ref="Q148:AW148" si="317">SUM(Q143:Q147)</f>
        <v>-216000</v>
      </c>
      <c r="R148" s="140">
        <f t="shared" si="317"/>
        <v>2154043</v>
      </c>
      <c r="S148" s="140">
        <f t="shared" si="317"/>
        <v>0</v>
      </c>
      <c r="T148" s="140">
        <f t="shared" si="317"/>
        <v>0</v>
      </c>
      <c r="U148" s="140">
        <f t="shared" si="317"/>
        <v>1938043</v>
      </c>
      <c r="V148" s="140">
        <f t="shared" si="317"/>
        <v>216000</v>
      </c>
      <c r="W148" s="140">
        <f t="shared" si="317"/>
        <v>0</v>
      </c>
      <c r="X148" s="140">
        <f t="shared" si="317"/>
        <v>0</v>
      </c>
      <c r="Y148" s="140">
        <f t="shared" si="317"/>
        <v>216000</v>
      </c>
      <c r="Z148" s="140">
        <f t="shared" si="317"/>
        <v>2154043</v>
      </c>
      <c r="AA148" s="140">
        <f t="shared" si="317"/>
        <v>728067</v>
      </c>
      <c r="AB148" s="140">
        <f t="shared" si="317"/>
        <v>38761</v>
      </c>
      <c r="AC148" s="140">
        <f t="shared" si="317"/>
        <v>4500</v>
      </c>
      <c r="AD148" s="140">
        <f t="shared" si="317"/>
        <v>0</v>
      </c>
      <c r="AE148" s="140">
        <f t="shared" si="317"/>
        <v>4500</v>
      </c>
      <c r="AF148" s="140">
        <f t="shared" si="317"/>
        <v>2925371</v>
      </c>
      <c r="AG148" s="141">
        <f t="shared" si="317"/>
        <v>-0.32</v>
      </c>
      <c r="AH148" s="141">
        <f t="shared" si="317"/>
        <v>0</v>
      </c>
      <c r="AI148" s="141">
        <f t="shared" si="317"/>
        <v>6.06</v>
      </c>
      <c r="AJ148" s="141">
        <f t="shared" si="317"/>
        <v>0</v>
      </c>
      <c r="AK148" s="141">
        <f t="shared" si="317"/>
        <v>0</v>
      </c>
      <c r="AL148" s="141">
        <f t="shared" si="317"/>
        <v>5.7399999999999993</v>
      </c>
      <c r="AM148" s="141">
        <f t="shared" si="317"/>
        <v>0</v>
      </c>
      <c r="AN148" s="635">
        <f t="shared" si="317"/>
        <v>5.7399999999999993</v>
      </c>
      <c r="AO148" s="139">
        <f t="shared" si="317"/>
        <v>43496945</v>
      </c>
      <c r="AP148" s="140">
        <f t="shared" si="317"/>
        <v>31173109</v>
      </c>
      <c r="AQ148" s="140">
        <f t="shared" si="317"/>
        <v>216000</v>
      </c>
      <c r="AR148" s="140">
        <f t="shared" si="317"/>
        <v>10609520</v>
      </c>
      <c r="AS148" s="140">
        <f t="shared" si="317"/>
        <v>623462</v>
      </c>
      <c r="AT148" s="140">
        <f t="shared" si="317"/>
        <v>874854</v>
      </c>
      <c r="AU148" s="141">
        <f t="shared" si="317"/>
        <v>63.028800000000004</v>
      </c>
      <c r="AV148" s="141">
        <f t="shared" si="317"/>
        <v>48.803000000000004</v>
      </c>
      <c r="AW148" s="142">
        <f t="shared" si="317"/>
        <v>14.225800000000001</v>
      </c>
    </row>
    <row r="149" spans="1:49" ht="14.1" customHeight="1" x14ac:dyDescent="0.2">
      <c r="A149" s="124">
        <v>35</v>
      </c>
      <c r="B149" s="121">
        <v>2476</v>
      </c>
      <c r="C149" s="144">
        <v>600080170</v>
      </c>
      <c r="D149" s="121">
        <v>64040364</v>
      </c>
      <c r="E149" s="123" t="s">
        <v>645</v>
      </c>
      <c r="F149" s="124">
        <v>3113</v>
      </c>
      <c r="G149" s="123" t="s">
        <v>320</v>
      </c>
      <c r="H149" s="125" t="s">
        <v>283</v>
      </c>
      <c r="I149" s="126">
        <f t="shared" si="290"/>
        <v>34549458</v>
      </c>
      <c r="J149" s="127">
        <v>24767119</v>
      </c>
      <c r="K149" s="127">
        <f t="shared" si="310"/>
        <v>8371286</v>
      </c>
      <c r="L149" s="477">
        <v>495343</v>
      </c>
      <c r="M149" s="127">
        <v>915710</v>
      </c>
      <c r="N149" s="390">
        <f t="shared" si="305"/>
        <v>48.071100000000001</v>
      </c>
      <c r="O149" s="390">
        <v>36.817999999999998</v>
      </c>
      <c r="P149" s="439">
        <v>11.2531</v>
      </c>
      <c r="Q149" s="129">
        <f t="shared" si="292"/>
        <v>-40000</v>
      </c>
      <c r="R149" s="130">
        <v>0</v>
      </c>
      <c r="S149" s="130">
        <v>0</v>
      </c>
      <c r="T149" s="130">
        <v>0</v>
      </c>
      <c r="U149" s="130">
        <f t="shared" si="293"/>
        <v>-40000</v>
      </c>
      <c r="V149" s="130">
        <v>40000</v>
      </c>
      <c r="W149" s="130">
        <v>0</v>
      </c>
      <c r="X149" s="130">
        <v>0</v>
      </c>
      <c r="Y149" s="130">
        <f t="shared" ref="Y149:Y153" si="318">SUM(V149:X149)</f>
        <v>40000</v>
      </c>
      <c r="Z149" s="130">
        <f t="shared" ref="Z149:Z153" si="319">U149+Y149</f>
        <v>0</v>
      </c>
      <c r="AA149" s="131">
        <f t="shared" ref="AA149:AA153" si="320">ROUND((U149+V149+W149)*33.8%,0)</f>
        <v>0</v>
      </c>
      <c r="AB149" s="131">
        <f t="shared" ref="AB149:AB153" si="321">ROUND(U149*2%,0)</f>
        <v>-800</v>
      </c>
      <c r="AC149" s="130">
        <v>0</v>
      </c>
      <c r="AD149" s="130">
        <v>0</v>
      </c>
      <c r="AE149" s="130">
        <f t="shared" si="312"/>
        <v>0</v>
      </c>
      <c r="AF149" s="130">
        <f t="shared" si="313"/>
        <v>-800</v>
      </c>
      <c r="AG149" s="132">
        <v>0</v>
      </c>
      <c r="AH149" s="132">
        <v>0</v>
      </c>
      <c r="AI149" s="132">
        <v>0</v>
      </c>
      <c r="AJ149" s="132">
        <v>0</v>
      </c>
      <c r="AK149" s="132">
        <v>0</v>
      </c>
      <c r="AL149" s="132">
        <f t="shared" si="314"/>
        <v>0</v>
      </c>
      <c r="AM149" s="132">
        <f>AH149+AK149</f>
        <v>0</v>
      </c>
      <c r="AN149" s="403">
        <f t="shared" si="315"/>
        <v>0</v>
      </c>
      <c r="AO149" s="128">
        <f t="shared" si="294"/>
        <v>34548658</v>
      </c>
      <c r="AP149" s="130">
        <f t="shared" si="295"/>
        <v>24727119</v>
      </c>
      <c r="AQ149" s="130">
        <f t="shared" si="296"/>
        <v>40000</v>
      </c>
      <c r="AR149" s="130">
        <f t="shared" si="297"/>
        <v>8371286</v>
      </c>
      <c r="AS149" s="130">
        <f t="shared" si="298"/>
        <v>494543</v>
      </c>
      <c r="AT149" s="130">
        <f t="shared" si="299"/>
        <v>915710</v>
      </c>
      <c r="AU149" s="132">
        <f t="shared" si="300"/>
        <v>48.071100000000001</v>
      </c>
      <c r="AV149" s="132">
        <f t="shared" si="301"/>
        <v>36.817999999999998</v>
      </c>
      <c r="AW149" s="133">
        <f t="shared" si="302"/>
        <v>11.2531</v>
      </c>
    </row>
    <row r="150" spans="1:49" ht="14.1" customHeight="1" x14ac:dyDescent="0.2">
      <c r="A150" s="124">
        <v>35</v>
      </c>
      <c r="B150" s="121">
        <v>2476</v>
      </c>
      <c r="C150" s="144">
        <v>600080170</v>
      </c>
      <c r="D150" s="121">
        <v>64040364</v>
      </c>
      <c r="E150" s="123" t="s">
        <v>645</v>
      </c>
      <c r="F150" s="124">
        <v>3113</v>
      </c>
      <c r="G150" s="143" t="s">
        <v>318</v>
      </c>
      <c r="H150" s="125" t="s">
        <v>284</v>
      </c>
      <c r="I150" s="126">
        <f t="shared" si="290"/>
        <v>0</v>
      </c>
      <c r="J150" s="29">
        <v>0</v>
      </c>
      <c r="K150" s="127">
        <f t="shared" si="310"/>
        <v>0</v>
      </c>
      <c r="L150" s="477">
        <f t="shared" si="311"/>
        <v>0</v>
      </c>
      <c r="M150" s="29">
        <v>0</v>
      </c>
      <c r="N150" s="390">
        <f t="shared" si="305"/>
        <v>0</v>
      </c>
      <c r="O150" s="349">
        <v>0</v>
      </c>
      <c r="P150" s="639">
        <v>0</v>
      </c>
      <c r="Q150" s="129">
        <f t="shared" si="292"/>
        <v>0</v>
      </c>
      <c r="R150" s="130">
        <f>4403970+2917</f>
        <v>4406887</v>
      </c>
      <c r="S150" s="130">
        <v>0</v>
      </c>
      <c r="T150" s="130">
        <v>0</v>
      </c>
      <c r="U150" s="130">
        <f t="shared" si="293"/>
        <v>4406887</v>
      </c>
      <c r="V150" s="130">
        <v>0</v>
      </c>
      <c r="W150" s="130">
        <v>0</v>
      </c>
      <c r="X150" s="130">
        <v>0</v>
      </c>
      <c r="Y150" s="130">
        <f t="shared" si="318"/>
        <v>0</v>
      </c>
      <c r="Z150" s="130">
        <f t="shared" si="319"/>
        <v>4406887</v>
      </c>
      <c r="AA150" s="131">
        <f t="shared" si="320"/>
        <v>1489528</v>
      </c>
      <c r="AB150" s="131">
        <f t="shared" si="321"/>
        <v>88138</v>
      </c>
      <c r="AC150" s="130">
        <v>1000</v>
      </c>
      <c r="AD150" s="130">
        <v>0</v>
      </c>
      <c r="AE150" s="130">
        <f t="shared" si="312"/>
        <v>1000</v>
      </c>
      <c r="AF150" s="130">
        <f t="shared" si="313"/>
        <v>5985553</v>
      </c>
      <c r="AG150" s="132">
        <v>0</v>
      </c>
      <c r="AH150" s="132">
        <v>0</v>
      </c>
      <c r="AI150" s="132">
        <v>12.8</v>
      </c>
      <c r="AJ150" s="132">
        <v>0</v>
      </c>
      <c r="AK150" s="132">
        <v>0</v>
      </c>
      <c r="AL150" s="132">
        <f t="shared" si="314"/>
        <v>12.8</v>
      </c>
      <c r="AM150" s="132">
        <f>AH150+AK150</f>
        <v>0</v>
      </c>
      <c r="AN150" s="403">
        <f t="shared" si="315"/>
        <v>12.8</v>
      </c>
      <c r="AO150" s="128">
        <f t="shared" si="294"/>
        <v>5985553</v>
      </c>
      <c r="AP150" s="130">
        <f t="shared" si="295"/>
        <v>4406887</v>
      </c>
      <c r="AQ150" s="130">
        <f t="shared" si="296"/>
        <v>0</v>
      </c>
      <c r="AR150" s="130">
        <f t="shared" si="297"/>
        <v>1489528</v>
      </c>
      <c r="AS150" s="130">
        <f t="shared" si="298"/>
        <v>88138</v>
      </c>
      <c r="AT150" s="130">
        <f t="shared" si="299"/>
        <v>1000</v>
      </c>
      <c r="AU150" s="132">
        <f t="shared" si="300"/>
        <v>12.8</v>
      </c>
      <c r="AV150" s="132">
        <f t="shared" si="301"/>
        <v>12.8</v>
      </c>
      <c r="AW150" s="133">
        <f t="shared" si="302"/>
        <v>0</v>
      </c>
    </row>
    <row r="151" spans="1:49" ht="14.1" customHeight="1" x14ac:dyDescent="0.2">
      <c r="A151" s="124">
        <v>35</v>
      </c>
      <c r="B151" s="121">
        <v>2476</v>
      </c>
      <c r="C151" s="144">
        <v>600080170</v>
      </c>
      <c r="D151" s="121">
        <v>64040364</v>
      </c>
      <c r="E151" s="123" t="s">
        <v>645</v>
      </c>
      <c r="F151" s="124">
        <v>3141</v>
      </c>
      <c r="G151" s="123" t="s">
        <v>321</v>
      </c>
      <c r="H151" s="125" t="s">
        <v>284</v>
      </c>
      <c r="I151" s="126">
        <f t="shared" si="290"/>
        <v>3261072</v>
      </c>
      <c r="J151" s="666">
        <v>2376863</v>
      </c>
      <c r="K151" s="127">
        <f t="shared" si="310"/>
        <v>803380</v>
      </c>
      <c r="L151" s="477">
        <f t="shared" si="311"/>
        <v>47537</v>
      </c>
      <c r="M151" s="666">
        <v>33292</v>
      </c>
      <c r="N151" s="390">
        <f t="shared" si="305"/>
        <v>8.08</v>
      </c>
      <c r="O151" s="668">
        <v>0</v>
      </c>
      <c r="P151" s="667">
        <v>8.08</v>
      </c>
      <c r="Q151" s="129">
        <f t="shared" si="292"/>
        <v>-16000</v>
      </c>
      <c r="R151" s="130">
        <v>0</v>
      </c>
      <c r="S151" s="130">
        <v>0</v>
      </c>
      <c r="T151" s="130">
        <v>288035</v>
      </c>
      <c r="U151" s="130">
        <f t="shared" si="293"/>
        <v>272035</v>
      </c>
      <c r="V151" s="130">
        <v>16000</v>
      </c>
      <c r="W151" s="130">
        <v>0</v>
      </c>
      <c r="X151" s="130">
        <v>0</v>
      </c>
      <c r="Y151" s="130">
        <f t="shared" si="318"/>
        <v>16000</v>
      </c>
      <c r="Z151" s="130">
        <f t="shared" si="319"/>
        <v>288035</v>
      </c>
      <c r="AA151" s="131">
        <f t="shared" si="320"/>
        <v>97356</v>
      </c>
      <c r="AB151" s="131">
        <f t="shared" si="321"/>
        <v>5441</v>
      </c>
      <c r="AC151" s="130">
        <v>0</v>
      </c>
      <c r="AD151" s="130">
        <v>5104</v>
      </c>
      <c r="AE151" s="130">
        <f t="shared" si="312"/>
        <v>5104</v>
      </c>
      <c r="AF151" s="130">
        <f t="shared" si="313"/>
        <v>395936</v>
      </c>
      <c r="AG151" s="132">
        <v>0</v>
      </c>
      <c r="AH151" s="132">
        <v>0</v>
      </c>
      <c r="AI151" s="132">
        <v>0</v>
      </c>
      <c r="AJ151" s="132">
        <v>0</v>
      </c>
      <c r="AK151" s="132">
        <v>0.98</v>
      </c>
      <c r="AL151" s="132">
        <f t="shared" si="314"/>
        <v>0</v>
      </c>
      <c r="AM151" s="132">
        <f>AH151+AK151</f>
        <v>0.98</v>
      </c>
      <c r="AN151" s="403">
        <f t="shared" si="315"/>
        <v>0.98</v>
      </c>
      <c r="AO151" s="128">
        <f t="shared" si="294"/>
        <v>3657008</v>
      </c>
      <c r="AP151" s="130">
        <f t="shared" si="295"/>
        <v>2648898</v>
      </c>
      <c r="AQ151" s="130">
        <f t="shared" si="296"/>
        <v>16000</v>
      </c>
      <c r="AR151" s="130">
        <f t="shared" si="297"/>
        <v>900736</v>
      </c>
      <c r="AS151" s="130">
        <f t="shared" si="298"/>
        <v>52978</v>
      </c>
      <c r="AT151" s="130">
        <f t="shared" si="299"/>
        <v>38396</v>
      </c>
      <c r="AU151" s="132">
        <f t="shared" si="300"/>
        <v>9.06</v>
      </c>
      <c r="AV151" s="132">
        <f t="shared" si="301"/>
        <v>0</v>
      </c>
      <c r="AW151" s="133">
        <f t="shared" si="302"/>
        <v>9.06</v>
      </c>
    </row>
    <row r="152" spans="1:49" ht="14.1" customHeight="1" x14ac:dyDescent="0.2">
      <c r="A152" s="124">
        <v>35</v>
      </c>
      <c r="B152" s="121">
        <v>2476</v>
      </c>
      <c r="C152" s="144">
        <v>600080170</v>
      </c>
      <c r="D152" s="121">
        <v>64040364</v>
      </c>
      <c r="E152" s="123" t="s">
        <v>645</v>
      </c>
      <c r="F152" s="124">
        <v>3143</v>
      </c>
      <c r="G152" s="145" t="s">
        <v>635</v>
      </c>
      <c r="H152" s="125" t="s">
        <v>283</v>
      </c>
      <c r="I152" s="126">
        <f t="shared" si="290"/>
        <v>4012898</v>
      </c>
      <c r="J152" s="631">
        <v>2955006</v>
      </c>
      <c r="K152" s="127">
        <f t="shared" si="310"/>
        <v>998792</v>
      </c>
      <c r="L152" s="477">
        <f t="shared" si="311"/>
        <v>59100</v>
      </c>
      <c r="M152" s="478">
        <v>0</v>
      </c>
      <c r="N152" s="390">
        <f t="shared" si="305"/>
        <v>6.0369999999999999</v>
      </c>
      <c r="O152" s="644">
        <v>6.0369999999999999</v>
      </c>
      <c r="P152" s="639">
        <v>0</v>
      </c>
      <c r="Q152" s="129">
        <f t="shared" si="292"/>
        <v>-16000</v>
      </c>
      <c r="R152" s="130">
        <v>0</v>
      </c>
      <c r="S152" s="130">
        <v>0</v>
      </c>
      <c r="T152" s="130">
        <v>0</v>
      </c>
      <c r="U152" s="130">
        <f t="shared" si="293"/>
        <v>-16000</v>
      </c>
      <c r="V152" s="130">
        <v>16000</v>
      </c>
      <c r="W152" s="130">
        <v>0</v>
      </c>
      <c r="X152" s="130">
        <v>0</v>
      </c>
      <c r="Y152" s="130">
        <f t="shared" si="318"/>
        <v>16000</v>
      </c>
      <c r="Z152" s="130">
        <f t="shared" si="319"/>
        <v>0</v>
      </c>
      <c r="AA152" s="131">
        <f t="shared" si="320"/>
        <v>0</v>
      </c>
      <c r="AB152" s="131">
        <f t="shared" si="321"/>
        <v>-320</v>
      </c>
      <c r="AC152" s="130">
        <v>0</v>
      </c>
      <c r="AD152" s="130">
        <v>0</v>
      </c>
      <c r="AE152" s="130">
        <f t="shared" si="312"/>
        <v>0</v>
      </c>
      <c r="AF152" s="130">
        <f t="shared" si="313"/>
        <v>-320</v>
      </c>
      <c r="AG152" s="132">
        <v>0</v>
      </c>
      <c r="AH152" s="132">
        <v>0</v>
      </c>
      <c r="AI152" s="132">
        <v>0</v>
      </c>
      <c r="AJ152" s="132">
        <v>0</v>
      </c>
      <c r="AK152" s="132">
        <v>0</v>
      </c>
      <c r="AL152" s="132">
        <f t="shared" si="314"/>
        <v>0</v>
      </c>
      <c r="AM152" s="132">
        <f>AH152+AK152</f>
        <v>0</v>
      </c>
      <c r="AN152" s="403">
        <f t="shared" si="315"/>
        <v>0</v>
      </c>
      <c r="AO152" s="128">
        <f t="shared" si="294"/>
        <v>4012578</v>
      </c>
      <c r="AP152" s="130">
        <f t="shared" si="295"/>
        <v>2939006</v>
      </c>
      <c r="AQ152" s="130">
        <f t="shared" si="296"/>
        <v>16000</v>
      </c>
      <c r="AR152" s="130">
        <f t="shared" si="297"/>
        <v>998792</v>
      </c>
      <c r="AS152" s="130">
        <f t="shared" si="298"/>
        <v>58780</v>
      </c>
      <c r="AT152" s="130">
        <f t="shared" si="299"/>
        <v>0</v>
      </c>
      <c r="AU152" s="132">
        <f t="shared" si="300"/>
        <v>6.0369999999999999</v>
      </c>
      <c r="AV152" s="132">
        <f t="shared" si="301"/>
        <v>6.0369999999999999</v>
      </c>
      <c r="AW152" s="133">
        <f t="shared" si="302"/>
        <v>0</v>
      </c>
    </row>
    <row r="153" spans="1:49" ht="14.1" customHeight="1" x14ac:dyDescent="0.2">
      <c r="A153" s="124">
        <v>35</v>
      </c>
      <c r="B153" s="121">
        <v>2476</v>
      </c>
      <c r="C153" s="144">
        <v>600080170</v>
      </c>
      <c r="D153" s="121">
        <v>64040364</v>
      </c>
      <c r="E153" s="123" t="s">
        <v>645</v>
      </c>
      <c r="F153" s="124">
        <v>3143</v>
      </c>
      <c r="G153" s="145" t="s">
        <v>636</v>
      </c>
      <c r="H153" s="125" t="s">
        <v>284</v>
      </c>
      <c r="I153" s="126">
        <f t="shared" si="290"/>
        <v>143954</v>
      </c>
      <c r="J153" s="664">
        <v>101475</v>
      </c>
      <c r="K153" s="127">
        <f t="shared" si="310"/>
        <v>34299</v>
      </c>
      <c r="L153" s="477">
        <f t="shared" si="311"/>
        <v>2030</v>
      </c>
      <c r="M153" s="664">
        <v>6150</v>
      </c>
      <c r="N153" s="390">
        <f t="shared" si="305"/>
        <v>0.43</v>
      </c>
      <c r="O153" s="665">
        <v>0</v>
      </c>
      <c r="P153" s="667">
        <v>0.43</v>
      </c>
      <c r="Q153" s="129">
        <f t="shared" si="292"/>
        <v>0</v>
      </c>
      <c r="R153" s="130">
        <v>0</v>
      </c>
      <c r="S153" s="130">
        <v>0</v>
      </c>
      <c r="T153" s="130">
        <v>0</v>
      </c>
      <c r="U153" s="130">
        <f t="shared" si="293"/>
        <v>0</v>
      </c>
      <c r="V153" s="130">
        <v>0</v>
      </c>
      <c r="W153" s="130">
        <v>0</v>
      </c>
      <c r="X153" s="130">
        <v>0</v>
      </c>
      <c r="Y153" s="130">
        <f t="shared" si="318"/>
        <v>0</v>
      </c>
      <c r="Z153" s="130">
        <f t="shared" si="319"/>
        <v>0</v>
      </c>
      <c r="AA153" s="131">
        <f t="shared" si="320"/>
        <v>0</v>
      </c>
      <c r="AB153" s="131">
        <f t="shared" si="321"/>
        <v>0</v>
      </c>
      <c r="AC153" s="130">
        <v>0</v>
      </c>
      <c r="AD153" s="130">
        <v>0</v>
      </c>
      <c r="AE153" s="130">
        <f t="shared" si="312"/>
        <v>0</v>
      </c>
      <c r="AF153" s="130">
        <f t="shared" si="313"/>
        <v>0</v>
      </c>
      <c r="AG153" s="132">
        <v>0</v>
      </c>
      <c r="AH153" s="132">
        <v>0</v>
      </c>
      <c r="AI153" s="132">
        <v>0</v>
      </c>
      <c r="AJ153" s="132">
        <v>0</v>
      </c>
      <c r="AK153" s="132">
        <v>0</v>
      </c>
      <c r="AL153" s="132">
        <f t="shared" si="314"/>
        <v>0</v>
      </c>
      <c r="AM153" s="132">
        <f>AH153+AK153</f>
        <v>0</v>
      </c>
      <c r="AN153" s="403">
        <f t="shared" si="315"/>
        <v>0</v>
      </c>
      <c r="AO153" s="128">
        <f t="shared" si="294"/>
        <v>143954</v>
      </c>
      <c r="AP153" s="130">
        <f t="shared" si="295"/>
        <v>101475</v>
      </c>
      <c r="AQ153" s="130">
        <f t="shared" si="296"/>
        <v>0</v>
      </c>
      <c r="AR153" s="130">
        <f t="shared" si="297"/>
        <v>34299</v>
      </c>
      <c r="AS153" s="130">
        <f t="shared" si="298"/>
        <v>2030</v>
      </c>
      <c r="AT153" s="130">
        <f t="shared" si="299"/>
        <v>6150</v>
      </c>
      <c r="AU153" s="132">
        <f t="shared" si="300"/>
        <v>0.43</v>
      </c>
      <c r="AV153" s="132">
        <f t="shared" si="301"/>
        <v>0</v>
      </c>
      <c r="AW153" s="133">
        <f t="shared" si="302"/>
        <v>0.43</v>
      </c>
    </row>
    <row r="154" spans="1:49" ht="14.1" customHeight="1" x14ac:dyDescent="0.2">
      <c r="A154" s="137">
        <v>35</v>
      </c>
      <c r="B154" s="134">
        <v>2476</v>
      </c>
      <c r="C154" s="146">
        <v>600080170</v>
      </c>
      <c r="D154" s="134">
        <v>64040364</v>
      </c>
      <c r="E154" s="136" t="s">
        <v>646</v>
      </c>
      <c r="F154" s="137"/>
      <c r="G154" s="136"/>
      <c r="H154" s="138"/>
      <c r="I154" s="139">
        <f t="shared" ref="I154:P154" si="322">SUM(I149:I153)</f>
        <v>41967382</v>
      </c>
      <c r="J154" s="140">
        <f t="shared" si="322"/>
        <v>30200463</v>
      </c>
      <c r="K154" s="140">
        <f t="shared" si="322"/>
        <v>10207757</v>
      </c>
      <c r="L154" s="140">
        <f t="shared" si="322"/>
        <v>604010</v>
      </c>
      <c r="M154" s="140">
        <f t="shared" si="322"/>
        <v>955152</v>
      </c>
      <c r="N154" s="141">
        <f t="shared" si="322"/>
        <v>62.618099999999998</v>
      </c>
      <c r="O154" s="141">
        <f t="shared" si="322"/>
        <v>42.854999999999997</v>
      </c>
      <c r="P154" s="142">
        <f t="shared" si="322"/>
        <v>19.763100000000001</v>
      </c>
      <c r="Q154" s="342">
        <f t="shared" ref="Q154:AW154" si="323">SUM(Q149:Q153)</f>
        <v>-72000</v>
      </c>
      <c r="R154" s="140">
        <f t="shared" si="323"/>
        <v>4406887</v>
      </c>
      <c r="S154" s="140">
        <f t="shared" si="323"/>
        <v>0</v>
      </c>
      <c r="T154" s="140">
        <f t="shared" si="323"/>
        <v>288035</v>
      </c>
      <c r="U154" s="140">
        <f t="shared" si="323"/>
        <v>4622922</v>
      </c>
      <c r="V154" s="140">
        <f t="shared" si="323"/>
        <v>72000</v>
      </c>
      <c r="W154" s="140">
        <f t="shared" si="323"/>
        <v>0</v>
      </c>
      <c r="X154" s="140">
        <f t="shared" si="323"/>
        <v>0</v>
      </c>
      <c r="Y154" s="140">
        <f t="shared" si="323"/>
        <v>72000</v>
      </c>
      <c r="Z154" s="140">
        <f t="shared" si="323"/>
        <v>4694922</v>
      </c>
      <c r="AA154" s="140">
        <f t="shared" si="323"/>
        <v>1586884</v>
      </c>
      <c r="AB154" s="140">
        <f t="shared" si="323"/>
        <v>92459</v>
      </c>
      <c r="AC154" s="140">
        <f t="shared" si="323"/>
        <v>1000</v>
      </c>
      <c r="AD154" s="140">
        <f t="shared" si="323"/>
        <v>5104</v>
      </c>
      <c r="AE154" s="140">
        <f t="shared" si="323"/>
        <v>6104</v>
      </c>
      <c r="AF154" s="140">
        <f t="shared" si="323"/>
        <v>6380369</v>
      </c>
      <c r="AG154" s="141">
        <f t="shared" si="323"/>
        <v>0</v>
      </c>
      <c r="AH154" s="141">
        <f t="shared" si="323"/>
        <v>0</v>
      </c>
      <c r="AI154" s="141">
        <f t="shared" si="323"/>
        <v>12.8</v>
      </c>
      <c r="AJ154" s="141">
        <f t="shared" si="323"/>
        <v>0</v>
      </c>
      <c r="AK154" s="141">
        <f t="shared" si="323"/>
        <v>0.98</v>
      </c>
      <c r="AL154" s="141">
        <f t="shared" si="323"/>
        <v>12.8</v>
      </c>
      <c r="AM154" s="141">
        <f t="shared" si="323"/>
        <v>0.98</v>
      </c>
      <c r="AN154" s="635">
        <f t="shared" si="323"/>
        <v>13.780000000000001</v>
      </c>
      <c r="AO154" s="139">
        <f t="shared" si="323"/>
        <v>48347751</v>
      </c>
      <c r="AP154" s="140">
        <f t="shared" si="323"/>
        <v>34823385</v>
      </c>
      <c r="AQ154" s="140">
        <f t="shared" si="323"/>
        <v>72000</v>
      </c>
      <c r="AR154" s="140">
        <f t="shared" si="323"/>
        <v>11794641</v>
      </c>
      <c r="AS154" s="140">
        <f t="shared" si="323"/>
        <v>696469</v>
      </c>
      <c r="AT154" s="140">
        <f t="shared" si="323"/>
        <v>961256</v>
      </c>
      <c r="AU154" s="141">
        <f t="shared" si="323"/>
        <v>76.398100000000014</v>
      </c>
      <c r="AV154" s="141">
        <f t="shared" si="323"/>
        <v>55.654999999999994</v>
      </c>
      <c r="AW154" s="142">
        <f t="shared" si="323"/>
        <v>20.743099999999998</v>
      </c>
    </row>
    <row r="155" spans="1:49" ht="14.1" customHeight="1" x14ac:dyDescent="0.2">
      <c r="A155" s="124">
        <v>36</v>
      </c>
      <c r="B155" s="121">
        <v>2477</v>
      </c>
      <c r="C155" s="144">
        <v>600079872</v>
      </c>
      <c r="D155" s="121">
        <v>68975147</v>
      </c>
      <c r="E155" s="123" t="s">
        <v>647</v>
      </c>
      <c r="F155" s="124">
        <v>3113</v>
      </c>
      <c r="G155" s="123" t="s">
        <v>320</v>
      </c>
      <c r="H155" s="125" t="s">
        <v>283</v>
      </c>
      <c r="I155" s="126">
        <f t="shared" si="290"/>
        <v>41360122</v>
      </c>
      <c r="J155" s="127">
        <v>29720525</v>
      </c>
      <c r="K155" s="127">
        <f t="shared" si="310"/>
        <v>10045537</v>
      </c>
      <c r="L155" s="477">
        <v>594410</v>
      </c>
      <c r="M155" s="127">
        <v>999650</v>
      </c>
      <c r="N155" s="390">
        <f t="shared" si="305"/>
        <v>54.948900000000002</v>
      </c>
      <c r="O155" s="390">
        <v>43.863300000000002</v>
      </c>
      <c r="P155" s="439">
        <v>11.085599999999999</v>
      </c>
      <c r="Q155" s="129">
        <f t="shared" si="292"/>
        <v>-40000</v>
      </c>
      <c r="R155" s="130">
        <v>0</v>
      </c>
      <c r="S155" s="130">
        <v>0</v>
      </c>
      <c r="T155" s="130">
        <v>0</v>
      </c>
      <c r="U155" s="130">
        <f t="shared" si="293"/>
        <v>-40000</v>
      </c>
      <c r="V155" s="130">
        <v>40000</v>
      </c>
      <c r="W155" s="130">
        <v>0</v>
      </c>
      <c r="X155" s="130">
        <v>0</v>
      </c>
      <c r="Y155" s="130">
        <f t="shared" ref="Y155:Y158" si="324">SUM(V155:X155)</f>
        <v>40000</v>
      </c>
      <c r="Z155" s="130">
        <f t="shared" ref="Z155:Z158" si="325">U155+Y155</f>
        <v>0</v>
      </c>
      <c r="AA155" s="131">
        <f t="shared" ref="AA155:AA158" si="326">ROUND((U155+V155+W155)*33.8%,0)</f>
        <v>0</v>
      </c>
      <c r="AB155" s="131">
        <f t="shared" ref="AB155:AB158" si="327">ROUND(U155*2%,0)</f>
        <v>-800</v>
      </c>
      <c r="AC155" s="130">
        <v>0</v>
      </c>
      <c r="AD155" s="130">
        <v>0</v>
      </c>
      <c r="AE155" s="130">
        <f t="shared" si="312"/>
        <v>0</v>
      </c>
      <c r="AF155" s="130">
        <f t="shared" si="313"/>
        <v>-800</v>
      </c>
      <c r="AG155" s="132">
        <v>-0.05</v>
      </c>
      <c r="AH155" s="132">
        <v>0</v>
      </c>
      <c r="AI155" s="132">
        <v>0</v>
      </c>
      <c r="AJ155" s="132">
        <v>0</v>
      </c>
      <c r="AK155" s="132">
        <v>0</v>
      </c>
      <c r="AL155" s="132">
        <f t="shared" si="314"/>
        <v>-0.05</v>
      </c>
      <c r="AM155" s="132">
        <f>AH155+AK155</f>
        <v>0</v>
      </c>
      <c r="AN155" s="403">
        <f t="shared" si="315"/>
        <v>-0.05</v>
      </c>
      <c r="AO155" s="128">
        <f t="shared" si="294"/>
        <v>41359322</v>
      </c>
      <c r="AP155" s="130">
        <f t="shared" si="295"/>
        <v>29680525</v>
      </c>
      <c r="AQ155" s="130">
        <f t="shared" si="296"/>
        <v>40000</v>
      </c>
      <c r="AR155" s="130">
        <f t="shared" si="297"/>
        <v>10045537</v>
      </c>
      <c r="AS155" s="130">
        <f t="shared" si="298"/>
        <v>593610</v>
      </c>
      <c r="AT155" s="130">
        <f t="shared" si="299"/>
        <v>999650</v>
      </c>
      <c r="AU155" s="132">
        <f t="shared" si="300"/>
        <v>54.898900000000005</v>
      </c>
      <c r="AV155" s="132">
        <f t="shared" si="301"/>
        <v>43.813300000000005</v>
      </c>
      <c r="AW155" s="133">
        <f t="shared" si="302"/>
        <v>11.085599999999999</v>
      </c>
    </row>
    <row r="156" spans="1:49" ht="14.1" customHeight="1" x14ac:dyDescent="0.2">
      <c r="A156" s="124">
        <v>36</v>
      </c>
      <c r="B156" s="121">
        <v>2477</v>
      </c>
      <c r="C156" s="144">
        <v>600079872</v>
      </c>
      <c r="D156" s="121">
        <v>68975147</v>
      </c>
      <c r="E156" s="123" t="s">
        <v>647</v>
      </c>
      <c r="F156" s="124">
        <v>3113</v>
      </c>
      <c r="G156" s="143" t="s">
        <v>318</v>
      </c>
      <c r="H156" s="125" t="s">
        <v>284</v>
      </c>
      <c r="I156" s="126">
        <f t="shared" si="290"/>
        <v>0</v>
      </c>
      <c r="J156" s="29">
        <v>0</v>
      </c>
      <c r="K156" s="127">
        <f t="shared" si="310"/>
        <v>0</v>
      </c>
      <c r="L156" s="477">
        <f t="shared" si="311"/>
        <v>0</v>
      </c>
      <c r="M156" s="29">
        <v>0</v>
      </c>
      <c r="N156" s="390">
        <f t="shared" si="305"/>
        <v>0</v>
      </c>
      <c r="O156" s="349">
        <v>0</v>
      </c>
      <c r="P156" s="639">
        <v>0</v>
      </c>
      <c r="Q156" s="129">
        <f t="shared" si="292"/>
        <v>0</v>
      </c>
      <c r="R156" s="130">
        <v>1919621</v>
      </c>
      <c r="S156" s="130">
        <v>0</v>
      </c>
      <c r="T156" s="130">
        <v>0</v>
      </c>
      <c r="U156" s="130">
        <f t="shared" si="293"/>
        <v>1919621</v>
      </c>
      <c r="V156" s="130">
        <v>0</v>
      </c>
      <c r="W156" s="130">
        <v>0</v>
      </c>
      <c r="X156" s="130">
        <v>0</v>
      </c>
      <c r="Y156" s="130">
        <f t="shared" si="324"/>
        <v>0</v>
      </c>
      <c r="Z156" s="130">
        <f t="shared" si="325"/>
        <v>1919621</v>
      </c>
      <c r="AA156" s="131">
        <f t="shared" si="326"/>
        <v>648832</v>
      </c>
      <c r="AB156" s="131">
        <f t="shared" si="327"/>
        <v>38392</v>
      </c>
      <c r="AC156" s="130">
        <v>0</v>
      </c>
      <c r="AD156" s="130">
        <v>0</v>
      </c>
      <c r="AE156" s="130">
        <f t="shared" si="312"/>
        <v>0</v>
      </c>
      <c r="AF156" s="130">
        <f t="shared" si="313"/>
        <v>2606845</v>
      </c>
      <c r="AG156" s="132">
        <v>0</v>
      </c>
      <c r="AH156" s="132">
        <v>0</v>
      </c>
      <c r="AI156" s="132">
        <v>5.38</v>
      </c>
      <c r="AJ156" s="132">
        <v>0</v>
      </c>
      <c r="AK156" s="132">
        <v>0</v>
      </c>
      <c r="AL156" s="132">
        <f t="shared" si="314"/>
        <v>5.38</v>
      </c>
      <c r="AM156" s="132">
        <f>AH156+AK156</f>
        <v>0</v>
      </c>
      <c r="AN156" s="403">
        <f t="shared" si="315"/>
        <v>5.38</v>
      </c>
      <c r="AO156" s="128">
        <f t="shared" si="294"/>
        <v>2606845</v>
      </c>
      <c r="AP156" s="130">
        <f t="shared" si="295"/>
        <v>1919621</v>
      </c>
      <c r="AQ156" s="130">
        <f t="shared" si="296"/>
        <v>0</v>
      </c>
      <c r="AR156" s="130">
        <f t="shared" si="297"/>
        <v>648832</v>
      </c>
      <c r="AS156" s="130">
        <f t="shared" si="298"/>
        <v>38392</v>
      </c>
      <c r="AT156" s="130">
        <f t="shared" si="299"/>
        <v>0</v>
      </c>
      <c r="AU156" s="132">
        <f t="shared" si="300"/>
        <v>5.38</v>
      </c>
      <c r="AV156" s="132">
        <f t="shared" si="301"/>
        <v>5.38</v>
      </c>
      <c r="AW156" s="133">
        <f t="shared" si="302"/>
        <v>0</v>
      </c>
    </row>
    <row r="157" spans="1:49" ht="14.1" customHeight="1" x14ac:dyDescent="0.2">
      <c r="A157" s="124">
        <v>36</v>
      </c>
      <c r="B157" s="121">
        <v>2477</v>
      </c>
      <c r="C157" s="144">
        <v>600079872</v>
      </c>
      <c r="D157" s="121">
        <v>68975147</v>
      </c>
      <c r="E157" s="123" t="s">
        <v>647</v>
      </c>
      <c r="F157" s="124">
        <v>3143</v>
      </c>
      <c r="G157" s="145" t="s">
        <v>635</v>
      </c>
      <c r="H157" s="125" t="s">
        <v>283</v>
      </c>
      <c r="I157" s="126">
        <f t="shared" si="290"/>
        <v>4037045</v>
      </c>
      <c r="J157" s="631">
        <v>2972787</v>
      </c>
      <c r="K157" s="127">
        <f t="shared" si="310"/>
        <v>1004802</v>
      </c>
      <c r="L157" s="477">
        <f t="shared" si="311"/>
        <v>59456</v>
      </c>
      <c r="M157" s="478">
        <v>0</v>
      </c>
      <c r="N157" s="390">
        <f t="shared" si="305"/>
        <v>6.1429</v>
      </c>
      <c r="O157" s="644">
        <v>6.1429</v>
      </c>
      <c r="P157" s="639">
        <v>0</v>
      </c>
      <c r="Q157" s="129">
        <f t="shared" si="292"/>
        <v>0</v>
      </c>
      <c r="R157" s="130">
        <v>0</v>
      </c>
      <c r="S157" s="130">
        <v>0</v>
      </c>
      <c r="T157" s="130">
        <v>0</v>
      </c>
      <c r="U157" s="130">
        <f t="shared" si="293"/>
        <v>0</v>
      </c>
      <c r="V157" s="130">
        <v>0</v>
      </c>
      <c r="W157" s="130">
        <v>0</v>
      </c>
      <c r="X157" s="130">
        <v>0</v>
      </c>
      <c r="Y157" s="130">
        <f t="shared" si="324"/>
        <v>0</v>
      </c>
      <c r="Z157" s="130">
        <f t="shared" si="325"/>
        <v>0</v>
      </c>
      <c r="AA157" s="131">
        <f t="shared" si="326"/>
        <v>0</v>
      </c>
      <c r="AB157" s="131">
        <f t="shared" si="327"/>
        <v>0</v>
      </c>
      <c r="AC157" s="130">
        <v>0</v>
      </c>
      <c r="AD157" s="130">
        <v>0</v>
      </c>
      <c r="AE157" s="130">
        <f t="shared" si="312"/>
        <v>0</v>
      </c>
      <c r="AF157" s="130">
        <f t="shared" si="313"/>
        <v>0</v>
      </c>
      <c r="AG157" s="132">
        <v>0</v>
      </c>
      <c r="AH157" s="132">
        <v>0</v>
      </c>
      <c r="AI157" s="132">
        <v>0</v>
      </c>
      <c r="AJ157" s="132">
        <v>0</v>
      </c>
      <c r="AK157" s="132">
        <v>0</v>
      </c>
      <c r="AL157" s="132">
        <f t="shared" si="314"/>
        <v>0</v>
      </c>
      <c r="AM157" s="132">
        <f>AH157+AK157</f>
        <v>0</v>
      </c>
      <c r="AN157" s="403">
        <f t="shared" si="315"/>
        <v>0</v>
      </c>
      <c r="AO157" s="128">
        <f t="shared" si="294"/>
        <v>4037045</v>
      </c>
      <c r="AP157" s="130">
        <f t="shared" si="295"/>
        <v>2972787</v>
      </c>
      <c r="AQ157" s="130">
        <f t="shared" si="296"/>
        <v>0</v>
      </c>
      <c r="AR157" s="130">
        <f t="shared" si="297"/>
        <v>1004802</v>
      </c>
      <c r="AS157" s="130">
        <f t="shared" si="298"/>
        <v>59456</v>
      </c>
      <c r="AT157" s="130">
        <f t="shared" si="299"/>
        <v>0</v>
      </c>
      <c r="AU157" s="132">
        <f t="shared" si="300"/>
        <v>6.1429</v>
      </c>
      <c r="AV157" s="132">
        <f t="shared" si="301"/>
        <v>6.1429</v>
      </c>
      <c r="AW157" s="133">
        <f t="shared" si="302"/>
        <v>0</v>
      </c>
    </row>
    <row r="158" spans="1:49" ht="14.1" customHeight="1" x14ac:dyDescent="0.2">
      <c r="A158" s="124">
        <v>36</v>
      </c>
      <c r="B158" s="121">
        <v>2477</v>
      </c>
      <c r="C158" s="144">
        <v>600079872</v>
      </c>
      <c r="D158" s="121">
        <v>68975147</v>
      </c>
      <c r="E158" s="123" t="s">
        <v>647</v>
      </c>
      <c r="F158" s="124">
        <v>3143</v>
      </c>
      <c r="G158" s="145" t="s">
        <v>636</v>
      </c>
      <c r="H158" s="125" t="s">
        <v>284</v>
      </c>
      <c r="I158" s="126">
        <f t="shared" si="290"/>
        <v>123589</v>
      </c>
      <c r="J158" s="664">
        <v>87120</v>
      </c>
      <c r="K158" s="127">
        <f t="shared" si="310"/>
        <v>29447</v>
      </c>
      <c r="L158" s="477">
        <f t="shared" si="311"/>
        <v>1742</v>
      </c>
      <c r="M158" s="664">
        <v>5280</v>
      </c>
      <c r="N158" s="390">
        <f t="shared" si="305"/>
        <v>0.37</v>
      </c>
      <c r="O158" s="665">
        <v>0</v>
      </c>
      <c r="P158" s="667">
        <v>0.37</v>
      </c>
      <c r="Q158" s="129">
        <f t="shared" si="292"/>
        <v>0</v>
      </c>
      <c r="R158" s="130">
        <v>0</v>
      </c>
      <c r="S158" s="130">
        <v>0</v>
      </c>
      <c r="T158" s="130">
        <v>0</v>
      </c>
      <c r="U158" s="130">
        <f t="shared" si="293"/>
        <v>0</v>
      </c>
      <c r="V158" s="130">
        <v>0</v>
      </c>
      <c r="W158" s="130">
        <v>0</v>
      </c>
      <c r="X158" s="130">
        <v>0</v>
      </c>
      <c r="Y158" s="130">
        <f t="shared" si="324"/>
        <v>0</v>
      </c>
      <c r="Z158" s="130">
        <f t="shared" si="325"/>
        <v>0</v>
      </c>
      <c r="AA158" s="131">
        <f t="shared" si="326"/>
        <v>0</v>
      </c>
      <c r="AB158" s="131">
        <f t="shared" si="327"/>
        <v>0</v>
      </c>
      <c r="AC158" s="130">
        <v>0</v>
      </c>
      <c r="AD158" s="130">
        <v>0</v>
      </c>
      <c r="AE158" s="130">
        <f t="shared" si="312"/>
        <v>0</v>
      </c>
      <c r="AF158" s="130">
        <f t="shared" si="313"/>
        <v>0</v>
      </c>
      <c r="AG158" s="132">
        <v>0</v>
      </c>
      <c r="AH158" s="132">
        <v>0</v>
      </c>
      <c r="AI158" s="132">
        <v>0</v>
      </c>
      <c r="AJ158" s="132">
        <v>0</v>
      </c>
      <c r="AK158" s="132">
        <v>0</v>
      </c>
      <c r="AL158" s="132">
        <f t="shared" si="314"/>
        <v>0</v>
      </c>
      <c r="AM158" s="132">
        <f>AH158+AK158</f>
        <v>0</v>
      </c>
      <c r="AN158" s="403">
        <f t="shared" si="315"/>
        <v>0</v>
      </c>
      <c r="AO158" s="128">
        <f t="shared" si="294"/>
        <v>123589</v>
      </c>
      <c r="AP158" s="130">
        <f t="shared" si="295"/>
        <v>87120</v>
      </c>
      <c r="AQ158" s="130">
        <f t="shared" si="296"/>
        <v>0</v>
      </c>
      <c r="AR158" s="130">
        <f t="shared" si="297"/>
        <v>29447</v>
      </c>
      <c r="AS158" s="130">
        <f t="shared" si="298"/>
        <v>1742</v>
      </c>
      <c r="AT158" s="130">
        <f t="shared" si="299"/>
        <v>5280</v>
      </c>
      <c r="AU158" s="132">
        <f t="shared" si="300"/>
        <v>0.37</v>
      </c>
      <c r="AV158" s="132">
        <f t="shared" si="301"/>
        <v>0</v>
      </c>
      <c r="AW158" s="133">
        <f t="shared" si="302"/>
        <v>0.37</v>
      </c>
    </row>
    <row r="159" spans="1:49" ht="14.1" customHeight="1" x14ac:dyDescent="0.2">
      <c r="A159" s="137">
        <v>36</v>
      </c>
      <c r="B159" s="134">
        <v>2477</v>
      </c>
      <c r="C159" s="146">
        <v>600079872</v>
      </c>
      <c r="D159" s="134">
        <v>68975147</v>
      </c>
      <c r="E159" s="136" t="s">
        <v>648</v>
      </c>
      <c r="F159" s="137"/>
      <c r="G159" s="136"/>
      <c r="H159" s="138"/>
      <c r="I159" s="139">
        <f t="shared" ref="I159:P159" si="328">SUM(I155:I158)</f>
        <v>45520756</v>
      </c>
      <c r="J159" s="140">
        <f t="shared" si="328"/>
        <v>32780432</v>
      </c>
      <c r="K159" s="140">
        <f t="shared" si="328"/>
        <v>11079786</v>
      </c>
      <c r="L159" s="140">
        <f t="shared" si="328"/>
        <v>655608</v>
      </c>
      <c r="M159" s="140">
        <f t="shared" si="328"/>
        <v>1004930</v>
      </c>
      <c r="N159" s="141">
        <f t="shared" si="328"/>
        <v>61.461799999999997</v>
      </c>
      <c r="O159" s="141">
        <f t="shared" si="328"/>
        <v>50.0062</v>
      </c>
      <c r="P159" s="142">
        <f t="shared" si="328"/>
        <v>11.455599999999999</v>
      </c>
      <c r="Q159" s="342">
        <f t="shared" ref="Q159:AW159" si="329">SUM(Q155:Q158)</f>
        <v>-40000</v>
      </c>
      <c r="R159" s="140">
        <f t="shared" si="329"/>
        <v>1919621</v>
      </c>
      <c r="S159" s="140">
        <f t="shared" si="329"/>
        <v>0</v>
      </c>
      <c r="T159" s="140">
        <f t="shared" si="329"/>
        <v>0</v>
      </c>
      <c r="U159" s="140">
        <f t="shared" si="329"/>
        <v>1879621</v>
      </c>
      <c r="V159" s="140">
        <f t="shared" si="329"/>
        <v>40000</v>
      </c>
      <c r="W159" s="140">
        <f t="shared" si="329"/>
        <v>0</v>
      </c>
      <c r="X159" s="140">
        <f t="shared" si="329"/>
        <v>0</v>
      </c>
      <c r="Y159" s="140">
        <f t="shared" si="329"/>
        <v>40000</v>
      </c>
      <c r="Z159" s="140">
        <f t="shared" si="329"/>
        <v>1919621</v>
      </c>
      <c r="AA159" s="140">
        <f t="shared" si="329"/>
        <v>648832</v>
      </c>
      <c r="AB159" s="140">
        <f t="shared" si="329"/>
        <v>37592</v>
      </c>
      <c r="AC159" s="140">
        <f t="shared" si="329"/>
        <v>0</v>
      </c>
      <c r="AD159" s="140">
        <f t="shared" si="329"/>
        <v>0</v>
      </c>
      <c r="AE159" s="140">
        <f t="shared" si="329"/>
        <v>0</v>
      </c>
      <c r="AF159" s="140">
        <f t="shared" si="329"/>
        <v>2606045</v>
      </c>
      <c r="AG159" s="141">
        <f t="shared" si="329"/>
        <v>-0.05</v>
      </c>
      <c r="AH159" s="141">
        <f t="shared" si="329"/>
        <v>0</v>
      </c>
      <c r="AI159" s="141">
        <f t="shared" si="329"/>
        <v>5.38</v>
      </c>
      <c r="AJ159" s="141">
        <f t="shared" si="329"/>
        <v>0</v>
      </c>
      <c r="AK159" s="141">
        <f t="shared" si="329"/>
        <v>0</v>
      </c>
      <c r="AL159" s="141">
        <f t="shared" si="329"/>
        <v>5.33</v>
      </c>
      <c r="AM159" s="141">
        <f t="shared" si="329"/>
        <v>0</v>
      </c>
      <c r="AN159" s="635">
        <f t="shared" si="329"/>
        <v>5.33</v>
      </c>
      <c r="AO159" s="139">
        <f t="shared" si="329"/>
        <v>48126801</v>
      </c>
      <c r="AP159" s="140">
        <f t="shared" si="329"/>
        <v>34660053</v>
      </c>
      <c r="AQ159" s="140">
        <f t="shared" si="329"/>
        <v>40000</v>
      </c>
      <c r="AR159" s="140">
        <f t="shared" si="329"/>
        <v>11728618</v>
      </c>
      <c r="AS159" s="140">
        <f t="shared" si="329"/>
        <v>693200</v>
      </c>
      <c r="AT159" s="140">
        <f t="shared" si="329"/>
        <v>1004930</v>
      </c>
      <c r="AU159" s="141">
        <f t="shared" si="329"/>
        <v>66.791800000000009</v>
      </c>
      <c r="AV159" s="141">
        <f t="shared" si="329"/>
        <v>55.336200000000005</v>
      </c>
      <c r="AW159" s="142">
        <f t="shared" si="329"/>
        <v>11.455599999999999</v>
      </c>
    </row>
    <row r="160" spans="1:49" ht="14.1" customHeight="1" x14ac:dyDescent="0.2">
      <c r="A160" s="124">
        <v>37</v>
      </c>
      <c r="B160" s="121">
        <v>2470</v>
      </c>
      <c r="C160" s="144">
        <v>600080013</v>
      </c>
      <c r="D160" s="121">
        <v>72741554</v>
      </c>
      <c r="E160" s="123" t="s">
        <v>649</v>
      </c>
      <c r="F160" s="124">
        <v>3113</v>
      </c>
      <c r="G160" s="123" t="s">
        <v>320</v>
      </c>
      <c r="H160" s="125" t="s">
        <v>283</v>
      </c>
      <c r="I160" s="126">
        <f t="shared" si="290"/>
        <v>35736638</v>
      </c>
      <c r="J160" s="127">
        <v>25723504</v>
      </c>
      <c r="K160" s="127">
        <f t="shared" si="310"/>
        <v>8694544</v>
      </c>
      <c r="L160" s="477">
        <f t="shared" si="311"/>
        <v>514470</v>
      </c>
      <c r="M160" s="127">
        <v>804120</v>
      </c>
      <c r="N160" s="390">
        <f t="shared" si="305"/>
        <v>45.066499999999998</v>
      </c>
      <c r="O160" s="390">
        <v>36.2271</v>
      </c>
      <c r="P160" s="439">
        <v>8.8393999999999995</v>
      </c>
      <c r="Q160" s="129">
        <f t="shared" si="292"/>
        <v>-52000</v>
      </c>
      <c r="R160" s="130">
        <v>0</v>
      </c>
      <c r="S160" s="130">
        <v>0</v>
      </c>
      <c r="T160" s="130">
        <v>455658</v>
      </c>
      <c r="U160" s="130">
        <f t="shared" si="293"/>
        <v>403658</v>
      </c>
      <c r="V160" s="130">
        <v>52000</v>
      </c>
      <c r="W160" s="130">
        <v>0</v>
      </c>
      <c r="X160" s="130">
        <v>0</v>
      </c>
      <c r="Y160" s="130">
        <f t="shared" ref="Y160:Y164" si="330">SUM(V160:X160)</f>
        <v>52000</v>
      </c>
      <c r="Z160" s="130">
        <f t="shared" ref="Z160:Z164" si="331">U160+Y160</f>
        <v>455658</v>
      </c>
      <c r="AA160" s="131">
        <f t="shared" ref="AA160:AA164" si="332">ROUND((U160+V160+W160)*33.8%,0)</f>
        <v>154012</v>
      </c>
      <c r="AB160" s="131">
        <f t="shared" ref="AB160:AB164" si="333">ROUND(U160*2%,0)</f>
        <v>8073</v>
      </c>
      <c r="AC160" s="130">
        <v>0</v>
      </c>
      <c r="AD160" s="130">
        <v>0</v>
      </c>
      <c r="AE160" s="130">
        <f t="shared" si="312"/>
        <v>0</v>
      </c>
      <c r="AF160" s="130">
        <f t="shared" si="313"/>
        <v>617743</v>
      </c>
      <c r="AG160" s="132">
        <v>-0.06</v>
      </c>
      <c r="AH160" s="132">
        <v>-0.04</v>
      </c>
      <c r="AI160" s="132">
        <v>0</v>
      </c>
      <c r="AJ160" s="132">
        <v>0.75</v>
      </c>
      <c r="AK160" s="132">
        <v>0</v>
      </c>
      <c r="AL160" s="132">
        <f t="shared" si="314"/>
        <v>0.69</v>
      </c>
      <c r="AM160" s="132">
        <f>AH160+AK160</f>
        <v>-0.04</v>
      </c>
      <c r="AN160" s="403">
        <f t="shared" si="315"/>
        <v>0.64999999999999991</v>
      </c>
      <c r="AO160" s="128">
        <f t="shared" si="294"/>
        <v>36354381</v>
      </c>
      <c r="AP160" s="130">
        <f t="shared" si="295"/>
        <v>26127162</v>
      </c>
      <c r="AQ160" s="130">
        <f t="shared" si="296"/>
        <v>52000</v>
      </c>
      <c r="AR160" s="130">
        <f t="shared" si="297"/>
        <v>8848556</v>
      </c>
      <c r="AS160" s="130">
        <f t="shared" si="298"/>
        <v>522543</v>
      </c>
      <c r="AT160" s="130">
        <f t="shared" si="299"/>
        <v>804120</v>
      </c>
      <c r="AU160" s="132">
        <f t="shared" si="300"/>
        <v>45.716499999999996</v>
      </c>
      <c r="AV160" s="132">
        <f t="shared" si="301"/>
        <v>36.917099999999998</v>
      </c>
      <c r="AW160" s="133">
        <f t="shared" si="302"/>
        <v>8.7994000000000003</v>
      </c>
    </row>
    <row r="161" spans="1:49" ht="14.1" customHeight="1" x14ac:dyDescent="0.2">
      <c r="A161" s="124">
        <v>37</v>
      </c>
      <c r="B161" s="121">
        <v>2470</v>
      </c>
      <c r="C161" s="144">
        <v>600080013</v>
      </c>
      <c r="D161" s="121">
        <v>72741554</v>
      </c>
      <c r="E161" s="123" t="s">
        <v>649</v>
      </c>
      <c r="F161" s="124">
        <v>3113</v>
      </c>
      <c r="G161" s="143" t="s">
        <v>318</v>
      </c>
      <c r="H161" s="125" t="s">
        <v>284</v>
      </c>
      <c r="I161" s="126">
        <f t="shared" si="290"/>
        <v>0</v>
      </c>
      <c r="J161" s="29">
        <v>0</v>
      </c>
      <c r="K161" s="127">
        <f t="shared" si="310"/>
        <v>0</v>
      </c>
      <c r="L161" s="477">
        <f t="shared" si="311"/>
        <v>0</v>
      </c>
      <c r="M161" s="29">
        <v>0</v>
      </c>
      <c r="N161" s="390">
        <f t="shared" si="305"/>
        <v>0</v>
      </c>
      <c r="O161" s="349">
        <v>0</v>
      </c>
      <c r="P161" s="639">
        <v>0</v>
      </c>
      <c r="Q161" s="129">
        <f t="shared" si="292"/>
        <v>0</v>
      </c>
      <c r="R161" s="130">
        <v>606277</v>
      </c>
      <c r="S161" s="130">
        <v>0</v>
      </c>
      <c r="T161" s="130">
        <v>0</v>
      </c>
      <c r="U161" s="130">
        <f t="shared" si="293"/>
        <v>606277</v>
      </c>
      <c r="V161" s="130">
        <v>0</v>
      </c>
      <c r="W161" s="130">
        <v>0</v>
      </c>
      <c r="X161" s="130">
        <v>0</v>
      </c>
      <c r="Y161" s="130">
        <f t="shared" si="330"/>
        <v>0</v>
      </c>
      <c r="Z161" s="130">
        <f t="shared" si="331"/>
        <v>606277</v>
      </c>
      <c r="AA161" s="131">
        <f t="shared" si="332"/>
        <v>204922</v>
      </c>
      <c r="AB161" s="131">
        <f t="shared" si="333"/>
        <v>12126</v>
      </c>
      <c r="AC161" s="130">
        <v>0</v>
      </c>
      <c r="AD161" s="130">
        <v>0</v>
      </c>
      <c r="AE161" s="130">
        <f t="shared" si="312"/>
        <v>0</v>
      </c>
      <c r="AF161" s="130">
        <f t="shared" si="313"/>
        <v>823325</v>
      </c>
      <c r="AG161" s="132">
        <v>0</v>
      </c>
      <c r="AH161" s="132">
        <v>0</v>
      </c>
      <c r="AI161" s="132">
        <v>1.75</v>
      </c>
      <c r="AJ161" s="132">
        <v>0</v>
      </c>
      <c r="AK161" s="132">
        <v>0</v>
      </c>
      <c r="AL161" s="132">
        <f t="shared" si="314"/>
        <v>1.75</v>
      </c>
      <c r="AM161" s="132">
        <f>AH161+AK161</f>
        <v>0</v>
      </c>
      <c r="AN161" s="403">
        <f t="shared" si="315"/>
        <v>1.75</v>
      </c>
      <c r="AO161" s="128">
        <f t="shared" si="294"/>
        <v>823325</v>
      </c>
      <c r="AP161" s="130">
        <f t="shared" si="295"/>
        <v>606277</v>
      </c>
      <c r="AQ161" s="130">
        <f t="shared" si="296"/>
        <v>0</v>
      </c>
      <c r="AR161" s="130">
        <f t="shared" si="297"/>
        <v>204922</v>
      </c>
      <c r="AS161" s="130">
        <f t="shared" si="298"/>
        <v>12126</v>
      </c>
      <c r="AT161" s="130">
        <f t="shared" si="299"/>
        <v>0</v>
      </c>
      <c r="AU161" s="132">
        <f t="shared" si="300"/>
        <v>1.75</v>
      </c>
      <c r="AV161" s="132">
        <f t="shared" si="301"/>
        <v>1.75</v>
      </c>
      <c r="AW161" s="133">
        <f t="shared" si="302"/>
        <v>0</v>
      </c>
    </row>
    <row r="162" spans="1:49" ht="14.1" customHeight="1" x14ac:dyDescent="0.2">
      <c r="A162" s="490">
        <v>37</v>
      </c>
      <c r="B162" s="491">
        <v>2470</v>
      </c>
      <c r="C162" s="492">
        <v>600080013</v>
      </c>
      <c r="D162" s="491">
        <v>72741554</v>
      </c>
      <c r="E162" s="493" t="s">
        <v>649</v>
      </c>
      <c r="F162" s="490">
        <v>3141</v>
      </c>
      <c r="G162" s="193" t="s">
        <v>321</v>
      </c>
      <c r="H162" s="494" t="s">
        <v>284</v>
      </c>
      <c r="I162" s="126">
        <f t="shared" si="290"/>
        <v>3072388</v>
      </c>
      <c r="J162" s="666">
        <v>2239672</v>
      </c>
      <c r="K162" s="127">
        <f t="shared" si="310"/>
        <v>757009</v>
      </c>
      <c r="L162" s="477">
        <f t="shared" si="311"/>
        <v>44793</v>
      </c>
      <c r="M162" s="666">
        <v>30914</v>
      </c>
      <c r="N162" s="390">
        <f t="shared" si="305"/>
        <v>7.62</v>
      </c>
      <c r="O162" s="668">
        <v>0</v>
      </c>
      <c r="P162" s="667">
        <v>7.62</v>
      </c>
      <c r="Q162" s="129">
        <f t="shared" si="292"/>
        <v>-120000</v>
      </c>
      <c r="R162" s="130">
        <v>0</v>
      </c>
      <c r="S162" s="130">
        <v>0</v>
      </c>
      <c r="T162" s="130">
        <v>0</v>
      </c>
      <c r="U162" s="130">
        <f t="shared" si="293"/>
        <v>-120000</v>
      </c>
      <c r="V162" s="130">
        <v>120000</v>
      </c>
      <c r="W162" s="498">
        <v>0</v>
      </c>
      <c r="X162" s="130">
        <v>0</v>
      </c>
      <c r="Y162" s="130">
        <f t="shared" si="330"/>
        <v>120000</v>
      </c>
      <c r="Z162" s="130">
        <f t="shared" si="331"/>
        <v>0</v>
      </c>
      <c r="AA162" s="131">
        <f t="shared" si="332"/>
        <v>0</v>
      </c>
      <c r="AB162" s="131">
        <f t="shared" si="333"/>
        <v>-2400</v>
      </c>
      <c r="AC162" s="130">
        <v>0</v>
      </c>
      <c r="AD162" s="130">
        <v>0</v>
      </c>
      <c r="AE162" s="498">
        <f>SUM(AC162:AD162)</f>
        <v>0</v>
      </c>
      <c r="AF162" s="498">
        <f>Z162+AA162+AB162+AE162</f>
        <v>-2400</v>
      </c>
      <c r="AG162" s="132">
        <v>0</v>
      </c>
      <c r="AH162" s="132">
        <v>-0.49</v>
      </c>
      <c r="AI162" s="132">
        <v>0</v>
      </c>
      <c r="AJ162" s="132">
        <v>0</v>
      </c>
      <c r="AK162" s="132">
        <v>0</v>
      </c>
      <c r="AL162" s="499">
        <f>AG162+AI162+AJ162</f>
        <v>0</v>
      </c>
      <c r="AM162" s="499">
        <f t="shared" ref="AM162" si="334">AH162+AK162</f>
        <v>-0.49</v>
      </c>
      <c r="AN162" s="529">
        <f>SUM(AL162:AM162)</f>
        <v>-0.49</v>
      </c>
      <c r="AO162" s="128">
        <f t="shared" si="294"/>
        <v>3069988</v>
      </c>
      <c r="AP162" s="130">
        <f t="shared" si="295"/>
        <v>2119672</v>
      </c>
      <c r="AQ162" s="130">
        <f t="shared" si="296"/>
        <v>120000</v>
      </c>
      <c r="AR162" s="130">
        <f t="shared" si="297"/>
        <v>757009</v>
      </c>
      <c r="AS162" s="130">
        <f t="shared" si="298"/>
        <v>42393</v>
      </c>
      <c r="AT162" s="130">
        <f t="shared" si="299"/>
        <v>30914</v>
      </c>
      <c r="AU162" s="132">
        <f t="shared" si="300"/>
        <v>7.13</v>
      </c>
      <c r="AV162" s="132">
        <f t="shared" si="301"/>
        <v>0</v>
      </c>
      <c r="AW162" s="133">
        <f t="shared" si="302"/>
        <v>7.13</v>
      </c>
    </row>
    <row r="163" spans="1:49" ht="14.1" customHeight="1" x14ac:dyDescent="0.2">
      <c r="A163" s="124">
        <v>37</v>
      </c>
      <c r="B163" s="121">
        <v>2470</v>
      </c>
      <c r="C163" s="144">
        <v>600080013</v>
      </c>
      <c r="D163" s="121">
        <v>72741554</v>
      </c>
      <c r="E163" s="123" t="s">
        <v>649</v>
      </c>
      <c r="F163" s="124">
        <v>3143</v>
      </c>
      <c r="G163" s="145" t="s">
        <v>635</v>
      </c>
      <c r="H163" s="125" t="s">
        <v>283</v>
      </c>
      <c r="I163" s="126">
        <f t="shared" si="290"/>
        <v>3406379</v>
      </c>
      <c r="J163" s="631">
        <v>2508379</v>
      </c>
      <c r="K163" s="127">
        <f t="shared" si="310"/>
        <v>847832</v>
      </c>
      <c r="L163" s="477">
        <f t="shared" si="311"/>
        <v>50168</v>
      </c>
      <c r="M163" s="478">
        <v>0</v>
      </c>
      <c r="N163" s="390">
        <f t="shared" si="305"/>
        <v>5.6</v>
      </c>
      <c r="O163" s="644">
        <v>5.6</v>
      </c>
      <c r="P163" s="639">
        <v>0</v>
      </c>
      <c r="Q163" s="129">
        <f t="shared" si="292"/>
        <v>-20000</v>
      </c>
      <c r="R163" s="130">
        <v>0</v>
      </c>
      <c r="S163" s="130">
        <v>0</v>
      </c>
      <c r="T163" s="130">
        <v>0</v>
      </c>
      <c r="U163" s="130">
        <f t="shared" si="293"/>
        <v>-20000</v>
      </c>
      <c r="V163" s="130">
        <v>20000</v>
      </c>
      <c r="W163" s="130">
        <v>0</v>
      </c>
      <c r="X163" s="130">
        <v>0</v>
      </c>
      <c r="Y163" s="130">
        <f t="shared" si="330"/>
        <v>20000</v>
      </c>
      <c r="Z163" s="130">
        <f t="shared" si="331"/>
        <v>0</v>
      </c>
      <c r="AA163" s="131">
        <f t="shared" si="332"/>
        <v>0</v>
      </c>
      <c r="AB163" s="131">
        <f t="shared" si="333"/>
        <v>-400</v>
      </c>
      <c r="AC163" s="130">
        <v>0</v>
      </c>
      <c r="AD163" s="130">
        <v>0</v>
      </c>
      <c r="AE163" s="130">
        <f t="shared" si="312"/>
        <v>0</v>
      </c>
      <c r="AF163" s="130">
        <f t="shared" si="313"/>
        <v>-400</v>
      </c>
      <c r="AG163" s="132">
        <v>-0.03</v>
      </c>
      <c r="AH163" s="132">
        <v>0</v>
      </c>
      <c r="AI163" s="132">
        <v>0</v>
      </c>
      <c r="AJ163" s="132">
        <v>0</v>
      </c>
      <c r="AK163" s="132">
        <v>0</v>
      </c>
      <c r="AL163" s="132">
        <f t="shared" si="314"/>
        <v>-0.03</v>
      </c>
      <c r="AM163" s="132">
        <f>AH163+AK163</f>
        <v>0</v>
      </c>
      <c r="AN163" s="403">
        <f t="shared" si="315"/>
        <v>-0.03</v>
      </c>
      <c r="AO163" s="128">
        <f t="shared" si="294"/>
        <v>3405979</v>
      </c>
      <c r="AP163" s="130">
        <f t="shared" si="295"/>
        <v>2488379</v>
      </c>
      <c r="AQ163" s="130">
        <f t="shared" si="296"/>
        <v>20000</v>
      </c>
      <c r="AR163" s="130">
        <f t="shared" si="297"/>
        <v>847832</v>
      </c>
      <c r="AS163" s="130">
        <f t="shared" si="298"/>
        <v>49768</v>
      </c>
      <c r="AT163" s="130">
        <f t="shared" si="299"/>
        <v>0</v>
      </c>
      <c r="AU163" s="132">
        <f t="shared" si="300"/>
        <v>5.5699999999999994</v>
      </c>
      <c r="AV163" s="132">
        <f t="shared" si="301"/>
        <v>5.5699999999999994</v>
      </c>
      <c r="AW163" s="133">
        <f t="shared" si="302"/>
        <v>0</v>
      </c>
    </row>
    <row r="164" spans="1:49" ht="14.1" customHeight="1" x14ac:dyDescent="0.2">
      <c r="A164" s="124">
        <v>37</v>
      </c>
      <c r="B164" s="121">
        <v>2470</v>
      </c>
      <c r="C164" s="144">
        <v>600080013</v>
      </c>
      <c r="D164" s="121">
        <v>72741554</v>
      </c>
      <c r="E164" s="123" t="s">
        <v>649</v>
      </c>
      <c r="F164" s="124">
        <v>3143</v>
      </c>
      <c r="G164" s="145" t="s">
        <v>636</v>
      </c>
      <c r="H164" s="125" t="s">
        <v>284</v>
      </c>
      <c r="I164" s="126">
        <f t="shared" si="290"/>
        <v>98309</v>
      </c>
      <c r="J164" s="664">
        <v>69300</v>
      </c>
      <c r="K164" s="127">
        <f t="shared" si="310"/>
        <v>23423</v>
      </c>
      <c r="L164" s="477">
        <f t="shared" si="311"/>
        <v>1386</v>
      </c>
      <c r="M164" s="664">
        <v>4200</v>
      </c>
      <c r="N164" s="390">
        <f t="shared" si="305"/>
        <v>0.28999999999999998</v>
      </c>
      <c r="O164" s="665">
        <v>0</v>
      </c>
      <c r="P164" s="667">
        <v>0.28999999999999998</v>
      </c>
      <c r="Q164" s="129">
        <f t="shared" si="292"/>
        <v>0</v>
      </c>
      <c r="R164" s="130">
        <v>0</v>
      </c>
      <c r="S164" s="130">
        <v>0</v>
      </c>
      <c r="T164" s="130">
        <v>0</v>
      </c>
      <c r="U164" s="130">
        <f t="shared" si="293"/>
        <v>0</v>
      </c>
      <c r="V164" s="130">
        <v>0</v>
      </c>
      <c r="W164" s="130">
        <v>0</v>
      </c>
      <c r="X164" s="130">
        <v>0</v>
      </c>
      <c r="Y164" s="130">
        <f t="shared" si="330"/>
        <v>0</v>
      </c>
      <c r="Z164" s="130">
        <f t="shared" si="331"/>
        <v>0</v>
      </c>
      <c r="AA164" s="131">
        <f t="shared" si="332"/>
        <v>0</v>
      </c>
      <c r="AB164" s="131">
        <f t="shared" si="333"/>
        <v>0</v>
      </c>
      <c r="AC164" s="130">
        <v>0</v>
      </c>
      <c r="AD164" s="130">
        <v>0</v>
      </c>
      <c r="AE164" s="130">
        <f t="shared" si="312"/>
        <v>0</v>
      </c>
      <c r="AF164" s="130">
        <f t="shared" si="313"/>
        <v>0</v>
      </c>
      <c r="AG164" s="132">
        <v>0</v>
      </c>
      <c r="AH164" s="132">
        <v>0</v>
      </c>
      <c r="AI164" s="132">
        <v>0</v>
      </c>
      <c r="AJ164" s="132">
        <v>0</v>
      </c>
      <c r="AK164" s="132">
        <v>0</v>
      </c>
      <c r="AL164" s="132">
        <f t="shared" si="314"/>
        <v>0</v>
      </c>
      <c r="AM164" s="132">
        <f>AH164+AK164</f>
        <v>0</v>
      </c>
      <c r="AN164" s="403">
        <f t="shared" si="315"/>
        <v>0</v>
      </c>
      <c r="AO164" s="128">
        <f t="shared" si="294"/>
        <v>98309</v>
      </c>
      <c r="AP164" s="130">
        <f t="shared" si="295"/>
        <v>69300</v>
      </c>
      <c r="AQ164" s="130">
        <f t="shared" si="296"/>
        <v>0</v>
      </c>
      <c r="AR164" s="130">
        <f t="shared" si="297"/>
        <v>23423</v>
      </c>
      <c r="AS164" s="130">
        <f t="shared" si="298"/>
        <v>1386</v>
      </c>
      <c r="AT164" s="130">
        <f t="shared" si="299"/>
        <v>4200</v>
      </c>
      <c r="AU164" s="132">
        <f t="shared" si="300"/>
        <v>0.28999999999999998</v>
      </c>
      <c r="AV164" s="132">
        <f t="shared" si="301"/>
        <v>0</v>
      </c>
      <c r="AW164" s="133">
        <f t="shared" si="302"/>
        <v>0.28999999999999998</v>
      </c>
    </row>
    <row r="165" spans="1:49" ht="14.1" customHeight="1" x14ac:dyDescent="0.2">
      <c r="A165" s="137">
        <v>37</v>
      </c>
      <c r="B165" s="134">
        <v>2470</v>
      </c>
      <c r="C165" s="146">
        <v>600080013</v>
      </c>
      <c r="D165" s="134">
        <v>72741554</v>
      </c>
      <c r="E165" s="136" t="s">
        <v>650</v>
      </c>
      <c r="F165" s="137"/>
      <c r="G165" s="136"/>
      <c r="H165" s="138"/>
      <c r="I165" s="139">
        <f t="shared" ref="I165:P165" si="335">SUM(I160:I164)</f>
        <v>42313714</v>
      </c>
      <c r="J165" s="140">
        <f t="shared" si="335"/>
        <v>30540855</v>
      </c>
      <c r="K165" s="140">
        <f t="shared" si="335"/>
        <v>10322808</v>
      </c>
      <c r="L165" s="140">
        <f t="shared" si="335"/>
        <v>610817</v>
      </c>
      <c r="M165" s="140">
        <f t="shared" si="335"/>
        <v>839234</v>
      </c>
      <c r="N165" s="141">
        <f t="shared" si="335"/>
        <v>58.576499999999996</v>
      </c>
      <c r="O165" s="141">
        <f t="shared" si="335"/>
        <v>41.827100000000002</v>
      </c>
      <c r="P165" s="142">
        <f t="shared" si="335"/>
        <v>16.749399999999998</v>
      </c>
      <c r="Q165" s="342">
        <f t="shared" ref="Q165:AW165" si="336">SUM(Q160:Q164)</f>
        <v>-192000</v>
      </c>
      <c r="R165" s="140">
        <f t="shared" si="336"/>
        <v>606277</v>
      </c>
      <c r="S165" s="140">
        <f t="shared" si="336"/>
        <v>0</v>
      </c>
      <c r="T165" s="140">
        <f t="shared" si="336"/>
        <v>455658</v>
      </c>
      <c r="U165" s="140">
        <f t="shared" si="336"/>
        <v>869935</v>
      </c>
      <c r="V165" s="140">
        <f t="shared" si="336"/>
        <v>192000</v>
      </c>
      <c r="W165" s="140">
        <f t="shared" si="336"/>
        <v>0</v>
      </c>
      <c r="X165" s="140">
        <f t="shared" si="336"/>
        <v>0</v>
      </c>
      <c r="Y165" s="140">
        <f t="shared" si="336"/>
        <v>192000</v>
      </c>
      <c r="Z165" s="140">
        <f t="shared" si="336"/>
        <v>1061935</v>
      </c>
      <c r="AA165" s="140">
        <f t="shared" si="336"/>
        <v>358934</v>
      </c>
      <c r="AB165" s="140">
        <f t="shared" si="336"/>
        <v>17399</v>
      </c>
      <c r="AC165" s="140">
        <f t="shared" si="336"/>
        <v>0</v>
      </c>
      <c r="AD165" s="140">
        <f t="shared" si="336"/>
        <v>0</v>
      </c>
      <c r="AE165" s="140">
        <f t="shared" si="336"/>
        <v>0</v>
      </c>
      <c r="AF165" s="140">
        <f t="shared" si="336"/>
        <v>1438268</v>
      </c>
      <c r="AG165" s="141">
        <f t="shared" si="336"/>
        <v>-0.09</v>
      </c>
      <c r="AH165" s="141">
        <f t="shared" si="336"/>
        <v>-0.53</v>
      </c>
      <c r="AI165" s="141">
        <f t="shared" si="336"/>
        <v>1.75</v>
      </c>
      <c r="AJ165" s="141">
        <f t="shared" si="336"/>
        <v>0.75</v>
      </c>
      <c r="AK165" s="141">
        <f t="shared" si="336"/>
        <v>0</v>
      </c>
      <c r="AL165" s="141">
        <f t="shared" si="336"/>
        <v>2.41</v>
      </c>
      <c r="AM165" s="141">
        <f t="shared" si="336"/>
        <v>-0.53</v>
      </c>
      <c r="AN165" s="635">
        <f t="shared" si="336"/>
        <v>1.88</v>
      </c>
      <c r="AO165" s="139">
        <f t="shared" si="336"/>
        <v>43751982</v>
      </c>
      <c r="AP165" s="140">
        <f t="shared" si="336"/>
        <v>31410790</v>
      </c>
      <c r="AQ165" s="140">
        <f t="shared" si="336"/>
        <v>192000</v>
      </c>
      <c r="AR165" s="140">
        <f t="shared" si="336"/>
        <v>10681742</v>
      </c>
      <c r="AS165" s="140">
        <f t="shared" si="336"/>
        <v>628216</v>
      </c>
      <c r="AT165" s="140">
        <f t="shared" si="336"/>
        <v>839234</v>
      </c>
      <c r="AU165" s="141">
        <f t="shared" si="336"/>
        <v>60.456499999999998</v>
      </c>
      <c r="AV165" s="141">
        <f t="shared" si="336"/>
        <v>44.237099999999998</v>
      </c>
      <c r="AW165" s="142">
        <f t="shared" si="336"/>
        <v>16.2194</v>
      </c>
    </row>
    <row r="166" spans="1:49" ht="14.1" customHeight="1" x14ac:dyDescent="0.2">
      <c r="A166" s="124">
        <v>38</v>
      </c>
      <c r="B166" s="121">
        <v>2307</v>
      </c>
      <c r="C166" s="144">
        <v>600079911</v>
      </c>
      <c r="D166" s="121">
        <v>72743212</v>
      </c>
      <c r="E166" s="123" t="s">
        <v>651</v>
      </c>
      <c r="F166" s="124">
        <v>3113</v>
      </c>
      <c r="G166" s="123" t="s">
        <v>320</v>
      </c>
      <c r="H166" s="125" t="s">
        <v>283</v>
      </c>
      <c r="I166" s="126">
        <f t="shared" si="290"/>
        <v>38865221</v>
      </c>
      <c r="J166" s="127">
        <v>27900214</v>
      </c>
      <c r="K166" s="127">
        <v>9430273</v>
      </c>
      <c r="L166" s="477">
        <f t="shared" si="311"/>
        <v>558004</v>
      </c>
      <c r="M166" s="127">
        <v>976730</v>
      </c>
      <c r="N166" s="390">
        <f t="shared" si="305"/>
        <v>51.357700000000001</v>
      </c>
      <c r="O166" s="390">
        <v>39.768900000000002</v>
      </c>
      <c r="P166" s="439">
        <v>11.588799999999999</v>
      </c>
      <c r="Q166" s="129">
        <f t="shared" si="292"/>
        <v>-132800</v>
      </c>
      <c r="R166" s="130">
        <v>0</v>
      </c>
      <c r="S166" s="130">
        <v>0</v>
      </c>
      <c r="T166" s="130">
        <v>0</v>
      </c>
      <c r="U166" s="130">
        <f t="shared" si="293"/>
        <v>-132800</v>
      </c>
      <c r="V166" s="130">
        <v>132800</v>
      </c>
      <c r="W166" s="130">
        <v>0</v>
      </c>
      <c r="X166" s="130">
        <v>0</v>
      </c>
      <c r="Y166" s="130">
        <f t="shared" ref="Y166:Y170" si="337">SUM(V166:X166)</f>
        <v>132800</v>
      </c>
      <c r="Z166" s="130">
        <f t="shared" ref="Z166:Z170" si="338">U166+Y166</f>
        <v>0</v>
      </c>
      <c r="AA166" s="131">
        <f t="shared" ref="AA166:AA170" si="339">ROUND((U166+V166+W166)*33.8%,0)</f>
        <v>0</v>
      </c>
      <c r="AB166" s="131">
        <f t="shared" ref="AB166:AB170" si="340">ROUND(U166*2%,0)</f>
        <v>-2656</v>
      </c>
      <c r="AC166" s="130">
        <v>0</v>
      </c>
      <c r="AD166" s="130">
        <v>0</v>
      </c>
      <c r="AE166" s="130">
        <f t="shared" si="312"/>
        <v>0</v>
      </c>
      <c r="AF166" s="130">
        <f t="shared" si="313"/>
        <v>-2656</v>
      </c>
      <c r="AG166" s="132">
        <v>-0.04</v>
      </c>
      <c r="AH166" s="132">
        <v>-0.19</v>
      </c>
      <c r="AI166" s="132">
        <v>0</v>
      </c>
      <c r="AJ166" s="132">
        <v>0</v>
      </c>
      <c r="AK166" s="132">
        <v>0</v>
      </c>
      <c r="AL166" s="132">
        <f t="shared" si="314"/>
        <v>-0.04</v>
      </c>
      <c r="AM166" s="132">
        <f>AH166+AK166</f>
        <v>-0.19</v>
      </c>
      <c r="AN166" s="403">
        <f t="shared" si="315"/>
        <v>-0.23</v>
      </c>
      <c r="AO166" s="128">
        <f t="shared" si="294"/>
        <v>38862565</v>
      </c>
      <c r="AP166" s="130">
        <f t="shared" si="295"/>
        <v>27767414</v>
      </c>
      <c r="AQ166" s="130">
        <f t="shared" si="296"/>
        <v>132800</v>
      </c>
      <c r="AR166" s="130">
        <f t="shared" si="297"/>
        <v>9430273</v>
      </c>
      <c r="AS166" s="130">
        <f t="shared" si="298"/>
        <v>555348</v>
      </c>
      <c r="AT166" s="130">
        <f t="shared" si="299"/>
        <v>976730</v>
      </c>
      <c r="AU166" s="132">
        <f t="shared" si="300"/>
        <v>51.127700000000004</v>
      </c>
      <c r="AV166" s="132">
        <f t="shared" si="301"/>
        <v>39.728900000000003</v>
      </c>
      <c r="AW166" s="133">
        <f t="shared" si="302"/>
        <v>11.3988</v>
      </c>
    </row>
    <row r="167" spans="1:49" ht="14.1" customHeight="1" x14ac:dyDescent="0.2">
      <c r="A167" s="124">
        <v>38</v>
      </c>
      <c r="B167" s="121">
        <v>2307</v>
      </c>
      <c r="C167" s="144">
        <v>600079911</v>
      </c>
      <c r="D167" s="121">
        <v>72743212</v>
      </c>
      <c r="E167" s="123" t="s">
        <v>651</v>
      </c>
      <c r="F167" s="124">
        <v>3113</v>
      </c>
      <c r="G167" s="143" t="s">
        <v>318</v>
      </c>
      <c r="H167" s="125" t="s">
        <v>284</v>
      </c>
      <c r="I167" s="126">
        <f t="shared" si="290"/>
        <v>0</v>
      </c>
      <c r="J167" s="29">
        <v>0</v>
      </c>
      <c r="K167" s="127">
        <f t="shared" si="310"/>
        <v>0</v>
      </c>
      <c r="L167" s="477">
        <f t="shared" si="311"/>
        <v>0</v>
      </c>
      <c r="M167" s="29">
        <v>0</v>
      </c>
      <c r="N167" s="390">
        <f t="shared" si="305"/>
        <v>0</v>
      </c>
      <c r="O167" s="349">
        <v>0</v>
      </c>
      <c r="P167" s="639">
        <v>0</v>
      </c>
      <c r="Q167" s="129">
        <f t="shared" si="292"/>
        <v>0</v>
      </c>
      <c r="R167" s="130">
        <f>1738151+288703</f>
        <v>2026854</v>
      </c>
      <c r="S167" s="130">
        <v>0</v>
      </c>
      <c r="T167" s="130">
        <v>0</v>
      </c>
      <c r="U167" s="130">
        <f t="shared" si="293"/>
        <v>2026854</v>
      </c>
      <c r="V167" s="130">
        <v>0</v>
      </c>
      <c r="W167" s="130">
        <v>0</v>
      </c>
      <c r="X167" s="130">
        <v>0</v>
      </c>
      <c r="Y167" s="130">
        <f t="shared" si="337"/>
        <v>0</v>
      </c>
      <c r="Z167" s="130">
        <f t="shared" si="338"/>
        <v>2026854</v>
      </c>
      <c r="AA167" s="131">
        <f t="shared" si="339"/>
        <v>685077</v>
      </c>
      <c r="AB167" s="131">
        <f t="shared" si="340"/>
        <v>40537</v>
      </c>
      <c r="AC167" s="130">
        <v>0</v>
      </c>
      <c r="AD167" s="130">
        <v>0</v>
      </c>
      <c r="AE167" s="130">
        <f t="shared" si="312"/>
        <v>0</v>
      </c>
      <c r="AF167" s="130">
        <f t="shared" si="313"/>
        <v>2752468</v>
      </c>
      <c r="AG167" s="132">
        <v>0</v>
      </c>
      <c r="AH167" s="132">
        <v>0</v>
      </c>
      <c r="AI167" s="132">
        <v>5.78</v>
      </c>
      <c r="AJ167" s="132">
        <v>0</v>
      </c>
      <c r="AK167" s="132">
        <v>0</v>
      </c>
      <c r="AL167" s="132">
        <f t="shared" si="314"/>
        <v>5.78</v>
      </c>
      <c r="AM167" s="132">
        <f>AH167+AK167</f>
        <v>0</v>
      </c>
      <c r="AN167" s="403">
        <f t="shared" si="315"/>
        <v>5.78</v>
      </c>
      <c r="AO167" s="128">
        <f t="shared" si="294"/>
        <v>2752468</v>
      </c>
      <c r="AP167" s="130">
        <f t="shared" si="295"/>
        <v>2026854</v>
      </c>
      <c r="AQ167" s="130">
        <f t="shared" si="296"/>
        <v>0</v>
      </c>
      <c r="AR167" s="130">
        <f t="shared" si="297"/>
        <v>685077</v>
      </c>
      <c r="AS167" s="130">
        <f t="shared" si="298"/>
        <v>40537</v>
      </c>
      <c r="AT167" s="130">
        <f t="shared" si="299"/>
        <v>0</v>
      </c>
      <c r="AU167" s="132">
        <f t="shared" si="300"/>
        <v>5.78</v>
      </c>
      <c r="AV167" s="132">
        <f t="shared" si="301"/>
        <v>5.78</v>
      </c>
      <c r="AW167" s="133">
        <f t="shared" si="302"/>
        <v>0</v>
      </c>
    </row>
    <row r="168" spans="1:49" ht="14.1" customHeight="1" x14ac:dyDescent="0.2">
      <c r="A168" s="124">
        <v>38</v>
      </c>
      <c r="B168" s="121">
        <v>2307</v>
      </c>
      <c r="C168" s="144">
        <v>600079911</v>
      </c>
      <c r="D168" s="121">
        <v>72743212</v>
      </c>
      <c r="E168" s="123" t="s">
        <v>651</v>
      </c>
      <c r="F168" s="124">
        <v>3143</v>
      </c>
      <c r="G168" s="145" t="s">
        <v>635</v>
      </c>
      <c r="H168" s="125" t="s">
        <v>283</v>
      </c>
      <c r="I168" s="126">
        <f t="shared" si="290"/>
        <v>3586785</v>
      </c>
      <c r="J168" s="631">
        <v>2641226</v>
      </c>
      <c r="K168" s="127">
        <f t="shared" si="310"/>
        <v>892734</v>
      </c>
      <c r="L168" s="477">
        <f t="shared" si="311"/>
        <v>52825</v>
      </c>
      <c r="M168" s="478">
        <v>0</v>
      </c>
      <c r="N168" s="390">
        <f t="shared" si="305"/>
        <v>5.4107000000000003</v>
      </c>
      <c r="O168" s="644">
        <v>5.4107000000000003</v>
      </c>
      <c r="P168" s="639">
        <v>0</v>
      </c>
      <c r="Q168" s="129">
        <f t="shared" si="292"/>
        <v>0</v>
      </c>
      <c r="R168" s="130">
        <v>0</v>
      </c>
      <c r="S168" s="130">
        <v>0</v>
      </c>
      <c r="T168" s="130">
        <v>0</v>
      </c>
      <c r="U168" s="130">
        <f t="shared" si="293"/>
        <v>0</v>
      </c>
      <c r="V168" s="130">
        <v>0</v>
      </c>
      <c r="W168" s="130">
        <v>0</v>
      </c>
      <c r="X168" s="130">
        <v>0</v>
      </c>
      <c r="Y168" s="130">
        <f t="shared" si="337"/>
        <v>0</v>
      </c>
      <c r="Z168" s="130">
        <f t="shared" si="338"/>
        <v>0</v>
      </c>
      <c r="AA168" s="131">
        <f t="shared" si="339"/>
        <v>0</v>
      </c>
      <c r="AB168" s="131">
        <f t="shared" si="340"/>
        <v>0</v>
      </c>
      <c r="AC168" s="130">
        <v>0</v>
      </c>
      <c r="AD168" s="130">
        <v>0</v>
      </c>
      <c r="AE168" s="130">
        <f t="shared" si="312"/>
        <v>0</v>
      </c>
      <c r="AF168" s="130">
        <f t="shared" si="313"/>
        <v>0</v>
      </c>
      <c r="AG168" s="132">
        <v>0</v>
      </c>
      <c r="AH168" s="132">
        <v>0</v>
      </c>
      <c r="AI168" s="132">
        <v>0</v>
      </c>
      <c r="AJ168" s="132">
        <v>0</v>
      </c>
      <c r="AK168" s="132">
        <v>0</v>
      </c>
      <c r="AL168" s="132">
        <f t="shared" si="314"/>
        <v>0</v>
      </c>
      <c r="AM168" s="132">
        <f>AH168+AK168</f>
        <v>0</v>
      </c>
      <c r="AN168" s="403">
        <f t="shared" si="315"/>
        <v>0</v>
      </c>
      <c r="AO168" s="128">
        <f t="shared" si="294"/>
        <v>3586785</v>
      </c>
      <c r="AP168" s="130">
        <f t="shared" si="295"/>
        <v>2641226</v>
      </c>
      <c r="AQ168" s="130">
        <f t="shared" si="296"/>
        <v>0</v>
      </c>
      <c r="AR168" s="130">
        <f t="shared" si="297"/>
        <v>892734</v>
      </c>
      <c r="AS168" s="130">
        <f t="shared" si="298"/>
        <v>52825</v>
      </c>
      <c r="AT168" s="130">
        <f t="shared" si="299"/>
        <v>0</v>
      </c>
      <c r="AU168" s="132">
        <f t="shared" si="300"/>
        <v>5.4107000000000003</v>
      </c>
      <c r="AV168" s="132">
        <f t="shared" si="301"/>
        <v>5.4107000000000003</v>
      </c>
      <c r="AW168" s="133">
        <f t="shared" si="302"/>
        <v>0</v>
      </c>
    </row>
    <row r="169" spans="1:49" ht="14.1" customHeight="1" x14ac:dyDescent="0.2">
      <c r="A169" s="124">
        <v>38</v>
      </c>
      <c r="B169" s="121">
        <v>2307</v>
      </c>
      <c r="C169" s="144">
        <v>600079911</v>
      </c>
      <c r="D169" s="121">
        <v>72743212</v>
      </c>
      <c r="E169" s="123" t="s">
        <v>651</v>
      </c>
      <c r="F169" s="124">
        <v>3143</v>
      </c>
      <c r="G169" s="145" t="s">
        <v>636</v>
      </c>
      <c r="H169" s="125" t="s">
        <v>284</v>
      </c>
      <c r="I169" s="126">
        <f t="shared" si="290"/>
        <v>126398</v>
      </c>
      <c r="J169" s="664">
        <v>89100</v>
      </c>
      <c r="K169" s="127">
        <f t="shared" si="310"/>
        <v>30116</v>
      </c>
      <c r="L169" s="477">
        <f t="shared" si="311"/>
        <v>1782</v>
      </c>
      <c r="M169" s="664">
        <v>5400</v>
      </c>
      <c r="N169" s="390">
        <f t="shared" si="305"/>
        <v>0.38</v>
      </c>
      <c r="O169" s="665">
        <v>0</v>
      </c>
      <c r="P169" s="667">
        <v>0.38</v>
      </c>
      <c r="Q169" s="129">
        <f t="shared" si="292"/>
        <v>0</v>
      </c>
      <c r="R169" s="130">
        <v>0</v>
      </c>
      <c r="S169" s="130">
        <v>0</v>
      </c>
      <c r="T169" s="130">
        <v>0</v>
      </c>
      <c r="U169" s="130">
        <f t="shared" si="293"/>
        <v>0</v>
      </c>
      <c r="V169" s="130">
        <v>0</v>
      </c>
      <c r="W169" s="130">
        <v>0</v>
      </c>
      <c r="X169" s="130">
        <v>0</v>
      </c>
      <c r="Y169" s="130">
        <f t="shared" si="337"/>
        <v>0</v>
      </c>
      <c r="Z169" s="130">
        <f t="shared" si="338"/>
        <v>0</v>
      </c>
      <c r="AA169" s="131">
        <f t="shared" si="339"/>
        <v>0</v>
      </c>
      <c r="AB169" s="131">
        <f t="shared" si="340"/>
        <v>0</v>
      </c>
      <c r="AC169" s="130">
        <v>0</v>
      </c>
      <c r="AD169" s="130">
        <v>0</v>
      </c>
      <c r="AE169" s="130">
        <f t="shared" si="312"/>
        <v>0</v>
      </c>
      <c r="AF169" s="130">
        <f t="shared" si="313"/>
        <v>0</v>
      </c>
      <c r="AG169" s="132">
        <v>0</v>
      </c>
      <c r="AH169" s="132">
        <v>0</v>
      </c>
      <c r="AI169" s="132">
        <v>0</v>
      </c>
      <c r="AJ169" s="132">
        <v>0</v>
      </c>
      <c r="AK169" s="132">
        <v>0</v>
      </c>
      <c r="AL169" s="132">
        <f t="shared" si="314"/>
        <v>0</v>
      </c>
      <c r="AM169" s="132">
        <f>AH169+AK169</f>
        <v>0</v>
      </c>
      <c r="AN169" s="403">
        <f t="shared" si="315"/>
        <v>0</v>
      </c>
      <c r="AO169" s="128">
        <f t="shared" si="294"/>
        <v>126398</v>
      </c>
      <c r="AP169" s="130">
        <f t="shared" si="295"/>
        <v>89100</v>
      </c>
      <c r="AQ169" s="130">
        <f t="shared" si="296"/>
        <v>0</v>
      </c>
      <c r="AR169" s="130">
        <f t="shared" si="297"/>
        <v>30116</v>
      </c>
      <c r="AS169" s="130">
        <f t="shared" si="298"/>
        <v>1782</v>
      </c>
      <c r="AT169" s="130">
        <f t="shared" si="299"/>
        <v>5400</v>
      </c>
      <c r="AU169" s="132">
        <f t="shared" si="300"/>
        <v>0.38</v>
      </c>
      <c r="AV169" s="132">
        <f t="shared" si="301"/>
        <v>0</v>
      </c>
      <c r="AW169" s="133">
        <f t="shared" si="302"/>
        <v>0.38</v>
      </c>
    </row>
    <row r="170" spans="1:49" ht="14.1" customHeight="1" x14ac:dyDescent="0.2">
      <c r="A170" s="124">
        <v>38</v>
      </c>
      <c r="B170" s="121">
        <v>2307</v>
      </c>
      <c r="C170" s="144">
        <v>600079911</v>
      </c>
      <c r="D170" s="121">
        <v>72743212</v>
      </c>
      <c r="E170" s="123" t="s">
        <v>651</v>
      </c>
      <c r="F170" s="124">
        <v>3143</v>
      </c>
      <c r="G170" s="145" t="s">
        <v>323</v>
      </c>
      <c r="H170" s="125" t="s">
        <v>284</v>
      </c>
      <c r="I170" s="126">
        <f t="shared" si="290"/>
        <v>342575</v>
      </c>
      <c r="J170" s="664">
        <v>251535</v>
      </c>
      <c r="K170" s="127">
        <f t="shared" si="310"/>
        <v>85019</v>
      </c>
      <c r="L170" s="477">
        <f t="shared" si="311"/>
        <v>5031</v>
      </c>
      <c r="M170" s="664">
        <v>990</v>
      </c>
      <c r="N170" s="390">
        <f t="shared" si="305"/>
        <v>0.57000000000000006</v>
      </c>
      <c r="O170" s="665">
        <v>0.5</v>
      </c>
      <c r="P170" s="667">
        <v>7.0000000000000007E-2</v>
      </c>
      <c r="Q170" s="129">
        <f t="shared" si="292"/>
        <v>0</v>
      </c>
      <c r="R170" s="130">
        <v>0</v>
      </c>
      <c r="S170" s="130">
        <v>0</v>
      </c>
      <c r="T170" s="130">
        <v>0</v>
      </c>
      <c r="U170" s="130">
        <f t="shared" si="293"/>
        <v>0</v>
      </c>
      <c r="V170" s="130">
        <v>0</v>
      </c>
      <c r="W170" s="130">
        <v>0</v>
      </c>
      <c r="X170" s="130">
        <v>0</v>
      </c>
      <c r="Y170" s="130">
        <f t="shared" si="337"/>
        <v>0</v>
      </c>
      <c r="Z170" s="130">
        <f t="shared" si="338"/>
        <v>0</v>
      </c>
      <c r="AA170" s="131">
        <f t="shared" si="339"/>
        <v>0</v>
      </c>
      <c r="AB170" s="131">
        <f t="shared" si="340"/>
        <v>0</v>
      </c>
      <c r="AC170" s="130">
        <v>0</v>
      </c>
      <c r="AD170" s="130">
        <v>0</v>
      </c>
      <c r="AE170" s="130">
        <f t="shared" si="312"/>
        <v>0</v>
      </c>
      <c r="AF170" s="130">
        <f t="shared" si="313"/>
        <v>0</v>
      </c>
      <c r="AG170" s="132">
        <v>0</v>
      </c>
      <c r="AH170" s="132">
        <v>0</v>
      </c>
      <c r="AI170" s="132">
        <v>0</v>
      </c>
      <c r="AJ170" s="132">
        <v>0</v>
      </c>
      <c r="AK170" s="132">
        <v>0</v>
      </c>
      <c r="AL170" s="132">
        <f t="shared" si="314"/>
        <v>0</v>
      </c>
      <c r="AM170" s="132">
        <f>AH170+AK170</f>
        <v>0</v>
      </c>
      <c r="AN170" s="403">
        <f t="shared" si="315"/>
        <v>0</v>
      </c>
      <c r="AO170" s="128">
        <f t="shared" si="294"/>
        <v>342575</v>
      </c>
      <c r="AP170" s="130">
        <f t="shared" si="295"/>
        <v>251535</v>
      </c>
      <c r="AQ170" s="130">
        <f t="shared" si="296"/>
        <v>0</v>
      </c>
      <c r="AR170" s="130">
        <f t="shared" si="297"/>
        <v>85019</v>
      </c>
      <c r="AS170" s="130">
        <f t="shared" si="298"/>
        <v>5031</v>
      </c>
      <c r="AT170" s="130">
        <f t="shared" si="299"/>
        <v>990</v>
      </c>
      <c r="AU170" s="132">
        <f t="shared" si="300"/>
        <v>0.57000000000000006</v>
      </c>
      <c r="AV170" s="132">
        <f t="shared" si="301"/>
        <v>0.5</v>
      </c>
      <c r="AW170" s="133">
        <f t="shared" si="302"/>
        <v>7.0000000000000007E-2</v>
      </c>
    </row>
    <row r="171" spans="1:49" ht="14.1" customHeight="1" x14ac:dyDescent="0.2">
      <c r="A171" s="137">
        <v>38</v>
      </c>
      <c r="B171" s="134">
        <v>2307</v>
      </c>
      <c r="C171" s="146">
        <v>600079911</v>
      </c>
      <c r="D171" s="134">
        <v>72743212</v>
      </c>
      <c r="E171" s="136" t="s">
        <v>652</v>
      </c>
      <c r="F171" s="137"/>
      <c r="G171" s="136"/>
      <c r="H171" s="138"/>
      <c r="I171" s="139">
        <f t="shared" ref="I171:P171" si="341">SUM(I166:I170)</f>
        <v>42920979</v>
      </c>
      <c r="J171" s="140">
        <f t="shared" si="341"/>
        <v>30882075</v>
      </c>
      <c r="K171" s="140">
        <f t="shared" si="341"/>
        <v>10438142</v>
      </c>
      <c r="L171" s="140">
        <f t="shared" si="341"/>
        <v>617642</v>
      </c>
      <c r="M171" s="140">
        <f t="shared" si="341"/>
        <v>983120</v>
      </c>
      <c r="N171" s="141">
        <f t="shared" si="341"/>
        <v>57.718400000000003</v>
      </c>
      <c r="O171" s="141">
        <f t="shared" si="341"/>
        <v>45.679600000000001</v>
      </c>
      <c r="P171" s="142">
        <f t="shared" si="341"/>
        <v>12.0388</v>
      </c>
      <c r="Q171" s="342">
        <f t="shared" ref="Q171:U171" si="342">SUM(Q166:Q170)</f>
        <v>-132800</v>
      </c>
      <c r="R171" s="140">
        <f t="shared" si="342"/>
        <v>2026854</v>
      </c>
      <c r="S171" s="140">
        <f t="shared" si="342"/>
        <v>0</v>
      </c>
      <c r="T171" s="140">
        <f t="shared" si="342"/>
        <v>0</v>
      </c>
      <c r="U171" s="140">
        <f t="shared" si="342"/>
        <v>1894054</v>
      </c>
      <c r="V171" s="140">
        <f t="shared" ref="V171:X171" si="343">SUM(V166:V170)</f>
        <v>132800</v>
      </c>
      <c r="W171" s="140">
        <f t="shared" si="343"/>
        <v>0</v>
      </c>
      <c r="X171" s="140">
        <f t="shared" si="343"/>
        <v>0</v>
      </c>
      <c r="Y171" s="140">
        <f t="shared" ref="Y171:AF171" si="344">SUM(Y166:Y170)</f>
        <v>132800</v>
      </c>
      <c r="Z171" s="140">
        <f t="shared" si="344"/>
        <v>2026854</v>
      </c>
      <c r="AA171" s="140">
        <f t="shared" si="344"/>
        <v>685077</v>
      </c>
      <c r="AB171" s="140">
        <f t="shared" si="344"/>
        <v>37881</v>
      </c>
      <c r="AC171" s="140">
        <f t="shared" si="344"/>
        <v>0</v>
      </c>
      <c r="AD171" s="140">
        <f t="shared" si="344"/>
        <v>0</v>
      </c>
      <c r="AE171" s="140">
        <f t="shared" si="344"/>
        <v>0</v>
      </c>
      <c r="AF171" s="140">
        <f t="shared" si="344"/>
        <v>2749812</v>
      </c>
      <c r="AG171" s="141">
        <f t="shared" ref="AG171:AW171" si="345">SUM(AG166:AG170)</f>
        <v>-0.04</v>
      </c>
      <c r="AH171" s="141">
        <f t="shared" si="345"/>
        <v>-0.19</v>
      </c>
      <c r="AI171" s="141">
        <f t="shared" si="345"/>
        <v>5.78</v>
      </c>
      <c r="AJ171" s="141">
        <f t="shared" si="345"/>
        <v>0</v>
      </c>
      <c r="AK171" s="141">
        <f t="shared" si="345"/>
        <v>0</v>
      </c>
      <c r="AL171" s="141">
        <f t="shared" si="345"/>
        <v>5.74</v>
      </c>
      <c r="AM171" s="141">
        <f t="shared" si="345"/>
        <v>-0.19</v>
      </c>
      <c r="AN171" s="635">
        <f t="shared" si="345"/>
        <v>5.55</v>
      </c>
      <c r="AO171" s="139">
        <f t="shared" si="345"/>
        <v>45670791</v>
      </c>
      <c r="AP171" s="140">
        <f t="shared" si="345"/>
        <v>32776129</v>
      </c>
      <c r="AQ171" s="140">
        <f t="shared" si="345"/>
        <v>132800</v>
      </c>
      <c r="AR171" s="140">
        <f t="shared" si="345"/>
        <v>11123219</v>
      </c>
      <c r="AS171" s="140">
        <f t="shared" si="345"/>
        <v>655523</v>
      </c>
      <c r="AT171" s="140">
        <f t="shared" si="345"/>
        <v>983120</v>
      </c>
      <c r="AU171" s="141">
        <f t="shared" si="345"/>
        <v>63.268400000000007</v>
      </c>
      <c r="AV171" s="141">
        <f t="shared" si="345"/>
        <v>51.419600000000003</v>
      </c>
      <c r="AW171" s="142">
        <f t="shared" si="345"/>
        <v>11.848800000000001</v>
      </c>
    </row>
    <row r="172" spans="1:49" ht="14.1" customHeight="1" x14ac:dyDescent="0.2">
      <c r="A172" s="124">
        <v>39</v>
      </c>
      <c r="B172" s="121">
        <v>2478</v>
      </c>
      <c r="C172" s="144">
        <v>600079929</v>
      </c>
      <c r="D172" s="121">
        <v>72743379</v>
      </c>
      <c r="E172" s="123" t="s">
        <v>653</v>
      </c>
      <c r="F172" s="124">
        <v>3113</v>
      </c>
      <c r="G172" s="123" t="s">
        <v>320</v>
      </c>
      <c r="H172" s="125" t="s">
        <v>283</v>
      </c>
      <c r="I172" s="126">
        <f t="shared" si="290"/>
        <v>29711836</v>
      </c>
      <c r="J172" s="127">
        <v>21376463</v>
      </c>
      <c r="K172" s="127">
        <f t="shared" si="310"/>
        <v>7225244</v>
      </c>
      <c r="L172" s="477">
        <f t="shared" si="311"/>
        <v>427529</v>
      </c>
      <c r="M172" s="127">
        <v>682600</v>
      </c>
      <c r="N172" s="390">
        <f t="shared" si="305"/>
        <v>40.438200000000002</v>
      </c>
      <c r="O172" s="390">
        <v>31.5456</v>
      </c>
      <c r="P172" s="439">
        <v>8.8925999999999998</v>
      </c>
      <c r="Q172" s="129">
        <f t="shared" si="292"/>
        <v>-144000</v>
      </c>
      <c r="R172" s="130">
        <v>0</v>
      </c>
      <c r="S172" s="130">
        <v>0</v>
      </c>
      <c r="T172" s="130">
        <v>0</v>
      </c>
      <c r="U172" s="130">
        <f t="shared" si="293"/>
        <v>-144000</v>
      </c>
      <c r="V172" s="130">
        <v>144000</v>
      </c>
      <c r="W172" s="130">
        <v>0</v>
      </c>
      <c r="X172" s="130">
        <v>0</v>
      </c>
      <c r="Y172" s="130">
        <f t="shared" ref="Y172:Y176" si="346">SUM(V172:X172)</f>
        <v>144000</v>
      </c>
      <c r="Z172" s="130">
        <f t="shared" ref="Z172:Z176" si="347">U172+Y172</f>
        <v>0</v>
      </c>
      <c r="AA172" s="131">
        <f t="shared" ref="AA172:AA176" si="348">ROUND((U172+V172+W172)*33.8%,0)</f>
        <v>0</v>
      </c>
      <c r="AB172" s="131">
        <f t="shared" ref="AB172:AB176" si="349">ROUND(U172*2%,0)</f>
        <v>-2880</v>
      </c>
      <c r="AC172" s="130">
        <v>0</v>
      </c>
      <c r="AD172" s="130">
        <v>0</v>
      </c>
      <c r="AE172" s="130">
        <f t="shared" si="312"/>
        <v>0</v>
      </c>
      <c r="AF172" s="130">
        <f t="shared" si="313"/>
        <v>-2880</v>
      </c>
      <c r="AG172" s="132">
        <v>-0.09</v>
      </c>
      <c r="AH172" s="132">
        <v>-0.06</v>
      </c>
      <c r="AI172" s="132">
        <v>0</v>
      </c>
      <c r="AJ172" s="132">
        <v>0</v>
      </c>
      <c r="AK172" s="132">
        <v>0</v>
      </c>
      <c r="AL172" s="132">
        <f t="shared" si="314"/>
        <v>-0.09</v>
      </c>
      <c r="AM172" s="132">
        <f>AH172+AK172</f>
        <v>-0.06</v>
      </c>
      <c r="AN172" s="403">
        <f t="shared" si="315"/>
        <v>-0.15</v>
      </c>
      <c r="AO172" s="128">
        <f t="shared" si="294"/>
        <v>29708956</v>
      </c>
      <c r="AP172" s="130">
        <f t="shared" si="295"/>
        <v>21232463</v>
      </c>
      <c r="AQ172" s="130">
        <f t="shared" si="296"/>
        <v>144000</v>
      </c>
      <c r="AR172" s="130">
        <f t="shared" si="297"/>
        <v>7225244</v>
      </c>
      <c r="AS172" s="130">
        <f t="shared" si="298"/>
        <v>424649</v>
      </c>
      <c r="AT172" s="130">
        <f t="shared" si="299"/>
        <v>682600</v>
      </c>
      <c r="AU172" s="132">
        <f t="shared" si="300"/>
        <v>40.288200000000003</v>
      </c>
      <c r="AV172" s="132">
        <f t="shared" si="301"/>
        <v>31.4556</v>
      </c>
      <c r="AW172" s="133">
        <f t="shared" si="302"/>
        <v>8.8325999999999993</v>
      </c>
    </row>
    <row r="173" spans="1:49" ht="14.1" customHeight="1" x14ac:dyDescent="0.2">
      <c r="A173" s="124">
        <v>39</v>
      </c>
      <c r="B173" s="121">
        <v>2478</v>
      </c>
      <c r="C173" s="144">
        <v>600079929</v>
      </c>
      <c r="D173" s="121">
        <v>72743379</v>
      </c>
      <c r="E173" s="123" t="s">
        <v>653</v>
      </c>
      <c r="F173" s="124">
        <v>3113</v>
      </c>
      <c r="G173" s="143" t="s">
        <v>318</v>
      </c>
      <c r="H173" s="125" t="s">
        <v>284</v>
      </c>
      <c r="I173" s="126">
        <f t="shared" si="290"/>
        <v>0</v>
      </c>
      <c r="J173" s="29">
        <v>0</v>
      </c>
      <c r="K173" s="127">
        <f t="shared" si="310"/>
        <v>0</v>
      </c>
      <c r="L173" s="477">
        <f t="shared" si="311"/>
        <v>0</v>
      </c>
      <c r="M173" s="29">
        <v>0</v>
      </c>
      <c r="N173" s="390">
        <f t="shared" si="305"/>
        <v>0</v>
      </c>
      <c r="O173" s="349">
        <v>0</v>
      </c>
      <c r="P173" s="639">
        <v>0</v>
      </c>
      <c r="Q173" s="129">
        <f t="shared" si="292"/>
        <v>0</v>
      </c>
      <c r="R173" s="130">
        <f>4088642+57840+(-202096)</f>
        <v>3944386</v>
      </c>
      <c r="S173" s="130">
        <v>0</v>
      </c>
      <c r="T173" s="130">
        <v>0</v>
      </c>
      <c r="U173" s="130">
        <f t="shared" si="293"/>
        <v>3944386</v>
      </c>
      <c r="V173" s="130">
        <v>0</v>
      </c>
      <c r="W173" s="130">
        <v>0</v>
      </c>
      <c r="X173" s="130">
        <v>0</v>
      </c>
      <c r="Y173" s="130">
        <f t="shared" si="346"/>
        <v>0</v>
      </c>
      <c r="Z173" s="130">
        <f t="shared" si="347"/>
        <v>3944386</v>
      </c>
      <c r="AA173" s="131">
        <f t="shared" si="348"/>
        <v>1333202</v>
      </c>
      <c r="AB173" s="131">
        <f t="shared" si="349"/>
        <v>78888</v>
      </c>
      <c r="AC173" s="130">
        <f>39750+4000</f>
        <v>43750</v>
      </c>
      <c r="AD173" s="130">
        <v>0</v>
      </c>
      <c r="AE173" s="130">
        <f t="shared" si="312"/>
        <v>43750</v>
      </c>
      <c r="AF173" s="130">
        <f t="shared" si="313"/>
        <v>5400226</v>
      </c>
      <c r="AG173" s="132">
        <v>0</v>
      </c>
      <c r="AH173" s="132">
        <v>0</v>
      </c>
      <c r="AI173" s="132">
        <f>12.01-0.58</f>
        <v>11.43</v>
      </c>
      <c r="AJ173" s="132">
        <v>0</v>
      </c>
      <c r="AK173" s="132">
        <v>0</v>
      </c>
      <c r="AL173" s="132">
        <f t="shared" si="314"/>
        <v>11.43</v>
      </c>
      <c r="AM173" s="132">
        <f>AH173+AK173</f>
        <v>0</v>
      </c>
      <c r="AN173" s="403">
        <f t="shared" si="315"/>
        <v>11.43</v>
      </c>
      <c r="AO173" s="128">
        <f t="shared" si="294"/>
        <v>5400226</v>
      </c>
      <c r="AP173" s="130">
        <f t="shared" si="295"/>
        <v>3944386</v>
      </c>
      <c r="AQ173" s="130">
        <f t="shared" si="296"/>
        <v>0</v>
      </c>
      <c r="AR173" s="130">
        <f t="shared" si="297"/>
        <v>1333202</v>
      </c>
      <c r="AS173" s="130">
        <f t="shared" si="298"/>
        <v>78888</v>
      </c>
      <c r="AT173" s="130">
        <f t="shared" si="299"/>
        <v>43750</v>
      </c>
      <c r="AU173" s="132">
        <f t="shared" si="300"/>
        <v>11.43</v>
      </c>
      <c r="AV173" s="132">
        <f t="shared" si="301"/>
        <v>11.43</v>
      </c>
      <c r="AW173" s="133">
        <f t="shared" si="302"/>
        <v>0</v>
      </c>
    </row>
    <row r="174" spans="1:49" ht="14.1" customHeight="1" x14ac:dyDescent="0.2">
      <c r="A174" s="124">
        <v>39</v>
      </c>
      <c r="B174" s="121">
        <v>2478</v>
      </c>
      <c r="C174" s="144">
        <v>600079929</v>
      </c>
      <c r="D174" s="121">
        <v>72743379</v>
      </c>
      <c r="E174" s="123" t="s">
        <v>653</v>
      </c>
      <c r="F174" s="124">
        <v>3141</v>
      </c>
      <c r="G174" s="123" t="s">
        <v>321</v>
      </c>
      <c r="H174" s="125" t="s">
        <v>284</v>
      </c>
      <c r="I174" s="126">
        <f t="shared" si="290"/>
        <v>2221641</v>
      </c>
      <c r="J174" s="666">
        <v>1620761</v>
      </c>
      <c r="K174" s="127">
        <f t="shared" si="310"/>
        <v>547817</v>
      </c>
      <c r="L174" s="477">
        <f t="shared" si="311"/>
        <v>32415</v>
      </c>
      <c r="M174" s="666">
        <v>20648</v>
      </c>
      <c r="N174" s="390">
        <f t="shared" si="305"/>
        <v>5.51</v>
      </c>
      <c r="O174" s="668">
        <v>0</v>
      </c>
      <c r="P174" s="667">
        <v>5.51</v>
      </c>
      <c r="Q174" s="129">
        <f t="shared" si="292"/>
        <v>-10400</v>
      </c>
      <c r="R174" s="130">
        <v>0</v>
      </c>
      <c r="S174" s="130">
        <v>0</v>
      </c>
      <c r="T174" s="130">
        <v>0</v>
      </c>
      <c r="U174" s="130">
        <f t="shared" si="293"/>
        <v>-10400</v>
      </c>
      <c r="V174" s="130">
        <v>10400</v>
      </c>
      <c r="W174" s="130">
        <v>0</v>
      </c>
      <c r="X174" s="130">
        <v>0</v>
      </c>
      <c r="Y174" s="130">
        <f t="shared" si="346"/>
        <v>10400</v>
      </c>
      <c r="Z174" s="130">
        <f t="shared" si="347"/>
        <v>0</v>
      </c>
      <c r="AA174" s="131">
        <f t="shared" si="348"/>
        <v>0</v>
      </c>
      <c r="AB174" s="131">
        <f t="shared" si="349"/>
        <v>-208</v>
      </c>
      <c r="AC174" s="130">
        <v>0</v>
      </c>
      <c r="AD174" s="130">
        <v>0</v>
      </c>
      <c r="AE174" s="130">
        <f t="shared" si="312"/>
        <v>0</v>
      </c>
      <c r="AF174" s="130">
        <f t="shared" si="313"/>
        <v>-208</v>
      </c>
      <c r="AG174" s="132">
        <v>0</v>
      </c>
      <c r="AH174" s="132">
        <v>-0.03</v>
      </c>
      <c r="AI174" s="132">
        <v>0</v>
      </c>
      <c r="AJ174" s="132">
        <v>0</v>
      </c>
      <c r="AK174" s="132">
        <v>0</v>
      </c>
      <c r="AL174" s="132">
        <f t="shared" si="314"/>
        <v>0</v>
      </c>
      <c r="AM174" s="132">
        <f>AH174+AK174</f>
        <v>-0.03</v>
      </c>
      <c r="AN174" s="403">
        <f t="shared" si="315"/>
        <v>-0.03</v>
      </c>
      <c r="AO174" s="128">
        <f t="shared" si="294"/>
        <v>2221433</v>
      </c>
      <c r="AP174" s="130">
        <f t="shared" si="295"/>
        <v>1610361</v>
      </c>
      <c r="AQ174" s="130">
        <f t="shared" si="296"/>
        <v>10400</v>
      </c>
      <c r="AR174" s="130">
        <f t="shared" si="297"/>
        <v>547817</v>
      </c>
      <c r="AS174" s="130">
        <f t="shared" si="298"/>
        <v>32207</v>
      </c>
      <c r="AT174" s="130">
        <f t="shared" si="299"/>
        <v>20648</v>
      </c>
      <c r="AU174" s="132">
        <f t="shared" si="300"/>
        <v>5.4799999999999995</v>
      </c>
      <c r="AV174" s="132">
        <f t="shared" si="301"/>
        <v>0</v>
      </c>
      <c r="AW174" s="133">
        <f t="shared" si="302"/>
        <v>5.4799999999999995</v>
      </c>
    </row>
    <row r="175" spans="1:49" ht="14.1" customHeight="1" x14ac:dyDescent="0.2">
      <c r="A175" s="124">
        <v>39</v>
      </c>
      <c r="B175" s="121">
        <v>2478</v>
      </c>
      <c r="C175" s="144">
        <v>600079929</v>
      </c>
      <c r="D175" s="121">
        <v>72743379</v>
      </c>
      <c r="E175" s="123" t="s">
        <v>653</v>
      </c>
      <c r="F175" s="124">
        <v>3143</v>
      </c>
      <c r="G175" s="145" t="s">
        <v>635</v>
      </c>
      <c r="H175" s="125" t="s">
        <v>283</v>
      </c>
      <c r="I175" s="126">
        <f t="shared" si="290"/>
        <v>3378696</v>
      </c>
      <c r="J175" s="631">
        <v>2487994</v>
      </c>
      <c r="K175" s="127">
        <f t="shared" si="310"/>
        <v>840942</v>
      </c>
      <c r="L175" s="477">
        <f t="shared" si="311"/>
        <v>49760</v>
      </c>
      <c r="M175" s="478">
        <v>0</v>
      </c>
      <c r="N175" s="390">
        <f t="shared" si="305"/>
        <v>5.5713999999999997</v>
      </c>
      <c r="O175" s="644">
        <v>5.5713999999999997</v>
      </c>
      <c r="P175" s="639">
        <v>0</v>
      </c>
      <c r="Q175" s="129">
        <f t="shared" si="292"/>
        <v>-40000</v>
      </c>
      <c r="R175" s="130">
        <v>0</v>
      </c>
      <c r="S175" s="130">
        <v>0</v>
      </c>
      <c r="T175" s="130">
        <v>0</v>
      </c>
      <c r="U175" s="130">
        <f t="shared" si="293"/>
        <v>-40000</v>
      </c>
      <c r="V175" s="130">
        <v>40000</v>
      </c>
      <c r="W175" s="130">
        <v>0</v>
      </c>
      <c r="X175" s="130">
        <v>0</v>
      </c>
      <c r="Y175" s="130">
        <f t="shared" si="346"/>
        <v>40000</v>
      </c>
      <c r="Z175" s="130">
        <f t="shared" si="347"/>
        <v>0</v>
      </c>
      <c r="AA175" s="131">
        <f t="shared" si="348"/>
        <v>0</v>
      </c>
      <c r="AB175" s="131">
        <f t="shared" si="349"/>
        <v>-800</v>
      </c>
      <c r="AC175" s="130">
        <v>0</v>
      </c>
      <c r="AD175" s="130">
        <v>0</v>
      </c>
      <c r="AE175" s="130">
        <f t="shared" si="312"/>
        <v>0</v>
      </c>
      <c r="AF175" s="130">
        <f t="shared" si="313"/>
        <v>-800</v>
      </c>
      <c r="AG175" s="132">
        <v>0</v>
      </c>
      <c r="AH175" s="132">
        <v>0</v>
      </c>
      <c r="AI175" s="132">
        <v>0</v>
      </c>
      <c r="AJ175" s="132">
        <v>0</v>
      </c>
      <c r="AK175" s="132">
        <v>0</v>
      </c>
      <c r="AL175" s="132">
        <f t="shared" si="314"/>
        <v>0</v>
      </c>
      <c r="AM175" s="132">
        <f>AH175+AK175</f>
        <v>0</v>
      </c>
      <c r="AN175" s="403">
        <f t="shared" si="315"/>
        <v>0</v>
      </c>
      <c r="AO175" s="128">
        <f t="shared" si="294"/>
        <v>3377896</v>
      </c>
      <c r="AP175" s="130">
        <f t="shared" si="295"/>
        <v>2447994</v>
      </c>
      <c r="AQ175" s="130">
        <f t="shared" si="296"/>
        <v>40000</v>
      </c>
      <c r="AR175" s="130">
        <f t="shared" si="297"/>
        <v>840942</v>
      </c>
      <c r="AS175" s="130">
        <f t="shared" si="298"/>
        <v>48960</v>
      </c>
      <c r="AT175" s="130">
        <f t="shared" si="299"/>
        <v>0</v>
      </c>
      <c r="AU175" s="132">
        <f t="shared" si="300"/>
        <v>5.5713999999999997</v>
      </c>
      <c r="AV175" s="132">
        <f t="shared" si="301"/>
        <v>5.5713999999999997</v>
      </c>
      <c r="AW175" s="133">
        <f t="shared" si="302"/>
        <v>0</v>
      </c>
    </row>
    <row r="176" spans="1:49" ht="14.1" customHeight="1" x14ac:dyDescent="0.2">
      <c r="A176" s="124">
        <v>39</v>
      </c>
      <c r="B176" s="121">
        <v>2478</v>
      </c>
      <c r="C176" s="144">
        <v>600079929</v>
      </c>
      <c r="D176" s="121">
        <v>72743379</v>
      </c>
      <c r="E176" s="123" t="s">
        <v>653</v>
      </c>
      <c r="F176" s="124">
        <v>3143</v>
      </c>
      <c r="G176" s="145" t="s">
        <v>636</v>
      </c>
      <c r="H176" s="125" t="s">
        <v>284</v>
      </c>
      <c r="I176" s="126">
        <f t="shared" si="290"/>
        <v>97607</v>
      </c>
      <c r="J176" s="664">
        <v>68805</v>
      </c>
      <c r="K176" s="127">
        <f t="shared" si="310"/>
        <v>23256</v>
      </c>
      <c r="L176" s="477">
        <f t="shared" si="311"/>
        <v>1376</v>
      </c>
      <c r="M176" s="664">
        <v>4170</v>
      </c>
      <c r="N176" s="390">
        <f t="shared" si="305"/>
        <v>0.29000000000000004</v>
      </c>
      <c r="O176" s="665">
        <v>0</v>
      </c>
      <c r="P176" s="667">
        <v>0.29000000000000004</v>
      </c>
      <c r="Q176" s="129">
        <f t="shared" si="292"/>
        <v>0</v>
      </c>
      <c r="R176" s="130">
        <v>0</v>
      </c>
      <c r="S176" s="130">
        <v>0</v>
      </c>
      <c r="T176" s="130">
        <v>0</v>
      </c>
      <c r="U176" s="130">
        <f t="shared" si="293"/>
        <v>0</v>
      </c>
      <c r="V176" s="130">
        <v>0</v>
      </c>
      <c r="W176" s="130">
        <v>0</v>
      </c>
      <c r="X176" s="130">
        <v>0</v>
      </c>
      <c r="Y176" s="130">
        <f t="shared" si="346"/>
        <v>0</v>
      </c>
      <c r="Z176" s="130">
        <f t="shared" si="347"/>
        <v>0</v>
      </c>
      <c r="AA176" s="131">
        <f t="shared" si="348"/>
        <v>0</v>
      </c>
      <c r="AB176" s="131">
        <f t="shared" si="349"/>
        <v>0</v>
      </c>
      <c r="AC176" s="130">
        <v>0</v>
      </c>
      <c r="AD176" s="130">
        <v>0</v>
      </c>
      <c r="AE176" s="130">
        <f t="shared" si="312"/>
        <v>0</v>
      </c>
      <c r="AF176" s="130">
        <f t="shared" si="313"/>
        <v>0</v>
      </c>
      <c r="AG176" s="132">
        <v>0</v>
      </c>
      <c r="AH176" s="132">
        <v>0</v>
      </c>
      <c r="AI176" s="132">
        <v>0</v>
      </c>
      <c r="AJ176" s="132">
        <v>0</v>
      </c>
      <c r="AK176" s="132">
        <v>0</v>
      </c>
      <c r="AL176" s="132">
        <f t="shared" si="314"/>
        <v>0</v>
      </c>
      <c r="AM176" s="132">
        <f>AH176+AK176</f>
        <v>0</v>
      </c>
      <c r="AN176" s="403">
        <f t="shared" si="315"/>
        <v>0</v>
      </c>
      <c r="AO176" s="128">
        <f t="shared" si="294"/>
        <v>97607</v>
      </c>
      <c r="AP176" s="130">
        <f t="shared" si="295"/>
        <v>68805</v>
      </c>
      <c r="AQ176" s="130">
        <f t="shared" si="296"/>
        <v>0</v>
      </c>
      <c r="AR176" s="130">
        <f t="shared" si="297"/>
        <v>23256</v>
      </c>
      <c r="AS176" s="130">
        <f t="shared" si="298"/>
        <v>1376</v>
      </c>
      <c r="AT176" s="130">
        <f t="shared" si="299"/>
        <v>4170</v>
      </c>
      <c r="AU176" s="132">
        <f t="shared" si="300"/>
        <v>0.29000000000000004</v>
      </c>
      <c r="AV176" s="132">
        <f t="shared" si="301"/>
        <v>0</v>
      </c>
      <c r="AW176" s="133">
        <f t="shared" si="302"/>
        <v>0.29000000000000004</v>
      </c>
    </row>
    <row r="177" spans="1:49" ht="14.1" customHeight="1" x14ac:dyDescent="0.2">
      <c r="A177" s="137">
        <v>39</v>
      </c>
      <c r="B177" s="134">
        <v>2478</v>
      </c>
      <c r="C177" s="146">
        <v>600079929</v>
      </c>
      <c r="D177" s="134">
        <v>72743379</v>
      </c>
      <c r="E177" s="136" t="s">
        <v>654</v>
      </c>
      <c r="F177" s="137"/>
      <c r="G177" s="136"/>
      <c r="H177" s="138"/>
      <c r="I177" s="139">
        <f t="shared" ref="I177:P177" si="350">SUM(I172:I176)</f>
        <v>35409780</v>
      </c>
      <c r="J177" s="140">
        <f t="shared" si="350"/>
        <v>25554023</v>
      </c>
      <c r="K177" s="140">
        <f t="shared" si="350"/>
        <v>8637259</v>
      </c>
      <c r="L177" s="140">
        <f t="shared" si="350"/>
        <v>511080</v>
      </c>
      <c r="M177" s="140">
        <f t="shared" si="350"/>
        <v>707418</v>
      </c>
      <c r="N177" s="141">
        <f t="shared" si="350"/>
        <v>51.809599999999996</v>
      </c>
      <c r="O177" s="141">
        <f t="shared" si="350"/>
        <v>37.116999999999997</v>
      </c>
      <c r="P177" s="142">
        <f t="shared" si="350"/>
        <v>14.692599999999999</v>
      </c>
      <c r="Q177" s="342">
        <f t="shared" ref="Q177:AW177" si="351">SUM(Q172:Q176)</f>
        <v>-194400</v>
      </c>
      <c r="R177" s="140">
        <f t="shared" si="351"/>
        <v>3944386</v>
      </c>
      <c r="S177" s="140">
        <f t="shared" si="351"/>
        <v>0</v>
      </c>
      <c r="T177" s="140">
        <f t="shared" si="351"/>
        <v>0</v>
      </c>
      <c r="U177" s="140">
        <f t="shared" si="351"/>
        <v>3749986</v>
      </c>
      <c r="V177" s="140">
        <f t="shared" si="351"/>
        <v>194400</v>
      </c>
      <c r="W177" s="140">
        <f t="shared" si="351"/>
        <v>0</v>
      </c>
      <c r="X177" s="140">
        <f t="shared" si="351"/>
        <v>0</v>
      </c>
      <c r="Y177" s="140">
        <f t="shared" si="351"/>
        <v>194400</v>
      </c>
      <c r="Z177" s="140">
        <f t="shared" si="351"/>
        <v>3944386</v>
      </c>
      <c r="AA177" s="140">
        <f t="shared" si="351"/>
        <v>1333202</v>
      </c>
      <c r="AB177" s="140">
        <f t="shared" si="351"/>
        <v>75000</v>
      </c>
      <c r="AC177" s="140">
        <f t="shared" si="351"/>
        <v>43750</v>
      </c>
      <c r="AD177" s="140">
        <f t="shared" si="351"/>
        <v>0</v>
      </c>
      <c r="AE177" s="140">
        <f t="shared" si="351"/>
        <v>43750</v>
      </c>
      <c r="AF177" s="140">
        <f t="shared" si="351"/>
        <v>5396338</v>
      </c>
      <c r="AG177" s="141">
        <f t="shared" si="351"/>
        <v>-0.09</v>
      </c>
      <c r="AH177" s="141">
        <f t="shared" si="351"/>
        <v>-0.09</v>
      </c>
      <c r="AI177" s="141">
        <f t="shared" si="351"/>
        <v>11.43</v>
      </c>
      <c r="AJ177" s="141">
        <f t="shared" si="351"/>
        <v>0</v>
      </c>
      <c r="AK177" s="141">
        <f t="shared" si="351"/>
        <v>0</v>
      </c>
      <c r="AL177" s="141">
        <f t="shared" si="351"/>
        <v>11.34</v>
      </c>
      <c r="AM177" s="141">
        <f t="shared" si="351"/>
        <v>-0.09</v>
      </c>
      <c r="AN177" s="635">
        <f t="shared" si="351"/>
        <v>11.25</v>
      </c>
      <c r="AO177" s="139">
        <f t="shared" si="351"/>
        <v>40806118</v>
      </c>
      <c r="AP177" s="140">
        <f t="shared" si="351"/>
        <v>29304009</v>
      </c>
      <c r="AQ177" s="140">
        <f t="shared" si="351"/>
        <v>194400</v>
      </c>
      <c r="AR177" s="140">
        <f t="shared" si="351"/>
        <v>9970461</v>
      </c>
      <c r="AS177" s="140">
        <f t="shared" si="351"/>
        <v>586080</v>
      </c>
      <c r="AT177" s="140">
        <f t="shared" si="351"/>
        <v>751168</v>
      </c>
      <c r="AU177" s="141">
        <f t="shared" si="351"/>
        <v>63.059599999999996</v>
      </c>
      <c r="AV177" s="141">
        <f t="shared" si="351"/>
        <v>48.456999999999994</v>
      </c>
      <c r="AW177" s="142">
        <f t="shared" si="351"/>
        <v>14.602599999999999</v>
      </c>
    </row>
    <row r="178" spans="1:49" s="151" customFormat="1" ht="14.1" customHeight="1" x14ac:dyDescent="0.2">
      <c r="A178" s="124">
        <v>40</v>
      </c>
      <c r="B178" s="121">
        <v>2465</v>
      </c>
      <c r="C178" s="144">
        <v>650018273</v>
      </c>
      <c r="D178" s="121">
        <v>72741791</v>
      </c>
      <c r="E178" s="123" t="s">
        <v>655</v>
      </c>
      <c r="F178" s="124">
        <v>3111</v>
      </c>
      <c r="G178" s="123" t="s">
        <v>317</v>
      </c>
      <c r="H178" s="125" t="s">
        <v>283</v>
      </c>
      <c r="I178" s="126">
        <f t="shared" si="290"/>
        <v>5654263</v>
      </c>
      <c r="J178" s="127">
        <v>4133846</v>
      </c>
      <c r="K178" s="127">
        <f t="shared" si="310"/>
        <v>1397240</v>
      </c>
      <c r="L178" s="477">
        <f t="shared" si="311"/>
        <v>82677</v>
      </c>
      <c r="M178" s="127">
        <v>40500</v>
      </c>
      <c r="N178" s="390">
        <f t="shared" si="305"/>
        <v>9.9792000000000005</v>
      </c>
      <c r="O178" s="390">
        <v>7.9355000000000002</v>
      </c>
      <c r="P178" s="439">
        <v>2.0436999999999999</v>
      </c>
      <c r="Q178" s="129">
        <f t="shared" si="292"/>
        <v>-8000</v>
      </c>
      <c r="R178" s="130">
        <v>0</v>
      </c>
      <c r="S178" s="130">
        <v>0</v>
      </c>
      <c r="T178" s="130">
        <v>0</v>
      </c>
      <c r="U178" s="130">
        <f t="shared" si="293"/>
        <v>-8000</v>
      </c>
      <c r="V178" s="130">
        <v>8000</v>
      </c>
      <c r="W178" s="130">
        <v>0</v>
      </c>
      <c r="X178" s="130">
        <v>0</v>
      </c>
      <c r="Y178" s="130">
        <f t="shared" ref="Y178:Y183" si="352">SUM(V178:X178)</f>
        <v>8000</v>
      </c>
      <c r="Z178" s="130">
        <f t="shared" ref="Z178:Z183" si="353">U178+Y178</f>
        <v>0</v>
      </c>
      <c r="AA178" s="131">
        <f t="shared" ref="AA178:AA183" si="354">ROUND((U178+V178+W178)*33.8%,0)</f>
        <v>0</v>
      </c>
      <c r="AB178" s="131">
        <f t="shared" ref="AB178:AB183" si="355">ROUND(U178*2%,0)</f>
        <v>-160</v>
      </c>
      <c r="AC178" s="130">
        <v>0</v>
      </c>
      <c r="AD178" s="130">
        <v>0</v>
      </c>
      <c r="AE178" s="130">
        <f t="shared" si="312"/>
        <v>0</v>
      </c>
      <c r="AF178" s="130">
        <f t="shared" si="313"/>
        <v>-160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f t="shared" si="314"/>
        <v>0</v>
      </c>
      <c r="AM178" s="132">
        <f t="shared" ref="AM178:AM183" si="356">AH178+AK178</f>
        <v>0</v>
      </c>
      <c r="AN178" s="403">
        <f t="shared" si="315"/>
        <v>0</v>
      </c>
      <c r="AO178" s="128">
        <f t="shared" si="294"/>
        <v>5654103</v>
      </c>
      <c r="AP178" s="130">
        <f t="shared" si="295"/>
        <v>4125846</v>
      </c>
      <c r="AQ178" s="130">
        <f t="shared" si="296"/>
        <v>8000</v>
      </c>
      <c r="AR178" s="130">
        <f t="shared" si="297"/>
        <v>1397240</v>
      </c>
      <c r="AS178" s="130">
        <f t="shared" si="298"/>
        <v>82517</v>
      </c>
      <c r="AT178" s="130">
        <f t="shared" si="299"/>
        <v>40500</v>
      </c>
      <c r="AU178" s="132">
        <f t="shared" si="300"/>
        <v>9.9792000000000005</v>
      </c>
      <c r="AV178" s="132">
        <f t="shared" si="301"/>
        <v>7.9355000000000002</v>
      </c>
      <c r="AW178" s="133">
        <f t="shared" si="302"/>
        <v>2.0436999999999999</v>
      </c>
    </row>
    <row r="179" spans="1:49" ht="14.1" customHeight="1" x14ac:dyDescent="0.2">
      <c r="A179" s="124">
        <v>40</v>
      </c>
      <c r="B179" s="121">
        <v>2465</v>
      </c>
      <c r="C179" s="144">
        <v>650018273</v>
      </c>
      <c r="D179" s="121">
        <v>72741791</v>
      </c>
      <c r="E179" s="123" t="s">
        <v>655</v>
      </c>
      <c r="F179" s="124">
        <v>3113</v>
      </c>
      <c r="G179" s="123" t="s">
        <v>320</v>
      </c>
      <c r="H179" s="125" t="s">
        <v>283</v>
      </c>
      <c r="I179" s="126">
        <f t="shared" si="290"/>
        <v>19380566</v>
      </c>
      <c r="J179" s="478">
        <v>13966080</v>
      </c>
      <c r="K179" s="127">
        <f t="shared" si="310"/>
        <v>4720535</v>
      </c>
      <c r="L179" s="477">
        <v>279321</v>
      </c>
      <c r="M179" s="478">
        <v>414630</v>
      </c>
      <c r="N179" s="390">
        <f t="shared" si="305"/>
        <v>27.077500000000001</v>
      </c>
      <c r="O179" s="349">
        <v>19.417200000000001</v>
      </c>
      <c r="P179" s="639">
        <v>7.6602999999999994</v>
      </c>
      <c r="Q179" s="129">
        <f t="shared" si="292"/>
        <v>-56000</v>
      </c>
      <c r="R179" s="130">
        <v>0</v>
      </c>
      <c r="S179" s="130">
        <v>0</v>
      </c>
      <c r="T179" s="130">
        <v>0</v>
      </c>
      <c r="U179" s="130">
        <f t="shared" si="293"/>
        <v>-56000</v>
      </c>
      <c r="V179" s="130">
        <v>56000</v>
      </c>
      <c r="W179" s="130">
        <v>0</v>
      </c>
      <c r="X179" s="130">
        <v>0</v>
      </c>
      <c r="Y179" s="130">
        <f t="shared" si="352"/>
        <v>56000</v>
      </c>
      <c r="Z179" s="130">
        <f t="shared" si="353"/>
        <v>0</v>
      </c>
      <c r="AA179" s="131">
        <f t="shared" si="354"/>
        <v>0</v>
      </c>
      <c r="AB179" s="131">
        <f t="shared" si="355"/>
        <v>-1120</v>
      </c>
      <c r="AC179" s="130">
        <v>0</v>
      </c>
      <c r="AD179" s="130">
        <v>0</v>
      </c>
      <c r="AE179" s="130">
        <f t="shared" si="312"/>
        <v>0</v>
      </c>
      <c r="AF179" s="130">
        <f t="shared" si="313"/>
        <v>-1120</v>
      </c>
      <c r="AG179" s="132">
        <v>0</v>
      </c>
      <c r="AH179" s="132">
        <v>-0.2</v>
      </c>
      <c r="AI179" s="132">
        <v>0</v>
      </c>
      <c r="AJ179" s="132">
        <v>0</v>
      </c>
      <c r="AK179" s="132">
        <v>0</v>
      </c>
      <c r="AL179" s="132">
        <f t="shared" si="314"/>
        <v>0</v>
      </c>
      <c r="AM179" s="132">
        <f t="shared" si="356"/>
        <v>-0.2</v>
      </c>
      <c r="AN179" s="403">
        <f t="shared" si="315"/>
        <v>-0.2</v>
      </c>
      <c r="AO179" s="128">
        <f t="shared" si="294"/>
        <v>19379446</v>
      </c>
      <c r="AP179" s="130">
        <f t="shared" si="295"/>
        <v>13910080</v>
      </c>
      <c r="AQ179" s="130">
        <f t="shared" si="296"/>
        <v>56000</v>
      </c>
      <c r="AR179" s="130">
        <f t="shared" si="297"/>
        <v>4720535</v>
      </c>
      <c r="AS179" s="130">
        <f t="shared" si="298"/>
        <v>278201</v>
      </c>
      <c r="AT179" s="130">
        <f t="shared" si="299"/>
        <v>414630</v>
      </c>
      <c r="AU179" s="132">
        <f t="shared" si="300"/>
        <v>26.877500000000001</v>
      </c>
      <c r="AV179" s="132">
        <f t="shared" si="301"/>
        <v>19.417200000000001</v>
      </c>
      <c r="AW179" s="133">
        <f t="shared" si="302"/>
        <v>7.4602999999999993</v>
      </c>
    </row>
    <row r="180" spans="1:49" ht="14.1" customHeight="1" x14ac:dyDescent="0.2">
      <c r="A180" s="124">
        <v>40</v>
      </c>
      <c r="B180" s="121">
        <v>2465</v>
      </c>
      <c r="C180" s="144">
        <v>650018273</v>
      </c>
      <c r="D180" s="121">
        <v>72741791</v>
      </c>
      <c r="E180" s="123" t="s">
        <v>655</v>
      </c>
      <c r="F180" s="124">
        <v>3113</v>
      </c>
      <c r="G180" s="143" t="s">
        <v>318</v>
      </c>
      <c r="H180" s="125" t="s">
        <v>284</v>
      </c>
      <c r="I180" s="126">
        <f t="shared" si="290"/>
        <v>0</v>
      </c>
      <c r="J180" s="29">
        <v>0</v>
      </c>
      <c r="K180" s="127">
        <f t="shared" si="310"/>
        <v>0</v>
      </c>
      <c r="L180" s="477">
        <f t="shared" si="311"/>
        <v>0</v>
      </c>
      <c r="M180" s="29">
        <v>0</v>
      </c>
      <c r="N180" s="390">
        <f t="shared" si="305"/>
        <v>0</v>
      </c>
      <c r="O180" s="349">
        <v>0</v>
      </c>
      <c r="P180" s="639">
        <v>0</v>
      </c>
      <c r="Q180" s="129">
        <f t="shared" si="292"/>
        <v>0</v>
      </c>
      <c r="R180" s="130">
        <v>2646658</v>
      </c>
      <c r="S180" s="130">
        <v>0</v>
      </c>
      <c r="T180" s="130">
        <v>0</v>
      </c>
      <c r="U180" s="130">
        <f t="shared" si="293"/>
        <v>2646658</v>
      </c>
      <c r="V180" s="130">
        <v>0</v>
      </c>
      <c r="W180" s="130">
        <v>0</v>
      </c>
      <c r="X180" s="130">
        <v>0</v>
      </c>
      <c r="Y180" s="130">
        <f t="shared" si="352"/>
        <v>0</v>
      </c>
      <c r="Z180" s="130">
        <f t="shared" si="353"/>
        <v>2646658</v>
      </c>
      <c r="AA180" s="131">
        <f t="shared" si="354"/>
        <v>894570</v>
      </c>
      <c r="AB180" s="131">
        <f t="shared" si="355"/>
        <v>52933</v>
      </c>
      <c r="AC180" s="130">
        <v>0</v>
      </c>
      <c r="AD180" s="130">
        <v>0</v>
      </c>
      <c r="AE180" s="130">
        <f t="shared" si="312"/>
        <v>0</v>
      </c>
      <c r="AF180" s="130">
        <f t="shared" si="313"/>
        <v>3594161</v>
      </c>
      <c r="AG180" s="132">
        <v>0</v>
      </c>
      <c r="AH180" s="132">
        <v>0</v>
      </c>
      <c r="AI180" s="132">
        <v>7.56</v>
      </c>
      <c r="AJ180" s="132">
        <v>0</v>
      </c>
      <c r="AK180" s="132">
        <v>0</v>
      </c>
      <c r="AL180" s="132">
        <f t="shared" si="314"/>
        <v>7.56</v>
      </c>
      <c r="AM180" s="132">
        <f t="shared" si="356"/>
        <v>0</v>
      </c>
      <c r="AN180" s="403">
        <f t="shared" si="315"/>
        <v>7.56</v>
      </c>
      <c r="AO180" s="128">
        <f t="shared" si="294"/>
        <v>3594161</v>
      </c>
      <c r="AP180" s="130">
        <f t="shared" si="295"/>
        <v>2646658</v>
      </c>
      <c r="AQ180" s="130">
        <f t="shared" si="296"/>
        <v>0</v>
      </c>
      <c r="AR180" s="130">
        <f t="shared" si="297"/>
        <v>894570</v>
      </c>
      <c r="AS180" s="130">
        <f t="shared" si="298"/>
        <v>52933</v>
      </c>
      <c r="AT180" s="130">
        <f t="shared" si="299"/>
        <v>0</v>
      </c>
      <c r="AU180" s="132">
        <f t="shared" si="300"/>
        <v>7.56</v>
      </c>
      <c r="AV180" s="132">
        <f t="shared" si="301"/>
        <v>7.56</v>
      </c>
      <c r="AW180" s="133">
        <f t="shared" si="302"/>
        <v>0</v>
      </c>
    </row>
    <row r="181" spans="1:49" ht="14.1" customHeight="1" x14ac:dyDescent="0.2">
      <c r="A181" s="124">
        <v>40</v>
      </c>
      <c r="B181" s="121">
        <v>2465</v>
      </c>
      <c r="C181" s="144">
        <v>650018273</v>
      </c>
      <c r="D181" s="121">
        <v>72741791</v>
      </c>
      <c r="E181" s="123" t="s">
        <v>655</v>
      </c>
      <c r="F181" s="124">
        <v>3141</v>
      </c>
      <c r="G181" s="123" t="s">
        <v>321</v>
      </c>
      <c r="H181" s="125" t="s">
        <v>284</v>
      </c>
      <c r="I181" s="126">
        <f t="shared" si="290"/>
        <v>1680288</v>
      </c>
      <c r="J181" s="666">
        <v>1226822</v>
      </c>
      <c r="K181" s="127">
        <f t="shared" si="310"/>
        <v>414666</v>
      </c>
      <c r="L181" s="477">
        <f t="shared" si="311"/>
        <v>24536</v>
      </c>
      <c r="M181" s="666">
        <v>14264</v>
      </c>
      <c r="N181" s="390">
        <f t="shared" si="305"/>
        <v>4.18</v>
      </c>
      <c r="O181" s="668">
        <v>0</v>
      </c>
      <c r="P181" s="674">
        <v>4.18</v>
      </c>
      <c r="Q181" s="129">
        <f t="shared" si="292"/>
        <v>-12000</v>
      </c>
      <c r="R181" s="130">
        <v>0</v>
      </c>
      <c r="S181" s="130">
        <v>0</v>
      </c>
      <c r="T181" s="130">
        <v>0</v>
      </c>
      <c r="U181" s="130">
        <f t="shared" si="293"/>
        <v>-12000</v>
      </c>
      <c r="V181" s="130">
        <v>12000</v>
      </c>
      <c r="W181" s="130">
        <v>0</v>
      </c>
      <c r="X181" s="130">
        <v>0</v>
      </c>
      <c r="Y181" s="130">
        <f t="shared" si="352"/>
        <v>12000</v>
      </c>
      <c r="Z181" s="130">
        <f t="shared" si="353"/>
        <v>0</v>
      </c>
      <c r="AA181" s="131">
        <f t="shared" si="354"/>
        <v>0</v>
      </c>
      <c r="AB181" s="131">
        <f t="shared" si="355"/>
        <v>-240</v>
      </c>
      <c r="AC181" s="130">
        <v>0</v>
      </c>
      <c r="AD181" s="130">
        <v>0</v>
      </c>
      <c r="AE181" s="130">
        <f t="shared" si="312"/>
        <v>0</v>
      </c>
      <c r="AF181" s="130">
        <f t="shared" si="313"/>
        <v>-240</v>
      </c>
      <c r="AG181" s="132">
        <v>0</v>
      </c>
      <c r="AH181" s="132">
        <v>0</v>
      </c>
      <c r="AI181" s="132">
        <v>0</v>
      </c>
      <c r="AJ181" s="132">
        <v>0</v>
      </c>
      <c r="AK181" s="132">
        <v>0</v>
      </c>
      <c r="AL181" s="132">
        <f t="shared" si="314"/>
        <v>0</v>
      </c>
      <c r="AM181" s="132">
        <f t="shared" si="356"/>
        <v>0</v>
      </c>
      <c r="AN181" s="403">
        <f t="shared" si="315"/>
        <v>0</v>
      </c>
      <c r="AO181" s="128">
        <f t="shared" si="294"/>
        <v>1680048</v>
      </c>
      <c r="AP181" s="130">
        <f t="shared" si="295"/>
        <v>1214822</v>
      </c>
      <c r="AQ181" s="130">
        <f t="shared" si="296"/>
        <v>12000</v>
      </c>
      <c r="AR181" s="130">
        <f t="shared" si="297"/>
        <v>414666</v>
      </c>
      <c r="AS181" s="130">
        <f t="shared" si="298"/>
        <v>24296</v>
      </c>
      <c r="AT181" s="130">
        <f t="shared" si="299"/>
        <v>14264</v>
      </c>
      <c r="AU181" s="132">
        <f t="shared" si="300"/>
        <v>4.18</v>
      </c>
      <c r="AV181" s="132">
        <f t="shared" si="301"/>
        <v>0</v>
      </c>
      <c r="AW181" s="133">
        <f t="shared" si="302"/>
        <v>4.18</v>
      </c>
    </row>
    <row r="182" spans="1:49" ht="14.1" customHeight="1" x14ac:dyDescent="0.2">
      <c r="A182" s="124">
        <v>40</v>
      </c>
      <c r="B182" s="121">
        <v>2465</v>
      </c>
      <c r="C182" s="144">
        <v>650018273</v>
      </c>
      <c r="D182" s="121">
        <v>72741791</v>
      </c>
      <c r="E182" s="123" t="s">
        <v>655</v>
      </c>
      <c r="F182" s="124">
        <v>3143</v>
      </c>
      <c r="G182" s="145" t="s">
        <v>635</v>
      </c>
      <c r="H182" s="125" t="s">
        <v>283</v>
      </c>
      <c r="I182" s="126">
        <f t="shared" si="290"/>
        <v>1807554</v>
      </c>
      <c r="J182" s="631">
        <v>1331041</v>
      </c>
      <c r="K182" s="127">
        <f t="shared" si="310"/>
        <v>449892</v>
      </c>
      <c r="L182" s="477">
        <f t="shared" si="311"/>
        <v>26621</v>
      </c>
      <c r="M182" s="478">
        <v>0</v>
      </c>
      <c r="N182" s="390">
        <f t="shared" si="305"/>
        <v>3.1202000000000001</v>
      </c>
      <c r="O182" s="644">
        <v>3.1202000000000001</v>
      </c>
      <c r="P182" s="639">
        <v>0</v>
      </c>
      <c r="Q182" s="129">
        <f t="shared" si="292"/>
        <v>-8000</v>
      </c>
      <c r="R182" s="130">
        <v>0</v>
      </c>
      <c r="S182" s="130">
        <v>0</v>
      </c>
      <c r="T182" s="130">
        <v>0</v>
      </c>
      <c r="U182" s="130">
        <f t="shared" si="293"/>
        <v>-8000</v>
      </c>
      <c r="V182" s="130">
        <v>8000</v>
      </c>
      <c r="W182" s="130">
        <v>0</v>
      </c>
      <c r="X182" s="130">
        <v>0</v>
      </c>
      <c r="Y182" s="130">
        <f t="shared" si="352"/>
        <v>8000</v>
      </c>
      <c r="Z182" s="130">
        <f t="shared" si="353"/>
        <v>0</v>
      </c>
      <c r="AA182" s="131">
        <f t="shared" si="354"/>
        <v>0</v>
      </c>
      <c r="AB182" s="131">
        <f t="shared" si="355"/>
        <v>-160</v>
      </c>
      <c r="AC182" s="130">
        <v>0</v>
      </c>
      <c r="AD182" s="130">
        <v>0</v>
      </c>
      <c r="AE182" s="130">
        <f t="shared" si="312"/>
        <v>0</v>
      </c>
      <c r="AF182" s="130">
        <f t="shared" si="313"/>
        <v>-160</v>
      </c>
      <c r="AG182" s="132">
        <v>0</v>
      </c>
      <c r="AH182" s="132">
        <v>0</v>
      </c>
      <c r="AI182" s="132">
        <v>0</v>
      </c>
      <c r="AJ182" s="132">
        <v>0</v>
      </c>
      <c r="AK182" s="132">
        <v>0</v>
      </c>
      <c r="AL182" s="132">
        <f t="shared" si="314"/>
        <v>0</v>
      </c>
      <c r="AM182" s="132">
        <f t="shared" si="356"/>
        <v>0</v>
      </c>
      <c r="AN182" s="403">
        <f t="shared" si="315"/>
        <v>0</v>
      </c>
      <c r="AO182" s="128">
        <f t="shared" si="294"/>
        <v>1807394</v>
      </c>
      <c r="AP182" s="130">
        <f t="shared" si="295"/>
        <v>1323041</v>
      </c>
      <c r="AQ182" s="130">
        <f t="shared" si="296"/>
        <v>8000</v>
      </c>
      <c r="AR182" s="130">
        <f t="shared" si="297"/>
        <v>449892</v>
      </c>
      <c r="AS182" s="130">
        <f t="shared" si="298"/>
        <v>26461</v>
      </c>
      <c r="AT182" s="130">
        <f t="shared" si="299"/>
        <v>0</v>
      </c>
      <c r="AU182" s="132">
        <f t="shared" si="300"/>
        <v>3.1202000000000001</v>
      </c>
      <c r="AV182" s="132">
        <f t="shared" si="301"/>
        <v>3.1202000000000001</v>
      </c>
      <c r="AW182" s="133">
        <f t="shared" si="302"/>
        <v>0</v>
      </c>
    </row>
    <row r="183" spans="1:49" ht="14.1" customHeight="1" x14ac:dyDescent="0.2">
      <c r="A183" s="124">
        <v>40</v>
      </c>
      <c r="B183" s="121">
        <v>2465</v>
      </c>
      <c r="C183" s="144">
        <v>650018273</v>
      </c>
      <c r="D183" s="121">
        <v>72741791</v>
      </c>
      <c r="E183" s="123" t="s">
        <v>655</v>
      </c>
      <c r="F183" s="124">
        <v>3143</v>
      </c>
      <c r="G183" s="145" t="s">
        <v>636</v>
      </c>
      <c r="H183" s="125" t="s">
        <v>284</v>
      </c>
      <c r="I183" s="126">
        <f t="shared" si="290"/>
        <v>62497</v>
      </c>
      <c r="J183" s="664">
        <v>44055</v>
      </c>
      <c r="K183" s="127">
        <f t="shared" si="310"/>
        <v>14891</v>
      </c>
      <c r="L183" s="477">
        <f t="shared" si="311"/>
        <v>881</v>
      </c>
      <c r="M183" s="664">
        <v>2670</v>
      </c>
      <c r="N183" s="390">
        <f t="shared" si="305"/>
        <v>0.18</v>
      </c>
      <c r="O183" s="665">
        <v>0</v>
      </c>
      <c r="P183" s="667">
        <v>0.18</v>
      </c>
      <c r="Q183" s="129">
        <f t="shared" si="292"/>
        <v>0</v>
      </c>
      <c r="R183" s="130">
        <v>0</v>
      </c>
      <c r="S183" s="130">
        <v>0</v>
      </c>
      <c r="T183" s="130">
        <v>0</v>
      </c>
      <c r="U183" s="130">
        <f t="shared" si="293"/>
        <v>0</v>
      </c>
      <c r="V183" s="130">
        <v>0</v>
      </c>
      <c r="W183" s="130">
        <v>0</v>
      </c>
      <c r="X183" s="130">
        <v>0</v>
      </c>
      <c r="Y183" s="130">
        <f t="shared" si="352"/>
        <v>0</v>
      </c>
      <c r="Z183" s="130">
        <f t="shared" si="353"/>
        <v>0</v>
      </c>
      <c r="AA183" s="131">
        <f t="shared" si="354"/>
        <v>0</v>
      </c>
      <c r="AB183" s="131">
        <f t="shared" si="355"/>
        <v>0</v>
      </c>
      <c r="AC183" s="130">
        <v>0</v>
      </c>
      <c r="AD183" s="130">
        <v>0</v>
      </c>
      <c r="AE183" s="130">
        <f t="shared" si="312"/>
        <v>0</v>
      </c>
      <c r="AF183" s="130">
        <f t="shared" si="313"/>
        <v>0</v>
      </c>
      <c r="AG183" s="132">
        <v>0</v>
      </c>
      <c r="AH183" s="132">
        <v>0</v>
      </c>
      <c r="AI183" s="132">
        <v>0</v>
      </c>
      <c r="AJ183" s="132">
        <v>0</v>
      </c>
      <c r="AK183" s="132">
        <v>0</v>
      </c>
      <c r="AL183" s="132">
        <f t="shared" si="314"/>
        <v>0</v>
      </c>
      <c r="AM183" s="132">
        <f t="shared" si="356"/>
        <v>0</v>
      </c>
      <c r="AN183" s="403">
        <f t="shared" si="315"/>
        <v>0</v>
      </c>
      <c r="AO183" s="128">
        <f t="shared" si="294"/>
        <v>62497</v>
      </c>
      <c r="AP183" s="130">
        <f t="shared" si="295"/>
        <v>44055</v>
      </c>
      <c r="AQ183" s="130">
        <f t="shared" si="296"/>
        <v>0</v>
      </c>
      <c r="AR183" s="130">
        <f t="shared" si="297"/>
        <v>14891</v>
      </c>
      <c r="AS183" s="130">
        <f t="shared" si="298"/>
        <v>881</v>
      </c>
      <c r="AT183" s="130">
        <f t="shared" si="299"/>
        <v>2670</v>
      </c>
      <c r="AU183" s="132">
        <f t="shared" si="300"/>
        <v>0.18</v>
      </c>
      <c r="AV183" s="132">
        <f t="shared" si="301"/>
        <v>0</v>
      </c>
      <c r="AW183" s="133">
        <f t="shared" si="302"/>
        <v>0.18</v>
      </c>
    </row>
    <row r="184" spans="1:49" ht="14.1" customHeight="1" x14ac:dyDescent="0.2">
      <c r="A184" s="137">
        <v>40</v>
      </c>
      <c r="B184" s="134">
        <v>2465</v>
      </c>
      <c r="C184" s="146">
        <v>650018273</v>
      </c>
      <c r="D184" s="134">
        <v>72741791</v>
      </c>
      <c r="E184" s="136" t="s">
        <v>656</v>
      </c>
      <c r="F184" s="137"/>
      <c r="G184" s="136"/>
      <c r="H184" s="138"/>
      <c r="I184" s="139">
        <f t="shared" ref="I184:P184" si="357">SUM(I178:I183)</f>
        <v>28585168</v>
      </c>
      <c r="J184" s="140">
        <f t="shared" si="357"/>
        <v>20701844</v>
      </c>
      <c r="K184" s="140">
        <f t="shared" si="357"/>
        <v>6997224</v>
      </c>
      <c r="L184" s="140">
        <f t="shared" si="357"/>
        <v>414036</v>
      </c>
      <c r="M184" s="140">
        <f t="shared" si="357"/>
        <v>472064</v>
      </c>
      <c r="N184" s="141">
        <f t="shared" si="357"/>
        <v>44.536899999999996</v>
      </c>
      <c r="O184" s="141">
        <f t="shared" si="357"/>
        <v>30.472900000000003</v>
      </c>
      <c r="P184" s="142">
        <f t="shared" si="357"/>
        <v>14.063999999999998</v>
      </c>
      <c r="Q184" s="342">
        <f t="shared" ref="Q184:AW184" si="358">SUM(Q178:Q183)</f>
        <v>-84000</v>
      </c>
      <c r="R184" s="140">
        <f t="shared" si="358"/>
        <v>2646658</v>
      </c>
      <c r="S184" s="140">
        <f t="shared" si="358"/>
        <v>0</v>
      </c>
      <c r="T184" s="140">
        <f t="shared" si="358"/>
        <v>0</v>
      </c>
      <c r="U184" s="140">
        <f t="shared" si="358"/>
        <v>2562658</v>
      </c>
      <c r="V184" s="140">
        <f t="shared" si="358"/>
        <v>84000</v>
      </c>
      <c r="W184" s="140">
        <f t="shared" si="358"/>
        <v>0</v>
      </c>
      <c r="X184" s="140">
        <f t="shared" si="358"/>
        <v>0</v>
      </c>
      <c r="Y184" s="140">
        <f t="shared" si="358"/>
        <v>84000</v>
      </c>
      <c r="Z184" s="140">
        <f t="shared" si="358"/>
        <v>2646658</v>
      </c>
      <c r="AA184" s="140">
        <f t="shared" si="358"/>
        <v>894570</v>
      </c>
      <c r="AB184" s="140">
        <f t="shared" si="358"/>
        <v>51253</v>
      </c>
      <c r="AC184" s="140">
        <f t="shared" si="358"/>
        <v>0</v>
      </c>
      <c r="AD184" s="140">
        <f t="shared" si="358"/>
        <v>0</v>
      </c>
      <c r="AE184" s="140">
        <f t="shared" si="358"/>
        <v>0</v>
      </c>
      <c r="AF184" s="140">
        <f t="shared" si="358"/>
        <v>3592481</v>
      </c>
      <c r="AG184" s="141">
        <f t="shared" si="358"/>
        <v>0</v>
      </c>
      <c r="AH184" s="141">
        <f t="shared" si="358"/>
        <v>-0.2</v>
      </c>
      <c r="AI184" s="141">
        <f t="shared" si="358"/>
        <v>7.56</v>
      </c>
      <c r="AJ184" s="141">
        <f t="shared" si="358"/>
        <v>0</v>
      </c>
      <c r="AK184" s="141">
        <f t="shared" si="358"/>
        <v>0</v>
      </c>
      <c r="AL184" s="141">
        <f t="shared" si="358"/>
        <v>7.56</v>
      </c>
      <c r="AM184" s="141">
        <f t="shared" si="358"/>
        <v>-0.2</v>
      </c>
      <c r="AN184" s="635">
        <f t="shared" si="358"/>
        <v>7.3599999999999994</v>
      </c>
      <c r="AO184" s="139">
        <f t="shared" si="358"/>
        <v>32177649</v>
      </c>
      <c r="AP184" s="140">
        <f t="shared" si="358"/>
        <v>23264502</v>
      </c>
      <c r="AQ184" s="140">
        <f t="shared" si="358"/>
        <v>84000</v>
      </c>
      <c r="AR184" s="140">
        <f t="shared" si="358"/>
        <v>7891794</v>
      </c>
      <c r="AS184" s="140">
        <f t="shared" si="358"/>
        <v>465289</v>
      </c>
      <c r="AT184" s="140">
        <f t="shared" si="358"/>
        <v>472064</v>
      </c>
      <c r="AU184" s="141">
        <f t="shared" si="358"/>
        <v>51.896900000000002</v>
      </c>
      <c r="AV184" s="141">
        <f t="shared" si="358"/>
        <v>38.032899999999998</v>
      </c>
      <c r="AW184" s="142">
        <f t="shared" si="358"/>
        <v>13.863999999999999</v>
      </c>
    </row>
    <row r="185" spans="1:49" ht="14.1" customHeight="1" x14ac:dyDescent="0.2">
      <c r="A185" s="124">
        <v>41</v>
      </c>
      <c r="B185" s="121">
        <v>2480</v>
      </c>
      <c r="C185" s="144">
        <v>600080293</v>
      </c>
      <c r="D185" s="121">
        <v>46744924</v>
      </c>
      <c r="E185" s="123" t="s">
        <v>657</v>
      </c>
      <c r="F185" s="124">
        <v>3113</v>
      </c>
      <c r="G185" s="123" t="s">
        <v>320</v>
      </c>
      <c r="H185" s="125" t="s">
        <v>283</v>
      </c>
      <c r="I185" s="126">
        <f t="shared" si="290"/>
        <v>33811689</v>
      </c>
      <c r="J185" s="127">
        <v>24350124</v>
      </c>
      <c r="K185" s="127">
        <f t="shared" si="310"/>
        <v>8230342</v>
      </c>
      <c r="L185" s="477">
        <v>487003</v>
      </c>
      <c r="M185" s="127">
        <v>744220</v>
      </c>
      <c r="N185" s="390">
        <f t="shared" si="305"/>
        <v>43.374499999999998</v>
      </c>
      <c r="O185" s="390">
        <v>34.181899999999999</v>
      </c>
      <c r="P185" s="439">
        <v>9.1925999999999988</v>
      </c>
      <c r="Q185" s="129">
        <f t="shared" si="292"/>
        <v>-20000</v>
      </c>
      <c r="R185" s="130">
        <v>0</v>
      </c>
      <c r="S185" s="130">
        <v>0</v>
      </c>
      <c r="T185" s="130">
        <v>0</v>
      </c>
      <c r="U185" s="130">
        <f t="shared" si="293"/>
        <v>-20000</v>
      </c>
      <c r="V185" s="130">
        <v>20000</v>
      </c>
      <c r="W185" s="130">
        <v>0</v>
      </c>
      <c r="X185" s="130">
        <v>0</v>
      </c>
      <c r="Y185" s="130">
        <f t="shared" ref="Y185:Y190" si="359">SUM(V185:X185)</f>
        <v>20000</v>
      </c>
      <c r="Z185" s="130">
        <f t="shared" ref="Z185:Z190" si="360">U185+Y185</f>
        <v>0</v>
      </c>
      <c r="AA185" s="131">
        <f t="shared" ref="AA185:AA190" si="361">ROUND((U185+V185+W185)*33.8%,0)</f>
        <v>0</v>
      </c>
      <c r="AB185" s="131">
        <f t="shared" ref="AB185:AB190" si="362">ROUND(U185*2%,0)</f>
        <v>-400</v>
      </c>
      <c r="AC185" s="130">
        <v>0</v>
      </c>
      <c r="AD185" s="130">
        <v>0</v>
      </c>
      <c r="AE185" s="130">
        <f t="shared" si="312"/>
        <v>0</v>
      </c>
      <c r="AF185" s="130">
        <f t="shared" si="313"/>
        <v>-400</v>
      </c>
      <c r="AG185" s="132">
        <v>0</v>
      </c>
      <c r="AH185" s="132">
        <v>0</v>
      </c>
      <c r="AI185" s="132">
        <v>0</v>
      </c>
      <c r="AJ185" s="132">
        <v>0</v>
      </c>
      <c r="AK185" s="132">
        <v>0</v>
      </c>
      <c r="AL185" s="132">
        <f t="shared" si="314"/>
        <v>0</v>
      </c>
      <c r="AM185" s="132">
        <f t="shared" ref="AM185:AM190" si="363">AH185+AK185</f>
        <v>0</v>
      </c>
      <c r="AN185" s="403">
        <f t="shared" si="315"/>
        <v>0</v>
      </c>
      <c r="AO185" s="128">
        <f t="shared" si="294"/>
        <v>33811289</v>
      </c>
      <c r="AP185" s="130">
        <f t="shared" si="295"/>
        <v>24330124</v>
      </c>
      <c r="AQ185" s="130">
        <f t="shared" si="296"/>
        <v>20000</v>
      </c>
      <c r="AR185" s="130">
        <f t="shared" si="297"/>
        <v>8230342</v>
      </c>
      <c r="AS185" s="130">
        <f t="shared" si="298"/>
        <v>486603</v>
      </c>
      <c r="AT185" s="130">
        <f t="shared" si="299"/>
        <v>744220</v>
      </c>
      <c r="AU185" s="132">
        <f t="shared" si="300"/>
        <v>43.374499999999998</v>
      </c>
      <c r="AV185" s="132">
        <f t="shared" si="301"/>
        <v>34.181899999999999</v>
      </c>
      <c r="AW185" s="133">
        <f t="shared" si="302"/>
        <v>9.1925999999999988</v>
      </c>
    </row>
    <row r="186" spans="1:49" ht="14.1" customHeight="1" x14ac:dyDescent="0.2">
      <c r="A186" s="124">
        <v>41</v>
      </c>
      <c r="B186" s="121">
        <v>2480</v>
      </c>
      <c r="C186" s="144">
        <v>600080293</v>
      </c>
      <c r="D186" s="121">
        <v>46744924</v>
      </c>
      <c r="E186" s="123" t="s">
        <v>657</v>
      </c>
      <c r="F186" s="124">
        <v>3113</v>
      </c>
      <c r="G186" s="143" t="s">
        <v>318</v>
      </c>
      <c r="H186" s="125" t="s">
        <v>284</v>
      </c>
      <c r="I186" s="126">
        <f t="shared" si="290"/>
        <v>0</v>
      </c>
      <c r="J186" s="29">
        <v>0</v>
      </c>
      <c r="K186" s="127">
        <f t="shared" si="310"/>
        <v>0</v>
      </c>
      <c r="L186" s="477">
        <f t="shared" si="311"/>
        <v>0</v>
      </c>
      <c r="M186" s="29">
        <v>0</v>
      </c>
      <c r="N186" s="390">
        <f t="shared" si="305"/>
        <v>0</v>
      </c>
      <c r="O186" s="349">
        <v>0</v>
      </c>
      <c r="P186" s="639">
        <v>0</v>
      </c>
      <c r="Q186" s="129">
        <f t="shared" si="292"/>
        <v>0</v>
      </c>
      <c r="R186" s="130">
        <v>1739107</v>
      </c>
      <c r="S186" s="130">
        <v>0</v>
      </c>
      <c r="T186" s="130">
        <v>0</v>
      </c>
      <c r="U186" s="130">
        <f t="shared" si="293"/>
        <v>1739107</v>
      </c>
      <c r="V186" s="130">
        <v>0</v>
      </c>
      <c r="W186" s="130">
        <v>0</v>
      </c>
      <c r="X186" s="130">
        <v>0</v>
      </c>
      <c r="Y186" s="130">
        <f t="shared" si="359"/>
        <v>0</v>
      </c>
      <c r="Z186" s="130">
        <f t="shared" si="360"/>
        <v>1739107</v>
      </c>
      <c r="AA186" s="131">
        <f t="shared" si="361"/>
        <v>587818</v>
      </c>
      <c r="AB186" s="131">
        <f t="shared" si="362"/>
        <v>34782</v>
      </c>
      <c r="AC186" s="130">
        <v>0</v>
      </c>
      <c r="AD186" s="130">
        <v>0</v>
      </c>
      <c r="AE186" s="130">
        <f t="shared" si="312"/>
        <v>0</v>
      </c>
      <c r="AF186" s="130">
        <f t="shared" si="313"/>
        <v>2361707</v>
      </c>
      <c r="AG186" s="132">
        <v>0</v>
      </c>
      <c r="AH186" s="132">
        <v>0</v>
      </c>
      <c r="AI186" s="132">
        <v>4.7699999999999996</v>
      </c>
      <c r="AJ186" s="132">
        <v>0</v>
      </c>
      <c r="AK186" s="132">
        <v>0</v>
      </c>
      <c r="AL186" s="132">
        <f t="shared" si="314"/>
        <v>4.7699999999999996</v>
      </c>
      <c r="AM186" s="132">
        <f t="shared" si="363"/>
        <v>0</v>
      </c>
      <c r="AN186" s="403">
        <f t="shared" si="315"/>
        <v>4.7699999999999996</v>
      </c>
      <c r="AO186" s="128">
        <f t="shared" si="294"/>
        <v>2361707</v>
      </c>
      <c r="AP186" s="130">
        <f t="shared" si="295"/>
        <v>1739107</v>
      </c>
      <c r="AQ186" s="130">
        <f t="shared" si="296"/>
        <v>0</v>
      </c>
      <c r="AR186" s="130">
        <f t="shared" si="297"/>
        <v>587818</v>
      </c>
      <c r="AS186" s="130">
        <f t="shared" si="298"/>
        <v>34782</v>
      </c>
      <c r="AT186" s="130">
        <f t="shared" si="299"/>
        <v>0</v>
      </c>
      <c r="AU186" s="132">
        <f t="shared" si="300"/>
        <v>4.7699999999999996</v>
      </c>
      <c r="AV186" s="132">
        <f t="shared" si="301"/>
        <v>4.7699999999999996</v>
      </c>
      <c r="AW186" s="133">
        <f t="shared" si="302"/>
        <v>0</v>
      </c>
    </row>
    <row r="187" spans="1:49" ht="14.1" customHeight="1" x14ac:dyDescent="0.2">
      <c r="A187" s="124">
        <v>41</v>
      </c>
      <c r="B187" s="121">
        <v>2480</v>
      </c>
      <c r="C187" s="144">
        <v>600080293</v>
      </c>
      <c r="D187" s="121">
        <v>46744924</v>
      </c>
      <c r="E187" s="123" t="s">
        <v>657</v>
      </c>
      <c r="F187" s="124">
        <v>3141</v>
      </c>
      <c r="G187" s="123" t="s">
        <v>321</v>
      </c>
      <c r="H187" s="125" t="s">
        <v>284</v>
      </c>
      <c r="I187" s="126">
        <f t="shared" si="290"/>
        <v>2965306</v>
      </c>
      <c r="J187" s="666">
        <v>2161801</v>
      </c>
      <c r="K187" s="127">
        <f t="shared" si="310"/>
        <v>730689</v>
      </c>
      <c r="L187" s="477">
        <f t="shared" si="311"/>
        <v>43236</v>
      </c>
      <c r="M187" s="666">
        <v>29580</v>
      </c>
      <c r="N187" s="390">
        <f t="shared" si="305"/>
        <v>7.35</v>
      </c>
      <c r="O187" s="668">
        <v>0</v>
      </c>
      <c r="P187" s="667">
        <v>7.35</v>
      </c>
      <c r="Q187" s="129">
        <f t="shared" si="292"/>
        <v>0</v>
      </c>
      <c r="R187" s="130">
        <v>0</v>
      </c>
      <c r="S187" s="130">
        <v>0</v>
      </c>
      <c r="T187" s="130">
        <v>0</v>
      </c>
      <c r="U187" s="130">
        <f t="shared" si="293"/>
        <v>0</v>
      </c>
      <c r="V187" s="130">
        <v>0</v>
      </c>
      <c r="W187" s="130">
        <v>0</v>
      </c>
      <c r="X187" s="130">
        <v>0</v>
      </c>
      <c r="Y187" s="130">
        <f t="shared" si="359"/>
        <v>0</v>
      </c>
      <c r="Z187" s="130">
        <f t="shared" si="360"/>
        <v>0</v>
      </c>
      <c r="AA187" s="131">
        <f t="shared" si="361"/>
        <v>0</v>
      </c>
      <c r="AB187" s="131">
        <f t="shared" si="362"/>
        <v>0</v>
      </c>
      <c r="AC187" s="130">
        <v>0</v>
      </c>
      <c r="AD187" s="130">
        <v>0</v>
      </c>
      <c r="AE187" s="130">
        <f t="shared" si="312"/>
        <v>0</v>
      </c>
      <c r="AF187" s="130">
        <f t="shared" si="313"/>
        <v>0</v>
      </c>
      <c r="AG187" s="132">
        <v>0</v>
      </c>
      <c r="AH187" s="132">
        <v>0</v>
      </c>
      <c r="AI187" s="132">
        <v>0</v>
      </c>
      <c r="AJ187" s="132">
        <v>0</v>
      </c>
      <c r="AK187" s="132">
        <v>0</v>
      </c>
      <c r="AL187" s="132">
        <f t="shared" si="314"/>
        <v>0</v>
      </c>
      <c r="AM187" s="132">
        <f t="shared" si="363"/>
        <v>0</v>
      </c>
      <c r="AN187" s="403">
        <f t="shared" si="315"/>
        <v>0</v>
      </c>
      <c r="AO187" s="128">
        <f t="shared" si="294"/>
        <v>2965306</v>
      </c>
      <c r="AP187" s="130">
        <f t="shared" si="295"/>
        <v>2161801</v>
      </c>
      <c r="AQ187" s="130">
        <f t="shared" si="296"/>
        <v>0</v>
      </c>
      <c r="AR187" s="130">
        <f t="shared" si="297"/>
        <v>730689</v>
      </c>
      <c r="AS187" s="130">
        <f t="shared" si="298"/>
        <v>43236</v>
      </c>
      <c r="AT187" s="130">
        <f t="shared" si="299"/>
        <v>29580</v>
      </c>
      <c r="AU187" s="132">
        <f t="shared" si="300"/>
        <v>7.35</v>
      </c>
      <c r="AV187" s="132">
        <f t="shared" si="301"/>
        <v>0</v>
      </c>
      <c r="AW187" s="133">
        <f t="shared" si="302"/>
        <v>7.35</v>
      </c>
    </row>
    <row r="188" spans="1:49" ht="14.1" customHeight="1" x14ac:dyDescent="0.2">
      <c r="A188" s="124">
        <v>41</v>
      </c>
      <c r="B188" s="121">
        <v>2480</v>
      </c>
      <c r="C188" s="144">
        <v>600080293</v>
      </c>
      <c r="D188" s="121">
        <v>46744924</v>
      </c>
      <c r="E188" s="123" t="s">
        <v>657</v>
      </c>
      <c r="F188" s="124">
        <v>3143</v>
      </c>
      <c r="G188" s="145" t="s">
        <v>635</v>
      </c>
      <c r="H188" s="125" t="s">
        <v>283</v>
      </c>
      <c r="I188" s="126">
        <f t="shared" si="290"/>
        <v>3301515</v>
      </c>
      <c r="J188" s="631">
        <v>2431160</v>
      </c>
      <c r="K188" s="127">
        <f t="shared" si="310"/>
        <v>821732</v>
      </c>
      <c r="L188" s="477">
        <f t="shared" si="311"/>
        <v>48623</v>
      </c>
      <c r="M188" s="478">
        <v>0</v>
      </c>
      <c r="N188" s="390">
        <f t="shared" si="305"/>
        <v>5.1630000000000003</v>
      </c>
      <c r="O188" s="644">
        <v>5.1630000000000003</v>
      </c>
      <c r="P188" s="639">
        <v>0</v>
      </c>
      <c r="Q188" s="129">
        <f t="shared" si="292"/>
        <v>0</v>
      </c>
      <c r="R188" s="130">
        <v>0</v>
      </c>
      <c r="S188" s="130">
        <v>0</v>
      </c>
      <c r="T188" s="130">
        <v>0</v>
      </c>
      <c r="U188" s="130">
        <f t="shared" si="293"/>
        <v>0</v>
      </c>
      <c r="V188" s="130">
        <v>0</v>
      </c>
      <c r="W188" s="130">
        <v>0</v>
      </c>
      <c r="X188" s="130">
        <v>0</v>
      </c>
      <c r="Y188" s="130">
        <f t="shared" si="359"/>
        <v>0</v>
      </c>
      <c r="Z188" s="130">
        <f t="shared" si="360"/>
        <v>0</v>
      </c>
      <c r="AA188" s="131">
        <f t="shared" si="361"/>
        <v>0</v>
      </c>
      <c r="AB188" s="131">
        <f t="shared" si="362"/>
        <v>0</v>
      </c>
      <c r="AC188" s="130">
        <v>0</v>
      </c>
      <c r="AD188" s="130">
        <v>0</v>
      </c>
      <c r="AE188" s="130">
        <f t="shared" si="312"/>
        <v>0</v>
      </c>
      <c r="AF188" s="130">
        <f t="shared" si="313"/>
        <v>0</v>
      </c>
      <c r="AG188" s="132">
        <v>0</v>
      </c>
      <c r="AH188" s="132">
        <v>0</v>
      </c>
      <c r="AI188" s="132">
        <v>0</v>
      </c>
      <c r="AJ188" s="132">
        <v>0</v>
      </c>
      <c r="AK188" s="132">
        <v>0</v>
      </c>
      <c r="AL188" s="132">
        <f t="shared" si="314"/>
        <v>0</v>
      </c>
      <c r="AM188" s="132">
        <f t="shared" si="363"/>
        <v>0</v>
      </c>
      <c r="AN188" s="403">
        <f t="shared" si="315"/>
        <v>0</v>
      </c>
      <c r="AO188" s="128">
        <f t="shared" si="294"/>
        <v>3301515</v>
      </c>
      <c r="AP188" s="130">
        <f t="shared" si="295"/>
        <v>2431160</v>
      </c>
      <c r="AQ188" s="130">
        <f t="shared" si="296"/>
        <v>0</v>
      </c>
      <c r="AR188" s="130">
        <f t="shared" si="297"/>
        <v>821732</v>
      </c>
      <c r="AS188" s="130">
        <f t="shared" si="298"/>
        <v>48623</v>
      </c>
      <c r="AT188" s="130">
        <f t="shared" si="299"/>
        <v>0</v>
      </c>
      <c r="AU188" s="132">
        <f t="shared" si="300"/>
        <v>5.1630000000000003</v>
      </c>
      <c r="AV188" s="132">
        <f t="shared" si="301"/>
        <v>5.1630000000000003</v>
      </c>
      <c r="AW188" s="133">
        <f t="shared" si="302"/>
        <v>0</v>
      </c>
    </row>
    <row r="189" spans="1:49" ht="14.1" customHeight="1" x14ac:dyDescent="0.2">
      <c r="A189" s="124">
        <v>41</v>
      </c>
      <c r="B189" s="121">
        <v>2480</v>
      </c>
      <c r="C189" s="144">
        <v>600080293</v>
      </c>
      <c r="D189" s="121">
        <v>46744924</v>
      </c>
      <c r="E189" s="123" t="s">
        <v>657</v>
      </c>
      <c r="F189" s="124">
        <v>3143</v>
      </c>
      <c r="G189" s="145" t="s">
        <v>636</v>
      </c>
      <c r="H189" s="125" t="s">
        <v>284</v>
      </c>
      <c r="I189" s="126">
        <f t="shared" si="290"/>
        <v>113758</v>
      </c>
      <c r="J189" s="664">
        <v>80190</v>
      </c>
      <c r="K189" s="127">
        <f t="shared" si="310"/>
        <v>27104</v>
      </c>
      <c r="L189" s="477">
        <f t="shared" si="311"/>
        <v>1604</v>
      </c>
      <c r="M189" s="664">
        <v>4860</v>
      </c>
      <c r="N189" s="390">
        <f t="shared" si="305"/>
        <v>0.34</v>
      </c>
      <c r="O189" s="665">
        <v>0</v>
      </c>
      <c r="P189" s="667">
        <v>0.34</v>
      </c>
      <c r="Q189" s="129">
        <f t="shared" si="292"/>
        <v>0</v>
      </c>
      <c r="R189" s="130">
        <v>0</v>
      </c>
      <c r="S189" s="130">
        <v>0</v>
      </c>
      <c r="T189" s="130">
        <v>0</v>
      </c>
      <c r="U189" s="130">
        <f t="shared" si="293"/>
        <v>0</v>
      </c>
      <c r="V189" s="130">
        <v>0</v>
      </c>
      <c r="W189" s="130">
        <v>0</v>
      </c>
      <c r="X189" s="130">
        <v>0</v>
      </c>
      <c r="Y189" s="130">
        <f t="shared" si="359"/>
        <v>0</v>
      </c>
      <c r="Z189" s="130">
        <f t="shared" si="360"/>
        <v>0</v>
      </c>
      <c r="AA189" s="131">
        <f t="shared" si="361"/>
        <v>0</v>
      </c>
      <c r="AB189" s="131">
        <f t="shared" si="362"/>
        <v>0</v>
      </c>
      <c r="AC189" s="130">
        <v>0</v>
      </c>
      <c r="AD189" s="130">
        <v>0</v>
      </c>
      <c r="AE189" s="130">
        <f t="shared" si="312"/>
        <v>0</v>
      </c>
      <c r="AF189" s="130">
        <f t="shared" si="313"/>
        <v>0</v>
      </c>
      <c r="AG189" s="132">
        <v>0</v>
      </c>
      <c r="AH189" s="132">
        <v>0</v>
      </c>
      <c r="AI189" s="132">
        <v>0</v>
      </c>
      <c r="AJ189" s="132">
        <v>0</v>
      </c>
      <c r="AK189" s="132">
        <v>0</v>
      </c>
      <c r="AL189" s="132">
        <f t="shared" si="314"/>
        <v>0</v>
      </c>
      <c r="AM189" s="132">
        <f t="shared" si="363"/>
        <v>0</v>
      </c>
      <c r="AN189" s="403">
        <f t="shared" si="315"/>
        <v>0</v>
      </c>
      <c r="AO189" s="128">
        <f t="shared" si="294"/>
        <v>113758</v>
      </c>
      <c r="AP189" s="130">
        <f t="shared" si="295"/>
        <v>80190</v>
      </c>
      <c r="AQ189" s="130">
        <f t="shared" si="296"/>
        <v>0</v>
      </c>
      <c r="AR189" s="130">
        <f t="shared" si="297"/>
        <v>27104</v>
      </c>
      <c r="AS189" s="130">
        <f t="shared" si="298"/>
        <v>1604</v>
      </c>
      <c r="AT189" s="130">
        <f t="shared" si="299"/>
        <v>4860</v>
      </c>
      <c r="AU189" s="132">
        <f t="shared" si="300"/>
        <v>0.34</v>
      </c>
      <c r="AV189" s="132">
        <f t="shared" si="301"/>
        <v>0</v>
      </c>
      <c r="AW189" s="133">
        <f t="shared" si="302"/>
        <v>0.34</v>
      </c>
    </row>
    <row r="190" spans="1:49" ht="14.1" customHeight="1" x14ac:dyDescent="0.2">
      <c r="A190" s="124">
        <v>41</v>
      </c>
      <c r="B190" s="121">
        <v>2480</v>
      </c>
      <c r="C190" s="144">
        <v>600080293</v>
      </c>
      <c r="D190" s="121">
        <v>46744924</v>
      </c>
      <c r="E190" s="123" t="s">
        <v>657</v>
      </c>
      <c r="F190" s="124">
        <v>3143</v>
      </c>
      <c r="G190" s="145" t="s">
        <v>323</v>
      </c>
      <c r="H190" s="125" t="s">
        <v>284</v>
      </c>
      <c r="I190" s="126">
        <f t="shared" si="290"/>
        <v>1114702</v>
      </c>
      <c r="J190" s="664">
        <v>814302</v>
      </c>
      <c r="K190" s="127">
        <f t="shared" ref="K190" si="364">ROUND(J190*33.8%,0)</f>
        <v>275234</v>
      </c>
      <c r="L190" s="477">
        <f t="shared" ref="L190" si="365">ROUND(J190*2%,0)</f>
        <v>16286</v>
      </c>
      <c r="M190" s="664">
        <v>8880</v>
      </c>
      <c r="N190" s="390">
        <f t="shared" si="305"/>
        <v>2.04</v>
      </c>
      <c r="O190" s="665">
        <v>1.42</v>
      </c>
      <c r="P190" s="667">
        <v>0.62</v>
      </c>
      <c r="Q190" s="129">
        <f t="shared" si="292"/>
        <v>0</v>
      </c>
      <c r="R190" s="130">
        <v>0</v>
      </c>
      <c r="S190" s="130">
        <v>0</v>
      </c>
      <c r="T190" s="130">
        <v>0</v>
      </c>
      <c r="U190" s="130">
        <f t="shared" si="293"/>
        <v>0</v>
      </c>
      <c r="V190" s="130">
        <v>0</v>
      </c>
      <c r="W190" s="130">
        <v>0</v>
      </c>
      <c r="X190" s="130">
        <v>0</v>
      </c>
      <c r="Y190" s="130">
        <f t="shared" si="359"/>
        <v>0</v>
      </c>
      <c r="Z190" s="130">
        <f t="shared" si="360"/>
        <v>0</v>
      </c>
      <c r="AA190" s="131">
        <f t="shared" si="361"/>
        <v>0</v>
      </c>
      <c r="AB190" s="131">
        <f t="shared" si="362"/>
        <v>0</v>
      </c>
      <c r="AC190" s="130">
        <v>0</v>
      </c>
      <c r="AD190" s="130">
        <v>0</v>
      </c>
      <c r="AE190" s="130">
        <f t="shared" si="312"/>
        <v>0</v>
      </c>
      <c r="AF190" s="130">
        <f t="shared" si="313"/>
        <v>0</v>
      </c>
      <c r="AG190" s="132">
        <v>0</v>
      </c>
      <c r="AH190" s="132">
        <v>0</v>
      </c>
      <c r="AI190" s="132">
        <v>0</v>
      </c>
      <c r="AJ190" s="132">
        <v>0</v>
      </c>
      <c r="AK190" s="132">
        <v>0</v>
      </c>
      <c r="AL190" s="132">
        <f t="shared" si="314"/>
        <v>0</v>
      </c>
      <c r="AM190" s="132">
        <f t="shared" si="363"/>
        <v>0</v>
      </c>
      <c r="AN190" s="403">
        <f t="shared" si="315"/>
        <v>0</v>
      </c>
      <c r="AO190" s="128">
        <f t="shared" si="294"/>
        <v>1114702</v>
      </c>
      <c r="AP190" s="130">
        <f t="shared" si="295"/>
        <v>814302</v>
      </c>
      <c r="AQ190" s="130">
        <f t="shared" si="296"/>
        <v>0</v>
      </c>
      <c r="AR190" s="130">
        <f t="shared" si="297"/>
        <v>275234</v>
      </c>
      <c r="AS190" s="130">
        <f t="shared" si="298"/>
        <v>16286</v>
      </c>
      <c r="AT190" s="130">
        <f t="shared" si="299"/>
        <v>8880</v>
      </c>
      <c r="AU190" s="132">
        <f t="shared" si="300"/>
        <v>2.04</v>
      </c>
      <c r="AV190" s="132">
        <f t="shared" si="301"/>
        <v>1.42</v>
      </c>
      <c r="AW190" s="133">
        <f t="shared" si="302"/>
        <v>0.62</v>
      </c>
    </row>
    <row r="191" spans="1:49" ht="14.1" customHeight="1" x14ac:dyDescent="0.2">
      <c r="A191" s="137">
        <v>41</v>
      </c>
      <c r="B191" s="134">
        <v>2480</v>
      </c>
      <c r="C191" s="146">
        <v>600080293</v>
      </c>
      <c r="D191" s="134">
        <v>46744924</v>
      </c>
      <c r="E191" s="136" t="s">
        <v>658</v>
      </c>
      <c r="F191" s="137"/>
      <c r="G191" s="136"/>
      <c r="H191" s="138"/>
      <c r="I191" s="139">
        <f t="shared" ref="I191:P191" si="366">SUM(I185:I190)</f>
        <v>41306970</v>
      </c>
      <c r="J191" s="140">
        <f t="shared" si="366"/>
        <v>29837577</v>
      </c>
      <c r="K191" s="140">
        <f t="shared" si="366"/>
        <v>10085101</v>
      </c>
      <c r="L191" s="140">
        <f t="shared" si="366"/>
        <v>596752</v>
      </c>
      <c r="M191" s="140">
        <f t="shared" si="366"/>
        <v>787540</v>
      </c>
      <c r="N191" s="141">
        <f t="shared" si="366"/>
        <v>58.267500000000005</v>
      </c>
      <c r="O191" s="141">
        <f t="shared" si="366"/>
        <v>40.764899999999997</v>
      </c>
      <c r="P191" s="142">
        <f t="shared" si="366"/>
        <v>17.502600000000001</v>
      </c>
      <c r="Q191" s="342">
        <f t="shared" ref="Q191:AW191" si="367">SUM(Q185:Q190)</f>
        <v>-20000</v>
      </c>
      <c r="R191" s="140">
        <f t="shared" si="367"/>
        <v>1739107</v>
      </c>
      <c r="S191" s="140">
        <f t="shared" si="367"/>
        <v>0</v>
      </c>
      <c r="T191" s="140">
        <f t="shared" si="367"/>
        <v>0</v>
      </c>
      <c r="U191" s="140">
        <f t="shared" si="367"/>
        <v>1719107</v>
      </c>
      <c r="V191" s="140">
        <f t="shared" si="367"/>
        <v>20000</v>
      </c>
      <c r="W191" s="140">
        <f t="shared" si="367"/>
        <v>0</v>
      </c>
      <c r="X191" s="140">
        <f t="shared" si="367"/>
        <v>0</v>
      </c>
      <c r="Y191" s="140">
        <f t="shared" si="367"/>
        <v>20000</v>
      </c>
      <c r="Z191" s="140">
        <f t="shared" si="367"/>
        <v>1739107</v>
      </c>
      <c r="AA191" s="140">
        <f t="shared" si="367"/>
        <v>587818</v>
      </c>
      <c r="AB191" s="140">
        <f t="shared" si="367"/>
        <v>34382</v>
      </c>
      <c r="AC191" s="140">
        <f t="shared" si="367"/>
        <v>0</v>
      </c>
      <c r="AD191" s="140">
        <f t="shared" si="367"/>
        <v>0</v>
      </c>
      <c r="AE191" s="140">
        <f t="shared" si="367"/>
        <v>0</v>
      </c>
      <c r="AF191" s="140">
        <f t="shared" si="367"/>
        <v>2361307</v>
      </c>
      <c r="AG191" s="141">
        <f t="shared" si="367"/>
        <v>0</v>
      </c>
      <c r="AH191" s="141">
        <f t="shared" si="367"/>
        <v>0</v>
      </c>
      <c r="AI191" s="141">
        <f t="shared" si="367"/>
        <v>4.7699999999999996</v>
      </c>
      <c r="AJ191" s="141">
        <f t="shared" si="367"/>
        <v>0</v>
      </c>
      <c r="AK191" s="141">
        <f t="shared" si="367"/>
        <v>0</v>
      </c>
      <c r="AL191" s="141">
        <f t="shared" si="367"/>
        <v>4.7699999999999996</v>
      </c>
      <c r="AM191" s="141">
        <f t="shared" si="367"/>
        <v>0</v>
      </c>
      <c r="AN191" s="635">
        <f t="shared" si="367"/>
        <v>4.7699999999999996</v>
      </c>
      <c r="AO191" s="139">
        <f t="shared" si="367"/>
        <v>43668277</v>
      </c>
      <c r="AP191" s="140">
        <f t="shared" si="367"/>
        <v>31556684</v>
      </c>
      <c r="AQ191" s="140">
        <f t="shared" si="367"/>
        <v>20000</v>
      </c>
      <c r="AR191" s="140">
        <f t="shared" si="367"/>
        <v>10672919</v>
      </c>
      <c r="AS191" s="140">
        <f t="shared" si="367"/>
        <v>631134</v>
      </c>
      <c r="AT191" s="140">
        <f t="shared" si="367"/>
        <v>787540</v>
      </c>
      <c r="AU191" s="141">
        <f t="shared" si="367"/>
        <v>63.037500000000001</v>
      </c>
      <c r="AV191" s="141">
        <f t="shared" si="367"/>
        <v>45.534899999999993</v>
      </c>
      <c r="AW191" s="142">
        <f t="shared" si="367"/>
        <v>17.502600000000001</v>
      </c>
    </row>
    <row r="192" spans="1:49" ht="14.1" customHeight="1" x14ac:dyDescent="0.2">
      <c r="A192" s="124">
        <v>42</v>
      </c>
      <c r="B192" s="121">
        <v>2482</v>
      </c>
      <c r="C192" s="144">
        <v>600079945</v>
      </c>
      <c r="D192" s="121">
        <v>72741716</v>
      </c>
      <c r="E192" s="123" t="s">
        <v>659</v>
      </c>
      <c r="F192" s="124">
        <v>3113</v>
      </c>
      <c r="G192" s="123" t="s">
        <v>320</v>
      </c>
      <c r="H192" s="125" t="s">
        <v>283</v>
      </c>
      <c r="I192" s="126">
        <f t="shared" si="290"/>
        <v>15471154</v>
      </c>
      <c r="J192" s="127">
        <v>11152551</v>
      </c>
      <c r="K192" s="127">
        <f t="shared" si="310"/>
        <v>3769562</v>
      </c>
      <c r="L192" s="477">
        <f t="shared" si="311"/>
        <v>223051</v>
      </c>
      <c r="M192" s="127">
        <v>325990</v>
      </c>
      <c r="N192" s="390">
        <f t="shared" si="305"/>
        <v>20.595399999999998</v>
      </c>
      <c r="O192" s="390">
        <v>15.5909</v>
      </c>
      <c r="P192" s="439">
        <v>5.0045000000000002</v>
      </c>
      <c r="Q192" s="129">
        <f t="shared" si="292"/>
        <v>-40000</v>
      </c>
      <c r="R192" s="130">
        <v>0</v>
      </c>
      <c r="S192" s="130">
        <v>0</v>
      </c>
      <c r="T192" s="130">
        <v>0</v>
      </c>
      <c r="U192" s="130">
        <f t="shared" si="293"/>
        <v>-40000</v>
      </c>
      <c r="V192" s="130">
        <v>40000</v>
      </c>
      <c r="W192" s="130">
        <v>0</v>
      </c>
      <c r="X192" s="130">
        <v>0</v>
      </c>
      <c r="Y192" s="130">
        <f t="shared" ref="Y192:Y196" si="368">SUM(V192:X192)</f>
        <v>40000</v>
      </c>
      <c r="Z192" s="130">
        <f t="shared" ref="Z192:Z196" si="369">U192+Y192</f>
        <v>0</v>
      </c>
      <c r="AA192" s="131">
        <f t="shared" ref="AA192:AA196" si="370">ROUND((U192+V192+W192)*33.8%,0)</f>
        <v>0</v>
      </c>
      <c r="AB192" s="131">
        <f t="shared" ref="AB192:AB196" si="371">ROUND(U192*2%,0)</f>
        <v>-800</v>
      </c>
      <c r="AC192" s="130">
        <v>0</v>
      </c>
      <c r="AD192" s="130">
        <v>0</v>
      </c>
      <c r="AE192" s="130">
        <f t="shared" si="312"/>
        <v>0</v>
      </c>
      <c r="AF192" s="130">
        <f t="shared" si="313"/>
        <v>-800</v>
      </c>
      <c r="AG192" s="132">
        <v>0</v>
      </c>
      <c r="AH192" s="132">
        <v>-0.04</v>
      </c>
      <c r="AI192" s="132">
        <v>0</v>
      </c>
      <c r="AJ192" s="132">
        <v>0</v>
      </c>
      <c r="AK192" s="132">
        <v>0</v>
      </c>
      <c r="AL192" s="132">
        <f t="shared" si="314"/>
        <v>0</v>
      </c>
      <c r="AM192" s="132">
        <f>AH192+AK192</f>
        <v>-0.04</v>
      </c>
      <c r="AN192" s="403">
        <f t="shared" si="315"/>
        <v>-0.04</v>
      </c>
      <c r="AO192" s="128">
        <f t="shared" si="294"/>
        <v>15470354</v>
      </c>
      <c r="AP192" s="130">
        <f t="shared" si="295"/>
        <v>11112551</v>
      </c>
      <c r="AQ192" s="130">
        <f t="shared" si="296"/>
        <v>40000</v>
      </c>
      <c r="AR192" s="130">
        <f t="shared" si="297"/>
        <v>3769562</v>
      </c>
      <c r="AS192" s="130">
        <f t="shared" si="298"/>
        <v>222251</v>
      </c>
      <c r="AT192" s="130">
        <f t="shared" si="299"/>
        <v>325990</v>
      </c>
      <c r="AU192" s="132">
        <f t="shared" si="300"/>
        <v>20.555399999999999</v>
      </c>
      <c r="AV192" s="132">
        <f t="shared" si="301"/>
        <v>15.5909</v>
      </c>
      <c r="AW192" s="133">
        <f t="shared" si="302"/>
        <v>4.9645000000000001</v>
      </c>
    </row>
    <row r="193" spans="1:49" ht="14.1" customHeight="1" x14ac:dyDescent="0.2">
      <c r="A193" s="124">
        <v>42</v>
      </c>
      <c r="B193" s="121">
        <v>2482</v>
      </c>
      <c r="C193" s="144">
        <v>600079945</v>
      </c>
      <c r="D193" s="121">
        <v>72741716</v>
      </c>
      <c r="E193" s="123" t="s">
        <v>659</v>
      </c>
      <c r="F193" s="124">
        <v>3113</v>
      </c>
      <c r="G193" s="143" t="s">
        <v>318</v>
      </c>
      <c r="H193" s="125" t="s">
        <v>284</v>
      </c>
      <c r="I193" s="126">
        <f t="shared" si="290"/>
        <v>0</v>
      </c>
      <c r="J193" s="29">
        <v>0</v>
      </c>
      <c r="K193" s="127">
        <f t="shared" si="310"/>
        <v>0</v>
      </c>
      <c r="L193" s="477">
        <f t="shared" si="311"/>
        <v>0</v>
      </c>
      <c r="M193" s="29">
        <v>0</v>
      </c>
      <c r="N193" s="390">
        <f t="shared" si="305"/>
        <v>0</v>
      </c>
      <c r="O193" s="349">
        <v>0</v>
      </c>
      <c r="P193" s="639">
        <v>0</v>
      </c>
      <c r="Q193" s="129">
        <f t="shared" si="292"/>
        <v>0</v>
      </c>
      <c r="R193" s="130">
        <f>1286256+216528</f>
        <v>1502784</v>
      </c>
      <c r="S193" s="130">
        <v>0</v>
      </c>
      <c r="T193" s="130">
        <v>0</v>
      </c>
      <c r="U193" s="130">
        <f t="shared" si="293"/>
        <v>1502784</v>
      </c>
      <c r="V193" s="130">
        <v>0</v>
      </c>
      <c r="W193" s="130">
        <v>0</v>
      </c>
      <c r="X193" s="130">
        <v>0</v>
      </c>
      <c r="Y193" s="130">
        <f t="shared" si="368"/>
        <v>0</v>
      </c>
      <c r="Z193" s="130">
        <f t="shared" si="369"/>
        <v>1502784</v>
      </c>
      <c r="AA193" s="131">
        <f t="shared" si="370"/>
        <v>507941</v>
      </c>
      <c r="AB193" s="131">
        <f t="shared" si="371"/>
        <v>30056</v>
      </c>
      <c r="AC193" s="130">
        <v>0</v>
      </c>
      <c r="AD193" s="130">
        <v>0</v>
      </c>
      <c r="AE193" s="130">
        <f t="shared" si="312"/>
        <v>0</v>
      </c>
      <c r="AF193" s="130">
        <f t="shared" si="313"/>
        <v>2040781</v>
      </c>
      <c r="AG193" s="132">
        <v>0</v>
      </c>
      <c r="AH193" s="132">
        <v>0</v>
      </c>
      <c r="AI193" s="132">
        <v>4.1100000000000003</v>
      </c>
      <c r="AJ193" s="132">
        <v>0</v>
      </c>
      <c r="AK193" s="132">
        <v>0</v>
      </c>
      <c r="AL193" s="132">
        <f t="shared" si="314"/>
        <v>4.1100000000000003</v>
      </c>
      <c r="AM193" s="132">
        <f>AH193+AK193</f>
        <v>0</v>
      </c>
      <c r="AN193" s="403">
        <f t="shared" si="315"/>
        <v>4.1100000000000003</v>
      </c>
      <c r="AO193" s="128">
        <f t="shared" si="294"/>
        <v>2040781</v>
      </c>
      <c r="AP193" s="130">
        <f t="shared" si="295"/>
        <v>1502784</v>
      </c>
      <c r="AQ193" s="130">
        <f t="shared" si="296"/>
        <v>0</v>
      </c>
      <c r="AR193" s="130">
        <f t="shared" si="297"/>
        <v>507941</v>
      </c>
      <c r="AS193" s="130">
        <f t="shared" si="298"/>
        <v>30056</v>
      </c>
      <c r="AT193" s="130">
        <f t="shared" si="299"/>
        <v>0</v>
      </c>
      <c r="AU193" s="132">
        <f t="shared" si="300"/>
        <v>4.1100000000000003</v>
      </c>
      <c r="AV193" s="132">
        <f t="shared" si="301"/>
        <v>4.1100000000000003</v>
      </c>
      <c r="AW193" s="133">
        <f t="shared" si="302"/>
        <v>0</v>
      </c>
    </row>
    <row r="194" spans="1:49" ht="14.1" customHeight="1" x14ac:dyDescent="0.2">
      <c r="A194" s="124">
        <v>42</v>
      </c>
      <c r="B194" s="121">
        <v>2482</v>
      </c>
      <c r="C194" s="144">
        <v>600079945</v>
      </c>
      <c r="D194" s="121">
        <v>72741716</v>
      </c>
      <c r="E194" s="123" t="s">
        <v>659</v>
      </c>
      <c r="F194" s="124">
        <v>3141</v>
      </c>
      <c r="G194" s="123" t="s">
        <v>321</v>
      </c>
      <c r="H194" s="125" t="s">
        <v>284</v>
      </c>
      <c r="I194" s="126">
        <f t="shared" si="290"/>
        <v>1408961</v>
      </c>
      <c r="J194" s="666">
        <v>1028942</v>
      </c>
      <c r="K194" s="127">
        <f t="shared" si="310"/>
        <v>347782</v>
      </c>
      <c r="L194" s="477">
        <f t="shared" si="311"/>
        <v>20579</v>
      </c>
      <c r="M194" s="666">
        <v>11658</v>
      </c>
      <c r="N194" s="390">
        <f t="shared" si="305"/>
        <v>3.5</v>
      </c>
      <c r="O194" s="668">
        <v>0</v>
      </c>
      <c r="P194" s="667">
        <v>3.5</v>
      </c>
      <c r="Q194" s="129">
        <f t="shared" si="292"/>
        <v>0</v>
      </c>
      <c r="R194" s="130">
        <v>0</v>
      </c>
      <c r="S194" s="130">
        <v>0</v>
      </c>
      <c r="T194" s="130">
        <v>0</v>
      </c>
      <c r="U194" s="130">
        <f t="shared" si="293"/>
        <v>0</v>
      </c>
      <c r="V194" s="130">
        <v>0</v>
      </c>
      <c r="W194" s="130">
        <v>0</v>
      </c>
      <c r="X194" s="130">
        <v>0</v>
      </c>
      <c r="Y194" s="130">
        <f t="shared" si="368"/>
        <v>0</v>
      </c>
      <c r="Z194" s="130">
        <f t="shared" si="369"/>
        <v>0</v>
      </c>
      <c r="AA194" s="131">
        <f t="shared" si="370"/>
        <v>0</v>
      </c>
      <c r="AB194" s="131">
        <f t="shared" si="371"/>
        <v>0</v>
      </c>
      <c r="AC194" s="130">
        <v>0</v>
      </c>
      <c r="AD194" s="130">
        <v>0</v>
      </c>
      <c r="AE194" s="130">
        <f t="shared" si="312"/>
        <v>0</v>
      </c>
      <c r="AF194" s="130">
        <f t="shared" si="313"/>
        <v>0</v>
      </c>
      <c r="AG194" s="132">
        <v>0</v>
      </c>
      <c r="AH194" s="132">
        <v>0</v>
      </c>
      <c r="AI194" s="132">
        <v>0</v>
      </c>
      <c r="AJ194" s="132">
        <v>0</v>
      </c>
      <c r="AK194" s="132">
        <v>0</v>
      </c>
      <c r="AL194" s="132">
        <f t="shared" si="314"/>
        <v>0</v>
      </c>
      <c r="AM194" s="132">
        <f>AH194+AK194</f>
        <v>0</v>
      </c>
      <c r="AN194" s="403">
        <f t="shared" si="315"/>
        <v>0</v>
      </c>
      <c r="AO194" s="128">
        <f t="shared" si="294"/>
        <v>1408961</v>
      </c>
      <c r="AP194" s="130">
        <f t="shared" si="295"/>
        <v>1028942</v>
      </c>
      <c r="AQ194" s="130">
        <f t="shared" si="296"/>
        <v>0</v>
      </c>
      <c r="AR194" s="130">
        <f t="shared" si="297"/>
        <v>347782</v>
      </c>
      <c r="AS194" s="130">
        <f t="shared" si="298"/>
        <v>20579</v>
      </c>
      <c r="AT194" s="130">
        <f t="shared" si="299"/>
        <v>11658</v>
      </c>
      <c r="AU194" s="132">
        <f t="shared" si="300"/>
        <v>3.5</v>
      </c>
      <c r="AV194" s="132">
        <f t="shared" si="301"/>
        <v>0</v>
      </c>
      <c r="AW194" s="133">
        <f t="shared" si="302"/>
        <v>3.5</v>
      </c>
    </row>
    <row r="195" spans="1:49" ht="14.1" customHeight="1" x14ac:dyDescent="0.2">
      <c r="A195" s="124">
        <v>42</v>
      </c>
      <c r="B195" s="121">
        <v>2482</v>
      </c>
      <c r="C195" s="144">
        <v>600079945</v>
      </c>
      <c r="D195" s="121">
        <v>72741716</v>
      </c>
      <c r="E195" s="123" t="s">
        <v>659</v>
      </c>
      <c r="F195" s="124">
        <v>3143</v>
      </c>
      <c r="G195" s="145" t="s">
        <v>635</v>
      </c>
      <c r="H195" s="125" t="s">
        <v>283</v>
      </c>
      <c r="I195" s="126">
        <f t="shared" si="290"/>
        <v>1546613</v>
      </c>
      <c r="J195" s="631">
        <v>1138890</v>
      </c>
      <c r="K195" s="127">
        <f t="shared" si="310"/>
        <v>384945</v>
      </c>
      <c r="L195" s="477">
        <f t="shared" si="311"/>
        <v>22778</v>
      </c>
      <c r="M195" s="478">
        <v>0</v>
      </c>
      <c r="N195" s="390">
        <f t="shared" si="305"/>
        <v>2.5</v>
      </c>
      <c r="O195" s="644">
        <v>2.5</v>
      </c>
      <c r="P195" s="639">
        <v>0</v>
      </c>
      <c r="Q195" s="129">
        <f t="shared" si="292"/>
        <v>0</v>
      </c>
      <c r="R195" s="130">
        <v>0</v>
      </c>
      <c r="S195" s="130">
        <v>0</v>
      </c>
      <c r="T195" s="130">
        <v>0</v>
      </c>
      <c r="U195" s="130">
        <f t="shared" si="293"/>
        <v>0</v>
      </c>
      <c r="V195" s="130">
        <v>0</v>
      </c>
      <c r="W195" s="130">
        <v>0</v>
      </c>
      <c r="X195" s="130">
        <v>0</v>
      </c>
      <c r="Y195" s="130">
        <f t="shared" si="368"/>
        <v>0</v>
      </c>
      <c r="Z195" s="130">
        <f t="shared" si="369"/>
        <v>0</v>
      </c>
      <c r="AA195" s="131">
        <f t="shared" si="370"/>
        <v>0</v>
      </c>
      <c r="AB195" s="131">
        <f t="shared" si="371"/>
        <v>0</v>
      </c>
      <c r="AC195" s="130">
        <v>0</v>
      </c>
      <c r="AD195" s="130">
        <v>0</v>
      </c>
      <c r="AE195" s="130">
        <f t="shared" si="312"/>
        <v>0</v>
      </c>
      <c r="AF195" s="130">
        <f t="shared" si="313"/>
        <v>0</v>
      </c>
      <c r="AG195" s="132">
        <v>0</v>
      </c>
      <c r="AH195" s="132">
        <v>0</v>
      </c>
      <c r="AI195" s="132">
        <v>0</v>
      </c>
      <c r="AJ195" s="132">
        <v>0</v>
      </c>
      <c r="AK195" s="132">
        <v>0</v>
      </c>
      <c r="AL195" s="132">
        <f t="shared" si="314"/>
        <v>0</v>
      </c>
      <c r="AM195" s="132">
        <f>AH195+AK195</f>
        <v>0</v>
      </c>
      <c r="AN195" s="403">
        <f t="shared" si="315"/>
        <v>0</v>
      </c>
      <c r="AO195" s="128">
        <f t="shared" si="294"/>
        <v>1546613</v>
      </c>
      <c r="AP195" s="130">
        <f t="shared" si="295"/>
        <v>1138890</v>
      </c>
      <c r="AQ195" s="130">
        <f t="shared" si="296"/>
        <v>0</v>
      </c>
      <c r="AR195" s="130">
        <f t="shared" si="297"/>
        <v>384945</v>
      </c>
      <c r="AS195" s="130">
        <f t="shared" si="298"/>
        <v>22778</v>
      </c>
      <c r="AT195" s="130">
        <f t="shared" si="299"/>
        <v>0</v>
      </c>
      <c r="AU195" s="132">
        <f t="shared" si="300"/>
        <v>2.5</v>
      </c>
      <c r="AV195" s="132">
        <f t="shared" si="301"/>
        <v>2.5</v>
      </c>
      <c r="AW195" s="133">
        <f t="shared" si="302"/>
        <v>0</v>
      </c>
    </row>
    <row r="196" spans="1:49" ht="14.1" customHeight="1" x14ac:dyDescent="0.2">
      <c r="A196" s="124">
        <v>42</v>
      </c>
      <c r="B196" s="121">
        <v>2482</v>
      </c>
      <c r="C196" s="144">
        <v>600079945</v>
      </c>
      <c r="D196" s="121">
        <v>72741716</v>
      </c>
      <c r="E196" s="123" t="s">
        <v>659</v>
      </c>
      <c r="F196" s="124">
        <v>3143</v>
      </c>
      <c r="G196" s="145" t="s">
        <v>636</v>
      </c>
      <c r="H196" s="125" t="s">
        <v>284</v>
      </c>
      <c r="I196" s="126">
        <f t="shared" si="290"/>
        <v>42133</v>
      </c>
      <c r="J196" s="664">
        <v>29700</v>
      </c>
      <c r="K196" s="127">
        <f t="shared" si="310"/>
        <v>10039</v>
      </c>
      <c r="L196" s="477">
        <f t="shared" si="311"/>
        <v>594</v>
      </c>
      <c r="M196" s="664">
        <v>1800</v>
      </c>
      <c r="N196" s="390">
        <f t="shared" si="305"/>
        <v>0.13</v>
      </c>
      <c r="O196" s="665">
        <v>0</v>
      </c>
      <c r="P196" s="667">
        <v>0.13</v>
      </c>
      <c r="Q196" s="129">
        <f t="shared" si="292"/>
        <v>0</v>
      </c>
      <c r="R196" s="130">
        <v>0</v>
      </c>
      <c r="S196" s="130">
        <v>0</v>
      </c>
      <c r="T196" s="130">
        <v>0</v>
      </c>
      <c r="U196" s="130">
        <f t="shared" si="293"/>
        <v>0</v>
      </c>
      <c r="V196" s="130">
        <v>0</v>
      </c>
      <c r="W196" s="130">
        <v>0</v>
      </c>
      <c r="X196" s="130">
        <v>0</v>
      </c>
      <c r="Y196" s="130">
        <f t="shared" si="368"/>
        <v>0</v>
      </c>
      <c r="Z196" s="130">
        <f t="shared" si="369"/>
        <v>0</v>
      </c>
      <c r="AA196" s="131">
        <f t="shared" si="370"/>
        <v>0</v>
      </c>
      <c r="AB196" s="131">
        <f t="shared" si="371"/>
        <v>0</v>
      </c>
      <c r="AC196" s="130">
        <v>0</v>
      </c>
      <c r="AD196" s="130">
        <v>0</v>
      </c>
      <c r="AE196" s="130">
        <f t="shared" si="312"/>
        <v>0</v>
      </c>
      <c r="AF196" s="130">
        <f t="shared" si="313"/>
        <v>0</v>
      </c>
      <c r="AG196" s="132">
        <v>0</v>
      </c>
      <c r="AH196" s="132">
        <v>0</v>
      </c>
      <c r="AI196" s="132">
        <v>0</v>
      </c>
      <c r="AJ196" s="132">
        <v>0</v>
      </c>
      <c r="AK196" s="132">
        <v>0</v>
      </c>
      <c r="AL196" s="132">
        <f t="shared" si="314"/>
        <v>0</v>
      </c>
      <c r="AM196" s="132">
        <f>AH196+AK196</f>
        <v>0</v>
      </c>
      <c r="AN196" s="403">
        <f t="shared" si="315"/>
        <v>0</v>
      </c>
      <c r="AO196" s="128">
        <f t="shared" si="294"/>
        <v>42133</v>
      </c>
      <c r="AP196" s="130">
        <f t="shared" si="295"/>
        <v>29700</v>
      </c>
      <c r="AQ196" s="130">
        <f t="shared" si="296"/>
        <v>0</v>
      </c>
      <c r="AR196" s="130">
        <f t="shared" si="297"/>
        <v>10039</v>
      </c>
      <c r="AS196" s="130">
        <f t="shared" si="298"/>
        <v>594</v>
      </c>
      <c r="AT196" s="130">
        <f t="shared" si="299"/>
        <v>1800</v>
      </c>
      <c r="AU196" s="132">
        <f t="shared" si="300"/>
        <v>0.13</v>
      </c>
      <c r="AV196" s="132">
        <f t="shared" si="301"/>
        <v>0</v>
      </c>
      <c r="AW196" s="133">
        <f t="shared" si="302"/>
        <v>0.13</v>
      </c>
    </row>
    <row r="197" spans="1:49" ht="14.1" customHeight="1" x14ac:dyDescent="0.2">
      <c r="A197" s="137">
        <v>42</v>
      </c>
      <c r="B197" s="134">
        <v>2482</v>
      </c>
      <c r="C197" s="146">
        <v>600079945</v>
      </c>
      <c r="D197" s="134">
        <v>72741716</v>
      </c>
      <c r="E197" s="136" t="s">
        <v>660</v>
      </c>
      <c r="F197" s="137"/>
      <c r="G197" s="136"/>
      <c r="H197" s="138"/>
      <c r="I197" s="139">
        <f t="shared" ref="I197:P197" si="372">SUM(I192:I196)</f>
        <v>18468861</v>
      </c>
      <c r="J197" s="140">
        <f t="shared" si="372"/>
        <v>13350083</v>
      </c>
      <c r="K197" s="140">
        <f t="shared" si="372"/>
        <v>4512328</v>
      </c>
      <c r="L197" s="140">
        <f t="shared" si="372"/>
        <v>267002</v>
      </c>
      <c r="M197" s="140">
        <f t="shared" si="372"/>
        <v>339448</v>
      </c>
      <c r="N197" s="141">
        <f t="shared" si="372"/>
        <v>26.725399999999997</v>
      </c>
      <c r="O197" s="141">
        <f t="shared" si="372"/>
        <v>18.090899999999998</v>
      </c>
      <c r="P197" s="142">
        <f t="shared" si="372"/>
        <v>8.634500000000001</v>
      </c>
      <c r="Q197" s="342">
        <f t="shared" ref="Q197:AW197" si="373">SUM(Q192:Q196)</f>
        <v>-40000</v>
      </c>
      <c r="R197" s="140">
        <f t="shared" si="373"/>
        <v>1502784</v>
      </c>
      <c r="S197" s="140">
        <f t="shared" si="373"/>
        <v>0</v>
      </c>
      <c r="T197" s="140">
        <f t="shared" si="373"/>
        <v>0</v>
      </c>
      <c r="U197" s="140">
        <f t="shared" si="373"/>
        <v>1462784</v>
      </c>
      <c r="V197" s="140">
        <f t="shared" si="373"/>
        <v>40000</v>
      </c>
      <c r="W197" s="140">
        <f t="shared" si="373"/>
        <v>0</v>
      </c>
      <c r="X197" s="140">
        <f t="shared" si="373"/>
        <v>0</v>
      </c>
      <c r="Y197" s="140">
        <f t="shared" si="373"/>
        <v>40000</v>
      </c>
      <c r="Z197" s="140">
        <f t="shared" si="373"/>
        <v>1502784</v>
      </c>
      <c r="AA197" s="140">
        <f t="shared" si="373"/>
        <v>507941</v>
      </c>
      <c r="AB197" s="140">
        <f t="shared" si="373"/>
        <v>29256</v>
      </c>
      <c r="AC197" s="140">
        <f t="shared" si="373"/>
        <v>0</v>
      </c>
      <c r="AD197" s="140">
        <f t="shared" si="373"/>
        <v>0</v>
      </c>
      <c r="AE197" s="140">
        <f t="shared" si="373"/>
        <v>0</v>
      </c>
      <c r="AF197" s="140">
        <f t="shared" si="373"/>
        <v>2039981</v>
      </c>
      <c r="AG197" s="141">
        <f t="shared" si="373"/>
        <v>0</v>
      </c>
      <c r="AH197" s="141">
        <f t="shared" si="373"/>
        <v>-0.04</v>
      </c>
      <c r="AI197" s="141">
        <f t="shared" si="373"/>
        <v>4.1100000000000003</v>
      </c>
      <c r="AJ197" s="141">
        <f t="shared" si="373"/>
        <v>0</v>
      </c>
      <c r="AK197" s="141">
        <f t="shared" si="373"/>
        <v>0</v>
      </c>
      <c r="AL197" s="141">
        <f t="shared" si="373"/>
        <v>4.1100000000000003</v>
      </c>
      <c r="AM197" s="141">
        <f t="shared" si="373"/>
        <v>-0.04</v>
      </c>
      <c r="AN197" s="635">
        <f t="shared" si="373"/>
        <v>4.07</v>
      </c>
      <c r="AO197" s="139">
        <f t="shared" si="373"/>
        <v>20508842</v>
      </c>
      <c r="AP197" s="140">
        <f t="shared" si="373"/>
        <v>14812867</v>
      </c>
      <c r="AQ197" s="140">
        <f t="shared" si="373"/>
        <v>40000</v>
      </c>
      <c r="AR197" s="140">
        <f t="shared" si="373"/>
        <v>5020269</v>
      </c>
      <c r="AS197" s="140">
        <f t="shared" si="373"/>
        <v>296258</v>
      </c>
      <c r="AT197" s="140">
        <f t="shared" si="373"/>
        <v>339448</v>
      </c>
      <c r="AU197" s="141">
        <f t="shared" si="373"/>
        <v>30.795399999999997</v>
      </c>
      <c r="AV197" s="141">
        <f t="shared" si="373"/>
        <v>22.200900000000001</v>
      </c>
      <c r="AW197" s="142">
        <f t="shared" si="373"/>
        <v>8.5945000000000018</v>
      </c>
    </row>
    <row r="198" spans="1:49" ht="14.1" customHeight="1" x14ac:dyDescent="0.2">
      <c r="A198" s="124">
        <v>43</v>
      </c>
      <c r="B198" s="121">
        <v>2328</v>
      </c>
      <c r="C198" s="144">
        <v>691006041</v>
      </c>
      <c r="D198" s="121">
        <v>71294988</v>
      </c>
      <c r="E198" s="123" t="s">
        <v>661</v>
      </c>
      <c r="F198" s="124">
        <v>3113</v>
      </c>
      <c r="G198" s="123" t="s">
        <v>320</v>
      </c>
      <c r="H198" s="125" t="s">
        <v>283</v>
      </c>
      <c r="I198" s="126">
        <f t="shared" si="290"/>
        <v>23279024</v>
      </c>
      <c r="J198" s="127">
        <v>16691866</v>
      </c>
      <c r="K198" s="127">
        <v>5641850</v>
      </c>
      <c r="L198" s="477">
        <v>333838</v>
      </c>
      <c r="M198" s="127">
        <v>611470</v>
      </c>
      <c r="N198" s="390">
        <f t="shared" si="305"/>
        <v>30.711199999999998</v>
      </c>
      <c r="O198" s="390">
        <v>22.954599999999999</v>
      </c>
      <c r="P198" s="439">
        <v>7.7566000000000006</v>
      </c>
      <c r="Q198" s="129">
        <f t="shared" si="292"/>
        <v>-192480</v>
      </c>
      <c r="R198" s="130">
        <v>0</v>
      </c>
      <c r="S198" s="130">
        <v>0</v>
      </c>
      <c r="T198" s="130">
        <v>0</v>
      </c>
      <c r="U198" s="130">
        <f t="shared" si="293"/>
        <v>-192480</v>
      </c>
      <c r="V198" s="130">
        <v>192480</v>
      </c>
      <c r="W198" s="130">
        <v>0</v>
      </c>
      <c r="X198" s="130">
        <v>0</v>
      </c>
      <c r="Y198" s="130">
        <f t="shared" ref="Y198:Y202" si="374">SUM(V198:X198)</f>
        <v>192480</v>
      </c>
      <c r="Z198" s="130">
        <f t="shared" ref="Z198:Z202" si="375">U198+Y198</f>
        <v>0</v>
      </c>
      <c r="AA198" s="131">
        <f t="shared" ref="AA198:AA202" si="376">ROUND((U198+V198+W198)*33.8%,0)</f>
        <v>0</v>
      </c>
      <c r="AB198" s="131">
        <f t="shared" ref="AB198:AB202" si="377">ROUND(U198*2%,0)</f>
        <v>-3850</v>
      </c>
      <c r="AC198" s="130">
        <v>0</v>
      </c>
      <c r="AD198" s="130">
        <v>0</v>
      </c>
      <c r="AE198" s="130">
        <f t="shared" si="312"/>
        <v>0</v>
      </c>
      <c r="AF198" s="130">
        <f t="shared" si="313"/>
        <v>-3850</v>
      </c>
      <c r="AG198" s="132">
        <v>0</v>
      </c>
      <c r="AH198" s="132">
        <v>-0.97</v>
      </c>
      <c r="AI198" s="132">
        <v>0</v>
      </c>
      <c r="AJ198" s="132">
        <v>0</v>
      </c>
      <c r="AK198" s="132">
        <v>0</v>
      </c>
      <c r="AL198" s="132">
        <f t="shared" si="314"/>
        <v>0</v>
      </c>
      <c r="AM198" s="132">
        <f>AH198+AK198</f>
        <v>-0.97</v>
      </c>
      <c r="AN198" s="403">
        <f t="shared" si="315"/>
        <v>-0.97</v>
      </c>
      <c r="AO198" s="128">
        <f t="shared" si="294"/>
        <v>23275174</v>
      </c>
      <c r="AP198" s="130">
        <f t="shared" si="295"/>
        <v>16499386</v>
      </c>
      <c r="AQ198" s="130">
        <f t="shared" si="296"/>
        <v>192480</v>
      </c>
      <c r="AR198" s="130">
        <f t="shared" si="297"/>
        <v>5641850</v>
      </c>
      <c r="AS198" s="130">
        <f t="shared" si="298"/>
        <v>329988</v>
      </c>
      <c r="AT198" s="130">
        <f t="shared" si="299"/>
        <v>611470</v>
      </c>
      <c r="AU198" s="132">
        <f t="shared" si="300"/>
        <v>29.741199999999999</v>
      </c>
      <c r="AV198" s="132">
        <f t="shared" si="301"/>
        <v>22.954599999999999</v>
      </c>
      <c r="AW198" s="133">
        <f t="shared" si="302"/>
        <v>6.7866000000000009</v>
      </c>
    </row>
    <row r="199" spans="1:49" ht="14.1" customHeight="1" x14ac:dyDescent="0.2">
      <c r="A199" s="124">
        <v>43</v>
      </c>
      <c r="B199" s="121">
        <v>2328</v>
      </c>
      <c r="C199" s="144">
        <v>691006041</v>
      </c>
      <c r="D199" s="121">
        <v>71294988</v>
      </c>
      <c r="E199" s="123" t="s">
        <v>661</v>
      </c>
      <c r="F199" s="124">
        <v>3113</v>
      </c>
      <c r="G199" s="143" t="s">
        <v>318</v>
      </c>
      <c r="H199" s="125" t="s">
        <v>284</v>
      </c>
      <c r="I199" s="126">
        <f t="shared" si="290"/>
        <v>0</v>
      </c>
      <c r="J199" s="29">
        <v>0</v>
      </c>
      <c r="K199" s="127">
        <f t="shared" si="310"/>
        <v>0</v>
      </c>
      <c r="L199" s="477">
        <f t="shared" si="311"/>
        <v>0</v>
      </c>
      <c r="M199" s="29">
        <v>0</v>
      </c>
      <c r="N199" s="390">
        <f t="shared" si="305"/>
        <v>0</v>
      </c>
      <c r="O199" s="349">
        <v>0</v>
      </c>
      <c r="P199" s="639">
        <v>0</v>
      </c>
      <c r="Q199" s="129">
        <f t="shared" si="292"/>
        <v>0</v>
      </c>
      <c r="R199" s="130">
        <f>1543643+19280</f>
        <v>1562923</v>
      </c>
      <c r="S199" s="130">
        <v>0</v>
      </c>
      <c r="T199" s="130">
        <v>0</v>
      </c>
      <c r="U199" s="130">
        <f t="shared" si="293"/>
        <v>1562923</v>
      </c>
      <c r="V199" s="130">
        <v>0</v>
      </c>
      <c r="W199" s="130">
        <v>0</v>
      </c>
      <c r="X199" s="130">
        <v>0</v>
      </c>
      <c r="Y199" s="130">
        <f t="shared" si="374"/>
        <v>0</v>
      </c>
      <c r="Z199" s="130">
        <f t="shared" si="375"/>
        <v>1562923</v>
      </c>
      <c r="AA199" s="131">
        <f t="shared" si="376"/>
        <v>528268</v>
      </c>
      <c r="AB199" s="131">
        <f t="shared" si="377"/>
        <v>31258</v>
      </c>
      <c r="AC199" s="130">
        <v>0</v>
      </c>
      <c r="AD199" s="130">
        <v>0</v>
      </c>
      <c r="AE199" s="130">
        <f t="shared" si="312"/>
        <v>0</v>
      </c>
      <c r="AF199" s="130">
        <f t="shared" si="313"/>
        <v>2122449</v>
      </c>
      <c r="AG199" s="132">
        <v>0</v>
      </c>
      <c r="AH199" s="132">
        <v>0</v>
      </c>
      <c r="AI199" s="132">
        <v>4.4800000000000004</v>
      </c>
      <c r="AJ199" s="132">
        <v>0</v>
      </c>
      <c r="AK199" s="132">
        <v>0</v>
      </c>
      <c r="AL199" s="132">
        <f t="shared" si="314"/>
        <v>4.4800000000000004</v>
      </c>
      <c r="AM199" s="132">
        <f>AH199+AK199</f>
        <v>0</v>
      </c>
      <c r="AN199" s="403">
        <f t="shared" si="315"/>
        <v>4.4800000000000004</v>
      </c>
      <c r="AO199" s="128">
        <f t="shared" si="294"/>
        <v>2122449</v>
      </c>
      <c r="AP199" s="130">
        <f t="shared" si="295"/>
        <v>1562923</v>
      </c>
      <c r="AQ199" s="130">
        <f t="shared" si="296"/>
        <v>0</v>
      </c>
      <c r="AR199" s="130">
        <f t="shared" si="297"/>
        <v>528268</v>
      </c>
      <c r="AS199" s="130">
        <f t="shared" si="298"/>
        <v>31258</v>
      </c>
      <c r="AT199" s="130">
        <f t="shared" si="299"/>
        <v>0</v>
      </c>
      <c r="AU199" s="132">
        <f t="shared" si="300"/>
        <v>4.4800000000000004</v>
      </c>
      <c r="AV199" s="132">
        <f t="shared" si="301"/>
        <v>4.4800000000000004</v>
      </c>
      <c r="AW199" s="133">
        <f t="shared" si="302"/>
        <v>0</v>
      </c>
    </row>
    <row r="200" spans="1:49" ht="14.1" customHeight="1" x14ac:dyDescent="0.2">
      <c r="A200" s="124">
        <v>43</v>
      </c>
      <c r="B200" s="121">
        <v>2328</v>
      </c>
      <c r="C200" s="144">
        <v>691006041</v>
      </c>
      <c r="D200" s="121">
        <v>71294988</v>
      </c>
      <c r="E200" s="123" t="s">
        <v>661</v>
      </c>
      <c r="F200" s="124">
        <v>3141</v>
      </c>
      <c r="G200" s="123" t="s">
        <v>321</v>
      </c>
      <c r="H200" s="125" t="s">
        <v>284</v>
      </c>
      <c r="I200" s="126">
        <f t="shared" si="290"/>
        <v>2375516</v>
      </c>
      <c r="J200" s="666">
        <v>1732747</v>
      </c>
      <c r="K200" s="127">
        <f t="shared" si="310"/>
        <v>585668</v>
      </c>
      <c r="L200" s="477">
        <f t="shared" si="311"/>
        <v>34655</v>
      </c>
      <c r="M200" s="666">
        <v>22446</v>
      </c>
      <c r="N200" s="390">
        <f t="shared" si="305"/>
        <v>5.89</v>
      </c>
      <c r="O200" s="668">
        <v>0</v>
      </c>
      <c r="P200" s="667">
        <v>5.89</v>
      </c>
      <c r="Q200" s="129">
        <f t="shared" si="292"/>
        <v>0</v>
      </c>
      <c r="R200" s="130">
        <v>0</v>
      </c>
      <c r="S200" s="130">
        <v>0</v>
      </c>
      <c r="T200" s="130">
        <v>0</v>
      </c>
      <c r="U200" s="130">
        <f t="shared" si="293"/>
        <v>0</v>
      </c>
      <c r="V200" s="130">
        <v>0</v>
      </c>
      <c r="W200" s="130">
        <v>0</v>
      </c>
      <c r="X200" s="130">
        <v>0</v>
      </c>
      <c r="Y200" s="130">
        <f t="shared" si="374"/>
        <v>0</v>
      </c>
      <c r="Z200" s="130">
        <f t="shared" si="375"/>
        <v>0</v>
      </c>
      <c r="AA200" s="131">
        <f t="shared" si="376"/>
        <v>0</v>
      </c>
      <c r="AB200" s="131">
        <f t="shared" si="377"/>
        <v>0</v>
      </c>
      <c r="AC200" s="130">
        <v>0</v>
      </c>
      <c r="AD200" s="130">
        <v>0</v>
      </c>
      <c r="AE200" s="130">
        <f t="shared" si="312"/>
        <v>0</v>
      </c>
      <c r="AF200" s="130">
        <f t="shared" si="313"/>
        <v>0</v>
      </c>
      <c r="AG200" s="132">
        <v>0</v>
      </c>
      <c r="AH200" s="132">
        <v>0</v>
      </c>
      <c r="AI200" s="132">
        <v>0</v>
      </c>
      <c r="AJ200" s="132">
        <v>0</v>
      </c>
      <c r="AK200" s="132">
        <v>0</v>
      </c>
      <c r="AL200" s="132">
        <f t="shared" si="314"/>
        <v>0</v>
      </c>
      <c r="AM200" s="132">
        <f>AH200+AK200</f>
        <v>0</v>
      </c>
      <c r="AN200" s="403">
        <f t="shared" si="315"/>
        <v>0</v>
      </c>
      <c r="AO200" s="128">
        <f t="shared" si="294"/>
        <v>2375516</v>
      </c>
      <c r="AP200" s="130">
        <f t="shared" si="295"/>
        <v>1732747</v>
      </c>
      <c r="AQ200" s="130">
        <f t="shared" si="296"/>
        <v>0</v>
      </c>
      <c r="AR200" s="130">
        <f t="shared" si="297"/>
        <v>585668</v>
      </c>
      <c r="AS200" s="130">
        <f t="shared" si="298"/>
        <v>34655</v>
      </c>
      <c r="AT200" s="130">
        <f t="shared" si="299"/>
        <v>22446</v>
      </c>
      <c r="AU200" s="132">
        <f t="shared" si="300"/>
        <v>5.89</v>
      </c>
      <c r="AV200" s="132">
        <f t="shared" si="301"/>
        <v>0</v>
      </c>
      <c r="AW200" s="133">
        <f t="shared" si="302"/>
        <v>5.89</v>
      </c>
    </row>
    <row r="201" spans="1:49" ht="14.1" customHeight="1" x14ac:dyDescent="0.2">
      <c r="A201" s="124">
        <v>43</v>
      </c>
      <c r="B201" s="121">
        <v>2328</v>
      </c>
      <c r="C201" s="144">
        <v>691006041</v>
      </c>
      <c r="D201" s="121">
        <v>71294988</v>
      </c>
      <c r="E201" s="123" t="s">
        <v>661</v>
      </c>
      <c r="F201" s="124">
        <v>3143</v>
      </c>
      <c r="G201" s="145" t="s">
        <v>635</v>
      </c>
      <c r="H201" s="125" t="s">
        <v>283</v>
      </c>
      <c r="I201" s="126">
        <f t="shared" si="290"/>
        <v>3034739</v>
      </c>
      <c r="J201" s="631">
        <v>2234712</v>
      </c>
      <c r="K201" s="127">
        <f t="shared" si="310"/>
        <v>755333</v>
      </c>
      <c r="L201" s="477">
        <f t="shared" si="311"/>
        <v>44694</v>
      </c>
      <c r="M201" s="478">
        <v>0</v>
      </c>
      <c r="N201" s="390">
        <f t="shared" si="305"/>
        <v>4.8</v>
      </c>
      <c r="O201" s="644">
        <v>4.8</v>
      </c>
      <c r="P201" s="639">
        <v>0</v>
      </c>
      <c r="Q201" s="129">
        <f t="shared" si="292"/>
        <v>0</v>
      </c>
      <c r="R201" s="130">
        <v>0</v>
      </c>
      <c r="S201" s="130">
        <v>0</v>
      </c>
      <c r="T201" s="130">
        <v>0</v>
      </c>
      <c r="U201" s="130">
        <f t="shared" si="293"/>
        <v>0</v>
      </c>
      <c r="V201" s="130">
        <v>0</v>
      </c>
      <c r="W201" s="130">
        <v>0</v>
      </c>
      <c r="X201" s="130">
        <v>0</v>
      </c>
      <c r="Y201" s="130">
        <f t="shared" si="374"/>
        <v>0</v>
      </c>
      <c r="Z201" s="130">
        <f t="shared" si="375"/>
        <v>0</v>
      </c>
      <c r="AA201" s="131">
        <f t="shared" si="376"/>
        <v>0</v>
      </c>
      <c r="AB201" s="131">
        <f t="shared" si="377"/>
        <v>0</v>
      </c>
      <c r="AC201" s="130">
        <v>0</v>
      </c>
      <c r="AD201" s="130">
        <v>0</v>
      </c>
      <c r="AE201" s="130">
        <f t="shared" si="312"/>
        <v>0</v>
      </c>
      <c r="AF201" s="130">
        <f t="shared" si="313"/>
        <v>0</v>
      </c>
      <c r="AG201" s="132">
        <v>0</v>
      </c>
      <c r="AH201" s="132">
        <v>0</v>
      </c>
      <c r="AI201" s="132">
        <v>0</v>
      </c>
      <c r="AJ201" s="132">
        <v>0</v>
      </c>
      <c r="AK201" s="132">
        <v>0</v>
      </c>
      <c r="AL201" s="132">
        <f t="shared" si="314"/>
        <v>0</v>
      </c>
      <c r="AM201" s="132">
        <f>AH201+AK201</f>
        <v>0</v>
      </c>
      <c r="AN201" s="403">
        <f t="shared" si="315"/>
        <v>0</v>
      </c>
      <c r="AO201" s="128">
        <f t="shared" si="294"/>
        <v>3034739</v>
      </c>
      <c r="AP201" s="130">
        <f t="shared" si="295"/>
        <v>2234712</v>
      </c>
      <c r="AQ201" s="130">
        <f t="shared" si="296"/>
        <v>0</v>
      </c>
      <c r="AR201" s="130">
        <f t="shared" si="297"/>
        <v>755333</v>
      </c>
      <c r="AS201" s="130">
        <f t="shared" si="298"/>
        <v>44694</v>
      </c>
      <c r="AT201" s="130">
        <f t="shared" si="299"/>
        <v>0</v>
      </c>
      <c r="AU201" s="132">
        <f t="shared" si="300"/>
        <v>4.8</v>
      </c>
      <c r="AV201" s="132">
        <f t="shared" si="301"/>
        <v>4.8</v>
      </c>
      <c r="AW201" s="133">
        <f t="shared" si="302"/>
        <v>0</v>
      </c>
    </row>
    <row r="202" spans="1:49" ht="14.1" customHeight="1" x14ac:dyDescent="0.2">
      <c r="A202" s="124">
        <v>43</v>
      </c>
      <c r="B202" s="121">
        <v>2328</v>
      </c>
      <c r="C202" s="144">
        <v>691006041</v>
      </c>
      <c r="D202" s="121">
        <v>71294988</v>
      </c>
      <c r="E202" s="123" t="s">
        <v>661</v>
      </c>
      <c r="F202" s="124">
        <v>3143</v>
      </c>
      <c r="G202" s="145" t="s">
        <v>636</v>
      </c>
      <c r="H202" s="125" t="s">
        <v>284</v>
      </c>
      <c r="I202" s="126">
        <f t="shared" si="290"/>
        <v>87777</v>
      </c>
      <c r="J202" s="664">
        <v>61875</v>
      </c>
      <c r="K202" s="127">
        <f t="shared" si="310"/>
        <v>20914</v>
      </c>
      <c r="L202" s="477">
        <f t="shared" si="311"/>
        <v>1238</v>
      </c>
      <c r="M202" s="664">
        <v>3750</v>
      </c>
      <c r="N202" s="390">
        <f t="shared" si="305"/>
        <v>0.26</v>
      </c>
      <c r="O202" s="665">
        <v>0</v>
      </c>
      <c r="P202" s="667">
        <v>0.26</v>
      </c>
      <c r="Q202" s="129">
        <f t="shared" si="292"/>
        <v>0</v>
      </c>
      <c r="R202" s="130">
        <v>0</v>
      </c>
      <c r="S202" s="130">
        <v>0</v>
      </c>
      <c r="T202" s="130">
        <v>0</v>
      </c>
      <c r="U202" s="130">
        <f t="shared" si="293"/>
        <v>0</v>
      </c>
      <c r="V202" s="130">
        <v>0</v>
      </c>
      <c r="W202" s="130">
        <v>0</v>
      </c>
      <c r="X202" s="130">
        <v>0</v>
      </c>
      <c r="Y202" s="130">
        <f t="shared" si="374"/>
        <v>0</v>
      </c>
      <c r="Z202" s="130">
        <f t="shared" si="375"/>
        <v>0</v>
      </c>
      <c r="AA202" s="131">
        <f t="shared" si="376"/>
        <v>0</v>
      </c>
      <c r="AB202" s="131">
        <f t="shared" si="377"/>
        <v>0</v>
      </c>
      <c r="AC202" s="130">
        <v>0</v>
      </c>
      <c r="AD202" s="130">
        <v>0</v>
      </c>
      <c r="AE202" s="130">
        <f t="shared" si="312"/>
        <v>0</v>
      </c>
      <c r="AF202" s="130">
        <f t="shared" si="313"/>
        <v>0</v>
      </c>
      <c r="AG202" s="132">
        <v>0</v>
      </c>
      <c r="AH202" s="132">
        <v>0</v>
      </c>
      <c r="AI202" s="132">
        <v>0</v>
      </c>
      <c r="AJ202" s="132">
        <v>0</v>
      </c>
      <c r="AK202" s="132">
        <v>0</v>
      </c>
      <c r="AL202" s="132">
        <f t="shared" si="314"/>
        <v>0</v>
      </c>
      <c r="AM202" s="132">
        <f>AH202+AK202</f>
        <v>0</v>
      </c>
      <c r="AN202" s="403">
        <f t="shared" si="315"/>
        <v>0</v>
      </c>
      <c r="AO202" s="128">
        <f t="shared" si="294"/>
        <v>87777</v>
      </c>
      <c r="AP202" s="130">
        <f t="shared" si="295"/>
        <v>61875</v>
      </c>
      <c r="AQ202" s="130">
        <f t="shared" si="296"/>
        <v>0</v>
      </c>
      <c r="AR202" s="130">
        <f t="shared" si="297"/>
        <v>20914</v>
      </c>
      <c r="AS202" s="130">
        <f t="shared" si="298"/>
        <v>1238</v>
      </c>
      <c r="AT202" s="130">
        <f t="shared" si="299"/>
        <v>3750</v>
      </c>
      <c r="AU202" s="132">
        <f t="shared" si="300"/>
        <v>0.26</v>
      </c>
      <c r="AV202" s="132">
        <f t="shared" si="301"/>
        <v>0</v>
      </c>
      <c r="AW202" s="133">
        <f t="shared" si="302"/>
        <v>0.26</v>
      </c>
    </row>
    <row r="203" spans="1:49" ht="14.1" customHeight="1" x14ac:dyDescent="0.2">
      <c r="A203" s="137">
        <v>43</v>
      </c>
      <c r="B203" s="134">
        <v>2328</v>
      </c>
      <c r="C203" s="146">
        <v>691006041</v>
      </c>
      <c r="D203" s="134">
        <v>71294988</v>
      </c>
      <c r="E203" s="136" t="s">
        <v>662</v>
      </c>
      <c r="F203" s="137"/>
      <c r="G203" s="136"/>
      <c r="H203" s="138"/>
      <c r="I203" s="139">
        <f t="shared" ref="I203:P203" si="378">SUM(I198:I202)</f>
        <v>28777056</v>
      </c>
      <c r="J203" s="140">
        <f t="shared" si="378"/>
        <v>20721200</v>
      </c>
      <c r="K203" s="140">
        <f t="shared" si="378"/>
        <v>7003765</v>
      </c>
      <c r="L203" s="140">
        <f t="shared" si="378"/>
        <v>414425</v>
      </c>
      <c r="M203" s="140">
        <f t="shared" si="378"/>
        <v>637666</v>
      </c>
      <c r="N203" s="141">
        <f t="shared" si="378"/>
        <v>41.661199999999994</v>
      </c>
      <c r="O203" s="141">
        <f t="shared" si="378"/>
        <v>27.7546</v>
      </c>
      <c r="P203" s="142">
        <f t="shared" si="378"/>
        <v>13.906599999999999</v>
      </c>
      <c r="Q203" s="342">
        <f t="shared" ref="Q203:AW203" si="379">SUM(Q198:Q202)</f>
        <v>-192480</v>
      </c>
      <c r="R203" s="140">
        <f t="shared" si="379"/>
        <v>1562923</v>
      </c>
      <c r="S203" s="140">
        <f t="shared" si="379"/>
        <v>0</v>
      </c>
      <c r="T203" s="140">
        <f t="shared" si="379"/>
        <v>0</v>
      </c>
      <c r="U203" s="140">
        <f t="shared" si="379"/>
        <v>1370443</v>
      </c>
      <c r="V203" s="140">
        <f t="shared" si="379"/>
        <v>192480</v>
      </c>
      <c r="W203" s="140">
        <f t="shared" si="379"/>
        <v>0</v>
      </c>
      <c r="X203" s="140">
        <f t="shared" si="379"/>
        <v>0</v>
      </c>
      <c r="Y203" s="140">
        <f t="shared" si="379"/>
        <v>192480</v>
      </c>
      <c r="Z203" s="140">
        <f t="shared" si="379"/>
        <v>1562923</v>
      </c>
      <c r="AA203" s="140">
        <f t="shared" si="379"/>
        <v>528268</v>
      </c>
      <c r="AB203" s="140">
        <f t="shared" si="379"/>
        <v>27408</v>
      </c>
      <c r="AC203" s="140">
        <f t="shared" si="379"/>
        <v>0</v>
      </c>
      <c r="AD203" s="140">
        <f t="shared" si="379"/>
        <v>0</v>
      </c>
      <c r="AE203" s="140">
        <f t="shared" si="379"/>
        <v>0</v>
      </c>
      <c r="AF203" s="140">
        <f t="shared" si="379"/>
        <v>2118599</v>
      </c>
      <c r="AG203" s="141">
        <f t="shared" si="379"/>
        <v>0</v>
      </c>
      <c r="AH203" s="141">
        <f t="shared" si="379"/>
        <v>-0.97</v>
      </c>
      <c r="AI203" s="141">
        <f t="shared" si="379"/>
        <v>4.4800000000000004</v>
      </c>
      <c r="AJ203" s="141">
        <f t="shared" si="379"/>
        <v>0</v>
      </c>
      <c r="AK203" s="141">
        <f t="shared" si="379"/>
        <v>0</v>
      </c>
      <c r="AL203" s="141">
        <f t="shared" si="379"/>
        <v>4.4800000000000004</v>
      </c>
      <c r="AM203" s="141">
        <f t="shared" si="379"/>
        <v>-0.97</v>
      </c>
      <c r="AN203" s="635">
        <f t="shared" si="379"/>
        <v>3.5100000000000007</v>
      </c>
      <c r="AO203" s="139">
        <f t="shared" si="379"/>
        <v>30895655</v>
      </c>
      <c r="AP203" s="140">
        <f t="shared" si="379"/>
        <v>22091643</v>
      </c>
      <c r="AQ203" s="140">
        <f t="shared" si="379"/>
        <v>192480</v>
      </c>
      <c r="AR203" s="140">
        <f t="shared" si="379"/>
        <v>7532033</v>
      </c>
      <c r="AS203" s="140">
        <f t="shared" si="379"/>
        <v>441833</v>
      </c>
      <c r="AT203" s="140">
        <f t="shared" si="379"/>
        <v>637666</v>
      </c>
      <c r="AU203" s="141">
        <f t="shared" si="379"/>
        <v>45.171199999999992</v>
      </c>
      <c r="AV203" s="141">
        <f t="shared" si="379"/>
        <v>32.2346</v>
      </c>
      <c r="AW203" s="142">
        <f t="shared" si="379"/>
        <v>12.9366</v>
      </c>
    </row>
    <row r="204" spans="1:49" ht="14.1" customHeight="1" x14ac:dyDescent="0.2">
      <c r="A204" s="124">
        <v>44</v>
      </c>
      <c r="B204" s="121">
        <v>2486</v>
      </c>
      <c r="C204" s="144">
        <v>600079970</v>
      </c>
      <c r="D204" s="121">
        <v>46744908</v>
      </c>
      <c r="E204" s="123" t="s">
        <v>663</v>
      </c>
      <c r="F204" s="124">
        <v>3113</v>
      </c>
      <c r="G204" s="123" t="s">
        <v>320</v>
      </c>
      <c r="H204" s="125" t="s">
        <v>283</v>
      </c>
      <c r="I204" s="126">
        <f t="shared" si="290"/>
        <v>18611763</v>
      </c>
      <c r="J204" s="127">
        <v>13418846</v>
      </c>
      <c r="K204" s="127">
        <f t="shared" si="310"/>
        <v>4535570</v>
      </c>
      <c r="L204" s="477">
        <f t="shared" si="311"/>
        <v>268377</v>
      </c>
      <c r="M204" s="127">
        <v>388970</v>
      </c>
      <c r="N204" s="390">
        <f t="shared" si="305"/>
        <v>24.428699999999999</v>
      </c>
      <c r="O204" s="390">
        <v>18.591000000000001</v>
      </c>
      <c r="P204" s="439">
        <v>5.8376999999999999</v>
      </c>
      <c r="Q204" s="129">
        <f t="shared" si="292"/>
        <v>-56000</v>
      </c>
      <c r="R204" s="130">
        <v>0</v>
      </c>
      <c r="S204" s="130">
        <v>0</v>
      </c>
      <c r="T204" s="130">
        <v>0</v>
      </c>
      <c r="U204" s="130">
        <f t="shared" si="293"/>
        <v>-56000</v>
      </c>
      <c r="V204" s="130">
        <v>56000</v>
      </c>
      <c r="W204" s="130">
        <v>0</v>
      </c>
      <c r="X204" s="130">
        <v>0</v>
      </c>
      <c r="Y204" s="130">
        <f t="shared" ref="Y204:Y209" si="380">SUM(V204:X204)</f>
        <v>56000</v>
      </c>
      <c r="Z204" s="130">
        <f t="shared" ref="Z204:Z209" si="381">U204+Y204</f>
        <v>0</v>
      </c>
      <c r="AA204" s="131">
        <f t="shared" ref="AA204:AA209" si="382">ROUND((U204+V204+W204)*33.8%,0)</f>
        <v>0</v>
      </c>
      <c r="AB204" s="131">
        <f t="shared" ref="AB204:AB209" si="383">ROUND(U204*2%,0)</f>
        <v>-1120</v>
      </c>
      <c r="AC204" s="130">
        <v>0</v>
      </c>
      <c r="AD204" s="130">
        <v>0</v>
      </c>
      <c r="AE204" s="130">
        <f t="shared" si="312"/>
        <v>0</v>
      </c>
      <c r="AF204" s="130">
        <f t="shared" si="313"/>
        <v>-1120</v>
      </c>
      <c r="AG204" s="132">
        <v>-7.0000000000000007E-2</v>
      </c>
      <c r="AH204" s="132">
        <v>-0.02</v>
      </c>
      <c r="AI204" s="132">
        <v>0</v>
      </c>
      <c r="AJ204" s="132">
        <v>0</v>
      </c>
      <c r="AK204" s="132">
        <v>0</v>
      </c>
      <c r="AL204" s="132">
        <f t="shared" si="314"/>
        <v>-7.0000000000000007E-2</v>
      </c>
      <c r="AM204" s="132">
        <f t="shared" ref="AM204:AM209" si="384">AH204+AK204</f>
        <v>-0.02</v>
      </c>
      <c r="AN204" s="403">
        <f t="shared" si="315"/>
        <v>-9.0000000000000011E-2</v>
      </c>
      <c r="AO204" s="128">
        <f t="shared" si="294"/>
        <v>18610643</v>
      </c>
      <c r="AP204" s="130">
        <f t="shared" si="295"/>
        <v>13362846</v>
      </c>
      <c r="AQ204" s="130">
        <f t="shared" si="296"/>
        <v>56000</v>
      </c>
      <c r="AR204" s="130">
        <f t="shared" si="297"/>
        <v>4535570</v>
      </c>
      <c r="AS204" s="130">
        <f t="shared" si="298"/>
        <v>267257</v>
      </c>
      <c r="AT204" s="130">
        <f t="shared" si="299"/>
        <v>388970</v>
      </c>
      <c r="AU204" s="132">
        <f t="shared" si="300"/>
        <v>24.338699999999999</v>
      </c>
      <c r="AV204" s="132">
        <f t="shared" si="301"/>
        <v>18.521000000000001</v>
      </c>
      <c r="AW204" s="133">
        <f t="shared" si="302"/>
        <v>5.8177000000000003</v>
      </c>
    </row>
    <row r="205" spans="1:49" ht="14.1" customHeight="1" x14ac:dyDescent="0.2">
      <c r="A205" s="124">
        <v>44</v>
      </c>
      <c r="B205" s="121">
        <v>2486</v>
      </c>
      <c r="C205" s="144">
        <v>600079970</v>
      </c>
      <c r="D205" s="121">
        <v>46744908</v>
      </c>
      <c r="E205" s="123" t="s">
        <v>663</v>
      </c>
      <c r="F205" s="124">
        <v>3113</v>
      </c>
      <c r="G205" s="143" t="s">
        <v>318</v>
      </c>
      <c r="H205" s="125" t="s">
        <v>284</v>
      </c>
      <c r="I205" s="126">
        <f t="shared" ref="I205:I268" si="385">SUM(J205:M205)</f>
        <v>0</v>
      </c>
      <c r="J205" s="29">
        <v>0</v>
      </c>
      <c r="K205" s="127">
        <f t="shared" si="310"/>
        <v>0</v>
      </c>
      <c r="L205" s="477">
        <f t="shared" si="311"/>
        <v>0</v>
      </c>
      <c r="M205" s="29">
        <v>0</v>
      </c>
      <c r="N205" s="390">
        <f t="shared" ref="N205:N268" si="386">O205+P205</f>
        <v>0</v>
      </c>
      <c r="O205" s="349">
        <v>0</v>
      </c>
      <c r="P205" s="639">
        <v>0</v>
      </c>
      <c r="Q205" s="129">
        <f t="shared" ref="Q205:Q268" si="387">V205*-1</f>
        <v>0</v>
      </c>
      <c r="R205" s="130">
        <v>1380086</v>
      </c>
      <c r="S205" s="130">
        <v>0</v>
      </c>
      <c r="T205" s="130">
        <v>0</v>
      </c>
      <c r="U205" s="130">
        <f t="shared" ref="U205:U268" si="388">SUM(Q205:T205)</f>
        <v>1380086</v>
      </c>
      <c r="V205" s="130">
        <v>0</v>
      </c>
      <c r="W205" s="130">
        <v>0</v>
      </c>
      <c r="X205" s="130">
        <v>0</v>
      </c>
      <c r="Y205" s="130">
        <f t="shared" si="380"/>
        <v>0</v>
      </c>
      <c r="Z205" s="130">
        <f t="shared" si="381"/>
        <v>1380086</v>
      </c>
      <c r="AA205" s="131">
        <f t="shared" si="382"/>
        <v>466469</v>
      </c>
      <c r="AB205" s="131">
        <f t="shared" si="383"/>
        <v>27602</v>
      </c>
      <c r="AC205" s="130">
        <v>1000</v>
      </c>
      <c r="AD205" s="130">
        <v>0</v>
      </c>
      <c r="AE205" s="130">
        <f t="shared" si="312"/>
        <v>1000</v>
      </c>
      <c r="AF205" s="130">
        <f t="shared" si="313"/>
        <v>1875157</v>
      </c>
      <c r="AG205" s="132">
        <v>0</v>
      </c>
      <c r="AH205" s="132">
        <v>0</v>
      </c>
      <c r="AI205" s="132">
        <v>4.0199999999999996</v>
      </c>
      <c r="AJ205" s="132">
        <v>0</v>
      </c>
      <c r="AK205" s="132">
        <v>0</v>
      </c>
      <c r="AL205" s="132">
        <f t="shared" si="314"/>
        <v>4.0199999999999996</v>
      </c>
      <c r="AM205" s="132">
        <f t="shared" si="384"/>
        <v>0</v>
      </c>
      <c r="AN205" s="403">
        <f t="shared" si="315"/>
        <v>4.0199999999999996</v>
      </c>
      <c r="AO205" s="128">
        <f t="shared" ref="AO205:AO268" si="389">I205+AF205</f>
        <v>1875157</v>
      </c>
      <c r="AP205" s="130">
        <f t="shared" ref="AP205:AP268" si="390">J205+U205</f>
        <v>1380086</v>
      </c>
      <c r="AQ205" s="130">
        <f t="shared" ref="AQ205:AQ268" si="391">Y205</f>
        <v>0</v>
      </c>
      <c r="AR205" s="130">
        <f t="shared" ref="AR205:AR268" si="392">K205+AA205</f>
        <v>466469</v>
      </c>
      <c r="AS205" s="130">
        <f t="shared" ref="AS205:AS268" si="393">L205+AB205</f>
        <v>27602</v>
      </c>
      <c r="AT205" s="130">
        <f t="shared" ref="AT205:AT268" si="394">M205+AE205</f>
        <v>1000</v>
      </c>
      <c r="AU205" s="132">
        <f t="shared" ref="AU205:AU268" si="395">N205+AN205</f>
        <v>4.0199999999999996</v>
      </c>
      <c r="AV205" s="132">
        <f t="shared" ref="AV205:AV268" si="396">O205+AL205</f>
        <v>4.0199999999999996</v>
      </c>
      <c r="AW205" s="133">
        <f t="shared" ref="AW205:AW268" si="397">P205+AM205</f>
        <v>0</v>
      </c>
    </row>
    <row r="206" spans="1:49" ht="14.1" customHeight="1" x14ac:dyDescent="0.2">
      <c r="A206" s="124">
        <v>44</v>
      </c>
      <c r="B206" s="121">
        <v>2486</v>
      </c>
      <c r="C206" s="144">
        <v>600079970</v>
      </c>
      <c r="D206" s="121">
        <v>46744908</v>
      </c>
      <c r="E206" s="123" t="s">
        <v>663</v>
      </c>
      <c r="F206" s="124">
        <v>3141</v>
      </c>
      <c r="G206" s="123" t="s">
        <v>321</v>
      </c>
      <c r="H206" s="125" t="s">
        <v>284</v>
      </c>
      <c r="I206" s="126">
        <f t="shared" si="385"/>
        <v>737499</v>
      </c>
      <c r="J206" s="666">
        <v>535242</v>
      </c>
      <c r="K206" s="127">
        <f t="shared" si="310"/>
        <v>180912</v>
      </c>
      <c r="L206" s="477">
        <f t="shared" si="311"/>
        <v>10705</v>
      </c>
      <c r="M206" s="666">
        <v>10640</v>
      </c>
      <c r="N206" s="390">
        <f t="shared" si="386"/>
        <v>1.82</v>
      </c>
      <c r="O206" s="668">
        <v>0</v>
      </c>
      <c r="P206" s="667">
        <v>1.82</v>
      </c>
      <c r="Q206" s="129">
        <f t="shared" si="387"/>
        <v>0</v>
      </c>
      <c r="R206" s="130">
        <v>0</v>
      </c>
      <c r="S206" s="130">
        <v>0</v>
      </c>
      <c r="T206" s="130">
        <v>0</v>
      </c>
      <c r="U206" s="130">
        <f t="shared" si="388"/>
        <v>0</v>
      </c>
      <c r="V206" s="130">
        <v>0</v>
      </c>
      <c r="W206" s="130">
        <v>0</v>
      </c>
      <c r="X206" s="130">
        <v>0</v>
      </c>
      <c r="Y206" s="130">
        <f t="shared" si="380"/>
        <v>0</v>
      </c>
      <c r="Z206" s="130">
        <f t="shared" si="381"/>
        <v>0</v>
      </c>
      <c r="AA206" s="131">
        <f t="shared" si="382"/>
        <v>0</v>
      </c>
      <c r="AB206" s="131">
        <f t="shared" si="383"/>
        <v>0</v>
      </c>
      <c r="AC206" s="130">
        <v>0</v>
      </c>
      <c r="AD206" s="130">
        <v>0</v>
      </c>
      <c r="AE206" s="130">
        <f t="shared" si="312"/>
        <v>0</v>
      </c>
      <c r="AF206" s="130">
        <f t="shared" si="313"/>
        <v>0</v>
      </c>
      <c r="AG206" s="132">
        <v>0</v>
      </c>
      <c r="AH206" s="132">
        <v>0</v>
      </c>
      <c r="AI206" s="132">
        <v>0</v>
      </c>
      <c r="AJ206" s="132">
        <v>0</v>
      </c>
      <c r="AK206" s="132">
        <v>0</v>
      </c>
      <c r="AL206" s="132">
        <f t="shared" si="314"/>
        <v>0</v>
      </c>
      <c r="AM206" s="132">
        <f t="shared" si="384"/>
        <v>0</v>
      </c>
      <c r="AN206" s="403">
        <f t="shared" si="315"/>
        <v>0</v>
      </c>
      <c r="AO206" s="128">
        <f t="shared" si="389"/>
        <v>737499</v>
      </c>
      <c r="AP206" s="130">
        <f t="shared" si="390"/>
        <v>535242</v>
      </c>
      <c r="AQ206" s="130">
        <f t="shared" si="391"/>
        <v>0</v>
      </c>
      <c r="AR206" s="130">
        <f t="shared" si="392"/>
        <v>180912</v>
      </c>
      <c r="AS206" s="130">
        <f t="shared" si="393"/>
        <v>10705</v>
      </c>
      <c r="AT206" s="130">
        <f t="shared" si="394"/>
        <v>10640</v>
      </c>
      <c r="AU206" s="132">
        <f t="shared" si="395"/>
        <v>1.82</v>
      </c>
      <c r="AV206" s="132">
        <f t="shared" si="396"/>
        <v>0</v>
      </c>
      <c r="AW206" s="133">
        <f t="shared" si="397"/>
        <v>1.82</v>
      </c>
    </row>
    <row r="207" spans="1:49" ht="14.1" customHeight="1" x14ac:dyDescent="0.2">
      <c r="A207" s="124">
        <v>44</v>
      </c>
      <c r="B207" s="121">
        <v>2486</v>
      </c>
      <c r="C207" s="144">
        <v>600079970</v>
      </c>
      <c r="D207" s="121">
        <v>46744908</v>
      </c>
      <c r="E207" s="123" t="s">
        <v>663</v>
      </c>
      <c r="F207" s="124">
        <v>3143</v>
      </c>
      <c r="G207" s="145" t="s">
        <v>635</v>
      </c>
      <c r="H207" s="125" t="s">
        <v>283</v>
      </c>
      <c r="I207" s="126">
        <f t="shared" si="385"/>
        <v>1678584</v>
      </c>
      <c r="J207" s="631">
        <v>1236071</v>
      </c>
      <c r="K207" s="127">
        <f t="shared" ref="K207:K267" si="398">ROUND(J207*33.8%,0)</f>
        <v>417792</v>
      </c>
      <c r="L207" s="477">
        <f t="shared" ref="L207:L267" si="399">ROUND(J207*2%,0)</f>
        <v>24721</v>
      </c>
      <c r="M207" s="478">
        <v>0</v>
      </c>
      <c r="N207" s="390">
        <f t="shared" si="386"/>
        <v>2.5</v>
      </c>
      <c r="O207" s="644">
        <v>2.5</v>
      </c>
      <c r="P207" s="639">
        <v>0</v>
      </c>
      <c r="Q207" s="129">
        <f t="shared" si="387"/>
        <v>-1600</v>
      </c>
      <c r="R207" s="130">
        <v>0</v>
      </c>
      <c r="S207" s="130">
        <v>0</v>
      </c>
      <c r="T207" s="130">
        <v>0</v>
      </c>
      <c r="U207" s="130">
        <f t="shared" si="388"/>
        <v>-1600</v>
      </c>
      <c r="V207" s="130">
        <v>1600</v>
      </c>
      <c r="W207" s="130">
        <v>0</v>
      </c>
      <c r="X207" s="130">
        <v>0</v>
      </c>
      <c r="Y207" s="130">
        <f t="shared" si="380"/>
        <v>1600</v>
      </c>
      <c r="Z207" s="130">
        <f t="shared" si="381"/>
        <v>0</v>
      </c>
      <c r="AA207" s="131">
        <f t="shared" si="382"/>
        <v>0</v>
      </c>
      <c r="AB207" s="131">
        <f t="shared" si="383"/>
        <v>-32</v>
      </c>
      <c r="AC207" s="130">
        <v>0</v>
      </c>
      <c r="AD207" s="130">
        <v>0</v>
      </c>
      <c r="AE207" s="130">
        <f t="shared" si="312"/>
        <v>0</v>
      </c>
      <c r="AF207" s="130">
        <f t="shared" si="313"/>
        <v>-32</v>
      </c>
      <c r="AG207" s="132">
        <v>0</v>
      </c>
      <c r="AH207" s="132">
        <v>0</v>
      </c>
      <c r="AI207" s="132">
        <v>0</v>
      </c>
      <c r="AJ207" s="132">
        <v>0</v>
      </c>
      <c r="AK207" s="132">
        <v>0</v>
      </c>
      <c r="AL207" s="132">
        <f t="shared" si="314"/>
        <v>0</v>
      </c>
      <c r="AM207" s="132">
        <f t="shared" si="384"/>
        <v>0</v>
      </c>
      <c r="AN207" s="403">
        <f t="shared" si="315"/>
        <v>0</v>
      </c>
      <c r="AO207" s="128">
        <f t="shared" si="389"/>
        <v>1678552</v>
      </c>
      <c r="AP207" s="130">
        <f t="shared" si="390"/>
        <v>1234471</v>
      </c>
      <c r="AQ207" s="130">
        <f t="shared" si="391"/>
        <v>1600</v>
      </c>
      <c r="AR207" s="130">
        <f t="shared" si="392"/>
        <v>417792</v>
      </c>
      <c r="AS207" s="130">
        <f t="shared" si="393"/>
        <v>24689</v>
      </c>
      <c r="AT207" s="130">
        <f t="shared" si="394"/>
        <v>0</v>
      </c>
      <c r="AU207" s="132">
        <f t="shared" si="395"/>
        <v>2.5</v>
      </c>
      <c r="AV207" s="132">
        <f t="shared" si="396"/>
        <v>2.5</v>
      </c>
      <c r="AW207" s="133">
        <f t="shared" si="397"/>
        <v>0</v>
      </c>
    </row>
    <row r="208" spans="1:49" ht="14.1" customHeight="1" x14ac:dyDescent="0.2">
      <c r="A208" s="124">
        <v>44</v>
      </c>
      <c r="B208" s="121">
        <v>2486</v>
      </c>
      <c r="C208" s="144">
        <v>600079970</v>
      </c>
      <c r="D208" s="121">
        <v>46744908</v>
      </c>
      <c r="E208" s="123" t="s">
        <v>663</v>
      </c>
      <c r="F208" s="124">
        <v>3143</v>
      </c>
      <c r="G208" s="145" t="s">
        <v>636</v>
      </c>
      <c r="H208" s="125" t="s">
        <v>284</v>
      </c>
      <c r="I208" s="126">
        <f t="shared" si="385"/>
        <v>50559</v>
      </c>
      <c r="J208" s="664">
        <v>35640</v>
      </c>
      <c r="K208" s="127">
        <f t="shared" si="398"/>
        <v>12046</v>
      </c>
      <c r="L208" s="477">
        <f t="shared" si="399"/>
        <v>713</v>
      </c>
      <c r="M208" s="664">
        <v>2160</v>
      </c>
      <c r="N208" s="390">
        <f t="shared" si="386"/>
        <v>0.15</v>
      </c>
      <c r="O208" s="665">
        <v>0</v>
      </c>
      <c r="P208" s="667">
        <v>0.15</v>
      </c>
      <c r="Q208" s="129">
        <f t="shared" si="387"/>
        <v>0</v>
      </c>
      <c r="R208" s="130">
        <v>0</v>
      </c>
      <c r="S208" s="130">
        <v>0</v>
      </c>
      <c r="T208" s="130">
        <v>0</v>
      </c>
      <c r="U208" s="130">
        <f t="shared" si="388"/>
        <v>0</v>
      </c>
      <c r="V208" s="130">
        <v>0</v>
      </c>
      <c r="W208" s="130">
        <v>0</v>
      </c>
      <c r="X208" s="130">
        <v>0</v>
      </c>
      <c r="Y208" s="130">
        <f t="shared" si="380"/>
        <v>0</v>
      </c>
      <c r="Z208" s="130">
        <f t="shared" si="381"/>
        <v>0</v>
      </c>
      <c r="AA208" s="131">
        <f t="shared" si="382"/>
        <v>0</v>
      </c>
      <c r="AB208" s="131">
        <f t="shared" si="383"/>
        <v>0</v>
      </c>
      <c r="AC208" s="130">
        <v>0</v>
      </c>
      <c r="AD208" s="130">
        <v>0</v>
      </c>
      <c r="AE208" s="130">
        <f t="shared" si="312"/>
        <v>0</v>
      </c>
      <c r="AF208" s="130">
        <f t="shared" si="313"/>
        <v>0</v>
      </c>
      <c r="AG208" s="132">
        <v>0</v>
      </c>
      <c r="AH208" s="132">
        <v>0</v>
      </c>
      <c r="AI208" s="132">
        <v>0</v>
      </c>
      <c r="AJ208" s="132">
        <v>0</v>
      </c>
      <c r="AK208" s="132">
        <v>0</v>
      </c>
      <c r="AL208" s="132">
        <f t="shared" si="314"/>
        <v>0</v>
      </c>
      <c r="AM208" s="132">
        <f t="shared" si="384"/>
        <v>0</v>
      </c>
      <c r="AN208" s="403">
        <f t="shared" si="315"/>
        <v>0</v>
      </c>
      <c r="AO208" s="128">
        <f t="shared" si="389"/>
        <v>50559</v>
      </c>
      <c r="AP208" s="130">
        <f t="shared" si="390"/>
        <v>35640</v>
      </c>
      <c r="AQ208" s="130">
        <f t="shared" si="391"/>
        <v>0</v>
      </c>
      <c r="AR208" s="130">
        <f t="shared" si="392"/>
        <v>12046</v>
      </c>
      <c r="AS208" s="130">
        <f t="shared" si="393"/>
        <v>713</v>
      </c>
      <c r="AT208" s="130">
        <f t="shared" si="394"/>
        <v>2160</v>
      </c>
      <c r="AU208" s="132">
        <f t="shared" si="395"/>
        <v>0.15</v>
      </c>
      <c r="AV208" s="132">
        <f t="shared" si="396"/>
        <v>0</v>
      </c>
      <c r="AW208" s="133">
        <f t="shared" si="397"/>
        <v>0.15</v>
      </c>
    </row>
    <row r="209" spans="1:49" ht="14.1" customHeight="1" x14ac:dyDescent="0.2">
      <c r="A209" s="124">
        <v>44</v>
      </c>
      <c r="B209" s="121">
        <v>2486</v>
      </c>
      <c r="C209" s="144">
        <v>600079970</v>
      </c>
      <c r="D209" s="121">
        <v>46744908</v>
      </c>
      <c r="E209" s="123" t="s">
        <v>663</v>
      </c>
      <c r="F209" s="124">
        <v>3233</v>
      </c>
      <c r="G209" s="123" t="s">
        <v>324</v>
      </c>
      <c r="H209" s="125" t="s">
        <v>284</v>
      </c>
      <c r="I209" s="126">
        <f t="shared" si="385"/>
        <v>759355</v>
      </c>
      <c r="J209" s="478">
        <v>556621</v>
      </c>
      <c r="K209" s="127">
        <f t="shared" si="398"/>
        <v>188138</v>
      </c>
      <c r="L209" s="477">
        <f t="shared" si="399"/>
        <v>11132</v>
      </c>
      <c r="M209" s="478">
        <v>3464</v>
      </c>
      <c r="N209" s="390">
        <f t="shared" si="386"/>
        <v>1.17</v>
      </c>
      <c r="O209" s="349">
        <v>0.96</v>
      </c>
      <c r="P209" s="639">
        <v>0.21</v>
      </c>
      <c r="Q209" s="129">
        <f t="shared" si="387"/>
        <v>-88000</v>
      </c>
      <c r="R209" s="130">
        <v>0</v>
      </c>
      <c r="S209" s="130">
        <v>0</v>
      </c>
      <c r="T209" s="130">
        <v>0</v>
      </c>
      <c r="U209" s="130">
        <f t="shared" si="388"/>
        <v>-88000</v>
      </c>
      <c r="V209" s="130">
        <v>88000</v>
      </c>
      <c r="W209" s="130">
        <v>0</v>
      </c>
      <c r="X209" s="130">
        <v>0</v>
      </c>
      <c r="Y209" s="130">
        <f t="shared" si="380"/>
        <v>88000</v>
      </c>
      <c r="Z209" s="130">
        <f t="shared" si="381"/>
        <v>0</v>
      </c>
      <c r="AA209" s="131">
        <f t="shared" si="382"/>
        <v>0</v>
      </c>
      <c r="AB209" s="131">
        <f t="shared" si="383"/>
        <v>-1760</v>
      </c>
      <c r="AC209" s="130">
        <v>0</v>
      </c>
      <c r="AD209" s="130">
        <v>0</v>
      </c>
      <c r="AE209" s="130">
        <f t="shared" si="312"/>
        <v>0</v>
      </c>
      <c r="AF209" s="130">
        <f t="shared" si="313"/>
        <v>-1760</v>
      </c>
      <c r="AG209" s="132">
        <v>-0.17</v>
      </c>
      <c r="AH209" s="132">
        <v>-0.01</v>
      </c>
      <c r="AI209" s="132">
        <v>0</v>
      </c>
      <c r="AJ209" s="132">
        <v>0</v>
      </c>
      <c r="AK209" s="132">
        <v>0</v>
      </c>
      <c r="AL209" s="132">
        <f t="shared" si="314"/>
        <v>-0.17</v>
      </c>
      <c r="AM209" s="132">
        <f t="shared" si="384"/>
        <v>-0.01</v>
      </c>
      <c r="AN209" s="403">
        <f t="shared" si="315"/>
        <v>-0.18000000000000002</v>
      </c>
      <c r="AO209" s="128">
        <f t="shared" si="389"/>
        <v>757595</v>
      </c>
      <c r="AP209" s="130">
        <f t="shared" si="390"/>
        <v>468621</v>
      </c>
      <c r="AQ209" s="130">
        <f t="shared" si="391"/>
        <v>88000</v>
      </c>
      <c r="AR209" s="130">
        <f t="shared" si="392"/>
        <v>188138</v>
      </c>
      <c r="AS209" s="130">
        <f t="shared" si="393"/>
        <v>9372</v>
      </c>
      <c r="AT209" s="130">
        <f t="shared" si="394"/>
        <v>3464</v>
      </c>
      <c r="AU209" s="132">
        <f t="shared" si="395"/>
        <v>0.98999999999999988</v>
      </c>
      <c r="AV209" s="132">
        <f t="shared" si="396"/>
        <v>0.78999999999999992</v>
      </c>
      <c r="AW209" s="133">
        <f t="shared" si="397"/>
        <v>0.19999999999999998</v>
      </c>
    </row>
    <row r="210" spans="1:49" ht="14.1" customHeight="1" x14ac:dyDescent="0.2">
      <c r="A210" s="137">
        <v>44</v>
      </c>
      <c r="B210" s="134">
        <v>2486</v>
      </c>
      <c r="C210" s="146">
        <v>600079970</v>
      </c>
      <c r="D210" s="134">
        <v>46744908</v>
      </c>
      <c r="E210" s="136" t="s">
        <v>664</v>
      </c>
      <c r="F210" s="137"/>
      <c r="G210" s="136"/>
      <c r="H210" s="138"/>
      <c r="I210" s="139">
        <f t="shared" ref="I210:P210" si="400">SUM(I204:I209)</f>
        <v>21837760</v>
      </c>
      <c r="J210" s="140">
        <f t="shared" si="400"/>
        <v>15782420</v>
      </c>
      <c r="K210" s="140">
        <f t="shared" si="400"/>
        <v>5334458</v>
      </c>
      <c r="L210" s="140">
        <f t="shared" si="400"/>
        <v>315648</v>
      </c>
      <c r="M210" s="140">
        <f t="shared" si="400"/>
        <v>405234</v>
      </c>
      <c r="N210" s="141">
        <f t="shared" si="400"/>
        <v>30.0687</v>
      </c>
      <c r="O210" s="141">
        <f t="shared" si="400"/>
        <v>22.051000000000002</v>
      </c>
      <c r="P210" s="142">
        <f t="shared" si="400"/>
        <v>8.0177000000000014</v>
      </c>
      <c r="Q210" s="342">
        <f t="shared" ref="Q210:AW210" si="401">SUM(Q204:Q209)</f>
        <v>-145600</v>
      </c>
      <c r="R210" s="140">
        <f t="shared" si="401"/>
        <v>1380086</v>
      </c>
      <c r="S210" s="140">
        <f t="shared" si="401"/>
        <v>0</v>
      </c>
      <c r="T210" s="140">
        <f t="shared" si="401"/>
        <v>0</v>
      </c>
      <c r="U210" s="140">
        <f t="shared" si="401"/>
        <v>1234486</v>
      </c>
      <c r="V210" s="140">
        <f t="shared" si="401"/>
        <v>145600</v>
      </c>
      <c r="W210" s="140">
        <f t="shared" si="401"/>
        <v>0</v>
      </c>
      <c r="X210" s="140">
        <f t="shared" si="401"/>
        <v>0</v>
      </c>
      <c r="Y210" s="140">
        <f t="shared" si="401"/>
        <v>145600</v>
      </c>
      <c r="Z210" s="140">
        <f t="shared" si="401"/>
        <v>1380086</v>
      </c>
      <c r="AA210" s="140">
        <f t="shared" si="401"/>
        <v>466469</v>
      </c>
      <c r="AB210" s="140">
        <f t="shared" si="401"/>
        <v>24690</v>
      </c>
      <c r="AC210" s="140">
        <f t="shared" si="401"/>
        <v>1000</v>
      </c>
      <c r="AD210" s="140">
        <f t="shared" si="401"/>
        <v>0</v>
      </c>
      <c r="AE210" s="140">
        <f t="shared" si="401"/>
        <v>1000</v>
      </c>
      <c r="AF210" s="140">
        <f t="shared" si="401"/>
        <v>1872245</v>
      </c>
      <c r="AG210" s="141">
        <f t="shared" si="401"/>
        <v>-0.24000000000000002</v>
      </c>
      <c r="AH210" s="141">
        <f t="shared" si="401"/>
        <v>-0.03</v>
      </c>
      <c r="AI210" s="141">
        <f t="shared" si="401"/>
        <v>4.0199999999999996</v>
      </c>
      <c r="AJ210" s="141">
        <f t="shared" si="401"/>
        <v>0</v>
      </c>
      <c r="AK210" s="141">
        <f t="shared" si="401"/>
        <v>0</v>
      </c>
      <c r="AL210" s="141">
        <f t="shared" si="401"/>
        <v>3.78</v>
      </c>
      <c r="AM210" s="141">
        <f t="shared" si="401"/>
        <v>-0.03</v>
      </c>
      <c r="AN210" s="635">
        <f t="shared" si="401"/>
        <v>3.7499999999999996</v>
      </c>
      <c r="AO210" s="139">
        <f t="shared" si="401"/>
        <v>23710005</v>
      </c>
      <c r="AP210" s="140">
        <f t="shared" si="401"/>
        <v>17016906</v>
      </c>
      <c r="AQ210" s="140">
        <f t="shared" si="401"/>
        <v>145600</v>
      </c>
      <c r="AR210" s="140">
        <f t="shared" si="401"/>
        <v>5800927</v>
      </c>
      <c r="AS210" s="140">
        <f t="shared" si="401"/>
        <v>340338</v>
      </c>
      <c r="AT210" s="140">
        <f t="shared" si="401"/>
        <v>406234</v>
      </c>
      <c r="AU210" s="141">
        <f t="shared" si="401"/>
        <v>33.8187</v>
      </c>
      <c r="AV210" s="141">
        <f t="shared" si="401"/>
        <v>25.831</v>
      </c>
      <c r="AW210" s="142">
        <f t="shared" si="401"/>
        <v>7.9877000000000011</v>
      </c>
    </row>
    <row r="211" spans="1:49" ht="14.1" customHeight="1" x14ac:dyDescent="0.2">
      <c r="A211" s="124">
        <v>45</v>
      </c>
      <c r="B211" s="121">
        <v>2487</v>
      </c>
      <c r="C211" s="144">
        <v>600079996</v>
      </c>
      <c r="D211" s="121">
        <v>68974639</v>
      </c>
      <c r="E211" s="123" t="s">
        <v>665</v>
      </c>
      <c r="F211" s="124">
        <v>3113</v>
      </c>
      <c r="G211" s="123" t="s">
        <v>320</v>
      </c>
      <c r="H211" s="125" t="s">
        <v>283</v>
      </c>
      <c r="I211" s="126">
        <f t="shared" si="385"/>
        <v>24775853</v>
      </c>
      <c r="J211" s="127">
        <v>17830444</v>
      </c>
      <c r="K211" s="127">
        <f t="shared" si="398"/>
        <v>6026690</v>
      </c>
      <c r="L211" s="477">
        <f t="shared" si="399"/>
        <v>356609</v>
      </c>
      <c r="M211" s="127">
        <v>562110</v>
      </c>
      <c r="N211" s="390">
        <f t="shared" si="386"/>
        <v>33.946400000000004</v>
      </c>
      <c r="O211" s="390">
        <v>26.363800000000001</v>
      </c>
      <c r="P211" s="439">
        <v>7.5826000000000002</v>
      </c>
      <c r="Q211" s="129">
        <f t="shared" si="387"/>
        <v>-108000</v>
      </c>
      <c r="R211" s="130">
        <v>0</v>
      </c>
      <c r="S211" s="130">
        <v>0</v>
      </c>
      <c r="T211" s="130">
        <v>0</v>
      </c>
      <c r="U211" s="130">
        <f t="shared" si="388"/>
        <v>-108000</v>
      </c>
      <c r="V211" s="130">
        <v>108000</v>
      </c>
      <c r="W211" s="130">
        <v>0</v>
      </c>
      <c r="X211" s="130">
        <v>0</v>
      </c>
      <c r="Y211" s="130">
        <f t="shared" ref="Y211:Y215" si="402">SUM(V211:X211)</f>
        <v>108000</v>
      </c>
      <c r="Z211" s="130">
        <f t="shared" ref="Z211:Z215" si="403">U211+Y211</f>
        <v>0</v>
      </c>
      <c r="AA211" s="131">
        <f t="shared" ref="AA211:AA215" si="404">ROUND((U211+V211+W211)*33.8%,0)</f>
        <v>0</v>
      </c>
      <c r="AB211" s="131">
        <f t="shared" ref="AB211:AB215" si="405">ROUND(U211*2%,0)</f>
        <v>-2160</v>
      </c>
      <c r="AC211" s="130">
        <v>0</v>
      </c>
      <c r="AD211" s="130">
        <v>0</v>
      </c>
      <c r="AE211" s="130">
        <f t="shared" ref="AE211:AE272" si="406">SUM(AC211:AD211)</f>
        <v>0</v>
      </c>
      <c r="AF211" s="130">
        <f t="shared" ref="AF211:AF272" si="407">Z211+AA211+AB211+AE211</f>
        <v>-2160</v>
      </c>
      <c r="AG211" s="132">
        <v>-0.05</v>
      </c>
      <c r="AH211" s="132">
        <v>-0.3</v>
      </c>
      <c r="AI211" s="132">
        <v>0</v>
      </c>
      <c r="AJ211" s="132">
        <v>0</v>
      </c>
      <c r="AK211" s="132">
        <v>0</v>
      </c>
      <c r="AL211" s="132">
        <f t="shared" ref="AL211:AL272" si="408">AG211+AI211+AJ211</f>
        <v>-0.05</v>
      </c>
      <c r="AM211" s="132">
        <f>AH211+AK211</f>
        <v>-0.3</v>
      </c>
      <c r="AN211" s="403">
        <f t="shared" ref="AN211:AN272" si="409">SUM(AL211:AM211)</f>
        <v>-0.35</v>
      </c>
      <c r="AO211" s="128">
        <f t="shared" si="389"/>
        <v>24773693</v>
      </c>
      <c r="AP211" s="130">
        <f t="shared" si="390"/>
        <v>17722444</v>
      </c>
      <c r="AQ211" s="130">
        <f t="shared" si="391"/>
        <v>108000</v>
      </c>
      <c r="AR211" s="130">
        <f t="shared" si="392"/>
        <v>6026690</v>
      </c>
      <c r="AS211" s="130">
        <f t="shared" si="393"/>
        <v>354449</v>
      </c>
      <c r="AT211" s="130">
        <f t="shared" si="394"/>
        <v>562110</v>
      </c>
      <c r="AU211" s="132">
        <f t="shared" si="395"/>
        <v>33.596400000000003</v>
      </c>
      <c r="AV211" s="132">
        <f t="shared" si="396"/>
        <v>26.313800000000001</v>
      </c>
      <c r="AW211" s="133">
        <f t="shared" si="397"/>
        <v>7.2826000000000004</v>
      </c>
    </row>
    <row r="212" spans="1:49" ht="14.1" customHeight="1" x14ac:dyDescent="0.2">
      <c r="A212" s="124">
        <v>45</v>
      </c>
      <c r="B212" s="121">
        <v>2487</v>
      </c>
      <c r="C212" s="144">
        <v>600079996</v>
      </c>
      <c r="D212" s="121">
        <v>68974639</v>
      </c>
      <c r="E212" s="123" t="s">
        <v>665</v>
      </c>
      <c r="F212" s="124">
        <v>3113</v>
      </c>
      <c r="G212" s="143" t="s">
        <v>318</v>
      </c>
      <c r="H212" s="125" t="s">
        <v>284</v>
      </c>
      <c r="I212" s="126">
        <f t="shared" si="385"/>
        <v>0</v>
      </c>
      <c r="J212" s="29">
        <v>0</v>
      </c>
      <c r="K212" s="127">
        <f t="shared" si="398"/>
        <v>0</v>
      </c>
      <c r="L212" s="477">
        <f t="shared" si="399"/>
        <v>0</v>
      </c>
      <c r="M212" s="29">
        <v>0</v>
      </c>
      <c r="N212" s="390">
        <f t="shared" si="386"/>
        <v>0</v>
      </c>
      <c r="O212" s="349">
        <v>0</v>
      </c>
      <c r="P212" s="639">
        <v>0</v>
      </c>
      <c r="Q212" s="129">
        <f t="shared" si="387"/>
        <v>0</v>
      </c>
      <c r="R212" s="130">
        <v>737874</v>
      </c>
      <c r="S212" s="130">
        <v>0</v>
      </c>
      <c r="T212" s="130">
        <v>0</v>
      </c>
      <c r="U212" s="130">
        <f t="shared" si="388"/>
        <v>737874</v>
      </c>
      <c r="V212" s="130">
        <v>0</v>
      </c>
      <c r="W212" s="130">
        <v>0</v>
      </c>
      <c r="X212" s="130">
        <v>0</v>
      </c>
      <c r="Y212" s="130">
        <f t="shared" si="402"/>
        <v>0</v>
      </c>
      <c r="Z212" s="130">
        <f t="shared" si="403"/>
        <v>737874</v>
      </c>
      <c r="AA212" s="131">
        <f t="shared" si="404"/>
        <v>249401</v>
      </c>
      <c r="AB212" s="131">
        <f t="shared" si="405"/>
        <v>14757</v>
      </c>
      <c r="AC212" s="130">
        <v>2750</v>
      </c>
      <c r="AD212" s="130">
        <v>0</v>
      </c>
      <c r="AE212" s="130">
        <f t="shared" si="406"/>
        <v>2750</v>
      </c>
      <c r="AF212" s="130">
        <f t="shared" si="407"/>
        <v>1004782</v>
      </c>
      <c r="AG212" s="132">
        <v>0</v>
      </c>
      <c r="AH212" s="132">
        <v>0</v>
      </c>
      <c r="AI212" s="132">
        <v>2.0299999999999998</v>
      </c>
      <c r="AJ212" s="132">
        <v>0</v>
      </c>
      <c r="AK212" s="132">
        <v>0</v>
      </c>
      <c r="AL212" s="132">
        <f t="shared" si="408"/>
        <v>2.0299999999999998</v>
      </c>
      <c r="AM212" s="132">
        <f>AH212+AK212</f>
        <v>0</v>
      </c>
      <c r="AN212" s="403">
        <f t="shared" si="409"/>
        <v>2.0299999999999998</v>
      </c>
      <c r="AO212" s="128">
        <f t="shared" si="389"/>
        <v>1004782</v>
      </c>
      <c r="AP212" s="130">
        <f t="shared" si="390"/>
        <v>737874</v>
      </c>
      <c r="AQ212" s="130">
        <f t="shared" si="391"/>
        <v>0</v>
      </c>
      <c r="AR212" s="130">
        <f t="shared" si="392"/>
        <v>249401</v>
      </c>
      <c r="AS212" s="130">
        <f t="shared" si="393"/>
        <v>14757</v>
      </c>
      <c r="AT212" s="130">
        <f t="shared" si="394"/>
        <v>2750</v>
      </c>
      <c r="AU212" s="132">
        <f t="shared" si="395"/>
        <v>2.0299999999999998</v>
      </c>
      <c r="AV212" s="132">
        <f t="shared" si="396"/>
        <v>2.0299999999999998</v>
      </c>
      <c r="AW212" s="133">
        <f t="shared" si="397"/>
        <v>0</v>
      </c>
    </row>
    <row r="213" spans="1:49" ht="14.1" customHeight="1" x14ac:dyDescent="0.2">
      <c r="A213" s="124">
        <v>45</v>
      </c>
      <c r="B213" s="121">
        <v>2487</v>
      </c>
      <c r="C213" s="144">
        <v>600079996</v>
      </c>
      <c r="D213" s="121">
        <v>68974639</v>
      </c>
      <c r="E213" s="123" t="s">
        <v>665</v>
      </c>
      <c r="F213" s="124">
        <v>3141</v>
      </c>
      <c r="G213" s="123" t="s">
        <v>321</v>
      </c>
      <c r="H213" s="125" t="s">
        <v>284</v>
      </c>
      <c r="I213" s="126">
        <f t="shared" si="385"/>
        <v>3011978</v>
      </c>
      <c r="J213" s="666">
        <v>2195742</v>
      </c>
      <c r="K213" s="127">
        <f t="shared" si="398"/>
        <v>742161</v>
      </c>
      <c r="L213" s="477">
        <f t="shared" si="399"/>
        <v>43915</v>
      </c>
      <c r="M213" s="666">
        <v>30160</v>
      </c>
      <c r="N213" s="390">
        <f t="shared" si="386"/>
        <v>7.47</v>
      </c>
      <c r="O213" s="668">
        <v>0</v>
      </c>
      <c r="P213" s="667">
        <v>7.47</v>
      </c>
      <c r="Q213" s="129">
        <f t="shared" si="387"/>
        <v>-16000</v>
      </c>
      <c r="R213" s="130">
        <v>0</v>
      </c>
      <c r="S213" s="130">
        <v>0</v>
      </c>
      <c r="T213" s="130">
        <v>0</v>
      </c>
      <c r="U213" s="130">
        <f t="shared" si="388"/>
        <v>-16000</v>
      </c>
      <c r="V213" s="130">
        <v>16000</v>
      </c>
      <c r="W213" s="130">
        <v>0</v>
      </c>
      <c r="X213" s="130">
        <v>0</v>
      </c>
      <c r="Y213" s="130">
        <f t="shared" si="402"/>
        <v>16000</v>
      </c>
      <c r="Z213" s="130">
        <f t="shared" si="403"/>
        <v>0</v>
      </c>
      <c r="AA213" s="131">
        <f t="shared" si="404"/>
        <v>0</v>
      </c>
      <c r="AB213" s="131">
        <f t="shared" si="405"/>
        <v>-320</v>
      </c>
      <c r="AC213" s="130">
        <v>0</v>
      </c>
      <c r="AD213" s="130">
        <v>0</v>
      </c>
      <c r="AE213" s="130">
        <f t="shared" si="406"/>
        <v>0</v>
      </c>
      <c r="AF213" s="130">
        <f t="shared" si="407"/>
        <v>-320</v>
      </c>
      <c r="AG213" s="132">
        <v>0</v>
      </c>
      <c r="AH213" s="132">
        <v>0</v>
      </c>
      <c r="AI213" s="132">
        <v>0</v>
      </c>
      <c r="AJ213" s="132">
        <v>0</v>
      </c>
      <c r="AK213" s="132">
        <v>0</v>
      </c>
      <c r="AL213" s="132">
        <f t="shared" si="408"/>
        <v>0</v>
      </c>
      <c r="AM213" s="132">
        <f>AH213+AK213</f>
        <v>0</v>
      </c>
      <c r="AN213" s="403">
        <f t="shared" si="409"/>
        <v>0</v>
      </c>
      <c r="AO213" s="128">
        <f t="shared" si="389"/>
        <v>3011658</v>
      </c>
      <c r="AP213" s="130">
        <f t="shared" si="390"/>
        <v>2179742</v>
      </c>
      <c r="AQ213" s="130">
        <f t="shared" si="391"/>
        <v>16000</v>
      </c>
      <c r="AR213" s="130">
        <f t="shared" si="392"/>
        <v>742161</v>
      </c>
      <c r="AS213" s="130">
        <f t="shared" si="393"/>
        <v>43595</v>
      </c>
      <c r="AT213" s="130">
        <f t="shared" si="394"/>
        <v>30160</v>
      </c>
      <c r="AU213" s="132">
        <f t="shared" si="395"/>
        <v>7.47</v>
      </c>
      <c r="AV213" s="132">
        <f t="shared" si="396"/>
        <v>0</v>
      </c>
      <c r="AW213" s="133">
        <f t="shared" si="397"/>
        <v>7.47</v>
      </c>
    </row>
    <row r="214" spans="1:49" ht="14.1" customHeight="1" x14ac:dyDescent="0.2">
      <c r="A214" s="124">
        <v>45</v>
      </c>
      <c r="B214" s="121">
        <v>2487</v>
      </c>
      <c r="C214" s="144">
        <v>600079996</v>
      </c>
      <c r="D214" s="121">
        <v>68974639</v>
      </c>
      <c r="E214" s="123" t="s">
        <v>665</v>
      </c>
      <c r="F214" s="124">
        <v>3143</v>
      </c>
      <c r="G214" s="145" t="s">
        <v>635</v>
      </c>
      <c r="H214" s="125" t="s">
        <v>283</v>
      </c>
      <c r="I214" s="126">
        <f t="shared" si="385"/>
        <v>2372921</v>
      </c>
      <c r="J214" s="631">
        <v>1747365</v>
      </c>
      <c r="K214" s="127">
        <f t="shared" si="398"/>
        <v>590609</v>
      </c>
      <c r="L214" s="477">
        <f t="shared" si="399"/>
        <v>34947</v>
      </c>
      <c r="M214" s="478">
        <v>0</v>
      </c>
      <c r="N214" s="390">
        <f t="shared" si="386"/>
        <v>3.625</v>
      </c>
      <c r="O214" s="644">
        <v>3.625</v>
      </c>
      <c r="P214" s="639">
        <v>0</v>
      </c>
      <c r="Q214" s="129">
        <f t="shared" si="387"/>
        <v>0</v>
      </c>
      <c r="R214" s="130">
        <v>0</v>
      </c>
      <c r="S214" s="130">
        <v>0</v>
      </c>
      <c r="T214" s="130">
        <v>0</v>
      </c>
      <c r="U214" s="130">
        <f t="shared" si="388"/>
        <v>0</v>
      </c>
      <c r="V214" s="130">
        <v>0</v>
      </c>
      <c r="W214" s="130">
        <v>0</v>
      </c>
      <c r="X214" s="130">
        <v>0</v>
      </c>
      <c r="Y214" s="130">
        <f t="shared" si="402"/>
        <v>0</v>
      </c>
      <c r="Z214" s="130">
        <f t="shared" si="403"/>
        <v>0</v>
      </c>
      <c r="AA214" s="131">
        <f t="shared" si="404"/>
        <v>0</v>
      </c>
      <c r="AB214" s="131">
        <f t="shared" si="405"/>
        <v>0</v>
      </c>
      <c r="AC214" s="130">
        <v>0</v>
      </c>
      <c r="AD214" s="130">
        <v>0</v>
      </c>
      <c r="AE214" s="130">
        <f t="shared" si="406"/>
        <v>0</v>
      </c>
      <c r="AF214" s="130">
        <f t="shared" si="407"/>
        <v>0</v>
      </c>
      <c r="AG214" s="132">
        <v>0</v>
      </c>
      <c r="AH214" s="132">
        <v>0</v>
      </c>
      <c r="AI214" s="132">
        <v>0</v>
      </c>
      <c r="AJ214" s="132">
        <v>0</v>
      </c>
      <c r="AK214" s="132">
        <v>0</v>
      </c>
      <c r="AL214" s="132">
        <f t="shared" si="408"/>
        <v>0</v>
      </c>
      <c r="AM214" s="132">
        <f>AH214+AK214</f>
        <v>0</v>
      </c>
      <c r="AN214" s="403">
        <f t="shared" si="409"/>
        <v>0</v>
      </c>
      <c r="AO214" s="128">
        <f t="shared" si="389"/>
        <v>2372921</v>
      </c>
      <c r="AP214" s="130">
        <f t="shared" si="390"/>
        <v>1747365</v>
      </c>
      <c r="AQ214" s="130">
        <f t="shared" si="391"/>
        <v>0</v>
      </c>
      <c r="AR214" s="130">
        <f t="shared" si="392"/>
        <v>590609</v>
      </c>
      <c r="AS214" s="130">
        <f t="shared" si="393"/>
        <v>34947</v>
      </c>
      <c r="AT214" s="130">
        <f t="shared" si="394"/>
        <v>0</v>
      </c>
      <c r="AU214" s="132">
        <f t="shared" si="395"/>
        <v>3.625</v>
      </c>
      <c r="AV214" s="132">
        <f t="shared" si="396"/>
        <v>3.625</v>
      </c>
      <c r="AW214" s="133">
        <f t="shared" si="397"/>
        <v>0</v>
      </c>
    </row>
    <row r="215" spans="1:49" ht="14.1" customHeight="1" x14ac:dyDescent="0.2">
      <c r="A215" s="124">
        <v>45</v>
      </c>
      <c r="B215" s="121">
        <v>2487</v>
      </c>
      <c r="C215" s="144">
        <v>600079996</v>
      </c>
      <c r="D215" s="121">
        <v>68974639</v>
      </c>
      <c r="E215" s="123" t="s">
        <v>665</v>
      </c>
      <c r="F215" s="124">
        <v>3143</v>
      </c>
      <c r="G215" s="145" t="s">
        <v>636</v>
      </c>
      <c r="H215" s="125" t="s">
        <v>284</v>
      </c>
      <c r="I215" s="126">
        <f t="shared" si="385"/>
        <v>77243</v>
      </c>
      <c r="J215" s="664">
        <v>54450</v>
      </c>
      <c r="K215" s="127">
        <f t="shared" si="398"/>
        <v>18404</v>
      </c>
      <c r="L215" s="477">
        <f t="shared" si="399"/>
        <v>1089</v>
      </c>
      <c r="M215" s="664">
        <v>3300</v>
      </c>
      <c r="N215" s="390">
        <f t="shared" si="386"/>
        <v>0.23</v>
      </c>
      <c r="O215" s="665">
        <v>0</v>
      </c>
      <c r="P215" s="667">
        <v>0.23</v>
      </c>
      <c r="Q215" s="129">
        <f t="shared" si="387"/>
        <v>0</v>
      </c>
      <c r="R215" s="130">
        <v>0</v>
      </c>
      <c r="S215" s="130">
        <v>0</v>
      </c>
      <c r="T215" s="130">
        <v>0</v>
      </c>
      <c r="U215" s="130">
        <f t="shared" si="388"/>
        <v>0</v>
      </c>
      <c r="V215" s="130">
        <v>0</v>
      </c>
      <c r="W215" s="130">
        <v>0</v>
      </c>
      <c r="X215" s="130">
        <v>0</v>
      </c>
      <c r="Y215" s="130">
        <f t="shared" si="402"/>
        <v>0</v>
      </c>
      <c r="Z215" s="130">
        <f t="shared" si="403"/>
        <v>0</v>
      </c>
      <c r="AA215" s="131">
        <f t="shared" si="404"/>
        <v>0</v>
      </c>
      <c r="AB215" s="131">
        <f t="shared" si="405"/>
        <v>0</v>
      </c>
      <c r="AC215" s="130">
        <v>0</v>
      </c>
      <c r="AD215" s="130">
        <v>0</v>
      </c>
      <c r="AE215" s="130">
        <f t="shared" si="406"/>
        <v>0</v>
      </c>
      <c r="AF215" s="130">
        <f t="shared" si="407"/>
        <v>0</v>
      </c>
      <c r="AG215" s="132">
        <v>0</v>
      </c>
      <c r="AH215" s="132">
        <v>0</v>
      </c>
      <c r="AI215" s="132">
        <v>0</v>
      </c>
      <c r="AJ215" s="132">
        <v>0</v>
      </c>
      <c r="AK215" s="132">
        <v>0</v>
      </c>
      <c r="AL215" s="132">
        <f t="shared" si="408"/>
        <v>0</v>
      </c>
      <c r="AM215" s="132">
        <f>AH215+AK215</f>
        <v>0</v>
      </c>
      <c r="AN215" s="403">
        <f t="shared" si="409"/>
        <v>0</v>
      </c>
      <c r="AO215" s="128">
        <f t="shared" si="389"/>
        <v>77243</v>
      </c>
      <c r="AP215" s="130">
        <f t="shared" si="390"/>
        <v>54450</v>
      </c>
      <c r="AQ215" s="130">
        <f t="shared" si="391"/>
        <v>0</v>
      </c>
      <c r="AR215" s="130">
        <f t="shared" si="392"/>
        <v>18404</v>
      </c>
      <c r="AS215" s="130">
        <f t="shared" si="393"/>
        <v>1089</v>
      </c>
      <c r="AT215" s="130">
        <f t="shared" si="394"/>
        <v>3300</v>
      </c>
      <c r="AU215" s="132">
        <f t="shared" si="395"/>
        <v>0.23</v>
      </c>
      <c r="AV215" s="132">
        <f t="shared" si="396"/>
        <v>0</v>
      </c>
      <c r="AW215" s="133">
        <f t="shared" si="397"/>
        <v>0.23</v>
      </c>
    </row>
    <row r="216" spans="1:49" ht="14.1" customHeight="1" x14ac:dyDescent="0.2">
      <c r="A216" s="137">
        <v>45</v>
      </c>
      <c r="B216" s="134">
        <v>2487</v>
      </c>
      <c r="C216" s="146">
        <v>600079996</v>
      </c>
      <c r="D216" s="134">
        <v>68974639</v>
      </c>
      <c r="E216" s="136" t="s">
        <v>666</v>
      </c>
      <c r="F216" s="137"/>
      <c r="G216" s="136"/>
      <c r="H216" s="138"/>
      <c r="I216" s="139">
        <f t="shared" ref="I216:P216" si="410">SUM(I211:I215)</f>
        <v>30237995</v>
      </c>
      <c r="J216" s="140">
        <f t="shared" si="410"/>
        <v>21828001</v>
      </c>
      <c r="K216" s="140">
        <f t="shared" si="410"/>
        <v>7377864</v>
      </c>
      <c r="L216" s="140">
        <f t="shared" si="410"/>
        <v>436560</v>
      </c>
      <c r="M216" s="140">
        <f t="shared" si="410"/>
        <v>595570</v>
      </c>
      <c r="N216" s="141">
        <f t="shared" si="410"/>
        <v>45.2714</v>
      </c>
      <c r="O216" s="141">
        <f t="shared" si="410"/>
        <v>29.988800000000001</v>
      </c>
      <c r="P216" s="142">
        <f t="shared" si="410"/>
        <v>15.2826</v>
      </c>
      <c r="Q216" s="342">
        <f t="shared" ref="Q216:AW216" si="411">SUM(Q211:Q215)</f>
        <v>-124000</v>
      </c>
      <c r="R216" s="140">
        <f t="shared" si="411"/>
        <v>737874</v>
      </c>
      <c r="S216" s="140">
        <f t="shared" si="411"/>
        <v>0</v>
      </c>
      <c r="T216" s="140">
        <f t="shared" si="411"/>
        <v>0</v>
      </c>
      <c r="U216" s="140">
        <f t="shared" si="411"/>
        <v>613874</v>
      </c>
      <c r="V216" s="140">
        <f t="shared" si="411"/>
        <v>124000</v>
      </c>
      <c r="W216" s="140">
        <f t="shared" si="411"/>
        <v>0</v>
      </c>
      <c r="X216" s="140">
        <f t="shared" si="411"/>
        <v>0</v>
      </c>
      <c r="Y216" s="140">
        <f t="shared" si="411"/>
        <v>124000</v>
      </c>
      <c r="Z216" s="140">
        <f t="shared" si="411"/>
        <v>737874</v>
      </c>
      <c r="AA216" s="140">
        <f t="shared" si="411"/>
        <v>249401</v>
      </c>
      <c r="AB216" s="140">
        <f t="shared" si="411"/>
        <v>12277</v>
      </c>
      <c r="AC216" s="140">
        <f t="shared" si="411"/>
        <v>2750</v>
      </c>
      <c r="AD216" s="140">
        <f t="shared" si="411"/>
        <v>0</v>
      </c>
      <c r="AE216" s="140">
        <f t="shared" si="411"/>
        <v>2750</v>
      </c>
      <c r="AF216" s="140">
        <f t="shared" si="411"/>
        <v>1002302</v>
      </c>
      <c r="AG216" s="141">
        <f t="shared" si="411"/>
        <v>-0.05</v>
      </c>
      <c r="AH216" s="141">
        <f t="shared" si="411"/>
        <v>-0.3</v>
      </c>
      <c r="AI216" s="141">
        <f t="shared" si="411"/>
        <v>2.0299999999999998</v>
      </c>
      <c r="AJ216" s="141">
        <f t="shared" si="411"/>
        <v>0</v>
      </c>
      <c r="AK216" s="141">
        <f t="shared" si="411"/>
        <v>0</v>
      </c>
      <c r="AL216" s="141">
        <f t="shared" si="411"/>
        <v>1.9799999999999998</v>
      </c>
      <c r="AM216" s="141">
        <f t="shared" si="411"/>
        <v>-0.3</v>
      </c>
      <c r="AN216" s="635">
        <f t="shared" si="411"/>
        <v>1.6799999999999997</v>
      </c>
      <c r="AO216" s="139">
        <f t="shared" si="411"/>
        <v>31240297</v>
      </c>
      <c r="AP216" s="140">
        <f t="shared" si="411"/>
        <v>22441875</v>
      </c>
      <c r="AQ216" s="140">
        <f t="shared" si="411"/>
        <v>124000</v>
      </c>
      <c r="AR216" s="140">
        <f t="shared" si="411"/>
        <v>7627265</v>
      </c>
      <c r="AS216" s="140">
        <f t="shared" si="411"/>
        <v>448837</v>
      </c>
      <c r="AT216" s="140">
        <f t="shared" si="411"/>
        <v>598320</v>
      </c>
      <c r="AU216" s="141">
        <f t="shared" si="411"/>
        <v>46.9514</v>
      </c>
      <c r="AV216" s="141">
        <f t="shared" si="411"/>
        <v>31.968800000000002</v>
      </c>
      <c r="AW216" s="142">
        <f t="shared" si="411"/>
        <v>14.982600000000001</v>
      </c>
    </row>
    <row r="217" spans="1:49" ht="14.1" customHeight="1" x14ac:dyDescent="0.2">
      <c r="A217" s="124">
        <v>46</v>
      </c>
      <c r="B217" s="121">
        <v>2488</v>
      </c>
      <c r="C217" s="144">
        <v>600079902</v>
      </c>
      <c r="D217" s="121">
        <v>70884978</v>
      </c>
      <c r="E217" s="123" t="s">
        <v>667</v>
      </c>
      <c r="F217" s="124">
        <v>3113</v>
      </c>
      <c r="G217" s="123" t="s">
        <v>320</v>
      </c>
      <c r="H217" s="125" t="s">
        <v>283</v>
      </c>
      <c r="I217" s="126">
        <f t="shared" si="385"/>
        <v>21345160</v>
      </c>
      <c r="J217" s="127">
        <v>15367666</v>
      </c>
      <c r="K217" s="127">
        <f t="shared" si="398"/>
        <v>5194271</v>
      </c>
      <c r="L217" s="477">
        <f t="shared" si="399"/>
        <v>307353</v>
      </c>
      <c r="M217" s="127">
        <v>475870</v>
      </c>
      <c r="N217" s="390">
        <f t="shared" si="386"/>
        <v>29.045099999999998</v>
      </c>
      <c r="O217" s="390">
        <v>22.408899999999999</v>
      </c>
      <c r="P217" s="439">
        <v>6.6362000000000005</v>
      </c>
      <c r="Q217" s="129">
        <f t="shared" si="387"/>
        <v>-16800</v>
      </c>
      <c r="R217" s="130">
        <v>0</v>
      </c>
      <c r="S217" s="130">
        <v>0</v>
      </c>
      <c r="T217" s="130">
        <v>0</v>
      </c>
      <c r="U217" s="130">
        <f t="shared" si="388"/>
        <v>-16800</v>
      </c>
      <c r="V217" s="130">
        <v>16800</v>
      </c>
      <c r="W217" s="130">
        <v>0</v>
      </c>
      <c r="X217" s="130">
        <v>0</v>
      </c>
      <c r="Y217" s="130">
        <f t="shared" ref="Y217:Y221" si="412">SUM(V217:X217)</f>
        <v>16800</v>
      </c>
      <c r="Z217" s="130">
        <f t="shared" ref="Z217:Z221" si="413">U217+Y217</f>
        <v>0</v>
      </c>
      <c r="AA217" s="131">
        <f t="shared" ref="AA217:AA221" si="414">ROUND((U217+V217+W217)*33.8%,0)</f>
        <v>0</v>
      </c>
      <c r="AB217" s="131">
        <f t="shared" ref="AB217:AB221" si="415">ROUND(U217*2%,0)</f>
        <v>-336</v>
      </c>
      <c r="AC217" s="130">
        <v>0</v>
      </c>
      <c r="AD217" s="130">
        <v>0</v>
      </c>
      <c r="AE217" s="130">
        <f t="shared" si="406"/>
        <v>0</v>
      </c>
      <c r="AF217" s="130">
        <f t="shared" si="407"/>
        <v>-336</v>
      </c>
      <c r="AG217" s="132">
        <v>0</v>
      </c>
      <c r="AH217" s="132">
        <v>0</v>
      </c>
      <c r="AI217" s="132">
        <v>0</v>
      </c>
      <c r="AJ217" s="132">
        <v>0</v>
      </c>
      <c r="AK217" s="132">
        <v>0</v>
      </c>
      <c r="AL217" s="132">
        <f t="shared" si="408"/>
        <v>0</v>
      </c>
      <c r="AM217" s="132">
        <f>AH217+AK217</f>
        <v>0</v>
      </c>
      <c r="AN217" s="403">
        <f t="shared" si="409"/>
        <v>0</v>
      </c>
      <c r="AO217" s="128">
        <f t="shared" si="389"/>
        <v>21344824</v>
      </c>
      <c r="AP217" s="130">
        <f t="shared" si="390"/>
        <v>15350866</v>
      </c>
      <c r="AQ217" s="130">
        <f t="shared" si="391"/>
        <v>16800</v>
      </c>
      <c r="AR217" s="130">
        <f t="shared" si="392"/>
        <v>5194271</v>
      </c>
      <c r="AS217" s="130">
        <f t="shared" si="393"/>
        <v>307017</v>
      </c>
      <c r="AT217" s="130">
        <f t="shared" si="394"/>
        <v>475870</v>
      </c>
      <c r="AU217" s="132">
        <f t="shared" si="395"/>
        <v>29.045099999999998</v>
      </c>
      <c r="AV217" s="132">
        <f t="shared" si="396"/>
        <v>22.408899999999999</v>
      </c>
      <c r="AW217" s="133">
        <f t="shared" si="397"/>
        <v>6.6362000000000005</v>
      </c>
    </row>
    <row r="218" spans="1:49" ht="14.1" customHeight="1" x14ac:dyDescent="0.2">
      <c r="A218" s="124">
        <v>46</v>
      </c>
      <c r="B218" s="121">
        <v>2488</v>
      </c>
      <c r="C218" s="144">
        <v>600079902</v>
      </c>
      <c r="D218" s="121">
        <v>70884978</v>
      </c>
      <c r="E218" s="123" t="s">
        <v>667</v>
      </c>
      <c r="F218" s="124">
        <v>3113</v>
      </c>
      <c r="G218" s="143" t="s">
        <v>318</v>
      </c>
      <c r="H218" s="125" t="s">
        <v>284</v>
      </c>
      <c r="I218" s="126">
        <f t="shared" si="385"/>
        <v>0</v>
      </c>
      <c r="J218" s="29">
        <v>0</v>
      </c>
      <c r="K218" s="127">
        <f t="shared" si="398"/>
        <v>0</v>
      </c>
      <c r="L218" s="477">
        <f t="shared" si="399"/>
        <v>0</v>
      </c>
      <c r="M218" s="29">
        <v>0</v>
      </c>
      <c r="N218" s="390">
        <f t="shared" si="386"/>
        <v>0</v>
      </c>
      <c r="O218" s="349">
        <v>0</v>
      </c>
      <c r="P218" s="639">
        <v>0</v>
      </c>
      <c r="Q218" s="129">
        <f t="shared" si="387"/>
        <v>0</v>
      </c>
      <c r="R218" s="130">
        <f>2321294+36090</f>
        <v>2357384</v>
      </c>
      <c r="S218" s="130">
        <v>0</v>
      </c>
      <c r="T218" s="130">
        <v>0</v>
      </c>
      <c r="U218" s="130">
        <f t="shared" si="388"/>
        <v>2357384</v>
      </c>
      <c r="V218" s="130">
        <v>0</v>
      </c>
      <c r="W218" s="130">
        <v>0</v>
      </c>
      <c r="X218" s="130">
        <v>0</v>
      </c>
      <c r="Y218" s="130">
        <f t="shared" si="412"/>
        <v>0</v>
      </c>
      <c r="Z218" s="130">
        <f t="shared" si="413"/>
        <v>2357384</v>
      </c>
      <c r="AA218" s="131">
        <f t="shared" si="414"/>
        <v>796796</v>
      </c>
      <c r="AB218" s="131">
        <f t="shared" si="415"/>
        <v>47148</v>
      </c>
      <c r="AC218" s="130">
        <v>0</v>
      </c>
      <c r="AD218" s="130">
        <v>0</v>
      </c>
      <c r="AE218" s="130">
        <f t="shared" si="406"/>
        <v>0</v>
      </c>
      <c r="AF218" s="130">
        <f t="shared" si="407"/>
        <v>3201328</v>
      </c>
      <c r="AG218" s="132">
        <v>0</v>
      </c>
      <c r="AH218" s="132">
        <v>0</v>
      </c>
      <c r="AI218" s="132">
        <f>6.65+0.1</f>
        <v>6.75</v>
      </c>
      <c r="AJ218" s="132">
        <v>0</v>
      </c>
      <c r="AK218" s="132">
        <v>0</v>
      </c>
      <c r="AL218" s="132">
        <f t="shared" si="408"/>
        <v>6.75</v>
      </c>
      <c r="AM218" s="132">
        <f>AH218+AK218</f>
        <v>0</v>
      </c>
      <c r="AN218" s="403">
        <f t="shared" si="409"/>
        <v>6.75</v>
      </c>
      <c r="AO218" s="128">
        <f t="shared" si="389"/>
        <v>3201328</v>
      </c>
      <c r="AP218" s="130">
        <f t="shared" si="390"/>
        <v>2357384</v>
      </c>
      <c r="AQ218" s="130">
        <f t="shared" si="391"/>
        <v>0</v>
      </c>
      <c r="AR218" s="130">
        <f t="shared" si="392"/>
        <v>796796</v>
      </c>
      <c r="AS218" s="130">
        <f t="shared" si="393"/>
        <v>47148</v>
      </c>
      <c r="AT218" s="130">
        <f t="shared" si="394"/>
        <v>0</v>
      </c>
      <c r="AU218" s="132">
        <f t="shared" si="395"/>
        <v>6.75</v>
      </c>
      <c r="AV218" s="132">
        <f t="shared" si="396"/>
        <v>6.75</v>
      </c>
      <c r="AW218" s="133">
        <f t="shared" si="397"/>
        <v>0</v>
      </c>
    </row>
    <row r="219" spans="1:49" ht="14.1" customHeight="1" x14ac:dyDescent="0.2">
      <c r="A219" s="124">
        <v>46</v>
      </c>
      <c r="B219" s="121">
        <v>2488</v>
      </c>
      <c r="C219" s="144">
        <v>600079902</v>
      </c>
      <c r="D219" s="121">
        <v>70884978</v>
      </c>
      <c r="E219" s="123" t="s">
        <v>667</v>
      </c>
      <c r="F219" s="124">
        <v>3141</v>
      </c>
      <c r="G219" s="123" t="s">
        <v>321</v>
      </c>
      <c r="H219" s="125" t="s">
        <v>284</v>
      </c>
      <c r="I219" s="126">
        <f t="shared" si="385"/>
        <v>1722917</v>
      </c>
      <c r="J219" s="666">
        <v>1257655</v>
      </c>
      <c r="K219" s="127">
        <f t="shared" si="398"/>
        <v>425087</v>
      </c>
      <c r="L219" s="477">
        <f t="shared" si="399"/>
        <v>25153</v>
      </c>
      <c r="M219" s="666">
        <v>15022</v>
      </c>
      <c r="N219" s="390">
        <f t="shared" si="386"/>
        <v>4.28</v>
      </c>
      <c r="O219" s="668">
        <v>0</v>
      </c>
      <c r="P219" s="667">
        <v>4.28</v>
      </c>
      <c r="Q219" s="129">
        <f t="shared" si="387"/>
        <v>-5600</v>
      </c>
      <c r="R219" s="130">
        <v>0</v>
      </c>
      <c r="S219" s="130">
        <v>0</v>
      </c>
      <c r="T219" s="130">
        <v>0</v>
      </c>
      <c r="U219" s="130">
        <f t="shared" si="388"/>
        <v>-5600</v>
      </c>
      <c r="V219" s="130">
        <v>5600</v>
      </c>
      <c r="W219" s="130">
        <v>0</v>
      </c>
      <c r="X219" s="130">
        <v>0</v>
      </c>
      <c r="Y219" s="130">
        <f t="shared" si="412"/>
        <v>5600</v>
      </c>
      <c r="Z219" s="130">
        <f t="shared" si="413"/>
        <v>0</v>
      </c>
      <c r="AA219" s="131">
        <f t="shared" si="414"/>
        <v>0</v>
      </c>
      <c r="AB219" s="131">
        <f t="shared" si="415"/>
        <v>-112</v>
      </c>
      <c r="AC219" s="130">
        <v>0</v>
      </c>
      <c r="AD219" s="130">
        <v>0</v>
      </c>
      <c r="AE219" s="130">
        <f t="shared" si="406"/>
        <v>0</v>
      </c>
      <c r="AF219" s="130">
        <f t="shared" si="407"/>
        <v>-112</v>
      </c>
      <c r="AG219" s="132">
        <v>0</v>
      </c>
      <c r="AH219" s="132">
        <v>0</v>
      </c>
      <c r="AI219" s="132">
        <v>0</v>
      </c>
      <c r="AJ219" s="132">
        <v>0</v>
      </c>
      <c r="AK219" s="132">
        <v>0</v>
      </c>
      <c r="AL219" s="132">
        <f t="shared" si="408"/>
        <v>0</v>
      </c>
      <c r="AM219" s="132">
        <f>AH219+AK219</f>
        <v>0</v>
      </c>
      <c r="AN219" s="403">
        <f t="shared" si="409"/>
        <v>0</v>
      </c>
      <c r="AO219" s="128">
        <f t="shared" si="389"/>
        <v>1722805</v>
      </c>
      <c r="AP219" s="130">
        <f t="shared" si="390"/>
        <v>1252055</v>
      </c>
      <c r="AQ219" s="130">
        <f t="shared" si="391"/>
        <v>5600</v>
      </c>
      <c r="AR219" s="130">
        <f t="shared" si="392"/>
        <v>425087</v>
      </c>
      <c r="AS219" s="130">
        <f t="shared" si="393"/>
        <v>25041</v>
      </c>
      <c r="AT219" s="130">
        <f t="shared" si="394"/>
        <v>15022</v>
      </c>
      <c r="AU219" s="132">
        <f t="shared" si="395"/>
        <v>4.28</v>
      </c>
      <c r="AV219" s="132">
        <f t="shared" si="396"/>
        <v>0</v>
      </c>
      <c r="AW219" s="133">
        <f t="shared" si="397"/>
        <v>4.28</v>
      </c>
    </row>
    <row r="220" spans="1:49" ht="14.1" customHeight="1" x14ac:dyDescent="0.2">
      <c r="A220" s="124">
        <v>46</v>
      </c>
      <c r="B220" s="121">
        <v>2488</v>
      </c>
      <c r="C220" s="144">
        <v>600079902</v>
      </c>
      <c r="D220" s="121">
        <v>70884978</v>
      </c>
      <c r="E220" s="123" t="s">
        <v>667</v>
      </c>
      <c r="F220" s="124">
        <v>3143</v>
      </c>
      <c r="G220" s="145" t="s">
        <v>635</v>
      </c>
      <c r="H220" s="125" t="s">
        <v>283</v>
      </c>
      <c r="I220" s="126">
        <f t="shared" si="385"/>
        <v>1918007</v>
      </c>
      <c r="J220" s="631">
        <v>1412376</v>
      </c>
      <c r="K220" s="127">
        <f t="shared" si="398"/>
        <v>477383</v>
      </c>
      <c r="L220" s="477">
        <f t="shared" si="399"/>
        <v>28248</v>
      </c>
      <c r="M220" s="478">
        <v>0</v>
      </c>
      <c r="N220" s="390">
        <f t="shared" si="386"/>
        <v>3.0716000000000001</v>
      </c>
      <c r="O220" s="644">
        <v>3.0716000000000001</v>
      </c>
      <c r="P220" s="639">
        <v>0</v>
      </c>
      <c r="Q220" s="129">
        <f t="shared" si="387"/>
        <v>-1600</v>
      </c>
      <c r="R220" s="130">
        <v>0</v>
      </c>
      <c r="S220" s="130">
        <v>0</v>
      </c>
      <c r="T220" s="130">
        <v>0</v>
      </c>
      <c r="U220" s="130">
        <f t="shared" si="388"/>
        <v>-1600</v>
      </c>
      <c r="V220" s="130">
        <v>1600</v>
      </c>
      <c r="W220" s="130">
        <v>0</v>
      </c>
      <c r="X220" s="130">
        <v>0</v>
      </c>
      <c r="Y220" s="130">
        <f t="shared" si="412"/>
        <v>1600</v>
      </c>
      <c r="Z220" s="130">
        <f t="shared" si="413"/>
        <v>0</v>
      </c>
      <c r="AA220" s="131">
        <f t="shared" si="414"/>
        <v>0</v>
      </c>
      <c r="AB220" s="131">
        <f t="shared" si="415"/>
        <v>-32</v>
      </c>
      <c r="AC220" s="130">
        <v>0</v>
      </c>
      <c r="AD220" s="130">
        <v>0</v>
      </c>
      <c r="AE220" s="130">
        <f t="shared" si="406"/>
        <v>0</v>
      </c>
      <c r="AF220" s="130">
        <f t="shared" si="407"/>
        <v>-32</v>
      </c>
      <c r="AG220" s="132">
        <v>0</v>
      </c>
      <c r="AH220" s="132">
        <v>0</v>
      </c>
      <c r="AI220" s="132">
        <v>0</v>
      </c>
      <c r="AJ220" s="132">
        <v>0</v>
      </c>
      <c r="AK220" s="132">
        <v>0</v>
      </c>
      <c r="AL220" s="132">
        <f t="shared" si="408"/>
        <v>0</v>
      </c>
      <c r="AM220" s="132">
        <f>AH220+AK220</f>
        <v>0</v>
      </c>
      <c r="AN220" s="403">
        <f t="shared" si="409"/>
        <v>0</v>
      </c>
      <c r="AO220" s="128">
        <f t="shared" si="389"/>
        <v>1917975</v>
      </c>
      <c r="AP220" s="130">
        <f t="shared" si="390"/>
        <v>1410776</v>
      </c>
      <c r="AQ220" s="130">
        <f t="shared" si="391"/>
        <v>1600</v>
      </c>
      <c r="AR220" s="130">
        <f t="shared" si="392"/>
        <v>477383</v>
      </c>
      <c r="AS220" s="130">
        <f t="shared" si="393"/>
        <v>28216</v>
      </c>
      <c r="AT220" s="130">
        <f t="shared" si="394"/>
        <v>0</v>
      </c>
      <c r="AU220" s="132">
        <f t="shared" si="395"/>
        <v>3.0716000000000001</v>
      </c>
      <c r="AV220" s="132">
        <f t="shared" si="396"/>
        <v>3.0716000000000001</v>
      </c>
      <c r="AW220" s="133">
        <f t="shared" si="397"/>
        <v>0</v>
      </c>
    </row>
    <row r="221" spans="1:49" ht="14.1" customHeight="1" x14ac:dyDescent="0.2">
      <c r="A221" s="124">
        <v>46</v>
      </c>
      <c r="B221" s="121">
        <v>2488</v>
      </c>
      <c r="C221" s="144">
        <v>600079902</v>
      </c>
      <c r="D221" s="121">
        <v>70884978</v>
      </c>
      <c r="E221" s="123" t="s">
        <v>667</v>
      </c>
      <c r="F221" s="124">
        <v>3143</v>
      </c>
      <c r="G221" s="145" t="s">
        <v>636</v>
      </c>
      <c r="H221" s="125" t="s">
        <v>284</v>
      </c>
      <c r="I221" s="126">
        <f t="shared" si="385"/>
        <v>61794</v>
      </c>
      <c r="J221" s="664">
        <v>43560</v>
      </c>
      <c r="K221" s="127">
        <f t="shared" si="398"/>
        <v>14723</v>
      </c>
      <c r="L221" s="477">
        <f t="shared" si="399"/>
        <v>871</v>
      </c>
      <c r="M221" s="664">
        <v>2640</v>
      </c>
      <c r="N221" s="390">
        <f t="shared" si="386"/>
        <v>0.18</v>
      </c>
      <c r="O221" s="665">
        <v>0</v>
      </c>
      <c r="P221" s="667">
        <v>0.18</v>
      </c>
      <c r="Q221" s="129">
        <f t="shared" si="387"/>
        <v>0</v>
      </c>
      <c r="R221" s="130">
        <v>0</v>
      </c>
      <c r="S221" s="130">
        <v>0</v>
      </c>
      <c r="T221" s="130">
        <v>0</v>
      </c>
      <c r="U221" s="130">
        <f t="shared" si="388"/>
        <v>0</v>
      </c>
      <c r="V221" s="130">
        <v>0</v>
      </c>
      <c r="W221" s="130">
        <v>0</v>
      </c>
      <c r="X221" s="130">
        <v>0</v>
      </c>
      <c r="Y221" s="130">
        <f t="shared" si="412"/>
        <v>0</v>
      </c>
      <c r="Z221" s="130">
        <f t="shared" si="413"/>
        <v>0</v>
      </c>
      <c r="AA221" s="131">
        <f t="shared" si="414"/>
        <v>0</v>
      </c>
      <c r="AB221" s="131">
        <f t="shared" si="415"/>
        <v>0</v>
      </c>
      <c r="AC221" s="130">
        <v>0</v>
      </c>
      <c r="AD221" s="130">
        <v>0</v>
      </c>
      <c r="AE221" s="130">
        <f t="shared" si="406"/>
        <v>0</v>
      </c>
      <c r="AF221" s="130">
        <f t="shared" si="407"/>
        <v>0</v>
      </c>
      <c r="AG221" s="132">
        <v>0</v>
      </c>
      <c r="AH221" s="132">
        <v>0</v>
      </c>
      <c r="AI221" s="132">
        <v>0</v>
      </c>
      <c r="AJ221" s="132">
        <v>0</v>
      </c>
      <c r="AK221" s="132">
        <v>0</v>
      </c>
      <c r="AL221" s="132">
        <f t="shared" si="408"/>
        <v>0</v>
      </c>
      <c r="AM221" s="132">
        <f>AH221+AK221</f>
        <v>0</v>
      </c>
      <c r="AN221" s="403">
        <f t="shared" si="409"/>
        <v>0</v>
      </c>
      <c r="AO221" s="128">
        <f t="shared" si="389"/>
        <v>61794</v>
      </c>
      <c r="AP221" s="130">
        <f t="shared" si="390"/>
        <v>43560</v>
      </c>
      <c r="AQ221" s="130">
        <f t="shared" si="391"/>
        <v>0</v>
      </c>
      <c r="AR221" s="130">
        <f t="shared" si="392"/>
        <v>14723</v>
      </c>
      <c r="AS221" s="130">
        <f t="shared" si="393"/>
        <v>871</v>
      </c>
      <c r="AT221" s="130">
        <f t="shared" si="394"/>
        <v>2640</v>
      </c>
      <c r="AU221" s="132">
        <f t="shared" si="395"/>
        <v>0.18</v>
      </c>
      <c r="AV221" s="132">
        <f t="shared" si="396"/>
        <v>0</v>
      </c>
      <c r="AW221" s="133">
        <f t="shared" si="397"/>
        <v>0.18</v>
      </c>
    </row>
    <row r="222" spans="1:49" ht="14.1" customHeight="1" x14ac:dyDescent="0.2">
      <c r="A222" s="137">
        <v>46</v>
      </c>
      <c r="B222" s="134">
        <v>2488</v>
      </c>
      <c r="C222" s="146">
        <v>600079902</v>
      </c>
      <c r="D222" s="134">
        <v>70884978</v>
      </c>
      <c r="E222" s="136" t="s">
        <v>668</v>
      </c>
      <c r="F222" s="137"/>
      <c r="G222" s="136"/>
      <c r="H222" s="138"/>
      <c r="I222" s="139">
        <f t="shared" ref="I222:P222" si="416">SUM(I217:I221)</f>
        <v>25047878</v>
      </c>
      <c r="J222" s="140">
        <f t="shared" si="416"/>
        <v>18081257</v>
      </c>
      <c r="K222" s="140">
        <f t="shared" si="416"/>
        <v>6111464</v>
      </c>
      <c r="L222" s="140">
        <f t="shared" si="416"/>
        <v>361625</v>
      </c>
      <c r="M222" s="140">
        <f t="shared" si="416"/>
        <v>493532</v>
      </c>
      <c r="N222" s="141">
        <f t="shared" si="416"/>
        <v>36.576699999999995</v>
      </c>
      <c r="O222" s="141">
        <f t="shared" si="416"/>
        <v>25.480499999999999</v>
      </c>
      <c r="P222" s="142">
        <f t="shared" si="416"/>
        <v>11.0962</v>
      </c>
      <c r="Q222" s="342">
        <f t="shared" ref="Q222:AW222" si="417">SUM(Q217:Q221)</f>
        <v>-24000</v>
      </c>
      <c r="R222" s="140">
        <f t="shared" si="417"/>
        <v>2357384</v>
      </c>
      <c r="S222" s="140">
        <f t="shared" si="417"/>
        <v>0</v>
      </c>
      <c r="T222" s="140">
        <f t="shared" si="417"/>
        <v>0</v>
      </c>
      <c r="U222" s="140">
        <f t="shared" si="417"/>
        <v>2333384</v>
      </c>
      <c r="V222" s="140">
        <f t="shared" si="417"/>
        <v>24000</v>
      </c>
      <c r="W222" s="140">
        <f t="shared" si="417"/>
        <v>0</v>
      </c>
      <c r="X222" s="140">
        <f t="shared" si="417"/>
        <v>0</v>
      </c>
      <c r="Y222" s="140">
        <f t="shared" si="417"/>
        <v>24000</v>
      </c>
      <c r="Z222" s="140">
        <f t="shared" si="417"/>
        <v>2357384</v>
      </c>
      <c r="AA222" s="140">
        <f t="shared" si="417"/>
        <v>796796</v>
      </c>
      <c r="AB222" s="140">
        <f t="shared" si="417"/>
        <v>46668</v>
      </c>
      <c r="AC222" s="140">
        <f t="shared" si="417"/>
        <v>0</v>
      </c>
      <c r="AD222" s="140">
        <f t="shared" si="417"/>
        <v>0</v>
      </c>
      <c r="AE222" s="140">
        <f t="shared" si="417"/>
        <v>0</v>
      </c>
      <c r="AF222" s="140">
        <f t="shared" si="417"/>
        <v>3200848</v>
      </c>
      <c r="AG222" s="141">
        <f t="shared" si="417"/>
        <v>0</v>
      </c>
      <c r="AH222" s="141">
        <f t="shared" si="417"/>
        <v>0</v>
      </c>
      <c r="AI222" s="141">
        <f t="shared" si="417"/>
        <v>6.75</v>
      </c>
      <c r="AJ222" s="141">
        <f t="shared" si="417"/>
        <v>0</v>
      </c>
      <c r="AK222" s="141">
        <f t="shared" si="417"/>
        <v>0</v>
      </c>
      <c r="AL222" s="141">
        <f t="shared" si="417"/>
        <v>6.75</v>
      </c>
      <c r="AM222" s="141">
        <f t="shared" si="417"/>
        <v>0</v>
      </c>
      <c r="AN222" s="635">
        <f t="shared" si="417"/>
        <v>6.75</v>
      </c>
      <c r="AO222" s="139">
        <f t="shared" si="417"/>
        <v>28248726</v>
      </c>
      <c r="AP222" s="140">
        <f t="shared" si="417"/>
        <v>20414641</v>
      </c>
      <c r="AQ222" s="140">
        <f t="shared" si="417"/>
        <v>24000</v>
      </c>
      <c r="AR222" s="140">
        <f t="shared" si="417"/>
        <v>6908260</v>
      </c>
      <c r="AS222" s="140">
        <f t="shared" si="417"/>
        <v>408293</v>
      </c>
      <c r="AT222" s="140">
        <f t="shared" si="417"/>
        <v>493532</v>
      </c>
      <c r="AU222" s="141">
        <f t="shared" si="417"/>
        <v>43.326699999999995</v>
      </c>
      <c r="AV222" s="141">
        <f t="shared" si="417"/>
        <v>32.230499999999999</v>
      </c>
      <c r="AW222" s="142">
        <f t="shared" si="417"/>
        <v>11.0962</v>
      </c>
    </row>
    <row r="223" spans="1:49" ht="14.1" customHeight="1" x14ac:dyDescent="0.2">
      <c r="A223" s="124">
        <v>47</v>
      </c>
      <c r="B223" s="121">
        <v>2472</v>
      </c>
      <c r="C223" s="144">
        <v>600080277</v>
      </c>
      <c r="D223" s="121">
        <v>72743131</v>
      </c>
      <c r="E223" s="123" t="s">
        <v>669</v>
      </c>
      <c r="F223" s="124">
        <v>3113</v>
      </c>
      <c r="G223" s="123" t="s">
        <v>320</v>
      </c>
      <c r="H223" s="125" t="s">
        <v>283</v>
      </c>
      <c r="I223" s="126">
        <f t="shared" si="385"/>
        <v>27040691</v>
      </c>
      <c r="J223" s="127">
        <v>19542526</v>
      </c>
      <c r="K223" s="127">
        <f t="shared" si="398"/>
        <v>6605374</v>
      </c>
      <c r="L223" s="477">
        <f t="shared" si="399"/>
        <v>390851</v>
      </c>
      <c r="M223" s="127">
        <v>501940</v>
      </c>
      <c r="N223" s="390">
        <f t="shared" si="386"/>
        <v>36.905900000000003</v>
      </c>
      <c r="O223" s="390">
        <v>28.136500000000002</v>
      </c>
      <c r="P223" s="439">
        <v>8.769400000000001</v>
      </c>
      <c r="Q223" s="129">
        <f t="shared" si="387"/>
        <v>-120000</v>
      </c>
      <c r="R223" s="130">
        <v>0</v>
      </c>
      <c r="S223" s="130">
        <v>0</v>
      </c>
      <c r="T223" s="130">
        <v>0</v>
      </c>
      <c r="U223" s="130">
        <f t="shared" si="388"/>
        <v>-120000</v>
      </c>
      <c r="V223" s="130">
        <v>120000</v>
      </c>
      <c r="W223" s="130">
        <v>0</v>
      </c>
      <c r="X223" s="130">
        <v>0</v>
      </c>
      <c r="Y223" s="130">
        <f t="shared" ref="Y223:Y227" si="418">SUM(V223:X223)</f>
        <v>120000</v>
      </c>
      <c r="Z223" s="130">
        <f t="shared" ref="Z223:Z227" si="419">U223+Y223</f>
        <v>0</v>
      </c>
      <c r="AA223" s="131">
        <f t="shared" ref="AA223:AA227" si="420">ROUND((U223+V223+W223)*33.8%,0)</f>
        <v>0</v>
      </c>
      <c r="AB223" s="131">
        <f t="shared" ref="AB223:AB227" si="421">ROUND(U223*2%,0)</f>
        <v>-2400</v>
      </c>
      <c r="AC223" s="130">
        <v>0</v>
      </c>
      <c r="AD223" s="130">
        <v>0</v>
      </c>
      <c r="AE223" s="130">
        <f t="shared" si="406"/>
        <v>0</v>
      </c>
      <c r="AF223" s="130">
        <f t="shared" si="407"/>
        <v>-2400</v>
      </c>
      <c r="AG223" s="132">
        <v>-0.08</v>
      </c>
      <c r="AH223" s="132">
        <v>-0.1</v>
      </c>
      <c r="AI223" s="132">
        <v>0</v>
      </c>
      <c r="AJ223" s="132">
        <v>0</v>
      </c>
      <c r="AK223" s="132">
        <v>0</v>
      </c>
      <c r="AL223" s="132">
        <f t="shared" si="408"/>
        <v>-0.08</v>
      </c>
      <c r="AM223" s="132">
        <f>AH223+AK223</f>
        <v>-0.1</v>
      </c>
      <c r="AN223" s="403">
        <f t="shared" si="409"/>
        <v>-0.18</v>
      </c>
      <c r="AO223" s="128">
        <f t="shared" si="389"/>
        <v>27038291</v>
      </c>
      <c r="AP223" s="130">
        <f t="shared" si="390"/>
        <v>19422526</v>
      </c>
      <c r="AQ223" s="130">
        <f t="shared" si="391"/>
        <v>120000</v>
      </c>
      <c r="AR223" s="130">
        <f t="shared" si="392"/>
        <v>6605374</v>
      </c>
      <c r="AS223" s="130">
        <f t="shared" si="393"/>
        <v>388451</v>
      </c>
      <c r="AT223" s="130">
        <f t="shared" si="394"/>
        <v>501940</v>
      </c>
      <c r="AU223" s="132">
        <f t="shared" si="395"/>
        <v>36.725900000000003</v>
      </c>
      <c r="AV223" s="132">
        <f t="shared" si="396"/>
        <v>28.056500000000003</v>
      </c>
      <c r="AW223" s="133">
        <f t="shared" si="397"/>
        <v>8.6694000000000013</v>
      </c>
    </row>
    <row r="224" spans="1:49" ht="14.1" customHeight="1" x14ac:dyDescent="0.2">
      <c r="A224" s="124">
        <v>47</v>
      </c>
      <c r="B224" s="121">
        <v>2472</v>
      </c>
      <c r="C224" s="144">
        <v>600080277</v>
      </c>
      <c r="D224" s="121">
        <v>72743131</v>
      </c>
      <c r="E224" s="123" t="s">
        <v>669</v>
      </c>
      <c r="F224" s="124">
        <v>3113</v>
      </c>
      <c r="G224" s="143" t="s">
        <v>318</v>
      </c>
      <c r="H224" s="125" t="s">
        <v>284</v>
      </c>
      <c r="I224" s="126">
        <f t="shared" si="385"/>
        <v>0</v>
      </c>
      <c r="J224" s="29">
        <v>0</v>
      </c>
      <c r="K224" s="127">
        <f t="shared" si="398"/>
        <v>0</v>
      </c>
      <c r="L224" s="477">
        <f t="shared" si="399"/>
        <v>0</v>
      </c>
      <c r="M224" s="29">
        <v>0</v>
      </c>
      <c r="N224" s="390">
        <f t="shared" si="386"/>
        <v>0</v>
      </c>
      <c r="O224" s="349">
        <v>0</v>
      </c>
      <c r="P224" s="639">
        <v>0</v>
      </c>
      <c r="Q224" s="129">
        <f t="shared" si="387"/>
        <v>0</v>
      </c>
      <c r="R224" s="130">
        <f>2737145-72176</f>
        <v>2664969</v>
      </c>
      <c r="S224" s="130">
        <v>0</v>
      </c>
      <c r="T224" s="130">
        <v>0</v>
      </c>
      <c r="U224" s="130">
        <f t="shared" si="388"/>
        <v>2664969</v>
      </c>
      <c r="V224" s="130">
        <v>0</v>
      </c>
      <c r="W224" s="130">
        <v>0</v>
      </c>
      <c r="X224" s="130">
        <v>0</v>
      </c>
      <c r="Y224" s="130">
        <f t="shared" si="418"/>
        <v>0</v>
      </c>
      <c r="Z224" s="130">
        <f t="shared" si="419"/>
        <v>2664969</v>
      </c>
      <c r="AA224" s="131">
        <f t="shared" si="420"/>
        <v>900760</v>
      </c>
      <c r="AB224" s="131">
        <f t="shared" si="421"/>
        <v>53299</v>
      </c>
      <c r="AC224" s="130">
        <v>0</v>
      </c>
      <c r="AD224" s="130">
        <v>0</v>
      </c>
      <c r="AE224" s="130">
        <f t="shared" si="406"/>
        <v>0</v>
      </c>
      <c r="AF224" s="130">
        <f t="shared" si="407"/>
        <v>3619028</v>
      </c>
      <c r="AG224" s="132">
        <v>0</v>
      </c>
      <c r="AH224" s="132">
        <v>0</v>
      </c>
      <c r="AI224" s="132">
        <f>7.58-0.21</f>
        <v>7.37</v>
      </c>
      <c r="AJ224" s="132">
        <v>0</v>
      </c>
      <c r="AK224" s="132">
        <v>0</v>
      </c>
      <c r="AL224" s="132">
        <f t="shared" si="408"/>
        <v>7.37</v>
      </c>
      <c r="AM224" s="132">
        <f>AH224+AK224</f>
        <v>0</v>
      </c>
      <c r="AN224" s="403">
        <f t="shared" si="409"/>
        <v>7.37</v>
      </c>
      <c r="AO224" s="128">
        <f t="shared" si="389"/>
        <v>3619028</v>
      </c>
      <c r="AP224" s="130">
        <f t="shared" si="390"/>
        <v>2664969</v>
      </c>
      <c r="AQ224" s="130">
        <f t="shared" si="391"/>
        <v>0</v>
      </c>
      <c r="AR224" s="130">
        <f t="shared" si="392"/>
        <v>900760</v>
      </c>
      <c r="AS224" s="130">
        <f t="shared" si="393"/>
        <v>53299</v>
      </c>
      <c r="AT224" s="130">
        <f t="shared" si="394"/>
        <v>0</v>
      </c>
      <c r="AU224" s="132">
        <f t="shared" si="395"/>
        <v>7.37</v>
      </c>
      <c r="AV224" s="132">
        <f t="shared" si="396"/>
        <v>7.37</v>
      </c>
      <c r="AW224" s="133">
        <f t="shared" si="397"/>
        <v>0</v>
      </c>
    </row>
    <row r="225" spans="1:49" ht="14.1" customHeight="1" x14ac:dyDescent="0.2">
      <c r="A225" s="124">
        <v>47</v>
      </c>
      <c r="B225" s="121">
        <v>2472</v>
      </c>
      <c r="C225" s="144">
        <v>600080277</v>
      </c>
      <c r="D225" s="121">
        <v>72743131</v>
      </c>
      <c r="E225" s="123" t="s">
        <v>669</v>
      </c>
      <c r="F225" s="124">
        <v>3141</v>
      </c>
      <c r="G225" s="123" t="s">
        <v>321</v>
      </c>
      <c r="H225" s="125" t="s">
        <v>284</v>
      </c>
      <c r="I225" s="126">
        <f t="shared" si="385"/>
        <v>2201612</v>
      </c>
      <c r="J225" s="666">
        <v>1606182</v>
      </c>
      <c r="K225" s="127">
        <f t="shared" si="398"/>
        <v>542890</v>
      </c>
      <c r="L225" s="477">
        <f t="shared" si="399"/>
        <v>32124</v>
      </c>
      <c r="M225" s="666">
        <v>20416</v>
      </c>
      <c r="N225" s="390">
        <f t="shared" si="386"/>
        <v>5.46</v>
      </c>
      <c r="O225" s="668">
        <v>0</v>
      </c>
      <c r="P225" s="667">
        <v>5.46</v>
      </c>
      <c r="Q225" s="129">
        <f t="shared" si="387"/>
        <v>-8000</v>
      </c>
      <c r="R225" s="130">
        <v>0</v>
      </c>
      <c r="S225" s="130">
        <v>0</v>
      </c>
      <c r="T225" s="130">
        <v>0</v>
      </c>
      <c r="U225" s="130">
        <f t="shared" si="388"/>
        <v>-8000</v>
      </c>
      <c r="V225" s="130">
        <v>8000</v>
      </c>
      <c r="W225" s="130">
        <v>0</v>
      </c>
      <c r="X225" s="130">
        <v>0</v>
      </c>
      <c r="Y225" s="130">
        <f t="shared" si="418"/>
        <v>8000</v>
      </c>
      <c r="Z225" s="130">
        <f t="shared" si="419"/>
        <v>0</v>
      </c>
      <c r="AA225" s="131">
        <f t="shared" si="420"/>
        <v>0</v>
      </c>
      <c r="AB225" s="131">
        <f t="shared" si="421"/>
        <v>-160</v>
      </c>
      <c r="AC225" s="130">
        <v>0</v>
      </c>
      <c r="AD225" s="130">
        <v>0</v>
      </c>
      <c r="AE225" s="130">
        <f t="shared" si="406"/>
        <v>0</v>
      </c>
      <c r="AF225" s="130">
        <f t="shared" si="407"/>
        <v>-160</v>
      </c>
      <c r="AG225" s="132">
        <v>0</v>
      </c>
      <c r="AH225" s="132">
        <v>0</v>
      </c>
      <c r="AI225" s="132">
        <v>0</v>
      </c>
      <c r="AJ225" s="132">
        <v>0</v>
      </c>
      <c r="AK225" s="132">
        <v>0</v>
      </c>
      <c r="AL225" s="132">
        <f t="shared" si="408"/>
        <v>0</v>
      </c>
      <c r="AM225" s="132">
        <f>AH225+AK225</f>
        <v>0</v>
      </c>
      <c r="AN225" s="403">
        <f t="shared" si="409"/>
        <v>0</v>
      </c>
      <c r="AO225" s="128">
        <f t="shared" si="389"/>
        <v>2201452</v>
      </c>
      <c r="AP225" s="130">
        <f t="shared" si="390"/>
        <v>1598182</v>
      </c>
      <c r="AQ225" s="130">
        <f t="shared" si="391"/>
        <v>8000</v>
      </c>
      <c r="AR225" s="130">
        <f t="shared" si="392"/>
        <v>542890</v>
      </c>
      <c r="AS225" s="130">
        <f t="shared" si="393"/>
        <v>31964</v>
      </c>
      <c r="AT225" s="130">
        <f t="shared" si="394"/>
        <v>20416</v>
      </c>
      <c r="AU225" s="132">
        <f t="shared" si="395"/>
        <v>5.46</v>
      </c>
      <c r="AV225" s="132">
        <f t="shared" si="396"/>
        <v>0</v>
      </c>
      <c r="AW225" s="133">
        <f t="shared" si="397"/>
        <v>5.46</v>
      </c>
    </row>
    <row r="226" spans="1:49" ht="14.1" customHeight="1" x14ac:dyDescent="0.2">
      <c r="A226" s="124">
        <v>47</v>
      </c>
      <c r="B226" s="121">
        <v>2472</v>
      </c>
      <c r="C226" s="144">
        <v>600080277</v>
      </c>
      <c r="D226" s="121">
        <v>72743131</v>
      </c>
      <c r="E226" s="123" t="s">
        <v>669</v>
      </c>
      <c r="F226" s="124">
        <v>3143</v>
      </c>
      <c r="G226" s="145" t="s">
        <v>635</v>
      </c>
      <c r="H226" s="125" t="s">
        <v>283</v>
      </c>
      <c r="I226" s="126">
        <f t="shared" si="385"/>
        <v>2925547</v>
      </c>
      <c r="J226" s="631">
        <v>2154306</v>
      </c>
      <c r="K226" s="127">
        <f t="shared" si="398"/>
        <v>728155</v>
      </c>
      <c r="L226" s="477">
        <f t="shared" si="399"/>
        <v>43086</v>
      </c>
      <c r="M226" s="478">
        <v>0</v>
      </c>
      <c r="N226" s="390">
        <f t="shared" si="386"/>
        <v>4.5589000000000004</v>
      </c>
      <c r="O226" s="644">
        <v>4.5589000000000004</v>
      </c>
      <c r="P226" s="639">
        <v>0</v>
      </c>
      <c r="Q226" s="129">
        <f t="shared" si="387"/>
        <v>-8000</v>
      </c>
      <c r="R226" s="130">
        <v>0</v>
      </c>
      <c r="S226" s="130">
        <v>0</v>
      </c>
      <c r="T226" s="130">
        <v>0</v>
      </c>
      <c r="U226" s="130">
        <f t="shared" si="388"/>
        <v>-8000</v>
      </c>
      <c r="V226" s="130">
        <v>8000</v>
      </c>
      <c r="W226" s="130">
        <v>0</v>
      </c>
      <c r="X226" s="130">
        <v>0</v>
      </c>
      <c r="Y226" s="130">
        <f t="shared" si="418"/>
        <v>8000</v>
      </c>
      <c r="Z226" s="130">
        <f t="shared" si="419"/>
        <v>0</v>
      </c>
      <c r="AA226" s="131">
        <f t="shared" si="420"/>
        <v>0</v>
      </c>
      <c r="AB226" s="131">
        <f t="shared" si="421"/>
        <v>-160</v>
      </c>
      <c r="AC226" s="130">
        <v>0</v>
      </c>
      <c r="AD226" s="130">
        <v>0</v>
      </c>
      <c r="AE226" s="130">
        <f t="shared" si="406"/>
        <v>0</v>
      </c>
      <c r="AF226" s="130">
        <f t="shared" si="407"/>
        <v>-160</v>
      </c>
      <c r="AG226" s="132">
        <v>0</v>
      </c>
      <c r="AH226" s="132">
        <v>0</v>
      </c>
      <c r="AI226" s="132">
        <v>0</v>
      </c>
      <c r="AJ226" s="132">
        <v>0</v>
      </c>
      <c r="AK226" s="132">
        <v>0</v>
      </c>
      <c r="AL226" s="132">
        <f t="shared" si="408"/>
        <v>0</v>
      </c>
      <c r="AM226" s="132">
        <f>AH226+AK226</f>
        <v>0</v>
      </c>
      <c r="AN226" s="403">
        <f t="shared" si="409"/>
        <v>0</v>
      </c>
      <c r="AO226" s="128">
        <f t="shared" si="389"/>
        <v>2925387</v>
      </c>
      <c r="AP226" s="130">
        <f t="shared" si="390"/>
        <v>2146306</v>
      </c>
      <c r="AQ226" s="130">
        <f t="shared" si="391"/>
        <v>8000</v>
      </c>
      <c r="AR226" s="130">
        <f t="shared" si="392"/>
        <v>728155</v>
      </c>
      <c r="AS226" s="130">
        <f t="shared" si="393"/>
        <v>42926</v>
      </c>
      <c r="AT226" s="130">
        <f t="shared" si="394"/>
        <v>0</v>
      </c>
      <c r="AU226" s="132">
        <f t="shared" si="395"/>
        <v>4.5589000000000004</v>
      </c>
      <c r="AV226" s="132">
        <f t="shared" si="396"/>
        <v>4.5589000000000004</v>
      </c>
      <c r="AW226" s="133">
        <f t="shared" si="397"/>
        <v>0</v>
      </c>
    </row>
    <row r="227" spans="1:49" ht="14.1" customHeight="1" x14ac:dyDescent="0.2">
      <c r="A227" s="124">
        <v>47</v>
      </c>
      <c r="B227" s="121">
        <v>2472</v>
      </c>
      <c r="C227" s="144">
        <v>600080277</v>
      </c>
      <c r="D227" s="121">
        <v>72743131</v>
      </c>
      <c r="E227" s="123" t="s">
        <v>669</v>
      </c>
      <c r="F227" s="124">
        <v>3143</v>
      </c>
      <c r="G227" s="145" t="s">
        <v>636</v>
      </c>
      <c r="H227" s="125" t="s">
        <v>284</v>
      </c>
      <c r="I227" s="126">
        <f t="shared" si="385"/>
        <v>70221</v>
      </c>
      <c r="J227" s="664">
        <v>49500</v>
      </c>
      <c r="K227" s="127">
        <f t="shared" si="398"/>
        <v>16731</v>
      </c>
      <c r="L227" s="477">
        <f t="shared" si="399"/>
        <v>990</v>
      </c>
      <c r="M227" s="664">
        <v>3000</v>
      </c>
      <c r="N227" s="390">
        <f t="shared" si="386"/>
        <v>0.21</v>
      </c>
      <c r="O227" s="665">
        <v>0</v>
      </c>
      <c r="P227" s="667">
        <v>0.21</v>
      </c>
      <c r="Q227" s="129">
        <f t="shared" si="387"/>
        <v>0</v>
      </c>
      <c r="R227" s="130">
        <v>0</v>
      </c>
      <c r="S227" s="130">
        <v>0</v>
      </c>
      <c r="T227" s="130">
        <v>0</v>
      </c>
      <c r="U227" s="130">
        <f t="shared" si="388"/>
        <v>0</v>
      </c>
      <c r="V227" s="130">
        <v>0</v>
      </c>
      <c r="W227" s="130">
        <v>0</v>
      </c>
      <c r="X227" s="130">
        <v>0</v>
      </c>
      <c r="Y227" s="130">
        <f t="shared" si="418"/>
        <v>0</v>
      </c>
      <c r="Z227" s="130">
        <f t="shared" si="419"/>
        <v>0</v>
      </c>
      <c r="AA227" s="131">
        <f t="shared" si="420"/>
        <v>0</v>
      </c>
      <c r="AB227" s="131">
        <f t="shared" si="421"/>
        <v>0</v>
      </c>
      <c r="AC227" s="130">
        <v>0</v>
      </c>
      <c r="AD227" s="130">
        <v>0</v>
      </c>
      <c r="AE227" s="130">
        <f t="shared" si="406"/>
        <v>0</v>
      </c>
      <c r="AF227" s="130">
        <f t="shared" si="407"/>
        <v>0</v>
      </c>
      <c r="AG227" s="132">
        <v>0</v>
      </c>
      <c r="AH227" s="132">
        <v>0</v>
      </c>
      <c r="AI227" s="132">
        <v>0</v>
      </c>
      <c r="AJ227" s="132">
        <v>0</v>
      </c>
      <c r="AK227" s="132">
        <v>0</v>
      </c>
      <c r="AL227" s="132">
        <f t="shared" si="408"/>
        <v>0</v>
      </c>
      <c r="AM227" s="132">
        <f>AH227+AK227</f>
        <v>0</v>
      </c>
      <c r="AN227" s="403">
        <f t="shared" si="409"/>
        <v>0</v>
      </c>
      <c r="AO227" s="128">
        <f t="shared" si="389"/>
        <v>70221</v>
      </c>
      <c r="AP227" s="130">
        <f t="shared" si="390"/>
        <v>49500</v>
      </c>
      <c r="AQ227" s="130">
        <f t="shared" si="391"/>
        <v>0</v>
      </c>
      <c r="AR227" s="130">
        <f t="shared" si="392"/>
        <v>16731</v>
      </c>
      <c r="AS227" s="130">
        <f t="shared" si="393"/>
        <v>990</v>
      </c>
      <c r="AT227" s="130">
        <f t="shared" si="394"/>
        <v>3000</v>
      </c>
      <c r="AU227" s="132">
        <f t="shared" si="395"/>
        <v>0.21</v>
      </c>
      <c r="AV227" s="132">
        <f t="shared" si="396"/>
        <v>0</v>
      </c>
      <c r="AW227" s="133">
        <f t="shared" si="397"/>
        <v>0.21</v>
      </c>
    </row>
    <row r="228" spans="1:49" ht="14.1" customHeight="1" x14ac:dyDescent="0.2">
      <c r="A228" s="137">
        <v>47</v>
      </c>
      <c r="B228" s="134">
        <v>2472</v>
      </c>
      <c r="C228" s="146">
        <v>600080277</v>
      </c>
      <c r="D228" s="134">
        <v>72743131</v>
      </c>
      <c r="E228" s="136" t="s">
        <v>670</v>
      </c>
      <c r="F228" s="137"/>
      <c r="G228" s="136"/>
      <c r="H228" s="138"/>
      <c r="I228" s="139">
        <f t="shared" ref="I228:P228" si="422">SUM(I223:I227)</f>
        <v>32238071</v>
      </c>
      <c r="J228" s="140">
        <f t="shared" si="422"/>
        <v>23352514</v>
      </c>
      <c r="K228" s="140">
        <f t="shared" si="422"/>
        <v>7893150</v>
      </c>
      <c r="L228" s="140">
        <f t="shared" si="422"/>
        <v>467051</v>
      </c>
      <c r="M228" s="140">
        <f t="shared" si="422"/>
        <v>525356</v>
      </c>
      <c r="N228" s="141">
        <f t="shared" si="422"/>
        <v>47.134800000000006</v>
      </c>
      <c r="O228" s="141">
        <f t="shared" si="422"/>
        <v>32.695399999999999</v>
      </c>
      <c r="P228" s="142">
        <f t="shared" si="422"/>
        <v>14.439400000000003</v>
      </c>
      <c r="Q228" s="342">
        <f t="shared" ref="Q228:AW228" si="423">SUM(Q223:Q227)</f>
        <v>-136000</v>
      </c>
      <c r="R228" s="140">
        <f t="shared" si="423"/>
        <v>2664969</v>
      </c>
      <c r="S228" s="140">
        <f t="shared" si="423"/>
        <v>0</v>
      </c>
      <c r="T228" s="140">
        <f t="shared" si="423"/>
        <v>0</v>
      </c>
      <c r="U228" s="140">
        <f t="shared" si="423"/>
        <v>2528969</v>
      </c>
      <c r="V228" s="140">
        <f t="shared" si="423"/>
        <v>136000</v>
      </c>
      <c r="W228" s="140">
        <f t="shared" si="423"/>
        <v>0</v>
      </c>
      <c r="X228" s="140">
        <f t="shared" si="423"/>
        <v>0</v>
      </c>
      <c r="Y228" s="140">
        <f t="shared" si="423"/>
        <v>136000</v>
      </c>
      <c r="Z228" s="140">
        <f t="shared" si="423"/>
        <v>2664969</v>
      </c>
      <c r="AA228" s="140">
        <f t="shared" si="423"/>
        <v>900760</v>
      </c>
      <c r="AB228" s="140">
        <f t="shared" si="423"/>
        <v>50579</v>
      </c>
      <c r="AC228" s="140">
        <f t="shared" si="423"/>
        <v>0</v>
      </c>
      <c r="AD228" s="140">
        <f t="shared" si="423"/>
        <v>0</v>
      </c>
      <c r="AE228" s="140">
        <f t="shared" si="423"/>
        <v>0</v>
      </c>
      <c r="AF228" s="140">
        <f t="shared" si="423"/>
        <v>3616308</v>
      </c>
      <c r="AG228" s="141">
        <f t="shared" si="423"/>
        <v>-0.08</v>
      </c>
      <c r="AH228" s="141">
        <f t="shared" si="423"/>
        <v>-0.1</v>
      </c>
      <c r="AI228" s="141">
        <f t="shared" si="423"/>
        <v>7.37</v>
      </c>
      <c r="AJ228" s="141">
        <f t="shared" si="423"/>
        <v>0</v>
      </c>
      <c r="AK228" s="141">
        <f t="shared" si="423"/>
        <v>0</v>
      </c>
      <c r="AL228" s="141">
        <f t="shared" si="423"/>
        <v>7.29</v>
      </c>
      <c r="AM228" s="141">
        <f t="shared" si="423"/>
        <v>-0.1</v>
      </c>
      <c r="AN228" s="635">
        <f t="shared" si="423"/>
        <v>7.19</v>
      </c>
      <c r="AO228" s="139">
        <f t="shared" si="423"/>
        <v>35854379</v>
      </c>
      <c r="AP228" s="140">
        <f t="shared" si="423"/>
        <v>25881483</v>
      </c>
      <c r="AQ228" s="140">
        <f t="shared" si="423"/>
        <v>136000</v>
      </c>
      <c r="AR228" s="140">
        <f t="shared" si="423"/>
        <v>8793910</v>
      </c>
      <c r="AS228" s="140">
        <f t="shared" si="423"/>
        <v>517630</v>
      </c>
      <c r="AT228" s="140">
        <f t="shared" si="423"/>
        <v>525356</v>
      </c>
      <c r="AU228" s="141">
        <f t="shared" si="423"/>
        <v>54.324800000000003</v>
      </c>
      <c r="AV228" s="141">
        <f t="shared" si="423"/>
        <v>39.985400000000006</v>
      </c>
      <c r="AW228" s="142">
        <f t="shared" si="423"/>
        <v>14.339400000000001</v>
      </c>
    </row>
    <row r="229" spans="1:49" ht="14.1" customHeight="1" x14ac:dyDescent="0.2">
      <c r="A229" s="124">
        <v>48</v>
      </c>
      <c r="B229" s="121">
        <v>2489</v>
      </c>
      <c r="C229" s="144">
        <v>600080188</v>
      </c>
      <c r="D229" s="121">
        <v>64040402</v>
      </c>
      <c r="E229" s="123" t="s">
        <v>671</v>
      </c>
      <c r="F229" s="124">
        <v>3113</v>
      </c>
      <c r="G229" s="123" t="s">
        <v>320</v>
      </c>
      <c r="H229" s="125" t="s">
        <v>283</v>
      </c>
      <c r="I229" s="126">
        <f t="shared" si="385"/>
        <v>29762694</v>
      </c>
      <c r="J229" s="127">
        <v>21414915</v>
      </c>
      <c r="K229" s="127">
        <f t="shared" si="398"/>
        <v>7238241</v>
      </c>
      <c r="L229" s="477">
        <f t="shared" si="399"/>
        <v>428298</v>
      </c>
      <c r="M229" s="127">
        <v>681240</v>
      </c>
      <c r="N229" s="390">
        <f t="shared" si="386"/>
        <v>39.921499999999995</v>
      </c>
      <c r="O229" s="390">
        <v>30.682099999999998</v>
      </c>
      <c r="P229" s="439">
        <v>9.2393999999999998</v>
      </c>
      <c r="Q229" s="129">
        <f t="shared" si="387"/>
        <v>-72000</v>
      </c>
      <c r="R229" s="130">
        <v>0</v>
      </c>
      <c r="S229" s="130">
        <v>0</v>
      </c>
      <c r="T229" s="130">
        <v>0</v>
      </c>
      <c r="U229" s="130">
        <f t="shared" si="388"/>
        <v>-72000</v>
      </c>
      <c r="V229" s="130">
        <v>72000</v>
      </c>
      <c r="W229" s="130">
        <v>0</v>
      </c>
      <c r="X229" s="130">
        <v>0</v>
      </c>
      <c r="Y229" s="130">
        <f t="shared" ref="Y229:Y233" si="424">SUM(V229:X229)</f>
        <v>72000</v>
      </c>
      <c r="Z229" s="130">
        <f t="shared" ref="Z229:Z233" si="425">U229+Y229</f>
        <v>0</v>
      </c>
      <c r="AA229" s="131">
        <f t="shared" ref="AA229:AA233" si="426">ROUND((U229+V229+W229)*33.8%,0)</f>
        <v>0</v>
      </c>
      <c r="AB229" s="131">
        <f t="shared" ref="AB229:AB233" si="427">ROUND(U229*2%,0)</f>
        <v>-1440</v>
      </c>
      <c r="AC229" s="130">
        <v>0</v>
      </c>
      <c r="AD229" s="130">
        <v>0</v>
      </c>
      <c r="AE229" s="130">
        <f t="shared" si="406"/>
        <v>0</v>
      </c>
      <c r="AF229" s="130">
        <f t="shared" si="407"/>
        <v>-1440</v>
      </c>
      <c r="AG229" s="132">
        <v>-0.1</v>
      </c>
      <c r="AH229" s="132">
        <v>-0.12</v>
      </c>
      <c r="AI229" s="132">
        <v>0</v>
      </c>
      <c r="AJ229" s="132">
        <v>0</v>
      </c>
      <c r="AK229" s="132">
        <v>0</v>
      </c>
      <c r="AL229" s="132">
        <f t="shared" si="408"/>
        <v>-0.1</v>
      </c>
      <c r="AM229" s="132">
        <f>AH229+AK229</f>
        <v>-0.12</v>
      </c>
      <c r="AN229" s="403">
        <f t="shared" si="409"/>
        <v>-0.22</v>
      </c>
      <c r="AO229" s="128">
        <f t="shared" si="389"/>
        <v>29761254</v>
      </c>
      <c r="AP229" s="130">
        <f t="shared" si="390"/>
        <v>21342915</v>
      </c>
      <c r="AQ229" s="130">
        <f t="shared" si="391"/>
        <v>72000</v>
      </c>
      <c r="AR229" s="130">
        <f t="shared" si="392"/>
        <v>7238241</v>
      </c>
      <c r="AS229" s="130">
        <f t="shared" si="393"/>
        <v>426858</v>
      </c>
      <c r="AT229" s="130">
        <f t="shared" si="394"/>
        <v>681240</v>
      </c>
      <c r="AU229" s="132">
        <f t="shared" si="395"/>
        <v>39.701499999999996</v>
      </c>
      <c r="AV229" s="132">
        <f t="shared" si="396"/>
        <v>30.582099999999997</v>
      </c>
      <c r="AW229" s="133">
        <f t="shared" si="397"/>
        <v>9.1194000000000006</v>
      </c>
    </row>
    <row r="230" spans="1:49" ht="14.1" customHeight="1" x14ac:dyDescent="0.2">
      <c r="A230" s="124">
        <v>48</v>
      </c>
      <c r="B230" s="121">
        <v>2489</v>
      </c>
      <c r="C230" s="144">
        <v>600080188</v>
      </c>
      <c r="D230" s="121">
        <v>64040402</v>
      </c>
      <c r="E230" s="123" t="s">
        <v>671</v>
      </c>
      <c r="F230" s="124">
        <v>3113</v>
      </c>
      <c r="G230" s="143" t="s">
        <v>318</v>
      </c>
      <c r="H230" s="125" t="s">
        <v>284</v>
      </c>
      <c r="I230" s="126">
        <f t="shared" si="385"/>
        <v>0</v>
      </c>
      <c r="J230" s="29">
        <v>0</v>
      </c>
      <c r="K230" s="127">
        <f t="shared" si="398"/>
        <v>0</v>
      </c>
      <c r="L230" s="477">
        <f t="shared" si="399"/>
        <v>0</v>
      </c>
      <c r="M230" s="29">
        <v>0</v>
      </c>
      <c r="N230" s="390">
        <f t="shared" si="386"/>
        <v>0</v>
      </c>
      <c r="O230" s="349">
        <v>0</v>
      </c>
      <c r="P230" s="639">
        <v>0</v>
      </c>
      <c r="Q230" s="129">
        <f t="shared" si="387"/>
        <v>0</v>
      </c>
      <c r="R230" s="130">
        <v>1818030</v>
      </c>
      <c r="S230" s="130">
        <v>0</v>
      </c>
      <c r="T230" s="130">
        <v>0</v>
      </c>
      <c r="U230" s="130">
        <f t="shared" si="388"/>
        <v>1818030</v>
      </c>
      <c r="V230" s="130">
        <v>0</v>
      </c>
      <c r="W230" s="130">
        <v>0</v>
      </c>
      <c r="X230" s="130">
        <v>0</v>
      </c>
      <c r="Y230" s="130">
        <f t="shared" si="424"/>
        <v>0</v>
      </c>
      <c r="Z230" s="130">
        <f t="shared" si="425"/>
        <v>1818030</v>
      </c>
      <c r="AA230" s="131">
        <f t="shared" si="426"/>
        <v>614494</v>
      </c>
      <c r="AB230" s="131">
        <f t="shared" si="427"/>
        <v>36361</v>
      </c>
      <c r="AC230" s="130">
        <v>2500</v>
      </c>
      <c r="AD230" s="130">
        <v>0</v>
      </c>
      <c r="AE230" s="130">
        <f t="shared" si="406"/>
        <v>2500</v>
      </c>
      <c r="AF230" s="130">
        <f t="shared" si="407"/>
        <v>2471385</v>
      </c>
      <c r="AG230" s="132">
        <v>0</v>
      </c>
      <c r="AH230" s="132">
        <v>0</v>
      </c>
      <c r="AI230" s="132">
        <v>5.19</v>
      </c>
      <c r="AJ230" s="132">
        <v>0</v>
      </c>
      <c r="AK230" s="132">
        <v>0</v>
      </c>
      <c r="AL230" s="132">
        <f t="shared" si="408"/>
        <v>5.19</v>
      </c>
      <c r="AM230" s="132">
        <f>AH230+AK230</f>
        <v>0</v>
      </c>
      <c r="AN230" s="403">
        <f t="shared" si="409"/>
        <v>5.19</v>
      </c>
      <c r="AO230" s="128">
        <f t="shared" si="389"/>
        <v>2471385</v>
      </c>
      <c r="AP230" s="130">
        <f t="shared" si="390"/>
        <v>1818030</v>
      </c>
      <c r="AQ230" s="130">
        <f t="shared" si="391"/>
        <v>0</v>
      </c>
      <c r="AR230" s="130">
        <f t="shared" si="392"/>
        <v>614494</v>
      </c>
      <c r="AS230" s="130">
        <f t="shared" si="393"/>
        <v>36361</v>
      </c>
      <c r="AT230" s="130">
        <f t="shared" si="394"/>
        <v>2500</v>
      </c>
      <c r="AU230" s="132">
        <f t="shared" si="395"/>
        <v>5.19</v>
      </c>
      <c r="AV230" s="132">
        <f t="shared" si="396"/>
        <v>5.19</v>
      </c>
      <c r="AW230" s="133">
        <f t="shared" si="397"/>
        <v>0</v>
      </c>
    </row>
    <row r="231" spans="1:49" ht="14.1" customHeight="1" x14ac:dyDescent="0.2">
      <c r="A231" s="124">
        <v>48</v>
      </c>
      <c r="B231" s="121">
        <v>2489</v>
      </c>
      <c r="C231" s="144">
        <v>600080188</v>
      </c>
      <c r="D231" s="121">
        <v>64040402</v>
      </c>
      <c r="E231" s="123" t="s">
        <v>671</v>
      </c>
      <c r="F231" s="124">
        <v>3141</v>
      </c>
      <c r="G231" s="123" t="s">
        <v>321</v>
      </c>
      <c r="H231" s="125" t="s">
        <v>284</v>
      </c>
      <c r="I231" s="126">
        <f t="shared" si="385"/>
        <v>2370588</v>
      </c>
      <c r="J231" s="666">
        <v>1729161</v>
      </c>
      <c r="K231" s="127">
        <f t="shared" si="398"/>
        <v>584456</v>
      </c>
      <c r="L231" s="477">
        <f t="shared" si="399"/>
        <v>34583</v>
      </c>
      <c r="M231" s="666">
        <v>22388</v>
      </c>
      <c r="N231" s="390">
        <f t="shared" si="386"/>
        <v>5.88</v>
      </c>
      <c r="O231" s="668">
        <v>0</v>
      </c>
      <c r="P231" s="667">
        <v>5.88</v>
      </c>
      <c r="Q231" s="129">
        <f t="shared" si="387"/>
        <v>-8000</v>
      </c>
      <c r="R231" s="130">
        <v>0</v>
      </c>
      <c r="S231" s="130">
        <v>0</v>
      </c>
      <c r="T231" s="130">
        <v>0</v>
      </c>
      <c r="U231" s="130">
        <f t="shared" si="388"/>
        <v>-8000</v>
      </c>
      <c r="V231" s="130">
        <v>8000</v>
      </c>
      <c r="W231" s="130">
        <v>0</v>
      </c>
      <c r="X231" s="130">
        <v>0</v>
      </c>
      <c r="Y231" s="130">
        <f t="shared" si="424"/>
        <v>8000</v>
      </c>
      <c r="Z231" s="130">
        <f t="shared" si="425"/>
        <v>0</v>
      </c>
      <c r="AA231" s="131">
        <f t="shared" si="426"/>
        <v>0</v>
      </c>
      <c r="AB231" s="131">
        <f t="shared" si="427"/>
        <v>-160</v>
      </c>
      <c r="AC231" s="130">
        <v>0</v>
      </c>
      <c r="AD231" s="130">
        <v>0</v>
      </c>
      <c r="AE231" s="130">
        <f t="shared" si="406"/>
        <v>0</v>
      </c>
      <c r="AF231" s="130">
        <f t="shared" si="407"/>
        <v>-160</v>
      </c>
      <c r="AG231" s="132">
        <v>0</v>
      </c>
      <c r="AH231" s="132">
        <v>-0.03</v>
      </c>
      <c r="AI231" s="132">
        <v>0</v>
      </c>
      <c r="AJ231" s="132">
        <v>0</v>
      </c>
      <c r="AK231" s="132">
        <v>0</v>
      </c>
      <c r="AL231" s="132">
        <f t="shared" si="408"/>
        <v>0</v>
      </c>
      <c r="AM231" s="132">
        <f>AH231+AK231</f>
        <v>-0.03</v>
      </c>
      <c r="AN231" s="403">
        <f t="shared" si="409"/>
        <v>-0.03</v>
      </c>
      <c r="AO231" s="128">
        <f t="shared" si="389"/>
        <v>2370428</v>
      </c>
      <c r="AP231" s="130">
        <f t="shared" si="390"/>
        <v>1721161</v>
      </c>
      <c r="AQ231" s="130">
        <f t="shared" si="391"/>
        <v>8000</v>
      </c>
      <c r="AR231" s="130">
        <f t="shared" si="392"/>
        <v>584456</v>
      </c>
      <c r="AS231" s="130">
        <f t="shared" si="393"/>
        <v>34423</v>
      </c>
      <c r="AT231" s="130">
        <f t="shared" si="394"/>
        <v>22388</v>
      </c>
      <c r="AU231" s="132">
        <f t="shared" si="395"/>
        <v>5.85</v>
      </c>
      <c r="AV231" s="132">
        <f t="shared" si="396"/>
        <v>0</v>
      </c>
      <c r="AW231" s="133">
        <f t="shared" si="397"/>
        <v>5.85</v>
      </c>
    </row>
    <row r="232" spans="1:49" ht="14.1" customHeight="1" x14ac:dyDescent="0.2">
      <c r="A232" s="124">
        <v>48</v>
      </c>
      <c r="B232" s="121">
        <v>2489</v>
      </c>
      <c r="C232" s="144">
        <v>600080188</v>
      </c>
      <c r="D232" s="121">
        <v>64040402</v>
      </c>
      <c r="E232" s="123" t="s">
        <v>671</v>
      </c>
      <c r="F232" s="124">
        <v>3143</v>
      </c>
      <c r="G232" s="145" t="s">
        <v>635</v>
      </c>
      <c r="H232" s="125" t="s">
        <v>283</v>
      </c>
      <c r="I232" s="126">
        <f t="shared" si="385"/>
        <v>2519608</v>
      </c>
      <c r="J232" s="631">
        <v>1855381</v>
      </c>
      <c r="K232" s="127">
        <f t="shared" si="398"/>
        <v>627119</v>
      </c>
      <c r="L232" s="477">
        <f t="shared" si="399"/>
        <v>37108</v>
      </c>
      <c r="M232" s="478">
        <v>0</v>
      </c>
      <c r="N232" s="390">
        <f t="shared" si="386"/>
        <v>3.9666000000000001</v>
      </c>
      <c r="O232" s="644">
        <v>3.9666000000000001</v>
      </c>
      <c r="P232" s="639">
        <v>0</v>
      </c>
      <c r="Q232" s="129">
        <f t="shared" si="387"/>
        <v>-16000</v>
      </c>
      <c r="R232" s="130">
        <v>0</v>
      </c>
      <c r="S232" s="130">
        <v>0</v>
      </c>
      <c r="T232" s="130">
        <v>0</v>
      </c>
      <c r="U232" s="130">
        <f t="shared" si="388"/>
        <v>-16000</v>
      </c>
      <c r="V232" s="130">
        <v>16000</v>
      </c>
      <c r="W232" s="130">
        <v>0</v>
      </c>
      <c r="X232" s="130">
        <v>0</v>
      </c>
      <c r="Y232" s="130">
        <f t="shared" si="424"/>
        <v>16000</v>
      </c>
      <c r="Z232" s="130">
        <f t="shared" si="425"/>
        <v>0</v>
      </c>
      <c r="AA232" s="131">
        <f t="shared" si="426"/>
        <v>0</v>
      </c>
      <c r="AB232" s="131">
        <f t="shared" si="427"/>
        <v>-320</v>
      </c>
      <c r="AC232" s="130">
        <v>0</v>
      </c>
      <c r="AD232" s="130">
        <v>0</v>
      </c>
      <c r="AE232" s="130">
        <f t="shared" si="406"/>
        <v>0</v>
      </c>
      <c r="AF232" s="130">
        <f t="shared" si="407"/>
        <v>-320</v>
      </c>
      <c r="AG232" s="132">
        <v>-0.04</v>
      </c>
      <c r="AH232" s="132">
        <v>0</v>
      </c>
      <c r="AI232" s="132">
        <v>0</v>
      </c>
      <c r="AJ232" s="132">
        <v>0</v>
      </c>
      <c r="AK232" s="132">
        <v>0</v>
      </c>
      <c r="AL232" s="132">
        <f t="shared" si="408"/>
        <v>-0.04</v>
      </c>
      <c r="AM232" s="132">
        <f>AH232+AK232</f>
        <v>0</v>
      </c>
      <c r="AN232" s="403">
        <f t="shared" si="409"/>
        <v>-0.04</v>
      </c>
      <c r="AO232" s="128">
        <f t="shared" si="389"/>
        <v>2519288</v>
      </c>
      <c r="AP232" s="130">
        <f t="shared" si="390"/>
        <v>1839381</v>
      </c>
      <c r="AQ232" s="130">
        <f t="shared" si="391"/>
        <v>16000</v>
      </c>
      <c r="AR232" s="130">
        <f t="shared" si="392"/>
        <v>627119</v>
      </c>
      <c r="AS232" s="130">
        <f t="shared" si="393"/>
        <v>36788</v>
      </c>
      <c r="AT232" s="130">
        <f t="shared" si="394"/>
        <v>0</v>
      </c>
      <c r="AU232" s="132">
        <f t="shared" si="395"/>
        <v>3.9266000000000001</v>
      </c>
      <c r="AV232" s="132">
        <f t="shared" si="396"/>
        <v>3.9266000000000001</v>
      </c>
      <c r="AW232" s="133">
        <f t="shared" si="397"/>
        <v>0</v>
      </c>
    </row>
    <row r="233" spans="1:49" ht="14.1" customHeight="1" x14ac:dyDescent="0.2">
      <c r="A233" s="124">
        <v>48</v>
      </c>
      <c r="B233" s="121">
        <v>2489</v>
      </c>
      <c r="C233" s="144">
        <v>600080188</v>
      </c>
      <c r="D233" s="121">
        <v>64040402</v>
      </c>
      <c r="E233" s="123" t="s">
        <v>671</v>
      </c>
      <c r="F233" s="124">
        <v>3143</v>
      </c>
      <c r="G233" s="145" t="s">
        <v>636</v>
      </c>
      <c r="H233" s="125" t="s">
        <v>284</v>
      </c>
      <c r="I233" s="126">
        <f t="shared" si="385"/>
        <v>95500</v>
      </c>
      <c r="J233" s="664">
        <v>67320</v>
      </c>
      <c r="K233" s="127">
        <f t="shared" si="398"/>
        <v>22754</v>
      </c>
      <c r="L233" s="477">
        <f t="shared" si="399"/>
        <v>1346</v>
      </c>
      <c r="M233" s="664">
        <v>4080</v>
      </c>
      <c r="N233" s="390">
        <f t="shared" si="386"/>
        <v>0.28000000000000003</v>
      </c>
      <c r="O233" s="665">
        <v>0</v>
      </c>
      <c r="P233" s="667">
        <v>0.28000000000000003</v>
      </c>
      <c r="Q233" s="129">
        <f t="shared" si="387"/>
        <v>0</v>
      </c>
      <c r="R233" s="130">
        <v>0</v>
      </c>
      <c r="S233" s="130">
        <v>0</v>
      </c>
      <c r="T233" s="130">
        <v>0</v>
      </c>
      <c r="U233" s="130">
        <f t="shared" si="388"/>
        <v>0</v>
      </c>
      <c r="V233" s="130">
        <v>0</v>
      </c>
      <c r="W233" s="130">
        <v>0</v>
      </c>
      <c r="X233" s="130">
        <v>0</v>
      </c>
      <c r="Y233" s="130">
        <f t="shared" si="424"/>
        <v>0</v>
      </c>
      <c r="Z233" s="130">
        <f t="shared" si="425"/>
        <v>0</v>
      </c>
      <c r="AA233" s="131">
        <f t="shared" si="426"/>
        <v>0</v>
      </c>
      <c r="AB233" s="131">
        <f t="shared" si="427"/>
        <v>0</v>
      </c>
      <c r="AC233" s="130">
        <v>0</v>
      </c>
      <c r="AD233" s="130">
        <v>0</v>
      </c>
      <c r="AE233" s="130">
        <f t="shared" si="406"/>
        <v>0</v>
      </c>
      <c r="AF233" s="130">
        <f t="shared" si="407"/>
        <v>0</v>
      </c>
      <c r="AG233" s="132">
        <v>0</v>
      </c>
      <c r="AH233" s="132">
        <v>0</v>
      </c>
      <c r="AI233" s="132">
        <v>0</v>
      </c>
      <c r="AJ233" s="132">
        <v>0</v>
      </c>
      <c r="AK233" s="132">
        <v>0</v>
      </c>
      <c r="AL233" s="132">
        <f t="shared" si="408"/>
        <v>0</v>
      </c>
      <c r="AM233" s="132">
        <f>AH233+AK233</f>
        <v>0</v>
      </c>
      <c r="AN233" s="403">
        <f t="shared" si="409"/>
        <v>0</v>
      </c>
      <c r="AO233" s="128">
        <f t="shared" si="389"/>
        <v>95500</v>
      </c>
      <c r="AP233" s="130">
        <f t="shared" si="390"/>
        <v>67320</v>
      </c>
      <c r="AQ233" s="130">
        <f t="shared" si="391"/>
        <v>0</v>
      </c>
      <c r="AR233" s="130">
        <f t="shared" si="392"/>
        <v>22754</v>
      </c>
      <c r="AS233" s="130">
        <f t="shared" si="393"/>
        <v>1346</v>
      </c>
      <c r="AT233" s="130">
        <f t="shared" si="394"/>
        <v>4080</v>
      </c>
      <c r="AU233" s="132">
        <f t="shared" si="395"/>
        <v>0.28000000000000003</v>
      </c>
      <c r="AV233" s="132">
        <f t="shared" si="396"/>
        <v>0</v>
      </c>
      <c r="AW233" s="133">
        <f t="shared" si="397"/>
        <v>0.28000000000000003</v>
      </c>
    </row>
    <row r="234" spans="1:49" ht="14.1" customHeight="1" x14ac:dyDescent="0.2">
      <c r="A234" s="137">
        <v>48</v>
      </c>
      <c r="B234" s="134">
        <v>2489</v>
      </c>
      <c r="C234" s="146">
        <v>600080188</v>
      </c>
      <c r="D234" s="134">
        <v>64040402</v>
      </c>
      <c r="E234" s="136" t="s">
        <v>672</v>
      </c>
      <c r="F234" s="137"/>
      <c r="G234" s="136"/>
      <c r="H234" s="138"/>
      <c r="I234" s="139">
        <f t="shared" ref="I234:P234" si="428">SUM(I229:I233)</f>
        <v>34748390</v>
      </c>
      <c r="J234" s="140">
        <f t="shared" si="428"/>
        <v>25066777</v>
      </c>
      <c r="K234" s="140">
        <f t="shared" si="428"/>
        <v>8472570</v>
      </c>
      <c r="L234" s="140">
        <f t="shared" si="428"/>
        <v>501335</v>
      </c>
      <c r="M234" s="140">
        <f t="shared" si="428"/>
        <v>707708</v>
      </c>
      <c r="N234" s="141">
        <f t="shared" si="428"/>
        <v>50.048099999999998</v>
      </c>
      <c r="O234" s="141">
        <f t="shared" si="428"/>
        <v>34.648699999999998</v>
      </c>
      <c r="P234" s="142">
        <f t="shared" si="428"/>
        <v>15.399399999999998</v>
      </c>
      <c r="Q234" s="342">
        <f t="shared" ref="Q234:AW234" si="429">SUM(Q229:Q233)</f>
        <v>-96000</v>
      </c>
      <c r="R234" s="140">
        <f t="shared" si="429"/>
        <v>1818030</v>
      </c>
      <c r="S234" s="140">
        <f t="shared" si="429"/>
        <v>0</v>
      </c>
      <c r="T234" s="140">
        <f t="shared" si="429"/>
        <v>0</v>
      </c>
      <c r="U234" s="140">
        <f t="shared" si="429"/>
        <v>1722030</v>
      </c>
      <c r="V234" s="140">
        <f t="shared" si="429"/>
        <v>96000</v>
      </c>
      <c r="W234" s="140">
        <f t="shared" si="429"/>
        <v>0</v>
      </c>
      <c r="X234" s="140">
        <f t="shared" si="429"/>
        <v>0</v>
      </c>
      <c r="Y234" s="140">
        <f t="shared" si="429"/>
        <v>96000</v>
      </c>
      <c r="Z234" s="140">
        <f t="shared" si="429"/>
        <v>1818030</v>
      </c>
      <c r="AA234" s="140">
        <f t="shared" si="429"/>
        <v>614494</v>
      </c>
      <c r="AB234" s="140">
        <f t="shared" si="429"/>
        <v>34441</v>
      </c>
      <c r="AC234" s="140">
        <f t="shared" si="429"/>
        <v>2500</v>
      </c>
      <c r="AD234" s="140">
        <f t="shared" si="429"/>
        <v>0</v>
      </c>
      <c r="AE234" s="140">
        <f t="shared" si="429"/>
        <v>2500</v>
      </c>
      <c r="AF234" s="140">
        <f t="shared" si="429"/>
        <v>2469465</v>
      </c>
      <c r="AG234" s="141">
        <f t="shared" si="429"/>
        <v>-0.14000000000000001</v>
      </c>
      <c r="AH234" s="141">
        <f t="shared" si="429"/>
        <v>-0.15</v>
      </c>
      <c r="AI234" s="141">
        <f t="shared" si="429"/>
        <v>5.19</v>
      </c>
      <c r="AJ234" s="141">
        <f t="shared" si="429"/>
        <v>0</v>
      </c>
      <c r="AK234" s="141">
        <f t="shared" si="429"/>
        <v>0</v>
      </c>
      <c r="AL234" s="141">
        <f t="shared" si="429"/>
        <v>5.0500000000000007</v>
      </c>
      <c r="AM234" s="141">
        <f t="shared" si="429"/>
        <v>-0.15</v>
      </c>
      <c r="AN234" s="635">
        <f t="shared" si="429"/>
        <v>4.9000000000000004</v>
      </c>
      <c r="AO234" s="139">
        <f t="shared" si="429"/>
        <v>37217855</v>
      </c>
      <c r="AP234" s="140">
        <f t="shared" si="429"/>
        <v>26788807</v>
      </c>
      <c r="AQ234" s="140">
        <f t="shared" si="429"/>
        <v>96000</v>
      </c>
      <c r="AR234" s="140">
        <f t="shared" si="429"/>
        <v>9087064</v>
      </c>
      <c r="AS234" s="140">
        <f t="shared" si="429"/>
        <v>535776</v>
      </c>
      <c r="AT234" s="140">
        <f t="shared" si="429"/>
        <v>710208</v>
      </c>
      <c r="AU234" s="141">
        <f t="shared" si="429"/>
        <v>54.948099999999997</v>
      </c>
      <c r="AV234" s="141">
        <f t="shared" si="429"/>
        <v>39.698699999999995</v>
      </c>
      <c r="AW234" s="142">
        <f t="shared" si="429"/>
        <v>15.2494</v>
      </c>
    </row>
    <row r="235" spans="1:49" ht="14.1" customHeight="1" x14ac:dyDescent="0.2">
      <c r="A235" s="124">
        <v>49</v>
      </c>
      <c r="B235" s="121">
        <v>2473</v>
      </c>
      <c r="C235" s="144">
        <v>600080285</v>
      </c>
      <c r="D235" s="121">
        <v>65642376</v>
      </c>
      <c r="E235" s="123" t="s">
        <v>673</v>
      </c>
      <c r="F235" s="124">
        <v>3113</v>
      </c>
      <c r="G235" s="123" t="s">
        <v>320</v>
      </c>
      <c r="H235" s="125" t="s">
        <v>283</v>
      </c>
      <c r="I235" s="126">
        <f t="shared" si="385"/>
        <v>37309298</v>
      </c>
      <c r="J235" s="127">
        <v>26848158</v>
      </c>
      <c r="K235" s="127">
        <f t="shared" si="398"/>
        <v>9074677</v>
      </c>
      <c r="L235" s="477">
        <f t="shared" si="399"/>
        <v>536963</v>
      </c>
      <c r="M235" s="127">
        <v>849500</v>
      </c>
      <c r="N235" s="390">
        <f t="shared" si="386"/>
        <v>51.958799999999997</v>
      </c>
      <c r="O235" s="390">
        <v>41.32</v>
      </c>
      <c r="P235" s="439">
        <v>10.6388</v>
      </c>
      <c r="Q235" s="129">
        <f t="shared" si="387"/>
        <v>-24000</v>
      </c>
      <c r="R235" s="130">
        <v>0</v>
      </c>
      <c r="S235" s="130">
        <v>0</v>
      </c>
      <c r="T235" s="130">
        <v>0</v>
      </c>
      <c r="U235" s="130">
        <f t="shared" si="388"/>
        <v>-24000</v>
      </c>
      <c r="V235" s="130">
        <v>24000</v>
      </c>
      <c r="W235" s="130">
        <v>0</v>
      </c>
      <c r="X235" s="130">
        <v>0</v>
      </c>
      <c r="Y235" s="130">
        <f t="shared" ref="Y235:Y239" si="430">SUM(V235:X235)</f>
        <v>24000</v>
      </c>
      <c r="Z235" s="130">
        <f t="shared" ref="Z235:Z239" si="431">U235+Y235</f>
        <v>0</v>
      </c>
      <c r="AA235" s="131">
        <f t="shared" ref="AA235:AA239" si="432">ROUND((U235+V235+W235)*33.8%,0)</f>
        <v>0</v>
      </c>
      <c r="AB235" s="131">
        <f t="shared" ref="AB235:AB239" si="433">ROUND(U235*2%,0)</f>
        <v>-480</v>
      </c>
      <c r="AC235" s="130">
        <v>0</v>
      </c>
      <c r="AD235" s="130">
        <v>0</v>
      </c>
      <c r="AE235" s="130">
        <f t="shared" si="406"/>
        <v>0</v>
      </c>
      <c r="AF235" s="130">
        <f t="shared" si="407"/>
        <v>-480</v>
      </c>
      <c r="AG235" s="132">
        <v>0</v>
      </c>
      <c r="AH235" s="132">
        <v>-0.08</v>
      </c>
      <c r="AI235" s="132">
        <v>0</v>
      </c>
      <c r="AJ235" s="132">
        <v>0</v>
      </c>
      <c r="AK235" s="132">
        <v>0</v>
      </c>
      <c r="AL235" s="132">
        <f t="shared" si="408"/>
        <v>0</v>
      </c>
      <c r="AM235" s="132">
        <f>AH235+AK235</f>
        <v>-0.08</v>
      </c>
      <c r="AN235" s="403">
        <f t="shared" si="409"/>
        <v>-0.08</v>
      </c>
      <c r="AO235" s="128">
        <f t="shared" si="389"/>
        <v>37308818</v>
      </c>
      <c r="AP235" s="130">
        <f t="shared" si="390"/>
        <v>26824158</v>
      </c>
      <c r="AQ235" s="130">
        <f t="shared" si="391"/>
        <v>24000</v>
      </c>
      <c r="AR235" s="130">
        <f t="shared" si="392"/>
        <v>9074677</v>
      </c>
      <c r="AS235" s="130">
        <f t="shared" si="393"/>
        <v>536483</v>
      </c>
      <c r="AT235" s="130">
        <f t="shared" si="394"/>
        <v>849500</v>
      </c>
      <c r="AU235" s="132">
        <f t="shared" si="395"/>
        <v>51.878799999999998</v>
      </c>
      <c r="AV235" s="132">
        <f t="shared" si="396"/>
        <v>41.32</v>
      </c>
      <c r="AW235" s="133">
        <f t="shared" si="397"/>
        <v>10.5588</v>
      </c>
    </row>
    <row r="236" spans="1:49" ht="14.1" customHeight="1" x14ac:dyDescent="0.2">
      <c r="A236" s="124">
        <v>49</v>
      </c>
      <c r="B236" s="121">
        <v>2473</v>
      </c>
      <c r="C236" s="144">
        <v>600080285</v>
      </c>
      <c r="D236" s="121">
        <v>65642376</v>
      </c>
      <c r="E236" s="123" t="s">
        <v>673</v>
      </c>
      <c r="F236" s="124">
        <v>3113</v>
      </c>
      <c r="G236" s="143" t="s">
        <v>318</v>
      </c>
      <c r="H236" s="125" t="s">
        <v>284</v>
      </c>
      <c r="I236" s="126">
        <f t="shared" si="385"/>
        <v>0</v>
      </c>
      <c r="J236" s="29">
        <v>0</v>
      </c>
      <c r="K236" s="127">
        <f t="shared" si="398"/>
        <v>0</v>
      </c>
      <c r="L236" s="477">
        <f t="shared" si="399"/>
        <v>0</v>
      </c>
      <c r="M236" s="29">
        <v>0</v>
      </c>
      <c r="N236" s="390">
        <f t="shared" si="386"/>
        <v>0</v>
      </c>
      <c r="O236" s="349">
        <v>0</v>
      </c>
      <c r="P236" s="639">
        <v>0</v>
      </c>
      <c r="Q236" s="129">
        <f t="shared" si="387"/>
        <v>0</v>
      </c>
      <c r="R236" s="130">
        <f>6871207+(-328804)</f>
        <v>6542403</v>
      </c>
      <c r="S236" s="130">
        <v>0</v>
      </c>
      <c r="T236" s="130">
        <v>0</v>
      </c>
      <c r="U236" s="130">
        <f t="shared" si="388"/>
        <v>6542403</v>
      </c>
      <c r="V236" s="130">
        <v>0</v>
      </c>
      <c r="W236" s="130">
        <v>0</v>
      </c>
      <c r="X236" s="130">
        <v>0</v>
      </c>
      <c r="Y236" s="130">
        <f t="shared" si="430"/>
        <v>0</v>
      </c>
      <c r="Z236" s="130">
        <f t="shared" si="431"/>
        <v>6542403</v>
      </c>
      <c r="AA236" s="131">
        <f t="shared" si="432"/>
        <v>2211332</v>
      </c>
      <c r="AB236" s="131">
        <f t="shared" si="433"/>
        <v>130848</v>
      </c>
      <c r="AC236" s="130">
        <v>6250</v>
      </c>
      <c r="AD236" s="130">
        <v>0</v>
      </c>
      <c r="AE236" s="130">
        <f t="shared" si="406"/>
        <v>6250</v>
      </c>
      <c r="AF236" s="130">
        <f t="shared" si="407"/>
        <v>8890833</v>
      </c>
      <c r="AG236" s="132">
        <v>0</v>
      </c>
      <c r="AH236" s="132">
        <v>0</v>
      </c>
      <c r="AI236" s="132">
        <v>18.25</v>
      </c>
      <c r="AJ236" s="132">
        <v>0</v>
      </c>
      <c r="AK236" s="132">
        <v>0</v>
      </c>
      <c r="AL236" s="132">
        <f t="shared" si="408"/>
        <v>18.25</v>
      </c>
      <c r="AM236" s="132">
        <f>AH236+AK236</f>
        <v>0</v>
      </c>
      <c r="AN236" s="403">
        <f t="shared" si="409"/>
        <v>18.25</v>
      </c>
      <c r="AO236" s="128">
        <f t="shared" si="389"/>
        <v>8890833</v>
      </c>
      <c r="AP236" s="130">
        <f t="shared" si="390"/>
        <v>6542403</v>
      </c>
      <c r="AQ236" s="130">
        <f t="shared" si="391"/>
        <v>0</v>
      </c>
      <c r="AR236" s="130">
        <f t="shared" si="392"/>
        <v>2211332</v>
      </c>
      <c r="AS236" s="130">
        <f t="shared" si="393"/>
        <v>130848</v>
      </c>
      <c r="AT236" s="130">
        <f t="shared" si="394"/>
        <v>6250</v>
      </c>
      <c r="AU236" s="132">
        <f t="shared" si="395"/>
        <v>18.25</v>
      </c>
      <c r="AV236" s="132">
        <f t="shared" si="396"/>
        <v>18.25</v>
      </c>
      <c r="AW236" s="133">
        <f t="shared" si="397"/>
        <v>0</v>
      </c>
    </row>
    <row r="237" spans="1:49" ht="14.1" customHeight="1" x14ac:dyDescent="0.2">
      <c r="A237" s="124">
        <v>49</v>
      </c>
      <c r="B237" s="121">
        <v>2473</v>
      </c>
      <c r="C237" s="144">
        <v>600080285</v>
      </c>
      <c r="D237" s="121">
        <v>65642376</v>
      </c>
      <c r="E237" s="123" t="s">
        <v>673</v>
      </c>
      <c r="F237" s="124">
        <v>3141</v>
      </c>
      <c r="G237" s="123" t="s">
        <v>321</v>
      </c>
      <c r="H237" s="125" t="s">
        <v>284</v>
      </c>
      <c r="I237" s="126">
        <f t="shared" si="385"/>
        <v>1136791</v>
      </c>
      <c r="J237" s="666">
        <v>823675</v>
      </c>
      <c r="K237" s="127">
        <f t="shared" si="398"/>
        <v>278402</v>
      </c>
      <c r="L237" s="477">
        <f t="shared" si="399"/>
        <v>16474</v>
      </c>
      <c r="M237" s="666">
        <v>18240</v>
      </c>
      <c r="N237" s="390">
        <f t="shared" si="386"/>
        <v>2.8</v>
      </c>
      <c r="O237" s="668">
        <v>0</v>
      </c>
      <c r="P237" s="667">
        <v>2.8</v>
      </c>
      <c r="Q237" s="129">
        <f t="shared" si="387"/>
        <v>0</v>
      </c>
      <c r="R237" s="130">
        <v>0</v>
      </c>
      <c r="S237" s="130">
        <v>0</v>
      </c>
      <c r="T237" s="130">
        <v>0</v>
      </c>
      <c r="U237" s="130">
        <f t="shared" si="388"/>
        <v>0</v>
      </c>
      <c r="V237" s="130">
        <v>0</v>
      </c>
      <c r="W237" s="130">
        <v>0</v>
      </c>
      <c r="X237" s="130">
        <v>0</v>
      </c>
      <c r="Y237" s="130">
        <f t="shared" si="430"/>
        <v>0</v>
      </c>
      <c r="Z237" s="130">
        <f t="shared" si="431"/>
        <v>0</v>
      </c>
      <c r="AA237" s="131">
        <f t="shared" si="432"/>
        <v>0</v>
      </c>
      <c r="AB237" s="131">
        <f t="shared" si="433"/>
        <v>0</v>
      </c>
      <c r="AC237" s="130">
        <v>0</v>
      </c>
      <c r="AD237" s="130">
        <v>0</v>
      </c>
      <c r="AE237" s="130">
        <f t="shared" si="406"/>
        <v>0</v>
      </c>
      <c r="AF237" s="130">
        <f t="shared" si="407"/>
        <v>0</v>
      </c>
      <c r="AG237" s="132">
        <v>0</v>
      </c>
      <c r="AH237" s="132">
        <v>0</v>
      </c>
      <c r="AI237" s="132">
        <v>0</v>
      </c>
      <c r="AJ237" s="132">
        <v>0</v>
      </c>
      <c r="AK237" s="132">
        <v>0</v>
      </c>
      <c r="AL237" s="132">
        <f t="shared" si="408"/>
        <v>0</v>
      </c>
      <c r="AM237" s="132">
        <f>AH237+AK237</f>
        <v>0</v>
      </c>
      <c r="AN237" s="403">
        <f t="shared" si="409"/>
        <v>0</v>
      </c>
      <c r="AO237" s="128">
        <f t="shared" si="389"/>
        <v>1136791</v>
      </c>
      <c r="AP237" s="130">
        <f t="shared" si="390"/>
        <v>823675</v>
      </c>
      <c r="AQ237" s="130">
        <f t="shared" si="391"/>
        <v>0</v>
      </c>
      <c r="AR237" s="130">
        <f t="shared" si="392"/>
        <v>278402</v>
      </c>
      <c r="AS237" s="130">
        <f t="shared" si="393"/>
        <v>16474</v>
      </c>
      <c r="AT237" s="130">
        <f t="shared" si="394"/>
        <v>18240</v>
      </c>
      <c r="AU237" s="132">
        <f t="shared" si="395"/>
        <v>2.8</v>
      </c>
      <c r="AV237" s="132">
        <f t="shared" si="396"/>
        <v>0</v>
      </c>
      <c r="AW237" s="133">
        <f t="shared" si="397"/>
        <v>2.8</v>
      </c>
    </row>
    <row r="238" spans="1:49" ht="14.1" customHeight="1" x14ac:dyDescent="0.2">
      <c r="A238" s="124">
        <v>49</v>
      </c>
      <c r="B238" s="121">
        <v>2473</v>
      </c>
      <c r="C238" s="144">
        <v>600080285</v>
      </c>
      <c r="D238" s="121">
        <v>65642376</v>
      </c>
      <c r="E238" s="123" t="s">
        <v>673</v>
      </c>
      <c r="F238" s="124">
        <v>3143</v>
      </c>
      <c r="G238" s="145" t="s">
        <v>635</v>
      </c>
      <c r="H238" s="125" t="s">
        <v>283</v>
      </c>
      <c r="I238" s="126">
        <f t="shared" si="385"/>
        <v>3593673</v>
      </c>
      <c r="J238" s="631">
        <v>2646298</v>
      </c>
      <c r="K238" s="127">
        <f t="shared" si="398"/>
        <v>894449</v>
      </c>
      <c r="L238" s="477">
        <f t="shared" si="399"/>
        <v>52926</v>
      </c>
      <c r="M238" s="478">
        <v>0</v>
      </c>
      <c r="N238" s="390">
        <f t="shared" si="386"/>
        <v>5.7629999999999999</v>
      </c>
      <c r="O238" s="644">
        <v>5.7629999999999999</v>
      </c>
      <c r="P238" s="639">
        <v>0</v>
      </c>
      <c r="Q238" s="129">
        <f t="shared" si="387"/>
        <v>0</v>
      </c>
      <c r="R238" s="130">
        <v>0</v>
      </c>
      <c r="S238" s="130">
        <v>0</v>
      </c>
      <c r="T238" s="130">
        <v>0</v>
      </c>
      <c r="U238" s="130">
        <f t="shared" si="388"/>
        <v>0</v>
      </c>
      <c r="V238" s="130">
        <v>0</v>
      </c>
      <c r="W238" s="130">
        <v>0</v>
      </c>
      <c r="X238" s="130">
        <v>0</v>
      </c>
      <c r="Y238" s="130">
        <f t="shared" si="430"/>
        <v>0</v>
      </c>
      <c r="Z238" s="130">
        <f t="shared" si="431"/>
        <v>0</v>
      </c>
      <c r="AA238" s="131">
        <f t="shared" si="432"/>
        <v>0</v>
      </c>
      <c r="AB238" s="131">
        <f t="shared" si="433"/>
        <v>0</v>
      </c>
      <c r="AC238" s="130">
        <v>0</v>
      </c>
      <c r="AD238" s="130">
        <v>0</v>
      </c>
      <c r="AE238" s="130">
        <f t="shared" si="406"/>
        <v>0</v>
      </c>
      <c r="AF238" s="130">
        <f t="shared" si="407"/>
        <v>0</v>
      </c>
      <c r="AG238" s="132">
        <v>0</v>
      </c>
      <c r="AH238" s="132">
        <v>0</v>
      </c>
      <c r="AI238" s="132">
        <v>0</v>
      </c>
      <c r="AJ238" s="132">
        <v>0</v>
      </c>
      <c r="AK238" s="132">
        <v>0</v>
      </c>
      <c r="AL238" s="132">
        <f t="shared" si="408"/>
        <v>0</v>
      </c>
      <c r="AM238" s="132">
        <f>AH238+AK238</f>
        <v>0</v>
      </c>
      <c r="AN238" s="403">
        <f t="shared" si="409"/>
        <v>0</v>
      </c>
      <c r="AO238" s="128">
        <f t="shared" si="389"/>
        <v>3593673</v>
      </c>
      <c r="AP238" s="130">
        <f t="shared" si="390"/>
        <v>2646298</v>
      </c>
      <c r="AQ238" s="130">
        <f t="shared" si="391"/>
        <v>0</v>
      </c>
      <c r="AR238" s="130">
        <f t="shared" si="392"/>
        <v>894449</v>
      </c>
      <c r="AS238" s="130">
        <f t="shared" si="393"/>
        <v>52926</v>
      </c>
      <c r="AT238" s="130">
        <f t="shared" si="394"/>
        <v>0</v>
      </c>
      <c r="AU238" s="132">
        <f t="shared" si="395"/>
        <v>5.7629999999999999</v>
      </c>
      <c r="AV238" s="132">
        <f t="shared" si="396"/>
        <v>5.7629999999999999</v>
      </c>
      <c r="AW238" s="133">
        <f t="shared" si="397"/>
        <v>0</v>
      </c>
    </row>
    <row r="239" spans="1:49" ht="14.1" customHeight="1" x14ac:dyDescent="0.2">
      <c r="A239" s="124">
        <v>49</v>
      </c>
      <c r="B239" s="121">
        <v>2473</v>
      </c>
      <c r="C239" s="144">
        <v>600080285</v>
      </c>
      <c r="D239" s="121">
        <v>65642376</v>
      </c>
      <c r="E239" s="123" t="s">
        <v>673</v>
      </c>
      <c r="F239" s="124">
        <v>3143</v>
      </c>
      <c r="G239" s="145" t="s">
        <v>636</v>
      </c>
      <c r="H239" s="125" t="s">
        <v>284</v>
      </c>
      <c r="I239" s="126">
        <f t="shared" si="385"/>
        <v>143954</v>
      </c>
      <c r="J239" s="664">
        <v>101475</v>
      </c>
      <c r="K239" s="127">
        <f t="shared" ref="K239" si="434">ROUND(J239*33.8%,0)</f>
        <v>34299</v>
      </c>
      <c r="L239" s="477">
        <f t="shared" ref="L239" si="435">ROUND(J239*2%,0)</f>
        <v>2030</v>
      </c>
      <c r="M239" s="664">
        <v>6150</v>
      </c>
      <c r="N239" s="390">
        <f t="shared" si="386"/>
        <v>0.43</v>
      </c>
      <c r="O239" s="665">
        <v>0</v>
      </c>
      <c r="P239" s="667">
        <v>0.43</v>
      </c>
      <c r="Q239" s="129">
        <f t="shared" si="387"/>
        <v>0</v>
      </c>
      <c r="R239" s="130">
        <v>0</v>
      </c>
      <c r="S239" s="130">
        <v>0</v>
      </c>
      <c r="T239" s="130">
        <v>0</v>
      </c>
      <c r="U239" s="130">
        <f t="shared" si="388"/>
        <v>0</v>
      </c>
      <c r="V239" s="130">
        <v>0</v>
      </c>
      <c r="W239" s="130">
        <v>0</v>
      </c>
      <c r="X239" s="130">
        <v>0</v>
      </c>
      <c r="Y239" s="130">
        <f t="shared" si="430"/>
        <v>0</v>
      </c>
      <c r="Z239" s="130">
        <f t="shared" si="431"/>
        <v>0</v>
      </c>
      <c r="AA239" s="131">
        <f t="shared" si="432"/>
        <v>0</v>
      </c>
      <c r="AB239" s="131">
        <f t="shared" si="433"/>
        <v>0</v>
      </c>
      <c r="AC239" s="130">
        <v>0</v>
      </c>
      <c r="AD239" s="130">
        <v>0</v>
      </c>
      <c r="AE239" s="130">
        <f t="shared" si="406"/>
        <v>0</v>
      </c>
      <c r="AF239" s="130">
        <f t="shared" si="407"/>
        <v>0</v>
      </c>
      <c r="AG239" s="132">
        <v>0</v>
      </c>
      <c r="AH239" s="132">
        <v>0</v>
      </c>
      <c r="AI239" s="132">
        <v>0</v>
      </c>
      <c r="AJ239" s="132">
        <v>0</v>
      </c>
      <c r="AK239" s="132">
        <v>0</v>
      </c>
      <c r="AL239" s="132">
        <f t="shared" si="408"/>
        <v>0</v>
      </c>
      <c r="AM239" s="132">
        <f>AH239+AK239</f>
        <v>0</v>
      </c>
      <c r="AN239" s="403">
        <f t="shared" si="409"/>
        <v>0</v>
      </c>
      <c r="AO239" s="128">
        <f t="shared" si="389"/>
        <v>143954</v>
      </c>
      <c r="AP239" s="130">
        <f t="shared" si="390"/>
        <v>101475</v>
      </c>
      <c r="AQ239" s="130">
        <f t="shared" si="391"/>
        <v>0</v>
      </c>
      <c r="AR239" s="130">
        <f t="shared" si="392"/>
        <v>34299</v>
      </c>
      <c r="AS239" s="130">
        <f t="shared" si="393"/>
        <v>2030</v>
      </c>
      <c r="AT239" s="130">
        <f t="shared" si="394"/>
        <v>6150</v>
      </c>
      <c r="AU239" s="132">
        <f t="shared" si="395"/>
        <v>0.43</v>
      </c>
      <c r="AV239" s="132">
        <f t="shared" si="396"/>
        <v>0</v>
      </c>
      <c r="AW239" s="133">
        <f t="shared" si="397"/>
        <v>0.43</v>
      </c>
    </row>
    <row r="240" spans="1:49" ht="14.1" customHeight="1" x14ac:dyDescent="0.2">
      <c r="A240" s="137">
        <v>49</v>
      </c>
      <c r="B240" s="134">
        <v>2473</v>
      </c>
      <c r="C240" s="146">
        <v>600080285</v>
      </c>
      <c r="D240" s="134">
        <v>65642376</v>
      </c>
      <c r="E240" s="136" t="s">
        <v>674</v>
      </c>
      <c r="F240" s="137"/>
      <c r="G240" s="136"/>
      <c r="H240" s="138"/>
      <c r="I240" s="139">
        <f t="shared" ref="I240:P240" si="436">SUM(I235:I239)</f>
        <v>42183716</v>
      </c>
      <c r="J240" s="140">
        <f t="shared" si="436"/>
        <v>30419606</v>
      </c>
      <c r="K240" s="140">
        <f t="shared" si="436"/>
        <v>10281827</v>
      </c>
      <c r="L240" s="140">
        <f t="shared" si="436"/>
        <v>608393</v>
      </c>
      <c r="M240" s="140">
        <f t="shared" si="436"/>
        <v>873890</v>
      </c>
      <c r="N240" s="141">
        <f t="shared" si="436"/>
        <v>60.951799999999992</v>
      </c>
      <c r="O240" s="141">
        <f t="shared" si="436"/>
        <v>47.082999999999998</v>
      </c>
      <c r="P240" s="142">
        <f t="shared" si="436"/>
        <v>13.8688</v>
      </c>
      <c r="Q240" s="342">
        <f t="shared" ref="Q240:AW240" si="437">SUM(Q235:Q239)</f>
        <v>-24000</v>
      </c>
      <c r="R240" s="140">
        <f t="shared" si="437"/>
        <v>6542403</v>
      </c>
      <c r="S240" s="140">
        <f t="shared" si="437"/>
        <v>0</v>
      </c>
      <c r="T240" s="140">
        <f t="shared" si="437"/>
        <v>0</v>
      </c>
      <c r="U240" s="140">
        <f t="shared" si="437"/>
        <v>6518403</v>
      </c>
      <c r="V240" s="140">
        <f t="shared" si="437"/>
        <v>24000</v>
      </c>
      <c r="W240" s="140">
        <f t="shared" si="437"/>
        <v>0</v>
      </c>
      <c r="X240" s="140">
        <f t="shared" si="437"/>
        <v>0</v>
      </c>
      <c r="Y240" s="140">
        <f t="shared" si="437"/>
        <v>24000</v>
      </c>
      <c r="Z240" s="140">
        <f t="shared" si="437"/>
        <v>6542403</v>
      </c>
      <c r="AA240" s="140">
        <f t="shared" si="437"/>
        <v>2211332</v>
      </c>
      <c r="AB240" s="140">
        <f t="shared" si="437"/>
        <v>130368</v>
      </c>
      <c r="AC240" s="140">
        <f t="shared" si="437"/>
        <v>6250</v>
      </c>
      <c r="AD240" s="140">
        <f t="shared" si="437"/>
        <v>0</v>
      </c>
      <c r="AE240" s="140">
        <f t="shared" si="437"/>
        <v>6250</v>
      </c>
      <c r="AF240" s="140">
        <f t="shared" si="437"/>
        <v>8890353</v>
      </c>
      <c r="AG240" s="141">
        <f t="shared" si="437"/>
        <v>0</v>
      </c>
      <c r="AH240" s="141">
        <f t="shared" si="437"/>
        <v>-0.08</v>
      </c>
      <c r="AI240" s="141">
        <f t="shared" si="437"/>
        <v>18.25</v>
      </c>
      <c r="AJ240" s="141">
        <f t="shared" si="437"/>
        <v>0</v>
      </c>
      <c r="AK240" s="141">
        <f t="shared" si="437"/>
        <v>0</v>
      </c>
      <c r="AL240" s="141">
        <f t="shared" si="437"/>
        <v>18.25</v>
      </c>
      <c r="AM240" s="141">
        <f t="shared" si="437"/>
        <v>-0.08</v>
      </c>
      <c r="AN240" s="635">
        <f t="shared" si="437"/>
        <v>18.170000000000002</v>
      </c>
      <c r="AO240" s="139">
        <f t="shared" si="437"/>
        <v>51074069</v>
      </c>
      <c r="AP240" s="140">
        <f t="shared" si="437"/>
        <v>36938009</v>
      </c>
      <c r="AQ240" s="140">
        <f t="shared" si="437"/>
        <v>24000</v>
      </c>
      <c r="AR240" s="140">
        <f t="shared" si="437"/>
        <v>12493159</v>
      </c>
      <c r="AS240" s="140">
        <f t="shared" si="437"/>
        <v>738761</v>
      </c>
      <c r="AT240" s="140">
        <f t="shared" si="437"/>
        <v>880140</v>
      </c>
      <c r="AU240" s="141">
        <f t="shared" si="437"/>
        <v>79.121800000000007</v>
      </c>
      <c r="AV240" s="141">
        <f t="shared" si="437"/>
        <v>65.332999999999998</v>
      </c>
      <c r="AW240" s="142">
        <f t="shared" si="437"/>
        <v>13.788799999999998</v>
      </c>
    </row>
    <row r="241" spans="1:49" ht="14.1" customHeight="1" x14ac:dyDescent="0.2">
      <c r="A241" s="124">
        <v>50</v>
      </c>
      <c r="B241" s="121">
        <v>2490</v>
      </c>
      <c r="C241" s="144">
        <v>600080005</v>
      </c>
      <c r="D241" s="121">
        <v>46746757</v>
      </c>
      <c r="E241" s="123" t="s">
        <v>675</v>
      </c>
      <c r="F241" s="124">
        <v>3113</v>
      </c>
      <c r="G241" s="123" t="s">
        <v>320</v>
      </c>
      <c r="H241" s="125" t="s">
        <v>283</v>
      </c>
      <c r="I241" s="126">
        <f t="shared" si="385"/>
        <v>24137494</v>
      </c>
      <c r="J241" s="127">
        <v>17416336</v>
      </c>
      <c r="K241" s="127">
        <v>5886721</v>
      </c>
      <c r="L241" s="477">
        <f t="shared" si="399"/>
        <v>348327</v>
      </c>
      <c r="M241" s="127">
        <v>486110</v>
      </c>
      <c r="N241" s="390">
        <f t="shared" si="386"/>
        <v>32.319000000000003</v>
      </c>
      <c r="O241" s="390">
        <v>25.362400000000001</v>
      </c>
      <c r="P241" s="439">
        <v>6.9565999999999999</v>
      </c>
      <c r="Q241" s="129">
        <f t="shared" si="387"/>
        <v>-80000</v>
      </c>
      <c r="R241" s="130">
        <v>0</v>
      </c>
      <c r="S241" s="130">
        <v>0</v>
      </c>
      <c r="T241" s="130">
        <v>0</v>
      </c>
      <c r="U241" s="130">
        <f t="shared" si="388"/>
        <v>-80000</v>
      </c>
      <c r="V241" s="130">
        <v>80000</v>
      </c>
      <c r="W241" s="130">
        <v>0</v>
      </c>
      <c r="X241" s="130">
        <v>0</v>
      </c>
      <c r="Y241" s="130">
        <f t="shared" ref="Y241:Y245" si="438">SUM(V241:X241)</f>
        <v>80000</v>
      </c>
      <c r="Z241" s="130">
        <f t="shared" ref="Z241:Z245" si="439">U241+Y241</f>
        <v>0</v>
      </c>
      <c r="AA241" s="131">
        <f t="shared" ref="AA241:AA245" si="440">ROUND((U241+V241+W241)*33.8%,0)</f>
        <v>0</v>
      </c>
      <c r="AB241" s="131">
        <f t="shared" ref="AB241:AB245" si="441">ROUND(U241*2%,0)</f>
        <v>-1600</v>
      </c>
      <c r="AC241" s="130">
        <v>0</v>
      </c>
      <c r="AD241" s="130">
        <v>0</v>
      </c>
      <c r="AE241" s="130">
        <f t="shared" si="406"/>
        <v>0</v>
      </c>
      <c r="AF241" s="130">
        <f t="shared" si="407"/>
        <v>-1600</v>
      </c>
      <c r="AG241" s="132">
        <v>-0.11</v>
      </c>
      <c r="AH241" s="132">
        <v>0</v>
      </c>
      <c r="AI241" s="132">
        <v>0</v>
      </c>
      <c r="AJ241" s="132">
        <v>0</v>
      </c>
      <c r="AK241" s="132">
        <v>0</v>
      </c>
      <c r="AL241" s="132">
        <f t="shared" si="408"/>
        <v>-0.11</v>
      </c>
      <c r="AM241" s="132">
        <f>AH241+AK241</f>
        <v>0</v>
      </c>
      <c r="AN241" s="403">
        <f t="shared" si="409"/>
        <v>-0.11</v>
      </c>
      <c r="AO241" s="128">
        <f t="shared" si="389"/>
        <v>24135894</v>
      </c>
      <c r="AP241" s="130">
        <f t="shared" si="390"/>
        <v>17336336</v>
      </c>
      <c r="AQ241" s="130">
        <f t="shared" si="391"/>
        <v>80000</v>
      </c>
      <c r="AR241" s="130">
        <f t="shared" si="392"/>
        <v>5886721</v>
      </c>
      <c r="AS241" s="130">
        <f t="shared" si="393"/>
        <v>346727</v>
      </c>
      <c r="AT241" s="130">
        <f t="shared" si="394"/>
        <v>486110</v>
      </c>
      <c r="AU241" s="132">
        <f t="shared" si="395"/>
        <v>32.209000000000003</v>
      </c>
      <c r="AV241" s="132">
        <f t="shared" si="396"/>
        <v>25.252400000000002</v>
      </c>
      <c r="AW241" s="133">
        <f t="shared" si="397"/>
        <v>6.9565999999999999</v>
      </c>
    </row>
    <row r="242" spans="1:49" ht="14.1" customHeight="1" x14ac:dyDescent="0.2">
      <c r="A242" s="124">
        <v>50</v>
      </c>
      <c r="B242" s="121">
        <v>2490</v>
      </c>
      <c r="C242" s="144">
        <v>600080005</v>
      </c>
      <c r="D242" s="121">
        <v>46746757</v>
      </c>
      <c r="E242" s="123" t="s">
        <v>675</v>
      </c>
      <c r="F242" s="124">
        <v>3113</v>
      </c>
      <c r="G242" s="143" t="s">
        <v>318</v>
      </c>
      <c r="H242" s="125" t="s">
        <v>284</v>
      </c>
      <c r="I242" s="126">
        <f t="shared" si="385"/>
        <v>0</v>
      </c>
      <c r="J242" s="29">
        <v>0</v>
      </c>
      <c r="K242" s="127">
        <f t="shared" si="398"/>
        <v>0</v>
      </c>
      <c r="L242" s="477">
        <f t="shared" si="399"/>
        <v>0</v>
      </c>
      <c r="M242" s="29">
        <v>0</v>
      </c>
      <c r="N242" s="390">
        <f t="shared" si="386"/>
        <v>0</v>
      </c>
      <c r="O242" s="349">
        <v>0</v>
      </c>
      <c r="P242" s="639">
        <v>0</v>
      </c>
      <c r="Q242" s="129">
        <f t="shared" si="387"/>
        <v>0</v>
      </c>
      <c r="R242" s="130">
        <v>1164433</v>
      </c>
      <c r="S242" s="130">
        <v>0</v>
      </c>
      <c r="T242" s="130">
        <v>0</v>
      </c>
      <c r="U242" s="130">
        <f t="shared" si="388"/>
        <v>1164433</v>
      </c>
      <c r="V242" s="130">
        <v>0</v>
      </c>
      <c r="W242" s="130">
        <v>0</v>
      </c>
      <c r="X242" s="130">
        <v>0</v>
      </c>
      <c r="Y242" s="130">
        <f t="shared" si="438"/>
        <v>0</v>
      </c>
      <c r="Z242" s="130">
        <f t="shared" si="439"/>
        <v>1164433</v>
      </c>
      <c r="AA242" s="131">
        <f t="shared" si="440"/>
        <v>393578</v>
      </c>
      <c r="AB242" s="131">
        <f t="shared" si="441"/>
        <v>23289</v>
      </c>
      <c r="AC242" s="130">
        <v>0</v>
      </c>
      <c r="AD242" s="130">
        <v>0</v>
      </c>
      <c r="AE242" s="130">
        <f t="shared" si="406"/>
        <v>0</v>
      </c>
      <c r="AF242" s="130">
        <f t="shared" si="407"/>
        <v>1581300</v>
      </c>
      <c r="AG242" s="132">
        <v>0</v>
      </c>
      <c r="AH242" s="132">
        <v>0</v>
      </c>
      <c r="AI242" s="132">
        <v>3.14</v>
      </c>
      <c r="AJ242" s="132">
        <v>0</v>
      </c>
      <c r="AK242" s="132">
        <v>0</v>
      </c>
      <c r="AL242" s="132">
        <f t="shared" si="408"/>
        <v>3.14</v>
      </c>
      <c r="AM242" s="132">
        <f>AH242+AK242</f>
        <v>0</v>
      </c>
      <c r="AN242" s="403">
        <f t="shared" si="409"/>
        <v>3.14</v>
      </c>
      <c r="AO242" s="128">
        <f t="shared" si="389"/>
        <v>1581300</v>
      </c>
      <c r="AP242" s="130">
        <f t="shared" si="390"/>
        <v>1164433</v>
      </c>
      <c r="AQ242" s="130">
        <f t="shared" si="391"/>
        <v>0</v>
      </c>
      <c r="AR242" s="130">
        <f t="shared" si="392"/>
        <v>393578</v>
      </c>
      <c r="AS242" s="130">
        <f t="shared" si="393"/>
        <v>23289</v>
      </c>
      <c r="AT242" s="130">
        <f t="shared" si="394"/>
        <v>0</v>
      </c>
      <c r="AU242" s="132">
        <f t="shared" si="395"/>
        <v>3.14</v>
      </c>
      <c r="AV242" s="132">
        <f t="shared" si="396"/>
        <v>3.14</v>
      </c>
      <c r="AW242" s="133">
        <f t="shared" si="397"/>
        <v>0</v>
      </c>
    </row>
    <row r="243" spans="1:49" ht="14.1" customHeight="1" x14ac:dyDescent="0.2">
      <c r="A243" s="124">
        <v>50</v>
      </c>
      <c r="B243" s="121">
        <v>2490</v>
      </c>
      <c r="C243" s="144">
        <v>600080005</v>
      </c>
      <c r="D243" s="121">
        <v>46746757</v>
      </c>
      <c r="E243" s="123" t="s">
        <v>675</v>
      </c>
      <c r="F243" s="124">
        <v>3141</v>
      </c>
      <c r="G243" s="123" t="s">
        <v>321</v>
      </c>
      <c r="H243" s="125" t="s">
        <v>284</v>
      </c>
      <c r="I243" s="126">
        <f t="shared" si="385"/>
        <v>1859466</v>
      </c>
      <c r="J243" s="666">
        <v>1357096</v>
      </c>
      <c r="K243" s="127">
        <f t="shared" si="398"/>
        <v>458698</v>
      </c>
      <c r="L243" s="477">
        <f t="shared" si="399"/>
        <v>27142</v>
      </c>
      <c r="M243" s="666">
        <v>16530</v>
      </c>
      <c r="N243" s="390">
        <f t="shared" si="386"/>
        <v>4.62</v>
      </c>
      <c r="O243" s="668">
        <v>0</v>
      </c>
      <c r="P243" s="667">
        <v>4.62</v>
      </c>
      <c r="Q243" s="129">
        <f t="shared" si="387"/>
        <v>-4000</v>
      </c>
      <c r="R243" s="130">
        <v>0</v>
      </c>
      <c r="S243" s="130">
        <v>0</v>
      </c>
      <c r="T243" s="130">
        <v>0</v>
      </c>
      <c r="U243" s="130">
        <f t="shared" si="388"/>
        <v>-4000</v>
      </c>
      <c r="V243" s="130">
        <v>4000</v>
      </c>
      <c r="W243" s="130">
        <v>0</v>
      </c>
      <c r="X243" s="130">
        <v>0</v>
      </c>
      <c r="Y243" s="130">
        <f t="shared" si="438"/>
        <v>4000</v>
      </c>
      <c r="Z243" s="130">
        <f t="shared" si="439"/>
        <v>0</v>
      </c>
      <c r="AA243" s="131">
        <f t="shared" si="440"/>
        <v>0</v>
      </c>
      <c r="AB243" s="131">
        <f t="shared" si="441"/>
        <v>-80</v>
      </c>
      <c r="AC243" s="130">
        <v>0</v>
      </c>
      <c r="AD243" s="130">
        <v>0</v>
      </c>
      <c r="AE243" s="130">
        <f t="shared" si="406"/>
        <v>0</v>
      </c>
      <c r="AF243" s="130">
        <f t="shared" si="407"/>
        <v>-80</v>
      </c>
      <c r="AG243" s="132">
        <v>0</v>
      </c>
      <c r="AH243" s="132">
        <v>0</v>
      </c>
      <c r="AI243" s="132">
        <v>0</v>
      </c>
      <c r="AJ243" s="132">
        <v>0</v>
      </c>
      <c r="AK243" s="132">
        <v>0</v>
      </c>
      <c r="AL243" s="132">
        <f t="shared" si="408"/>
        <v>0</v>
      </c>
      <c r="AM243" s="132">
        <f>AH243+AK243</f>
        <v>0</v>
      </c>
      <c r="AN243" s="403">
        <f t="shared" si="409"/>
        <v>0</v>
      </c>
      <c r="AO243" s="128">
        <f t="shared" si="389"/>
        <v>1859386</v>
      </c>
      <c r="AP243" s="130">
        <f t="shared" si="390"/>
        <v>1353096</v>
      </c>
      <c r="AQ243" s="130">
        <f t="shared" si="391"/>
        <v>4000</v>
      </c>
      <c r="AR243" s="130">
        <f t="shared" si="392"/>
        <v>458698</v>
      </c>
      <c r="AS243" s="130">
        <f t="shared" si="393"/>
        <v>27062</v>
      </c>
      <c r="AT243" s="130">
        <f t="shared" si="394"/>
        <v>16530</v>
      </c>
      <c r="AU243" s="132">
        <f t="shared" si="395"/>
        <v>4.62</v>
      </c>
      <c r="AV243" s="132">
        <f t="shared" si="396"/>
        <v>0</v>
      </c>
      <c r="AW243" s="133">
        <f t="shared" si="397"/>
        <v>4.62</v>
      </c>
    </row>
    <row r="244" spans="1:49" ht="14.1" customHeight="1" x14ac:dyDescent="0.2">
      <c r="A244" s="124">
        <v>50</v>
      </c>
      <c r="B244" s="121">
        <v>2490</v>
      </c>
      <c r="C244" s="144">
        <v>600080005</v>
      </c>
      <c r="D244" s="121">
        <v>46746757</v>
      </c>
      <c r="E244" s="123" t="s">
        <v>675</v>
      </c>
      <c r="F244" s="124">
        <v>3143</v>
      </c>
      <c r="G244" s="145" t="s">
        <v>635</v>
      </c>
      <c r="H244" s="125" t="s">
        <v>283</v>
      </c>
      <c r="I244" s="126">
        <f t="shared" si="385"/>
        <v>2204772</v>
      </c>
      <c r="J244" s="631">
        <v>1623543</v>
      </c>
      <c r="K244" s="127">
        <f t="shared" si="398"/>
        <v>548758</v>
      </c>
      <c r="L244" s="477">
        <f t="shared" si="399"/>
        <v>32471</v>
      </c>
      <c r="M244" s="478">
        <v>0</v>
      </c>
      <c r="N244" s="390">
        <f t="shared" si="386"/>
        <v>3.65</v>
      </c>
      <c r="O244" s="644">
        <v>3.65</v>
      </c>
      <c r="P244" s="639">
        <v>0</v>
      </c>
      <c r="Q244" s="129">
        <f t="shared" si="387"/>
        <v>-4000</v>
      </c>
      <c r="R244" s="130">
        <v>0</v>
      </c>
      <c r="S244" s="130">
        <v>0</v>
      </c>
      <c r="T244" s="130">
        <v>0</v>
      </c>
      <c r="U244" s="130">
        <f t="shared" si="388"/>
        <v>-4000</v>
      </c>
      <c r="V244" s="130">
        <v>4000</v>
      </c>
      <c r="W244" s="130">
        <v>0</v>
      </c>
      <c r="X244" s="130">
        <v>0</v>
      </c>
      <c r="Y244" s="130">
        <f t="shared" si="438"/>
        <v>4000</v>
      </c>
      <c r="Z244" s="130">
        <f t="shared" si="439"/>
        <v>0</v>
      </c>
      <c r="AA244" s="131">
        <f t="shared" si="440"/>
        <v>0</v>
      </c>
      <c r="AB244" s="131">
        <f t="shared" si="441"/>
        <v>-80</v>
      </c>
      <c r="AC244" s="130">
        <v>0</v>
      </c>
      <c r="AD244" s="130">
        <v>0</v>
      </c>
      <c r="AE244" s="130">
        <f t="shared" si="406"/>
        <v>0</v>
      </c>
      <c r="AF244" s="130">
        <f t="shared" si="407"/>
        <v>-80</v>
      </c>
      <c r="AG244" s="132">
        <v>0</v>
      </c>
      <c r="AH244" s="132">
        <v>0</v>
      </c>
      <c r="AI244" s="132">
        <v>0</v>
      </c>
      <c r="AJ244" s="132">
        <v>0</v>
      </c>
      <c r="AK244" s="132">
        <v>0</v>
      </c>
      <c r="AL244" s="132">
        <f t="shared" si="408"/>
        <v>0</v>
      </c>
      <c r="AM244" s="132">
        <f>AH244+AK244</f>
        <v>0</v>
      </c>
      <c r="AN244" s="403">
        <f t="shared" si="409"/>
        <v>0</v>
      </c>
      <c r="AO244" s="128">
        <f t="shared" si="389"/>
        <v>2204692</v>
      </c>
      <c r="AP244" s="130">
        <f t="shared" si="390"/>
        <v>1619543</v>
      </c>
      <c r="AQ244" s="130">
        <f t="shared" si="391"/>
        <v>4000</v>
      </c>
      <c r="AR244" s="130">
        <f t="shared" si="392"/>
        <v>548758</v>
      </c>
      <c r="AS244" s="130">
        <f t="shared" si="393"/>
        <v>32391</v>
      </c>
      <c r="AT244" s="130">
        <f t="shared" si="394"/>
        <v>0</v>
      </c>
      <c r="AU244" s="132">
        <f t="shared" si="395"/>
        <v>3.65</v>
      </c>
      <c r="AV244" s="132">
        <f t="shared" si="396"/>
        <v>3.65</v>
      </c>
      <c r="AW244" s="133">
        <f t="shared" si="397"/>
        <v>0</v>
      </c>
    </row>
    <row r="245" spans="1:49" ht="14.1" customHeight="1" x14ac:dyDescent="0.2">
      <c r="A245" s="124">
        <v>50</v>
      </c>
      <c r="B245" s="121">
        <v>2490</v>
      </c>
      <c r="C245" s="144">
        <v>600080005</v>
      </c>
      <c r="D245" s="121">
        <v>46746757</v>
      </c>
      <c r="E245" s="123" t="s">
        <v>675</v>
      </c>
      <c r="F245" s="124">
        <v>3143</v>
      </c>
      <c r="G245" s="145" t="s">
        <v>636</v>
      </c>
      <c r="H245" s="125" t="s">
        <v>284</v>
      </c>
      <c r="I245" s="126">
        <f t="shared" si="385"/>
        <v>57581</v>
      </c>
      <c r="J245" s="664">
        <v>40590</v>
      </c>
      <c r="K245" s="127">
        <f t="shared" ref="K245" si="442">ROUND(J245*33.8%,0)</f>
        <v>13719</v>
      </c>
      <c r="L245" s="477">
        <f t="shared" ref="L245" si="443">ROUND(J245*2%,0)</f>
        <v>812</v>
      </c>
      <c r="M245" s="664">
        <v>2460</v>
      </c>
      <c r="N245" s="390">
        <f t="shared" si="386"/>
        <v>0.17</v>
      </c>
      <c r="O245" s="665">
        <v>0</v>
      </c>
      <c r="P245" s="667">
        <v>0.17</v>
      </c>
      <c r="Q245" s="129">
        <f t="shared" si="387"/>
        <v>0</v>
      </c>
      <c r="R245" s="130">
        <v>0</v>
      </c>
      <c r="S245" s="130">
        <v>0</v>
      </c>
      <c r="T245" s="130">
        <v>0</v>
      </c>
      <c r="U245" s="130">
        <f t="shared" si="388"/>
        <v>0</v>
      </c>
      <c r="V245" s="130">
        <v>0</v>
      </c>
      <c r="W245" s="130">
        <v>0</v>
      </c>
      <c r="X245" s="130">
        <v>0</v>
      </c>
      <c r="Y245" s="130">
        <f t="shared" si="438"/>
        <v>0</v>
      </c>
      <c r="Z245" s="130">
        <f t="shared" si="439"/>
        <v>0</v>
      </c>
      <c r="AA245" s="131">
        <f t="shared" si="440"/>
        <v>0</v>
      </c>
      <c r="AB245" s="131">
        <f t="shared" si="441"/>
        <v>0</v>
      </c>
      <c r="AC245" s="130">
        <v>0</v>
      </c>
      <c r="AD245" s="130">
        <v>0</v>
      </c>
      <c r="AE245" s="130">
        <f t="shared" si="406"/>
        <v>0</v>
      </c>
      <c r="AF245" s="130">
        <f t="shared" si="407"/>
        <v>0</v>
      </c>
      <c r="AG245" s="132">
        <v>0</v>
      </c>
      <c r="AH245" s="132">
        <v>0</v>
      </c>
      <c r="AI245" s="132">
        <v>0</v>
      </c>
      <c r="AJ245" s="132">
        <v>0</v>
      </c>
      <c r="AK245" s="132">
        <v>0</v>
      </c>
      <c r="AL245" s="132">
        <f t="shared" si="408"/>
        <v>0</v>
      </c>
      <c r="AM245" s="132">
        <f>AH245+AK245</f>
        <v>0</v>
      </c>
      <c r="AN245" s="403">
        <f t="shared" si="409"/>
        <v>0</v>
      </c>
      <c r="AO245" s="128">
        <f t="shared" si="389"/>
        <v>57581</v>
      </c>
      <c r="AP245" s="130">
        <f t="shared" si="390"/>
        <v>40590</v>
      </c>
      <c r="AQ245" s="130">
        <f t="shared" si="391"/>
        <v>0</v>
      </c>
      <c r="AR245" s="130">
        <f t="shared" si="392"/>
        <v>13719</v>
      </c>
      <c r="AS245" s="130">
        <f t="shared" si="393"/>
        <v>812</v>
      </c>
      <c r="AT245" s="130">
        <f t="shared" si="394"/>
        <v>2460</v>
      </c>
      <c r="AU245" s="132">
        <f t="shared" si="395"/>
        <v>0.17</v>
      </c>
      <c r="AV245" s="132">
        <f t="shared" si="396"/>
        <v>0</v>
      </c>
      <c r="AW245" s="133">
        <f t="shared" si="397"/>
        <v>0.17</v>
      </c>
    </row>
    <row r="246" spans="1:49" ht="14.1" customHeight="1" x14ac:dyDescent="0.2">
      <c r="A246" s="137">
        <v>50</v>
      </c>
      <c r="B246" s="134">
        <v>2490</v>
      </c>
      <c r="C246" s="146">
        <v>600080005</v>
      </c>
      <c r="D246" s="134">
        <v>46746757</v>
      </c>
      <c r="E246" s="136" t="s">
        <v>676</v>
      </c>
      <c r="F246" s="137"/>
      <c r="G246" s="136"/>
      <c r="H246" s="138"/>
      <c r="I246" s="139">
        <f t="shared" ref="I246:P246" si="444">SUM(I241:I245)</f>
        <v>28259313</v>
      </c>
      <c r="J246" s="140">
        <f t="shared" si="444"/>
        <v>20437565</v>
      </c>
      <c r="K246" s="140">
        <f t="shared" si="444"/>
        <v>6907896</v>
      </c>
      <c r="L246" s="140">
        <f t="shared" si="444"/>
        <v>408752</v>
      </c>
      <c r="M246" s="140">
        <f t="shared" si="444"/>
        <v>505100</v>
      </c>
      <c r="N246" s="141">
        <f t="shared" si="444"/>
        <v>40.759</v>
      </c>
      <c r="O246" s="141">
        <f t="shared" si="444"/>
        <v>29.0124</v>
      </c>
      <c r="P246" s="142">
        <f t="shared" si="444"/>
        <v>11.746599999999999</v>
      </c>
      <c r="Q246" s="342">
        <f t="shared" ref="Q246:AW246" si="445">SUM(Q241:Q245)</f>
        <v>-88000</v>
      </c>
      <c r="R246" s="140">
        <f t="shared" si="445"/>
        <v>1164433</v>
      </c>
      <c r="S246" s="140">
        <f t="shared" si="445"/>
        <v>0</v>
      </c>
      <c r="T246" s="140">
        <f t="shared" si="445"/>
        <v>0</v>
      </c>
      <c r="U246" s="140">
        <f t="shared" si="445"/>
        <v>1076433</v>
      </c>
      <c r="V246" s="140">
        <f t="shared" si="445"/>
        <v>88000</v>
      </c>
      <c r="W246" s="140">
        <f t="shared" si="445"/>
        <v>0</v>
      </c>
      <c r="X246" s="140">
        <f t="shared" si="445"/>
        <v>0</v>
      </c>
      <c r="Y246" s="140">
        <f t="shared" si="445"/>
        <v>88000</v>
      </c>
      <c r="Z246" s="140">
        <f t="shared" si="445"/>
        <v>1164433</v>
      </c>
      <c r="AA246" s="140">
        <f t="shared" si="445"/>
        <v>393578</v>
      </c>
      <c r="AB246" s="140">
        <f t="shared" si="445"/>
        <v>21529</v>
      </c>
      <c r="AC246" s="140">
        <f t="shared" si="445"/>
        <v>0</v>
      </c>
      <c r="AD246" s="140">
        <f t="shared" si="445"/>
        <v>0</v>
      </c>
      <c r="AE246" s="140">
        <f t="shared" si="445"/>
        <v>0</v>
      </c>
      <c r="AF246" s="140">
        <f t="shared" si="445"/>
        <v>1579540</v>
      </c>
      <c r="AG246" s="141">
        <f t="shared" si="445"/>
        <v>-0.11</v>
      </c>
      <c r="AH246" s="141">
        <f t="shared" si="445"/>
        <v>0</v>
      </c>
      <c r="AI246" s="141">
        <f t="shared" si="445"/>
        <v>3.14</v>
      </c>
      <c r="AJ246" s="141">
        <f t="shared" si="445"/>
        <v>0</v>
      </c>
      <c r="AK246" s="141">
        <f t="shared" si="445"/>
        <v>0</v>
      </c>
      <c r="AL246" s="141">
        <f t="shared" si="445"/>
        <v>3.0300000000000002</v>
      </c>
      <c r="AM246" s="141">
        <f t="shared" si="445"/>
        <v>0</v>
      </c>
      <c r="AN246" s="635">
        <f t="shared" si="445"/>
        <v>3.0300000000000002</v>
      </c>
      <c r="AO246" s="139">
        <f t="shared" si="445"/>
        <v>29838853</v>
      </c>
      <c r="AP246" s="140">
        <f t="shared" si="445"/>
        <v>21513998</v>
      </c>
      <c r="AQ246" s="140">
        <f t="shared" si="445"/>
        <v>88000</v>
      </c>
      <c r="AR246" s="140">
        <f t="shared" si="445"/>
        <v>7301474</v>
      </c>
      <c r="AS246" s="140">
        <f t="shared" si="445"/>
        <v>430281</v>
      </c>
      <c r="AT246" s="140">
        <f t="shared" si="445"/>
        <v>505100</v>
      </c>
      <c r="AU246" s="141">
        <f t="shared" si="445"/>
        <v>43.789000000000001</v>
      </c>
      <c r="AV246" s="141">
        <f t="shared" si="445"/>
        <v>32.042400000000001</v>
      </c>
      <c r="AW246" s="142">
        <f t="shared" si="445"/>
        <v>11.746599999999999</v>
      </c>
    </row>
    <row r="247" spans="1:49" ht="14.1" customHeight="1" x14ac:dyDescent="0.2">
      <c r="A247" s="124">
        <v>51</v>
      </c>
      <c r="B247" s="121">
        <v>2310</v>
      </c>
      <c r="C247" s="122">
        <v>600080412</v>
      </c>
      <c r="D247" s="121">
        <v>72742038</v>
      </c>
      <c r="E247" s="123" t="s">
        <v>677</v>
      </c>
      <c r="F247" s="124">
        <v>3114</v>
      </c>
      <c r="G247" s="313" t="s">
        <v>565</v>
      </c>
      <c r="H247" s="125" t="s">
        <v>283</v>
      </c>
      <c r="I247" s="126">
        <f t="shared" si="385"/>
        <v>25472412</v>
      </c>
      <c r="J247" s="127">
        <v>18527623</v>
      </c>
      <c r="K247" s="127">
        <f t="shared" si="398"/>
        <v>6262337</v>
      </c>
      <c r="L247" s="477">
        <f t="shared" si="399"/>
        <v>370552</v>
      </c>
      <c r="M247" s="127">
        <v>311900</v>
      </c>
      <c r="N247" s="390">
        <f t="shared" si="386"/>
        <v>33.252099999999999</v>
      </c>
      <c r="O247" s="390">
        <v>24.7727</v>
      </c>
      <c r="P247" s="439">
        <v>8.4794</v>
      </c>
      <c r="Q247" s="129">
        <f t="shared" si="387"/>
        <v>-16000</v>
      </c>
      <c r="R247" s="130">
        <v>0</v>
      </c>
      <c r="S247" s="130">
        <v>0</v>
      </c>
      <c r="T247" s="130">
        <v>0</v>
      </c>
      <c r="U247" s="130">
        <f t="shared" si="388"/>
        <v>-16000</v>
      </c>
      <c r="V247" s="130">
        <v>16000</v>
      </c>
      <c r="W247" s="130">
        <v>0</v>
      </c>
      <c r="X247" s="130">
        <v>0</v>
      </c>
      <c r="Y247" s="130">
        <f t="shared" ref="Y247:Y252" si="446">SUM(V247:X247)</f>
        <v>16000</v>
      </c>
      <c r="Z247" s="130">
        <f t="shared" ref="Z247:Z252" si="447">U247+Y247</f>
        <v>0</v>
      </c>
      <c r="AA247" s="131">
        <f t="shared" ref="AA247:AA252" si="448">ROUND((U247+V247+W247)*33.8%,0)</f>
        <v>0</v>
      </c>
      <c r="AB247" s="131">
        <f t="shared" ref="AB247:AB252" si="449">ROUND(U247*2%,0)</f>
        <v>-320</v>
      </c>
      <c r="AC247" s="130">
        <v>0</v>
      </c>
      <c r="AD247" s="130">
        <v>0</v>
      </c>
      <c r="AE247" s="130">
        <f t="shared" si="406"/>
        <v>0</v>
      </c>
      <c r="AF247" s="130">
        <f t="shared" si="407"/>
        <v>-320</v>
      </c>
      <c r="AG247" s="132">
        <v>0</v>
      </c>
      <c r="AH247" s="132">
        <v>-0.08</v>
      </c>
      <c r="AI247" s="132">
        <v>0</v>
      </c>
      <c r="AJ247" s="132">
        <v>0</v>
      </c>
      <c r="AK247" s="132">
        <v>0</v>
      </c>
      <c r="AL247" s="132">
        <f t="shared" si="408"/>
        <v>0</v>
      </c>
      <c r="AM247" s="132">
        <f t="shared" ref="AM247:AM252" si="450">AH247+AK247</f>
        <v>-0.08</v>
      </c>
      <c r="AN247" s="403">
        <f t="shared" si="409"/>
        <v>-0.08</v>
      </c>
      <c r="AO247" s="128">
        <f t="shared" si="389"/>
        <v>25472092</v>
      </c>
      <c r="AP247" s="130">
        <f t="shared" si="390"/>
        <v>18511623</v>
      </c>
      <c r="AQ247" s="130">
        <f t="shared" si="391"/>
        <v>16000</v>
      </c>
      <c r="AR247" s="130">
        <f t="shared" si="392"/>
        <v>6262337</v>
      </c>
      <c r="AS247" s="130">
        <f t="shared" si="393"/>
        <v>370232</v>
      </c>
      <c r="AT247" s="130">
        <f t="shared" si="394"/>
        <v>311900</v>
      </c>
      <c r="AU247" s="132">
        <f t="shared" si="395"/>
        <v>33.1721</v>
      </c>
      <c r="AV247" s="132">
        <f t="shared" si="396"/>
        <v>24.7727</v>
      </c>
      <c r="AW247" s="133">
        <f t="shared" si="397"/>
        <v>8.3994</v>
      </c>
    </row>
    <row r="248" spans="1:49" ht="14.1" customHeight="1" x14ac:dyDescent="0.2">
      <c r="A248" s="124">
        <v>51</v>
      </c>
      <c r="B248" s="121">
        <v>2310</v>
      </c>
      <c r="C248" s="122">
        <v>600080412</v>
      </c>
      <c r="D248" s="121">
        <v>72742038</v>
      </c>
      <c r="E248" s="123" t="s">
        <v>677</v>
      </c>
      <c r="F248" s="124">
        <v>3114</v>
      </c>
      <c r="G248" s="98" t="s">
        <v>319</v>
      </c>
      <c r="H248" s="125" t="s">
        <v>283</v>
      </c>
      <c r="I248" s="126">
        <f t="shared" si="385"/>
        <v>9070146</v>
      </c>
      <c r="J248" s="631">
        <v>6679047</v>
      </c>
      <c r="K248" s="127">
        <f t="shared" si="398"/>
        <v>2257518</v>
      </c>
      <c r="L248" s="477">
        <f t="shared" si="399"/>
        <v>133581</v>
      </c>
      <c r="M248" s="478">
        <v>0</v>
      </c>
      <c r="N248" s="390">
        <f t="shared" si="386"/>
        <v>17.6114</v>
      </c>
      <c r="O248" s="644">
        <v>17.6114</v>
      </c>
      <c r="P248" s="639">
        <v>0</v>
      </c>
      <c r="Q248" s="129">
        <f t="shared" si="387"/>
        <v>0</v>
      </c>
      <c r="R248" s="130">
        <v>0</v>
      </c>
      <c r="S248" s="130">
        <v>0</v>
      </c>
      <c r="T248" s="130">
        <v>0</v>
      </c>
      <c r="U248" s="130">
        <f t="shared" si="388"/>
        <v>0</v>
      </c>
      <c r="V248" s="130">
        <v>0</v>
      </c>
      <c r="W248" s="130">
        <v>0</v>
      </c>
      <c r="X248" s="130">
        <v>0</v>
      </c>
      <c r="Y248" s="130">
        <f t="shared" si="446"/>
        <v>0</v>
      </c>
      <c r="Z248" s="130">
        <f t="shared" si="447"/>
        <v>0</v>
      </c>
      <c r="AA248" s="131">
        <f t="shared" si="448"/>
        <v>0</v>
      </c>
      <c r="AB248" s="131">
        <f t="shared" si="449"/>
        <v>0</v>
      </c>
      <c r="AC248" s="130">
        <v>0</v>
      </c>
      <c r="AD248" s="130">
        <v>0</v>
      </c>
      <c r="AE248" s="130">
        <f t="shared" si="406"/>
        <v>0</v>
      </c>
      <c r="AF248" s="130">
        <f t="shared" si="407"/>
        <v>0</v>
      </c>
      <c r="AG248" s="132">
        <v>0</v>
      </c>
      <c r="AH248" s="132">
        <v>0</v>
      </c>
      <c r="AI248" s="132">
        <v>0</v>
      </c>
      <c r="AJ248" s="132">
        <v>0</v>
      </c>
      <c r="AK248" s="132">
        <v>0</v>
      </c>
      <c r="AL248" s="132">
        <f t="shared" si="408"/>
        <v>0</v>
      </c>
      <c r="AM248" s="132">
        <f t="shared" si="450"/>
        <v>0</v>
      </c>
      <c r="AN248" s="403">
        <f t="shared" si="409"/>
        <v>0</v>
      </c>
      <c r="AO248" s="128">
        <f t="shared" si="389"/>
        <v>9070146</v>
      </c>
      <c r="AP248" s="130">
        <f t="shared" si="390"/>
        <v>6679047</v>
      </c>
      <c r="AQ248" s="130">
        <f t="shared" si="391"/>
        <v>0</v>
      </c>
      <c r="AR248" s="130">
        <f t="shared" si="392"/>
        <v>2257518</v>
      </c>
      <c r="AS248" s="130">
        <f t="shared" si="393"/>
        <v>133581</v>
      </c>
      <c r="AT248" s="130">
        <f t="shared" si="394"/>
        <v>0</v>
      </c>
      <c r="AU248" s="132">
        <f t="shared" si="395"/>
        <v>17.6114</v>
      </c>
      <c r="AV248" s="132">
        <f t="shared" si="396"/>
        <v>17.6114</v>
      </c>
      <c r="AW248" s="133">
        <f t="shared" si="397"/>
        <v>0</v>
      </c>
    </row>
    <row r="249" spans="1:49" ht="14.1" customHeight="1" x14ac:dyDescent="0.2">
      <c r="A249" s="124">
        <v>51</v>
      </c>
      <c r="B249" s="121">
        <v>2310</v>
      </c>
      <c r="C249" s="122">
        <v>600080412</v>
      </c>
      <c r="D249" s="121">
        <v>72742038</v>
      </c>
      <c r="E249" s="123" t="s">
        <v>677</v>
      </c>
      <c r="F249" s="124">
        <v>3114</v>
      </c>
      <c r="G249" s="143" t="s">
        <v>318</v>
      </c>
      <c r="H249" s="125" t="s">
        <v>284</v>
      </c>
      <c r="I249" s="126">
        <f t="shared" si="385"/>
        <v>0</v>
      </c>
      <c r="J249" s="29">
        <v>0</v>
      </c>
      <c r="K249" s="127">
        <f t="shared" si="398"/>
        <v>0</v>
      </c>
      <c r="L249" s="477">
        <f t="shared" si="399"/>
        <v>0</v>
      </c>
      <c r="M249" s="29">
        <v>0</v>
      </c>
      <c r="N249" s="390">
        <f t="shared" si="386"/>
        <v>0</v>
      </c>
      <c r="O249" s="349">
        <v>0</v>
      </c>
      <c r="P249" s="639">
        <v>0</v>
      </c>
      <c r="Q249" s="129">
        <f t="shared" si="387"/>
        <v>0</v>
      </c>
      <c r="R249" s="130">
        <v>0</v>
      </c>
      <c r="S249" s="130">
        <v>0</v>
      </c>
      <c r="T249" s="130">
        <v>0</v>
      </c>
      <c r="U249" s="130">
        <f t="shared" si="388"/>
        <v>0</v>
      </c>
      <c r="V249" s="130">
        <v>0</v>
      </c>
      <c r="W249" s="130">
        <v>0</v>
      </c>
      <c r="X249" s="130">
        <v>0</v>
      </c>
      <c r="Y249" s="130">
        <f t="shared" si="446"/>
        <v>0</v>
      </c>
      <c r="Z249" s="130">
        <f t="shared" si="447"/>
        <v>0</v>
      </c>
      <c r="AA249" s="131">
        <f t="shared" si="448"/>
        <v>0</v>
      </c>
      <c r="AB249" s="131">
        <f t="shared" si="449"/>
        <v>0</v>
      </c>
      <c r="AC249" s="130">
        <v>0</v>
      </c>
      <c r="AD249" s="130">
        <v>0</v>
      </c>
      <c r="AE249" s="130">
        <f t="shared" si="406"/>
        <v>0</v>
      </c>
      <c r="AF249" s="130">
        <f t="shared" si="407"/>
        <v>0</v>
      </c>
      <c r="AG249" s="132">
        <v>0</v>
      </c>
      <c r="AH249" s="132">
        <v>0</v>
      </c>
      <c r="AI249" s="132">
        <v>0</v>
      </c>
      <c r="AJ249" s="132">
        <v>0</v>
      </c>
      <c r="AK249" s="132">
        <v>0</v>
      </c>
      <c r="AL249" s="132">
        <f t="shared" si="408"/>
        <v>0</v>
      </c>
      <c r="AM249" s="132">
        <f t="shared" si="450"/>
        <v>0</v>
      </c>
      <c r="AN249" s="403">
        <f t="shared" si="409"/>
        <v>0</v>
      </c>
      <c r="AO249" s="128">
        <f t="shared" si="389"/>
        <v>0</v>
      </c>
      <c r="AP249" s="130">
        <f t="shared" si="390"/>
        <v>0</v>
      </c>
      <c r="AQ249" s="130">
        <f t="shared" si="391"/>
        <v>0</v>
      </c>
      <c r="AR249" s="130">
        <f t="shared" si="392"/>
        <v>0</v>
      </c>
      <c r="AS249" s="130">
        <f t="shared" si="393"/>
        <v>0</v>
      </c>
      <c r="AT249" s="130">
        <f t="shared" si="394"/>
        <v>0</v>
      </c>
      <c r="AU249" s="132">
        <f t="shared" si="395"/>
        <v>0</v>
      </c>
      <c r="AV249" s="132">
        <f t="shared" si="396"/>
        <v>0</v>
      </c>
      <c r="AW249" s="133">
        <f t="shared" si="397"/>
        <v>0</v>
      </c>
    </row>
    <row r="250" spans="1:49" ht="14.1" customHeight="1" x14ac:dyDescent="0.2">
      <c r="A250" s="124">
        <v>51</v>
      </c>
      <c r="B250" s="121">
        <v>2310</v>
      </c>
      <c r="C250" s="122">
        <v>600080412</v>
      </c>
      <c r="D250" s="121">
        <v>72742038</v>
      </c>
      <c r="E250" s="123" t="s">
        <v>677</v>
      </c>
      <c r="F250" s="124">
        <v>3141</v>
      </c>
      <c r="G250" s="123" t="s">
        <v>321</v>
      </c>
      <c r="H250" s="125" t="s">
        <v>284</v>
      </c>
      <c r="I250" s="126">
        <f t="shared" si="385"/>
        <v>94519</v>
      </c>
      <c r="J250" s="666">
        <v>69014</v>
      </c>
      <c r="K250" s="127">
        <f t="shared" si="398"/>
        <v>23327</v>
      </c>
      <c r="L250" s="477">
        <f t="shared" si="399"/>
        <v>1380</v>
      </c>
      <c r="M250" s="666">
        <v>798</v>
      </c>
      <c r="N250" s="390">
        <f t="shared" si="386"/>
        <v>0.23</v>
      </c>
      <c r="O250" s="668">
        <v>0</v>
      </c>
      <c r="P250" s="667">
        <v>0.23</v>
      </c>
      <c r="Q250" s="129">
        <f t="shared" si="387"/>
        <v>0</v>
      </c>
      <c r="R250" s="130">
        <v>0</v>
      </c>
      <c r="S250" s="130">
        <v>0</v>
      </c>
      <c r="T250" s="130">
        <v>0</v>
      </c>
      <c r="U250" s="130">
        <f t="shared" si="388"/>
        <v>0</v>
      </c>
      <c r="V250" s="130">
        <v>0</v>
      </c>
      <c r="W250" s="130">
        <v>0</v>
      </c>
      <c r="X250" s="130">
        <v>0</v>
      </c>
      <c r="Y250" s="130">
        <f t="shared" si="446"/>
        <v>0</v>
      </c>
      <c r="Z250" s="130">
        <f t="shared" si="447"/>
        <v>0</v>
      </c>
      <c r="AA250" s="131">
        <f t="shared" si="448"/>
        <v>0</v>
      </c>
      <c r="AB250" s="131">
        <f t="shared" si="449"/>
        <v>0</v>
      </c>
      <c r="AC250" s="130">
        <v>0</v>
      </c>
      <c r="AD250" s="130">
        <v>0</v>
      </c>
      <c r="AE250" s="130">
        <f t="shared" si="406"/>
        <v>0</v>
      </c>
      <c r="AF250" s="130">
        <f t="shared" si="407"/>
        <v>0</v>
      </c>
      <c r="AG250" s="132">
        <v>0</v>
      </c>
      <c r="AH250" s="132">
        <v>0</v>
      </c>
      <c r="AI250" s="132">
        <v>0</v>
      </c>
      <c r="AJ250" s="132">
        <v>0</v>
      </c>
      <c r="AK250" s="132">
        <v>0</v>
      </c>
      <c r="AL250" s="132">
        <f t="shared" si="408"/>
        <v>0</v>
      </c>
      <c r="AM250" s="132">
        <f t="shared" si="450"/>
        <v>0</v>
      </c>
      <c r="AN250" s="403">
        <f t="shared" si="409"/>
        <v>0</v>
      </c>
      <c r="AO250" s="128">
        <f t="shared" si="389"/>
        <v>94519</v>
      </c>
      <c r="AP250" s="130">
        <f t="shared" si="390"/>
        <v>69014</v>
      </c>
      <c r="AQ250" s="130">
        <f t="shared" si="391"/>
        <v>0</v>
      </c>
      <c r="AR250" s="130">
        <f t="shared" si="392"/>
        <v>23327</v>
      </c>
      <c r="AS250" s="130">
        <f t="shared" si="393"/>
        <v>1380</v>
      </c>
      <c r="AT250" s="130">
        <f t="shared" si="394"/>
        <v>798</v>
      </c>
      <c r="AU250" s="132">
        <f t="shared" si="395"/>
        <v>0.23</v>
      </c>
      <c r="AV250" s="132">
        <f t="shared" si="396"/>
        <v>0</v>
      </c>
      <c r="AW250" s="133">
        <f t="shared" si="397"/>
        <v>0.23</v>
      </c>
    </row>
    <row r="251" spans="1:49" ht="14.1" customHeight="1" x14ac:dyDescent="0.2">
      <c r="A251" s="124">
        <v>51</v>
      </c>
      <c r="B251" s="121">
        <v>2310</v>
      </c>
      <c r="C251" s="122">
        <v>600080412</v>
      </c>
      <c r="D251" s="121">
        <v>72742038</v>
      </c>
      <c r="E251" s="123" t="s">
        <v>677</v>
      </c>
      <c r="F251" s="124">
        <v>3143</v>
      </c>
      <c r="G251" s="145" t="s">
        <v>635</v>
      </c>
      <c r="H251" s="125" t="s">
        <v>283</v>
      </c>
      <c r="I251" s="126">
        <f t="shared" si="385"/>
        <v>1521150</v>
      </c>
      <c r="J251" s="631">
        <v>1120140</v>
      </c>
      <c r="K251" s="127">
        <f t="shared" si="398"/>
        <v>378607</v>
      </c>
      <c r="L251" s="477">
        <f t="shared" si="399"/>
        <v>22403</v>
      </c>
      <c r="M251" s="478">
        <v>0</v>
      </c>
      <c r="N251" s="390">
        <f t="shared" si="386"/>
        <v>2.5</v>
      </c>
      <c r="O251" s="644">
        <v>2.5</v>
      </c>
      <c r="P251" s="639">
        <v>0</v>
      </c>
      <c r="Q251" s="129">
        <f t="shared" si="387"/>
        <v>0</v>
      </c>
      <c r="R251" s="130">
        <v>0</v>
      </c>
      <c r="S251" s="130">
        <v>0</v>
      </c>
      <c r="T251" s="130">
        <v>0</v>
      </c>
      <c r="U251" s="130">
        <f t="shared" si="388"/>
        <v>0</v>
      </c>
      <c r="V251" s="130">
        <v>0</v>
      </c>
      <c r="W251" s="130">
        <v>0</v>
      </c>
      <c r="X251" s="130">
        <v>0</v>
      </c>
      <c r="Y251" s="130">
        <f t="shared" si="446"/>
        <v>0</v>
      </c>
      <c r="Z251" s="130">
        <f t="shared" si="447"/>
        <v>0</v>
      </c>
      <c r="AA251" s="131">
        <f t="shared" si="448"/>
        <v>0</v>
      </c>
      <c r="AB251" s="131">
        <f t="shared" si="449"/>
        <v>0</v>
      </c>
      <c r="AC251" s="130">
        <v>0</v>
      </c>
      <c r="AD251" s="130">
        <v>0</v>
      </c>
      <c r="AE251" s="130">
        <f t="shared" si="406"/>
        <v>0</v>
      </c>
      <c r="AF251" s="130">
        <f t="shared" si="407"/>
        <v>0</v>
      </c>
      <c r="AG251" s="132">
        <v>0</v>
      </c>
      <c r="AH251" s="132">
        <v>0</v>
      </c>
      <c r="AI251" s="132">
        <v>0</v>
      </c>
      <c r="AJ251" s="132">
        <v>0</v>
      </c>
      <c r="AK251" s="132">
        <v>0</v>
      </c>
      <c r="AL251" s="132">
        <f t="shared" si="408"/>
        <v>0</v>
      </c>
      <c r="AM251" s="132">
        <f t="shared" si="450"/>
        <v>0</v>
      </c>
      <c r="AN251" s="403">
        <f t="shared" si="409"/>
        <v>0</v>
      </c>
      <c r="AO251" s="128">
        <f t="shared" si="389"/>
        <v>1521150</v>
      </c>
      <c r="AP251" s="130">
        <f t="shared" si="390"/>
        <v>1120140</v>
      </c>
      <c r="AQ251" s="130">
        <f t="shared" si="391"/>
        <v>0</v>
      </c>
      <c r="AR251" s="130">
        <f t="shared" si="392"/>
        <v>378607</v>
      </c>
      <c r="AS251" s="130">
        <f t="shared" si="393"/>
        <v>22403</v>
      </c>
      <c r="AT251" s="130">
        <f t="shared" si="394"/>
        <v>0</v>
      </c>
      <c r="AU251" s="132">
        <f t="shared" si="395"/>
        <v>2.5</v>
      </c>
      <c r="AV251" s="132">
        <f t="shared" si="396"/>
        <v>2.5</v>
      </c>
      <c r="AW251" s="133">
        <f t="shared" si="397"/>
        <v>0</v>
      </c>
    </row>
    <row r="252" spans="1:49" ht="14.1" customHeight="1" x14ac:dyDescent="0.2">
      <c r="A252" s="124">
        <v>51</v>
      </c>
      <c r="B252" s="121">
        <v>2310</v>
      </c>
      <c r="C252" s="122">
        <v>600080412</v>
      </c>
      <c r="D252" s="121">
        <v>72742038</v>
      </c>
      <c r="E252" s="123" t="s">
        <v>677</v>
      </c>
      <c r="F252" s="124">
        <v>3143</v>
      </c>
      <c r="G252" s="145" t="s">
        <v>636</v>
      </c>
      <c r="H252" s="125" t="s">
        <v>284</v>
      </c>
      <c r="I252" s="126">
        <f t="shared" si="385"/>
        <v>28088</v>
      </c>
      <c r="J252" s="664">
        <v>19800</v>
      </c>
      <c r="K252" s="127">
        <f t="shared" ref="K252" si="451">ROUND(J252*33.8%,0)</f>
        <v>6692</v>
      </c>
      <c r="L252" s="477">
        <f t="shared" ref="L252" si="452">ROUND(J252*2%,0)</f>
        <v>396</v>
      </c>
      <c r="M252" s="664">
        <v>1200</v>
      </c>
      <c r="N252" s="390">
        <f t="shared" si="386"/>
        <v>0.08</v>
      </c>
      <c r="O252" s="665">
        <v>0</v>
      </c>
      <c r="P252" s="667">
        <v>0.08</v>
      </c>
      <c r="Q252" s="129">
        <f t="shared" si="387"/>
        <v>0</v>
      </c>
      <c r="R252" s="130">
        <v>0</v>
      </c>
      <c r="S252" s="130">
        <v>0</v>
      </c>
      <c r="T252" s="130">
        <v>0</v>
      </c>
      <c r="U252" s="130">
        <f t="shared" si="388"/>
        <v>0</v>
      </c>
      <c r="V252" s="130">
        <v>0</v>
      </c>
      <c r="W252" s="130">
        <v>0</v>
      </c>
      <c r="X252" s="130">
        <v>0</v>
      </c>
      <c r="Y252" s="130">
        <f t="shared" si="446"/>
        <v>0</v>
      </c>
      <c r="Z252" s="130">
        <f t="shared" si="447"/>
        <v>0</v>
      </c>
      <c r="AA252" s="131">
        <f t="shared" si="448"/>
        <v>0</v>
      </c>
      <c r="AB252" s="131">
        <f t="shared" si="449"/>
        <v>0</v>
      </c>
      <c r="AC252" s="130">
        <v>0</v>
      </c>
      <c r="AD252" s="130">
        <v>0</v>
      </c>
      <c r="AE252" s="130">
        <f t="shared" si="406"/>
        <v>0</v>
      </c>
      <c r="AF252" s="130">
        <f t="shared" si="407"/>
        <v>0</v>
      </c>
      <c r="AG252" s="132">
        <v>0</v>
      </c>
      <c r="AH252" s="132">
        <v>0</v>
      </c>
      <c r="AI252" s="132">
        <v>0</v>
      </c>
      <c r="AJ252" s="132">
        <v>0</v>
      </c>
      <c r="AK252" s="132">
        <v>0</v>
      </c>
      <c r="AL252" s="132">
        <f t="shared" si="408"/>
        <v>0</v>
      </c>
      <c r="AM252" s="132">
        <f t="shared" si="450"/>
        <v>0</v>
      </c>
      <c r="AN252" s="403">
        <f t="shared" si="409"/>
        <v>0</v>
      </c>
      <c r="AO252" s="128">
        <f t="shared" si="389"/>
        <v>28088</v>
      </c>
      <c r="AP252" s="130">
        <f t="shared" si="390"/>
        <v>19800</v>
      </c>
      <c r="AQ252" s="130">
        <f t="shared" si="391"/>
        <v>0</v>
      </c>
      <c r="AR252" s="130">
        <f t="shared" si="392"/>
        <v>6692</v>
      </c>
      <c r="AS252" s="130">
        <f t="shared" si="393"/>
        <v>396</v>
      </c>
      <c r="AT252" s="130">
        <f t="shared" si="394"/>
        <v>1200</v>
      </c>
      <c r="AU252" s="132">
        <f t="shared" si="395"/>
        <v>0.08</v>
      </c>
      <c r="AV252" s="132">
        <f t="shared" si="396"/>
        <v>0</v>
      </c>
      <c r="AW252" s="133">
        <f t="shared" si="397"/>
        <v>0.08</v>
      </c>
    </row>
    <row r="253" spans="1:49" ht="14.1" customHeight="1" x14ac:dyDescent="0.2">
      <c r="A253" s="137">
        <v>51</v>
      </c>
      <c r="B253" s="134">
        <v>2310</v>
      </c>
      <c r="C253" s="135">
        <v>600080412</v>
      </c>
      <c r="D253" s="134">
        <v>72742038</v>
      </c>
      <c r="E253" s="136" t="s">
        <v>678</v>
      </c>
      <c r="F253" s="137"/>
      <c r="G253" s="136"/>
      <c r="H253" s="138"/>
      <c r="I253" s="139">
        <f t="shared" ref="I253:P253" si="453">SUM(I247:I252)</f>
        <v>36186315</v>
      </c>
      <c r="J253" s="140">
        <f t="shared" si="453"/>
        <v>26415624</v>
      </c>
      <c r="K253" s="140">
        <f t="shared" si="453"/>
        <v>8928481</v>
      </c>
      <c r="L253" s="140">
        <f t="shared" si="453"/>
        <v>528312</v>
      </c>
      <c r="M253" s="140">
        <f t="shared" si="453"/>
        <v>313898</v>
      </c>
      <c r="N253" s="141">
        <f t="shared" si="453"/>
        <v>53.673499999999997</v>
      </c>
      <c r="O253" s="141">
        <f t="shared" si="453"/>
        <v>44.884100000000004</v>
      </c>
      <c r="P253" s="142">
        <f t="shared" si="453"/>
        <v>8.7894000000000005</v>
      </c>
      <c r="Q253" s="342">
        <f t="shared" ref="Q253:AW253" si="454">SUM(Q247:Q252)</f>
        <v>-16000</v>
      </c>
      <c r="R253" s="140">
        <f t="shared" si="454"/>
        <v>0</v>
      </c>
      <c r="S253" s="140">
        <f t="shared" si="454"/>
        <v>0</v>
      </c>
      <c r="T253" s="140">
        <f t="shared" si="454"/>
        <v>0</v>
      </c>
      <c r="U253" s="140">
        <f t="shared" si="454"/>
        <v>-16000</v>
      </c>
      <c r="V253" s="140">
        <f t="shared" si="454"/>
        <v>16000</v>
      </c>
      <c r="W253" s="140">
        <f t="shared" si="454"/>
        <v>0</v>
      </c>
      <c r="X253" s="140">
        <f t="shared" si="454"/>
        <v>0</v>
      </c>
      <c r="Y253" s="140">
        <f t="shared" si="454"/>
        <v>16000</v>
      </c>
      <c r="Z253" s="140">
        <f t="shared" si="454"/>
        <v>0</v>
      </c>
      <c r="AA253" s="140">
        <f t="shared" si="454"/>
        <v>0</v>
      </c>
      <c r="AB253" s="140">
        <f t="shared" si="454"/>
        <v>-320</v>
      </c>
      <c r="AC253" s="140">
        <f t="shared" si="454"/>
        <v>0</v>
      </c>
      <c r="AD253" s="140">
        <f t="shared" si="454"/>
        <v>0</v>
      </c>
      <c r="AE253" s="140">
        <f t="shared" si="454"/>
        <v>0</v>
      </c>
      <c r="AF253" s="140">
        <f t="shared" si="454"/>
        <v>-320</v>
      </c>
      <c r="AG253" s="141">
        <f t="shared" si="454"/>
        <v>0</v>
      </c>
      <c r="AH253" s="141">
        <f t="shared" si="454"/>
        <v>-0.08</v>
      </c>
      <c r="AI253" s="141">
        <f t="shared" si="454"/>
        <v>0</v>
      </c>
      <c r="AJ253" s="141">
        <f t="shared" si="454"/>
        <v>0</v>
      </c>
      <c r="AK253" s="141">
        <f t="shared" si="454"/>
        <v>0</v>
      </c>
      <c r="AL253" s="141">
        <f t="shared" si="454"/>
        <v>0</v>
      </c>
      <c r="AM253" s="141">
        <f t="shared" si="454"/>
        <v>-0.08</v>
      </c>
      <c r="AN253" s="635">
        <f t="shared" si="454"/>
        <v>-0.08</v>
      </c>
      <c r="AO253" s="139">
        <f t="shared" si="454"/>
        <v>36185995</v>
      </c>
      <c r="AP253" s="140">
        <f t="shared" si="454"/>
        <v>26399624</v>
      </c>
      <c r="AQ253" s="140">
        <f t="shared" si="454"/>
        <v>16000</v>
      </c>
      <c r="AR253" s="140">
        <f t="shared" si="454"/>
        <v>8928481</v>
      </c>
      <c r="AS253" s="140">
        <f t="shared" si="454"/>
        <v>527992</v>
      </c>
      <c r="AT253" s="140">
        <f t="shared" si="454"/>
        <v>313898</v>
      </c>
      <c r="AU253" s="141">
        <f t="shared" si="454"/>
        <v>53.593499999999999</v>
      </c>
      <c r="AV253" s="141">
        <f t="shared" si="454"/>
        <v>44.884100000000004</v>
      </c>
      <c r="AW253" s="142">
        <f t="shared" si="454"/>
        <v>8.7094000000000005</v>
      </c>
    </row>
    <row r="254" spans="1:49" ht="14.1" customHeight="1" x14ac:dyDescent="0.2">
      <c r="A254" s="124">
        <v>52</v>
      </c>
      <c r="B254" s="121">
        <v>2313</v>
      </c>
      <c r="C254" s="122">
        <v>600080323</v>
      </c>
      <c r="D254" s="121">
        <v>64040445</v>
      </c>
      <c r="E254" s="123" t="s">
        <v>679</v>
      </c>
      <c r="F254" s="124">
        <v>3231</v>
      </c>
      <c r="G254" s="123" t="s">
        <v>322</v>
      </c>
      <c r="H254" s="125" t="s">
        <v>283</v>
      </c>
      <c r="I254" s="126">
        <f t="shared" si="385"/>
        <v>50086049</v>
      </c>
      <c r="J254" s="478">
        <v>36758232</v>
      </c>
      <c r="K254" s="127">
        <f t="shared" si="398"/>
        <v>12424282</v>
      </c>
      <c r="L254" s="477">
        <f t="shared" si="399"/>
        <v>735165</v>
      </c>
      <c r="M254" s="478">
        <v>168370</v>
      </c>
      <c r="N254" s="390">
        <f t="shared" si="386"/>
        <v>71.164100000000005</v>
      </c>
      <c r="O254" s="349">
        <v>63.293399999999998</v>
      </c>
      <c r="P254" s="639">
        <v>7.8707000000000003</v>
      </c>
      <c r="Q254" s="129">
        <f t="shared" si="387"/>
        <v>-80000</v>
      </c>
      <c r="R254" s="130">
        <v>0</v>
      </c>
      <c r="S254" s="130">
        <v>0</v>
      </c>
      <c r="T254" s="130">
        <v>0</v>
      </c>
      <c r="U254" s="130">
        <f t="shared" si="388"/>
        <v>-80000</v>
      </c>
      <c r="V254" s="130">
        <v>80000</v>
      </c>
      <c r="W254" s="130">
        <v>0</v>
      </c>
      <c r="X254" s="130">
        <v>0</v>
      </c>
      <c r="Y254" s="130">
        <f t="shared" ref="Y254" si="455">SUM(V254:X254)</f>
        <v>80000</v>
      </c>
      <c r="Z254" s="130">
        <f>U254+Y254</f>
        <v>0</v>
      </c>
      <c r="AA254" s="131">
        <f>ROUND((U254+V254+W254)*33.8%,0)</f>
        <v>0</v>
      </c>
      <c r="AB254" s="131">
        <f>ROUND(U254*2%,0)</f>
        <v>-1600</v>
      </c>
      <c r="AC254" s="130">
        <v>0</v>
      </c>
      <c r="AD254" s="130">
        <v>0</v>
      </c>
      <c r="AE254" s="130">
        <f t="shared" si="406"/>
        <v>0</v>
      </c>
      <c r="AF254" s="130">
        <f t="shared" si="407"/>
        <v>-1600</v>
      </c>
      <c r="AG254" s="132">
        <v>-0.18</v>
      </c>
      <c r="AH254" s="132">
        <v>0</v>
      </c>
      <c r="AI254" s="132">
        <v>0</v>
      </c>
      <c r="AJ254" s="132">
        <v>0</v>
      </c>
      <c r="AK254" s="132">
        <v>0</v>
      </c>
      <c r="AL254" s="132">
        <f t="shared" si="408"/>
        <v>-0.18</v>
      </c>
      <c r="AM254" s="132">
        <f>AH254+AK254</f>
        <v>0</v>
      </c>
      <c r="AN254" s="403">
        <f t="shared" si="409"/>
        <v>-0.18</v>
      </c>
      <c r="AO254" s="128">
        <f t="shared" si="389"/>
        <v>50084449</v>
      </c>
      <c r="AP254" s="130">
        <f t="shared" si="390"/>
        <v>36678232</v>
      </c>
      <c r="AQ254" s="130">
        <f t="shared" si="391"/>
        <v>80000</v>
      </c>
      <c r="AR254" s="130">
        <f t="shared" si="392"/>
        <v>12424282</v>
      </c>
      <c r="AS254" s="130">
        <f t="shared" si="393"/>
        <v>733565</v>
      </c>
      <c r="AT254" s="130">
        <f t="shared" si="394"/>
        <v>168370</v>
      </c>
      <c r="AU254" s="132">
        <f t="shared" si="395"/>
        <v>70.984099999999998</v>
      </c>
      <c r="AV254" s="132">
        <f t="shared" si="396"/>
        <v>63.113399999999999</v>
      </c>
      <c r="AW254" s="133">
        <f t="shared" si="397"/>
        <v>7.8707000000000003</v>
      </c>
    </row>
    <row r="255" spans="1:49" ht="14.1" customHeight="1" x14ac:dyDescent="0.2">
      <c r="A255" s="137">
        <v>52</v>
      </c>
      <c r="B255" s="134">
        <v>2313</v>
      </c>
      <c r="C255" s="135">
        <v>600080323</v>
      </c>
      <c r="D255" s="134">
        <v>64040445</v>
      </c>
      <c r="E255" s="136" t="s">
        <v>680</v>
      </c>
      <c r="F255" s="137"/>
      <c r="G255" s="136"/>
      <c r="H255" s="138"/>
      <c r="I255" s="147">
        <f t="shared" ref="I255:P255" si="456">SUM(I254)</f>
        <v>50086049</v>
      </c>
      <c r="J255" s="148">
        <f t="shared" si="456"/>
        <v>36758232</v>
      </c>
      <c r="K255" s="148">
        <f t="shared" si="456"/>
        <v>12424282</v>
      </c>
      <c r="L255" s="148">
        <f t="shared" si="456"/>
        <v>735165</v>
      </c>
      <c r="M255" s="148">
        <f t="shared" si="456"/>
        <v>168370</v>
      </c>
      <c r="N255" s="149">
        <f t="shared" si="456"/>
        <v>71.164100000000005</v>
      </c>
      <c r="O255" s="149">
        <f t="shared" si="456"/>
        <v>63.293399999999998</v>
      </c>
      <c r="P255" s="150">
        <f t="shared" si="456"/>
        <v>7.8707000000000003</v>
      </c>
      <c r="Q255" s="343">
        <f t="shared" ref="Q255:AW255" si="457">SUM(Q254)</f>
        <v>-80000</v>
      </c>
      <c r="R255" s="148">
        <f t="shared" si="457"/>
        <v>0</v>
      </c>
      <c r="S255" s="148">
        <f t="shared" si="457"/>
        <v>0</v>
      </c>
      <c r="T255" s="148">
        <f t="shared" si="457"/>
        <v>0</v>
      </c>
      <c r="U255" s="148">
        <f t="shared" si="457"/>
        <v>-80000</v>
      </c>
      <c r="V255" s="148">
        <f t="shared" si="457"/>
        <v>80000</v>
      </c>
      <c r="W255" s="148">
        <f t="shared" si="457"/>
        <v>0</v>
      </c>
      <c r="X255" s="148">
        <f t="shared" si="457"/>
        <v>0</v>
      </c>
      <c r="Y255" s="148">
        <f t="shared" si="457"/>
        <v>80000</v>
      </c>
      <c r="Z255" s="148">
        <f t="shared" si="457"/>
        <v>0</v>
      </c>
      <c r="AA255" s="148">
        <f t="shared" si="457"/>
        <v>0</v>
      </c>
      <c r="AB255" s="148">
        <f t="shared" si="457"/>
        <v>-1600</v>
      </c>
      <c r="AC255" s="148">
        <f t="shared" si="457"/>
        <v>0</v>
      </c>
      <c r="AD255" s="148">
        <f t="shared" si="457"/>
        <v>0</v>
      </c>
      <c r="AE255" s="148">
        <f t="shared" si="457"/>
        <v>0</v>
      </c>
      <c r="AF255" s="148">
        <f t="shared" si="457"/>
        <v>-1600</v>
      </c>
      <c r="AG255" s="149">
        <f t="shared" si="457"/>
        <v>-0.18</v>
      </c>
      <c r="AH255" s="149">
        <f t="shared" si="457"/>
        <v>0</v>
      </c>
      <c r="AI255" s="149">
        <f t="shared" si="457"/>
        <v>0</v>
      </c>
      <c r="AJ255" s="149">
        <f t="shared" si="457"/>
        <v>0</v>
      </c>
      <c r="AK255" s="149">
        <f t="shared" si="457"/>
        <v>0</v>
      </c>
      <c r="AL255" s="149">
        <f t="shared" si="457"/>
        <v>-0.18</v>
      </c>
      <c r="AM255" s="149">
        <f t="shared" si="457"/>
        <v>0</v>
      </c>
      <c r="AN255" s="636">
        <f t="shared" si="457"/>
        <v>-0.18</v>
      </c>
      <c r="AO255" s="147">
        <f t="shared" si="457"/>
        <v>50084449</v>
      </c>
      <c r="AP255" s="148">
        <f t="shared" si="457"/>
        <v>36678232</v>
      </c>
      <c r="AQ255" s="148">
        <f t="shared" si="457"/>
        <v>80000</v>
      </c>
      <c r="AR255" s="148">
        <f t="shared" si="457"/>
        <v>12424282</v>
      </c>
      <c r="AS255" s="148">
        <f t="shared" si="457"/>
        <v>733565</v>
      </c>
      <c r="AT255" s="148">
        <f t="shared" si="457"/>
        <v>168370</v>
      </c>
      <c r="AU255" s="149">
        <f t="shared" si="457"/>
        <v>70.984099999999998</v>
      </c>
      <c r="AV255" s="149">
        <f t="shared" si="457"/>
        <v>63.113399999999999</v>
      </c>
      <c r="AW255" s="150">
        <f t="shared" si="457"/>
        <v>7.8707000000000003</v>
      </c>
    </row>
    <row r="256" spans="1:49" ht="14.1" customHeight="1" x14ac:dyDescent="0.2">
      <c r="A256" s="124">
        <v>53</v>
      </c>
      <c r="B256" s="121">
        <v>2431</v>
      </c>
      <c r="C256" s="122">
        <v>600079228</v>
      </c>
      <c r="D256" s="121">
        <v>46746234</v>
      </c>
      <c r="E256" s="123" t="s">
        <v>681</v>
      </c>
      <c r="F256" s="124">
        <v>3111</v>
      </c>
      <c r="G256" s="123" t="s">
        <v>317</v>
      </c>
      <c r="H256" s="125" t="s">
        <v>283</v>
      </c>
      <c r="I256" s="126">
        <f t="shared" si="385"/>
        <v>6944061</v>
      </c>
      <c r="J256" s="127">
        <v>5078984</v>
      </c>
      <c r="K256" s="127">
        <f t="shared" si="398"/>
        <v>1716697</v>
      </c>
      <c r="L256" s="477">
        <f t="shared" si="399"/>
        <v>101580</v>
      </c>
      <c r="M256" s="127">
        <v>46800</v>
      </c>
      <c r="N256" s="390">
        <f t="shared" si="386"/>
        <v>11.319699999999999</v>
      </c>
      <c r="O256" s="390">
        <v>8.4514999999999993</v>
      </c>
      <c r="P256" s="439">
        <v>2.8681999999999999</v>
      </c>
      <c r="Q256" s="129">
        <f t="shared" si="387"/>
        <v>-18509</v>
      </c>
      <c r="R256" s="130">
        <v>0</v>
      </c>
      <c r="S256" s="130">
        <v>0</v>
      </c>
      <c r="T256" s="130">
        <v>0</v>
      </c>
      <c r="U256" s="130">
        <f t="shared" si="388"/>
        <v>-18509</v>
      </c>
      <c r="V256" s="130">
        <v>18509</v>
      </c>
      <c r="W256" s="130">
        <v>0</v>
      </c>
      <c r="X256" s="130">
        <v>0</v>
      </c>
      <c r="Y256" s="130">
        <f t="shared" ref="Y256:Y258" si="458">SUM(V256:X256)</f>
        <v>18509</v>
      </c>
      <c r="Z256" s="130">
        <f t="shared" ref="Z256:Z258" si="459">U256+Y256</f>
        <v>0</v>
      </c>
      <c r="AA256" s="131">
        <f t="shared" ref="AA256:AA258" si="460">ROUND((U256+V256+W256)*33.8%,0)</f>
        <v>0</v>
      </c>
      <c r="AB256" s="131">
        <f t="shared" ref="AB256:AB258" si="461">ROUND(U256*2%,0)</f>
        <v>-370</v>
      </c>
      <c r="AC256" s="130">
        <v>0</v>
      </c>
      <c r="AD256" s="130">
        <v>0</v>
      </c>
      <c r="AE256" s="130">
        <f t="shared" si="406"/>
        <v>0</v>
      </c>
      <c r="AF256" s="130">
        <f t="shared" si="407"/>
        <v>-370</v>
      </c>
      <c r="AG256" s="132">
        <v>-0.05</v>
      </c>
      <c r="AH256" s="132">
        <v>0</v>
      </c>
      <c r="AI256" s="132">
        <v>0</v>
      </c>
      <c r="AJ256" s="132">
        <v>0</v>
      </c>
      <c r="AK256" s="132">
        <v>0</v>
      </c>
      <c r="AL256" s="132">
        <f t="shared" si="408"/>
        <v>-0.05</v>
      </c>
      <c r="AM256" s="132">
        <f>AH256+AK256</f>
        <v>0</v>
      </c>
      <c r="AN256" s="403">
        <f t="shared" si="409"/>
        <v>-0.05</v>
      </c>
      <c r="AO256" s="128">
        <f t="shared" si="389"/>
        <v>6943691</v>
      </c>
      <c r="AP256" s="130">
        <f t="shared" si="390"/>
        <v>5060475</v>
      </c>
      <c r="AQ256" s="130">
        <f t="shared" si="391"/>
        <v>18509</v>
      </c>
      <c r="AR256" s="130">
        <f t="shared" si="392"/>
        <v>1716697</v>
      </c>
      <c r="AS256" s="130">
        <f t="shared" si="393"/>
        <v>101210</v>
      </c>
      <c r="AT256" s="130">
        <f t="shared" si="394"/>
        <v>46800</v>
      </c>
      <c r="AU256" s="132">
        <f t="shared" si="395"/>
        <v>11.269699999999998</v>
      </c>
      <c r="AV256" s="132">
        <f t="shared" si="396"/>
        <v>8.4014999999999986</v>
      </c>
      <c r="AW256" s="133">
        <f t="shared" si="397"/>
        <v>2.8681999999999999</v>
      </c>
    </row>
    <row r="257" spans="1:49" ht="14.1" customHeight="1" x14ac:dyDescent="0.2">
      <c r="A257" s="124">
        <v>53</v>
      </c>
      <c r="B257" s="121">
        <v>2431</v>
      </c>
      <c r="C257" s="122">
        <v>600079228</v>
      </c>
      <c r="D257" s="121">
        <v>46746234</v>
      </c>
      <c r="E257" s="123" t="s">
        <v>681</v>
      </c>
      <c r="F257" s="124">
        <v>3111</v>
      </c>
      <c r="G257" s="143" t="s">
        <v>318</v>
      </c>
      <c r="H257" s="125" t="s">
        <v>284</v>
      </c>
      <c r="I257" s="126">
        <f t="shared" si="385"/>
        <v>0</v>
      </c>
      <c r="J257" s="29">
        <v>0</v>
      </c>
      <c r="K257" s="127">
        <f t="shared" si="398"/>
        <v>0</v>
      </c>
      <c r="L257" s="477">
        <f t="shared" si="399"/>
        <v>0</v>
      </c>
      <c r="M257" s="29">
        <v>0</v>
      </c>
      <c r="N257" s="390">
        <f t="shared" si="386"/>
        <v>0</v>
      </c>
      <c r="O257" s="349">
        <v>0</v>
      </c>
      <c r="P257" s="639">
        <v>0</v>
      </c>
      <c r="Q257" s="129">
        <f t="shared" si="387"/>
        <v>0</v>
      </c>
      <c r="R257" s="130">
        <v>23136</v>
      </c>
      <c r="S257" s="130">
        <v>0</v>
      </c>
      <c r="T257" s="130">
        <v>0</v>
      </c>
      <c r="U257" s="130">
        <f t="shared" si="388"/>
        <v>23136</v>
      </c>
      <c r="V257" s="130">
        <v>0</v>
      </c>
      <c r="W257" s="130">
        <v>0</v>
      </c>
      <c r="X257" s="130">
        <v>0</v>
      </c>
      <c r="Y257" s="130">
        <f t="shared" si="458"/>
        <v>0</v>
      </c>
      <c r="Z257" s="130">
        <f t="shared" si="459"/>
        <v>23136</v>
      </c>
      <c r="AA257" s="131">
        <f t="shared" si="460"/>
        <v>7820</v>
      </c>
      <c r="AB257" s="131">
        <f t="shared" si="461"/>
        <v>463</v>
      </c>
      <c r="AC257" s="130">
        <v>0</v>
      </c>
      <c r="AD257" s="130">
        <v>0</v>
      </c>
      <c r="AE257" s="130">
        <f t="shared" si="406"/>
        <v>0</v>
      </c>
      <c r="AF257" s="130">
        <f t="shared" si="407"/>
        <v>31419</v>
      </c>
      <c r="AG257" s="132">
        <v>0</v>
      </c>
      <c r="AH257" s="132">
        <v>0</v>
      </c>
      <c r="AI257" s="132">
        <v>0.05</v>
      </c>
      <c r="AJ257" s="132">
        <v>0</v>
      </c>
      <c r="AK257" s="132">
        <v>0</v>
      </c>
      <c r="AL257" s="132">
        <f t="shared" si="408"/>
        <v>0.05</v>
      </c>
      <c r="AM257" s="132">
        <f>AH257+AK257</f>
        <v>0</v>
      </c>
      <c r="AN257" s="403">
        <f t="shared" si="409"/>
        <v>0.05</v>
      </c>
      <c r="AO257" s="128">
        <f t="shared" si="389"/>
        <v>31419</v>
      </c>
      <c r="AP257" s="130">
        <f t="shared" si="390"/>
        <v>23136</v>
      </c>
      <c r="AQ257" s="130">
        <f t="shared" si="391"/>
        <v>0</v>
      </c>
      <c r="AR257" s="130">
        <f t="shared" si="392"/>
        <v>7820</v>
      </c>
      <c r="AS257" s="130">
        <f t="shared" si="393"/>
        <v>463</v>
      </c>
      <c r="AT257" s="130">
        <f t="shared" si="394"/>
        <v>0</v>
      </c>
      <c r="AU257" s="132">
        <f t="shared" si="395"/>
        <v>0.05</v>
      </c>
      <c r="AV257" s="132">
        <f t="shared" si="396"/>
        <v>0.05</v>
      </c>
      <c r="AW257" s="133">
        <f t="shared" si="397"/>
        <v>0</v>
      </c>
    </row>
    <row r="258" spans="1:49" ht="14.1" customHeight="1" x14ac:dyDescent="0.2">
      <c r="A258" s="124">
        <v>53</v>
      </c>
      <c r="B258" s="121">
        <v>2431</v>
      </c>
      <c r="C258" s="122">
        <v>600079228</v>
      </c>
      <c r="D258" s="121">
        <v>46746234</v>
      </c>
      <c r="E258" s="123" t="s">
        <v>681</v>
      </c>
      <c r="F258" s="124">
        <v>3141</v>
      </c>
      <c r="G258" s="123" t="s">
        <v>321</v>
      </c>
      <c r="H258" s="125" t="s">
        <v>284</v>
      </c>
      <c r="I258" s="126">
        <f t="shared" si="385"/>
        <v>1054107</v>
      </c>
      <c r="J258" s="666">
        <v>771778</v>
      </c>
      <c r="K258" s="127">
        <f t="shared" si="398"/>
        <v>260861</v>
      </c>
      <c r="L258" s="477">
        <f t="shared" si="399"/>
        <v>15436</v>
      </c>
      <c r="M258" s="666">
        <v>6032</v>
      </c>
      <c r="N258" s="390">
        <f t="shared" si="386"/>
        <v>2.63</v>
      </c>
      <c r="O258" s="668">
        <v>0</v>
      </c>
      <c r="P258" s="667">
        <v>2.63</v>
      </c>
      <c r="Q258" s="129">
        <f t="shared" si="387"/>
        <v>0</v>
      </c>
      <c r="R258" s="130">
        <v>0</v>
      </c>
      <c r="S258" s="130">
        <v>0</v>
      </c>
      <c r="T258" s="130">
        <v>0</v>
      </c>
      <c r="U258" s="130">
        <f t="shared" si="388"/>
        <v>0</v>
      </c>
      <c r="V258" s="130">
        <v>0</v>
      </c>
      <c r="W258" s="130">
        <v>0</v>
      </c>
      <c r="X258" s="130">
        <v>0</v>
      </c>
      <c r="Y258" s="130">
        <f t="shared" si="458"/>
        <v>0</v>
      </c>
      <c r="Z258" s="130">
        <f t="shared" si="459"/>
        <v>0</v>
      </c>
      <c r="AA258" s="131">
        <f t="shared" si="460"/>
        <v>0</v>
      </c>
      <c r="AB258" s="131">
        <f t="shared" si="461"/>
        <v>0</v>
      </c>
      <c r="AC258" s="130">
        <v>0</v>
      </c>
      <c r="AD258" s="130">
        <v>0</v>
      </c>
      <c r="AE258" s="130">
        <f t="shared" si="406"/>
        <v>0</v>
      </c>
      <c r="AF258" s="130">
        <f t="shared" si="407"/>
        <v>0</v>
      </c>
      <c r="AG258" s="132">
        <v>0</v>
      </c>
      <c r="AH258" s="132">
        <v>0</v>
      </c>
      <c r="AI258" s="132">
        <v>0</v>
      </c>
      <c r="AJ258" s="132">
        <v>0</v>
      </c>
      <c r="AK258" s="132">
        <v>0</v>
      </c>
      <c r="AL258" s="132">
        <f t="shared" si="408"/>
        <v>0</v>
      </c>
      <c r="AM258" s="132">
        <f>AH258+AK258</f>
        <v>0</v>
      </c>
      <c r="AN258" s="403">
        <f t="shared" si="409"/>
        <v>0</v>
      </c>
      <c r="AO258" s="128">
        <f t="shared" si="389"/>
        <v>1054107</v>
      </c>
      <c r="AP258" s="130">
        <f t="shared" si="390"/>
        <v>771778</v>
      </c>
      <c r="AQ258" s="130">
        <f t="shared" si="391"/>
        <v>0</v>
      </c>
      <c r="AR258" s="130">
        <f t="shared" si="392"/>
        <v>260861</v>
      </c>
      <c r="AS258" s="130">
        <f t="shared" si="393"/>
        <v>15436</v>
      </c>
      <c r="AT258" s="130">
        <f t="shared" si="394"/>
        <v>6032</v>
      </c>
      <c r="AU258" s="132">
        <f t="shared" si="395"/>
        <v>2.63</v>
      </c>
      <c r="AV258" s="132">
        <f t="shared" si="396"/>
        <v>0</v>
      </c>
      <c r="AW258" s="133">
        <f t="shared" si="397"/>
        <v>2.63</v>
      </c>
    </row>
    <row r="259" spans="1:49" ht="14.1" customHeight="1" x14ac:dyDescent="0.2">
      <c r="A259" s="137">
        <v>53</v>
      </c>
      <c r="B259" s="134">
        <v>2431</v>
      </c>
      <c r="C259" s="135">
        <v>600079228</v>
      </c>
      <c r="D259" s="134">
        <v>46746234</v>
      </c>
      <c r="E259" s="136" t="s">
        <v>682</v>
      </c>
      <c r="F259" s="137"/>
      <c r="G259" s="136"/>
      <c r="H259" s="138"/>
      <c r="I259" s="139">
        <f t="shared" ref="I259:P259" si="462">SUM(I256:I258)</f>
        <v>7998168</v>
      </c>
      <c r="J259" s="140">
        <f t="shared" si="462"/>
        <v>5850762</v>
      </c>
      <c r="K259" s="140">
        <f t="shared" si="462"/>
        <v>1977558</v>
      </c>
      <c r="L259" s="140">
        <f t="shared" si="462"/>
        <v>117016</v>
      </c>
      <c r="M259" s="140">
        <f t="shared" si="462"/>
        <v>52832</v>
      </c>
      <c r="N259" s="141">
        <f t="shared" si="462"/>
        <v>13.9497</v>
      </c>
      <c r="O259" s="141">
        <f t="shared" si="462"/>
        <v>8.4514999999999993</v>
      </c>
      <c r="P259" s="142">
        <f t="shared" si="462"/>
        <v>5.4981999999999998</v>
      </c>
      <c r="Q259" s="342">
        <f t="shared" ref="Q259:AW259" si="463">SUM(Q256:Q258)</f>
        <v>-18509</v>
      </c>
      <c r="R259" s="140">
        <f t="shared" si="463"/>
        <v>23136</v>
      </c>
      <c r="S259" s="140">
        <f t="shared" si="463"/>
        <v>0</v>
      </c>
      <c r="T259" s="140">
        <f t="shared" si="463"/>
        <v>0</v>
      </c>
      <c r="U259" s="140">
        <f t="shared" si="463"/>
        <v>4627</v>
      </c>
      <c r="V259" s="140">
        <f t="shared" si="463"/>
        <v>18509</v>
      </c>
      <c r="W259" s="140">
        <f t="shared" si="463"/>
        <v>0</v>
      </c>
      <c r="X259" s="140">
        <f t="shared" si="463"/>
        <v>0</v>
      </c>
      <c r="Y259" s="140">
        <f t="shared" si="463"/>
        <v>18509</v>
      </c>
      <c r="Z259" s="140">
        <f t="shared" si="463"/>
        <v>23136</v>
      </c>
      <c r="AA259" s="140">
        <f t="shared" si="463"/>
        <v>7820</v>
      </c>
      <c r="AB259" s="140">
        <f t="shared" si="463"/>
        <v>93</v>
      </c>
      <c r="AC259" s="140">
        <f t="shared" si="463"/>
        <v>0</v>
      </c>
      <c r="AD259" s="140">
        <f t="shared" si="463"/>
        <v>0</v>
      </c>
      <c r="AE259" s="140">
        <f t="shared" si="463"/>
        <v>0</v>
      </c>
      <c r="AF259" s="140">
        <f t="shared" si="463"/>
        <v>31049</v>
      </c>
      <c r="AG259" s="141">
        <f t="shared" si="463"/>
        <v>-0.05</v>
      </c>
      <c r="AH259" s="141">
        <f t="shared" si="463"/>
        <v>0</v>
      </c>
      <c r="AI259" s="141">
        <f t="shared" si="463"/>
        <v>0.05</v>
      </c>
      <c r="AJ259" s="141">
        <f t="shared" si="463"/>
        <v>0</v>
      </c>
      <c r="AK259" s="141">
        <f t="shared" si="463"/>
        <v>0</v>
      </c>
      <c r="AL259" s="141">
        <f t="shared" si="463"/>
        <v>0</v>
      </c>
      <c r="AM259" s="141">
        <f t="shared" si="463"/>
        <v>0</v>
      </c>
      <c r="AN259" s="635">
        <f t="shared" si="463"/>
        <v>0</v>
      </c>
      <c r="AO259" s="139">
        <f t="shared" si="463"/>
        <v>8029217</v>
      </c>
      <c r="AP259" s="140">
        <f t="shared" si="463"/>
        <v>5855389</v>
      </c>
      <c r="AQ259" s="140">
        <f t="shared" si="463"/>
        <v>18509</v>
      </c>
      <c r="AR259" s="140">
        <f t="shared" si="463"/>
        <v>1985378</v>
      </c>
      <c r="AS259" s="140">
        <f t="shared" si="463"/>
        <v>117109</v>
      </c>
      <c r="AT259" s="140">
        <f t="shared" si="463"/>
        <v>52832</v>
      </c>
      <c r="AU259" s="141">
        <f t="shared" si="463"/>
        <v>13.9497</v>
      </c>
      <c r="AV259" s="141">
        <f t="shared" si="463"/>
        <v>8.4514999999999993</v>
      </c>
      <c r="AW259" s="142">
        <f t="shared" si="463"/>
        <v>5.4981999999999998</v>
      </c>
    </row>
    <row r="260" spans="1:49" ht="14.1" customHeight="1" x14ac:dyDescent="0.2">
      <c r="A260" s="124">
        <v>54</v>
      </c>
      <c r="B260" s="121">
        <v>2434</v>
      </c>
      <c r="C260" s="122">
        <v>600079317</v>
      </c>
      <c r="D260" s="121">
        <v>46746480</v>
      </c>
      <c r="E260" s="123" t="s">
        <v>683</v>
      </c>
      <c r="F260" s="124">
        <v>3111</v>
      </c>
      <c r="G260" s="123" t="s">
        <v>317</v>
      </c>
      <c r="H260" s="125" t="s">
        <v>283</v>
      </c>
      <c r="I260" s="126">
        <f t="shared" si="385"/>
        <v>13250008</v>
      </c>
      <c r="J260" s="127">
        <v>9694041</v>
      </c>
      <c r="K260" s="127">
        <f t="shared" si="398"/>
        <v>3276586</v>
      </c>
      <c r="L260" s="477">
        <f t="shared" si="399"/>
        <v>193881</v>
      </c>
      <c r="M260" s="127">
        <v>85500</v>
      </c>
      <c r="N260" s="390">
        <f t="shared" si="386"/>
        <v>22.6496</v>
      </c>
      <c r="O260" s="390">
        <v>16</v>
      </c>
      <c r="P260" s="439">
        <v>6.6495999999999995</v>
      </c>
      <c r="Q260" s="129">
        <f t="shared" si="387"/>
        <v>0</v>
      </c>
      <c r="R260" s="130">
        <v>0</v>
      </c>
      <c r="S260" s="130">
        <v>0</v>
      </c>
      <c r="T260" s="130">
        <v>0</v>
      </c>
      <c r="U260" s="130">
        <f t="shared" si="388"/>
        <v>0</v>
      </c>
      <c r="V260" s="130">
        <v>0</v>
      </c>
      <c r="W260" s="130">
        <v>0</v>
      </c>
      <c r="X260" s="130">
        <v>0</v>
      </c>
      <c r="Y260" s="130">
        <f t="shared" ref="Y260:Y262" si="464">SUM(V260:X260)</f>
        <v>0</v>
      </c>
      <c r="Z260" s="130">
        <f t="shared" ref="Z260:Z262" si="465">U260+Y260</f>
        <v>0</v>
      </c>
      <c r="AA260" s="131">
        <f t="shared" ref="AA260:AA262" si="466">ROUND((U260+V260+W260)*33.8%,0)</f>
        <v>0</v>
      </c>
      <c r="AB260" s="131">
        <f t="shared" ref="AB260:AB262" si="467">ROUND(U260*2%,0)</f>
        <v>0</v>
      </c>
      <c r="AC260" s="130">
        <v>0</v>
      </c>
      <c r="AD260" s="130">
        <v>0</v>
      </c>
      <c r="AE260" s="130">
        <f t="shared" si="406"/>
        <v>0</v>
      </c>
      <c r="AF260" s="130">
        <f t="shared" si="407"/>
        <v>0</v>
      </c>
      <c r="AG260" s="132">
        <v>0</v>
      </c>
      <c r="AH260" s="132">
        <v>0</v>
      </c>
      <c r="AI260" s="132">
        <v>0</v>
      </c>
      <c r="AJ260" s="132">
        <v>0</v>
      </c>
      <c r="AK260" s="132">
        <v>0</v>
      </c>
      <c r="AL260" s="132">
        <f t="shared" si="408"/>
        <v>0</v>
      </c>
      <c r="AM260" s="132">
        <f>AH260+AK260</f>
        <v>0</v>
      </c>
      <c r="AN260" s="403">
        <f t="shared" si="409"/>
        <v>0</v>
      </c>
      <c r="AO260" s="128">
        <f t="shared" si="389"/>
        <v>13250008</v>
      </c>
      <c r="AP260" s="130">
        <f t="shared" si="390"/>
        <v>9694041</v>
      </c>
      <c r="AQ260" s="130">
        <f t="shared" si="391"/>
        <v>0</v>
      </c>
      <c r="AR260" s="130">
        <f t="shared" si="392"/>
        <v>3276586</v>
      </c>
      <c r="AS260" s="130">
        <f t="shared" si="393"/>
        <v>193881</v>
      </c>
      <c r="AT260" s="130">
        <f t="shared" si="394"/>
        <v>85500</v>
      </c>
      <c r="AU260" s="132">
        <f t="shared" si="395"/>
        <v>22.6496</v>
      </c>
      <c r="AV260" s="132">
        <f t="shared" si="396"/>
        <v>16</v>
      </c>
      <c r="AW260" s="133">
        <f t="shared" si="397"/>
        <v>6.6495999999999995</v>
      </c>
    </row>
    <row r="261" spans="1:49" ht="14.1" customHeight="1" x14ac:dyDescent="0.2">
      <c r="A261" s="124">
        <v>54</v>
      </c>
      <c r="B261" s="121">
        <v>2434</v>
      </c>
      <c r="C261" s="122">
        <v>600079317</v>
      </c>
      <c r="D261" s="121">
        <v>46746480</v>
      </c>
      <c r="E261" s="123" t="s">
        <v>683</v>
      </c>
      <c r="F261" s="124">
        <v>3111</v>
      </c>
      <c r="G261" s="143" t="s">
        <v>318</v>
      </c>
      <c r="H261" s="125" t="s">
        <v>284</v>
      </c>
      <c r="I261" s="126">
        <f t="shared" si="385"/>
        <v>0</v>
      </c>
      <c r="J261" s="29">
        <v>0</v>
      </c>
      <c r="K261" s="127">
        <f t="shared" si="398"/>
        <v>0</v>
      </c>
      <c r="L261" s="477">
        <f t="shared" si="399"/>
        <v>0</v>
      </c>
      <c r="M261" s="29">
        <v>0</v>
      </c>
      <c r="N261" s="390">
        <f t="shared" si="386"/>
        <v>0</v>
      </c>
      <c r="O261" s="349">
        <v>0</v>
      </c>
      <c r="P261" s="639">
        <v>0</v>
      </c>
      <c r="Q261" s="129">
        <f t="shared" si="387"/>
        <v>0</v>
      </c>
      <c r="R261" s="130">
        <v>519665</v>
      </c>
      <c r="S261" s="130">
        <v>0</v>
      </c>
      <c r="T261" s="130">
        <v>0</v>
      </c>
      <c r="U261" s="130">
        <f t="shared" si="388"/>
        <v>519665</v>
      </c>
      <c r="V261" s="130">
        <v>0</v>
      </c>
      <c r="W261" s="130">
        <v>0</v>
      </c>
      <c r="X261" s="130">
        <v>0</v>
      </c>
      <c r="Y261" s="130">
        <f t="shared" si="464"/>
        <v>0</v>
      </c>
      <c r="Z261" s="130">
        <f t="shared" si="465"/>
        <v>519665</v>
      </c>
      <c r="AA261" s="131">
        <f t="shared" si="466"/>
        <v>175647</v>
      </c>
      <c r="AB261" s="131">
        <f t="shared" si="467"/>
        <v>10393</v>
      </c>
      <c r="AC261" s="130">
        <v>0</v>
      </c>
      <c r="AD261" s="130">
        <v>0</v>
      </c>
      <c r="AE261" s="130">
        <f t="shared" si="406"/>
        <v>0</v>
      </c>
      <c r="AF261" s="130">
        <f t="shared" si="407"/>
        <v>705705</v>
      </c>
      <c r="AG261" s="132">
        <v>0</v>
      </c>
      <c r="AH261" s="132">
        <v>0</v>
      </c>
      <c r="AI261" s="132">
        <v>1.5</v>
      </c>
      <c r="AJ261" s="132">
        <v>0</v>
      </c>
      <c r="AK261" s="132">
        <v>0</v>
      </c>
      <c r="AL261" s="132">
        <f t="shared" si="408"/>
        <v>1.5</v>
      </c>
      <c r="AM261" s="132">
        <f>AH261+AK261</f>
        <v>0</v>
      </c>
      <c r="AN261" s="403">
        <f t="shared" si="409"/>
        <v>1.5</v>
      </c>
      <c r="AO261" s="128">
        <f t="shared" si="389"/>
        <v>705705</v>
      </c>
      <c r="AP261" s="130">
        <f t="shared" si="390"/>
        <v>519665</v>
      </c>
      <c r="AQ261" s="130">
        <f t="shared" si="391"/>
        <v>0</v>
      </c>
      <c r="AR261" s="130">
        <f t="shared" si="392"/>
        <v>175647</v>
      </c>
      <c r="AS261" s="130">
        <f t="shared" si="393"/>
        <v>10393</v>
      </c>
      <c r="AT261" s="130">
        <f t="shared" si="394"/>
        <v>0</v>
      </c>
      <c r="AU261" s="132">
        <f t="shared" si="395"/>
        <v>1.5</v>
      </c>
      <c r="AV261" s="132">
        <f t="shared" si="396"/>
        <v>1.5</v>
      </c>
      <c r="AW261" s="133">
        <f t="shared" si="397"/>
        <v>0</v>
      </c>
    </row>
    <row r="262" spans="1:49" ht="14.1" customHeight="1" x14ac:dyDescent="0.2">
      <c r="A262" s="124">
        <v>54</v>
      </c>
      <c r="B262" s="121">
        <v>2434</v>
      </c>
      <c r="C262" s="122">
        <v>600079317</v>
      </c>
      <c r="D262" s="121">
        <v>46746480</v>
      </c>
      <c r="E262" s="123" t="s">
        <v>683</v>
      </c>
      <c r="F262" s="124">
        <v>3141</v>
      </c>
      <c r="G262" s="123" t="s">
        <v>321</v>
      </c>
      <c r="H262" s="125" t="s">
        <v>284</v>
      </c>
      <c r="I262" s="126">
        <f t="shared" si="385"/>
        <v>2060239</v>
      </c>
      <c r="J262" s="666">
        <v>1509661</v>
      </c>
      <c r="K262" s="127">
        <f t="shared" si="398"/>
        <v>510265</v>
      </c>
      <c r="L262" s="477">
        <f t="shared" si="399"/>
        <v>30193</v>
      </c>
      <c r="M262" s="666">
        <v>10120</v>
      </c>
      <c r="N262" s="390">
        <f t="shared" si="386"/>
        <v>5.14</v>
      </c>
      <c r="O262" s="668">
        <v>0</v>
      </c>
      <c r="P262" s="674">
        <v>5.14</v>
      </c>
      <c r="Q262" s="129">
        <f t="shared" si="387"/>
        <v>0</v>
      </c>
      <c r="R262" s="130">
        <v>0</v>
      </c>
      <c r="S262" s="130">
        <v>0</v>
      </c>
      <c r="T262" s="130">
        <v>0</v>
      </c>
      <c r="U262" s="130">
        <f t="shared" si="388"/>
        <v>0</v>
      </c>
      <c r="V262" s="130">
        <v>0</v>
      </c>
      <c r="W262" s="130">
        <v>0</v>
      </c>
      <c r="X262" s="130">
        <v>0</v>
      </c>
      <c r="Y262" s="130">
        <f t="shared" si="464"/>
        <v>0</v>
      </c>
      <c r="Z262" s="130">
        <f t="shared" si="465"/>
        <v>0</v>
      </c>
      <c r="AA262" s="131">
        <f t="shared" si="466"/>
        <v>0</v>
      </c>
      <c r="AB262" s="131">
        <f t="shared" si="467"/>
        <v>0</v>
      </c>
      <c r="AC262" s="130">
        <v>0</v>
      </c>
      <c r="AD262" s="130">
        <v>0</v>
      </c>
      <c r="AE262" s="130">
        <f t="shared" si="406"/>
        <v>0</v>
      </c>
      <c r="AF262" s="130">
        <f t="shared" si="407"/>
        <v>0</v>
      </c>
      <c r="AG262" s="132">
        <v>0</v>
      </c>
      <c r="AH262" s="132">
        <v>0</v>
      </c>
      <c r="AI262" s="132">
        <v>0</v>
      </c>
      <c r="AJ262" s="132">
        <v>0</v>
      </c>
      <c r="AK262" s="132">
        <v>0</v>
      </c>
      <c r="AL262" s="132">
        <f t="shared" si="408"/>
        <v>0</v>
      </c>
      <c r="AM262" s="132">
        <f>AH262+AK262</f>
        <v>0</v>
      </c>
      <c r="AN262" s="403">
        <f t="shared" si="409"/>
        <v>0</v>
      </c>
      <c r="AO262" s="128">
        <f t="shared" si="389"/>
        <v>2060239</v>
      </c>
      <c r="AP262" s="130">
        <f t="shared" si="390"/>
        <v>1509661</v>
      </c>
      <c r="AQ262" s="130">
        <f t="shared" si="391"/>
        <v>0</v>
      </c>
      <c r="AR262" s="130">
        <f t="shared" si="392"/>
        <v>510265</v>
      </c>
      <c r="AS262" s="130">
        <f t="shared" si="393"/>
        <v>30193</v>
      </c>
      <c r="AT262" s="130">
        <f t="shared" si="394"/>
        <v>10120</v>
      </c>
      <c r="AU262" s="132">
        <f t="shared" si="395"/>
        <v>5.14</v>
      </c>
      <c r="AV262" s="132">
        <f t="shared" si="396"/>
        <v>0</v>
      </c>
      <c r="AW262" s="133">
        <f t="shared" si="397"/>
        <v>5.14</v>
      </c>
    </row>
    <row r="263" spans="1:49" ht="14.1" customHeight="1" x14ac:dyDescent="0.2">
      <c r="A263" s="137">
        <v>54</v>
      </c>
      <c r="B263" s="134">
        <v>2434</v>
      </c>
      <c r="C263" s="135">
        <v>600079317</v>
      </c>
      <c r="D263" s="134">
        <v>46746480</v>
      </c>
      <c r="E263" s="136" t="s">
        <v>684</v>
      </c>
      <c r="F263" s="137"/>
      <c r="G263" s="136"/>
      <c r="H263" s="138"/>
      <c r="I263" s="139">
        <f t="shared" ref="I263:P263" si="468">SUM(I260:I262)</f>
        <v>15310247</v>
      </c>
      <c r="J263" s="140">
        <f t="shared" si="468"/>
        <v>11203702</v>
      </c>
      <c r="K263" s="140">
        <f t="shared" si="468"/>
        <v>3786851</v>
      </c>
      <c r="L263" s="140">
        <f t="shared" si="468"/>
        <v>224074</v>
      </c>
      <c r="M263" s="140">
        <f t="shared" si="468"/>
        <v>95620</v>
      </c>
      <c r="N263" s="141">
        <f t="shared" si="468"/>
        <v>27.7896</v>
      </c>
      <c r="O263" s="141">
        <f t="shared" si="468"/>
        <v>16</v>
      </c>
      <c r="P263" s="142">
        <f t="shared" si="468"/>
        <v>11.7896</v>
      </c>
      <c r="Q263" s="342">
        <f t="shared" ref="Q263:AW263" si="469">SUM(Q260:Q262)</f>
        <v>0</v>
      </c>
      <c r="R263" s="140">
        <f t="shared" si="469"/>
        <v>519665</v>
      </c>
      <c r="S263" s="140">
        <f t="shared" si="469"/>
        <v>0</v>
      </c>
      <c r="T263" s="140">
        <f t="shared" si="469"/>
        <v>0</v>
      </c>
      <c r="U263" s="140">
        <f t="shared" si="469"/>
        <v>519665</v>
      </c>
      <c r="V263" s="140">
        <f t="shared" si="469"/>
        <v>0</v>
      </c>
      <c r="W263" s="140">
        <f t="shared" si="469"/>
        <v>0</v>
      </c>
      <c r="X263" s="140">
        <f t="shared" si="469"/>
        <v>0</v>
      </c>
      <c r="Y263" s="140">
        <f t="shared" si="469"/>
        <v>0</v>
      </c>
      <c r="Z263" s="140">
        <f t="shared" si="469"/>
        <v>519665</v>
      </c>
      <c r="AA263" s="140">
        <f t="shared" si="469"/>
        <v>175647</v>
      </c>
      <c r="AB263" s="140">
        <f t="shared" si="469"/>
        <v>10393</v>
      </c>
      <c r="AC263" s="140">
        <f t="shared" si="469"/>
        <v>0</v>
      </c>
      <c r="AD263" s="140">
        <f t="shared" si="469"/>
        <v>0</v>
      </c>
      <c r="AE263" s="140">
        <f t="shared" si="469"/>
        <v>0</v>
      </c>
      <c r="AF263" s="140">
        <f t="shared" si="469"/>
        <v>705705</v>
      </c>
      <c r="AG263" s="141">
        <f t="shared" si="469"/>
        <v>0</v>
      </c>
      <c r="AH263" s="141">
        <f t="shared" si="469"/>
        <v>0</v>
      </c>
      <c r="AI263" s="141">
        <f t="shared" si="469"/>
        <v>1.5</v>
      </c>
      <c r="AJ263" s="141">
        <f t="shared" si="469"/>
        <v>0</v>
      </c>
      <c r="AK263" s="141">
        <f t="shared" si="469"/>
        <v>0</v>
      </c>
      <c r="AL263" s="141">
        <f t="shared" si="469"/>
        <v>1.5</v>
      </c>
      <c r="AM263" s="141">
        <f t="shared" si="469"/>
        <v>0</v>
      </c>
      <c r="AN263" s="635">
        <f t="shared" si="469"/>
        <v>1.5</v>
      </c>
      <c r="AO263" s="139">
        <f t="shared" si="469"/>
        <v>16015952</v>
      </c>
      <c r="AP263" s="140">
        <f t="shared" si="469"/>
        <v>11723367</v>
      </c>
      <c r="AQ263" s="140">
        <f t="shared" si="469"/>
        <v>0</v>
      </c>
      <c r="AR263" s="140">
        <f t="shared" si="469"/>
        <v>3962498</v>
      </c>
      <c r="AS263" s="140">
        <f t="shared" si="469"/>
        <v>234467</v>
      </c>
      <c r="AT263" s="140">
        <f t="shared" si="469"/>
        <v>95620</v>
      </c>
      <c r="AU263" s="141">
        <f t="shared" si="469"/>
        <v>29.2896</v>
      </c>
      <c r="AV263" s="141">
        <f t="shared" si="469"/>
        <v>17.5</v>
      </c>
      <c r="AW263" s="142">
        <f t="shared" si="469"/>
        <v>11.7896</v>
      </c>
    </row>
    <row r="264" spans="1:49" ht="14.1" customHeight="1" x14ac:dyDescent="0.2">
      <c r="A264" s="124">
        <v>55</v>
      </c>
      <c r="B264" s="121">
        <v>2484</v>
      </c>
      <c r="C264" s="144">
        <v>600079864</v>
      </c>
      <c r="D264" s="121">
        <v>46746145</v>
      </c>
      <c r="E264" s="123" t="s">
        <v>685</v>
      </c>
      <c r="F264" s="124">
        <v>3113</v>
      </c>
      <c r="G264" s="123" t="s">
        <v>320</v>
      </c>
      <c r="H264" s="125" t="s">
        <v>283</v>
      </c>
      <c r="I264" s="126">
        <f t="shared" si="385"/>
        <v>38556349</v>
      </c>
      <c r="J264" s="127">
        <v>27600286</v>
      </c>
      <c r="K264" s="127">
        <f t="shared" si="398"/>
        <v>9328897</v>
      </c>
      <c r="L264" s="477">
        <f t="shared" si="399"/>
        <v>552006</v>
      </c>
      <c r="M264" s="127">
        <v>1075160</v>
      </c>
      <c r="N264" s="390">
        <f t="shared" si="386"/>
        <v>51.598399999999998</v>
      </c>
      <c r="O264" s="390">
        <v>39.955599999999997</v>
      </c>
      <c r="P264" s="439">
        <v>11.642800000000001</v>
      </c>
      <c r="Q264" s="129">
        <f t="shared" si="387"/>
        <v>-80000</v>
      </c>
      <c r="R264" s="130">
        <v>0</v>
      </c>
      <c r="S264" s="130">
        <v>0</v>
      </c>
      <c r="T264" s="130">
        <v>0</v>
      </c>
      <c r="U264" s="130">
        <f t="shared" si="388"/>
        <v>-80000</v>
      </c>
      <c r="V264" s="130">
        <v>80000</v>
      </c>
      <c r="W264" s="130">
        <v>200992</v>
      </c>
      <c r="X264" s="130">
        <v>0</v>
      </c>
      <c r="Y264" s="130">
        <f t="shared" ref="Y264:Y268" si="470">SUM(V264:X264)</f>
        <v>280992</v>
      </c>
      <c r="Z264" s="130">
        <f t="shared" ref="Z264:Z268" si="471">U264+Y264</f>
        <v>200992</v>
      </c>
      <c r="AA264" s="131">
        <f t="shared" ref="AA264:AA268" si="472">ROUND((U264+V264+W264)*33.8%,0)</f>
        <v>67935</v>
      </c>
      <c r="AB264" s="131">
        <f t="shared" ref="AB264:AB268" si="473">ROUND(U264*2%,0)</f>
        <v>-1600</v>
      </c>
      <c r="AC264" s="130">
        <v>0</v>
      </c>
      <c r="AD264" s="130">
        <v>0</v>
      </c>
      <c r="AE264" s="130">
        <f t="shared" si="406"/>
        <v>0</v>
      </c>
      <c r="AF264" s="130">
        <f t="shared" si="407"/>
        <v>267327</v>
      </c>
      <c r="AG264" s="132">
        <v>-0.05</v>
      </c>
      <c r="AH264" s="132">
        <v>-0.04</v>
      </c>
      <c r="AI264" s="132">
        <v>0</v>
      </c>
      <c r="AJ264" s="132">
        <v>0</v>
      </c>
      <c r="AK264" s="132">
        <v>0</v>
      </c>
      <c r="AL264" s="132">
        <f t="shared" si="408"/>
        <v>-0.05</v>
      </c>
      <c r="AM264" s="132">
        <f>AH264+AK264</f>
        <v>-0.04</v>
      </c>
      <c r="AN264" s="403">
        <f t="shared" si="409"/>
        <v>-0.09</v>
      </c>
      <c r="AO264" s="128">
        <f t="shared" si="389"/>
        <v>38823676</v>
      </c>
      <c r="AP264" s="130">
        <f t="shared" si="390"/>
        <v>27520286</v>
      </c>
      <c r="AQ264" s="130">
        <f t="shared" si="391"/>
        <v>280992</v>
      </c>
      <c r="AR264" s="130">
        <f t="shared" si="392"/>
        <v>9396832</v>
      </c>
      <c r="AS264" s="130">
        <f t="shared" si="393"/>
        <v>550406</v>
      </c>
      <c r="AT264" s="130">
        <f t="shared" si="394"/>
        <v>1075160</v>
      </c>
      <c r="AU264" s="132">
        <f t="shared" si="395"/>
        <v>51.508399999999995</v>
      </c>
      <c r="AV264" s="132">
        <f t="shared" si="396"/>
        <v>39.9056</v>
      </c>
      <c r="AW264" s="133">
        <f t="shared" si="397"/>
        <v>11.602800000000002</v>
      </c>
    </row>
    <row r="265" spans="1:49" ht="14.1" customHeight="1" x14ac:dyDescent="0.2">
      <c r="A265" s="124">
        <v>55</v>
      </c>
      <c r="B265" s="121">
        <v>2484</v>
      </c>
      <c r="C265" s="144">
        <v>600079864</v>
      </c>
      <c r="D265" s="121">
        <v>46746145</v>
      </c>
      <c r="E265" s="123" t="s">
        <v>685</v>
      </c>
      <c r="F265" s="124">
        <v>3113</v>
      </c>
      <c r="G265" s="143" t="s">
        <v>318</v>
      </c>
      <c r="H265" s="125" t="s">
        <v>284</v>
      </c>
      <c r="I265" s="126">
        <f t="shared" si="385"/>
        <v>0</v>
      </c>
      <c r="J265" s="29">
        <v>0</v>
      </c>
      <c r="K265" s="127">
        <f t="shared" si="398"/>
        <v>0</v>
      </c>
      <c r="L265" s="477">
        <f t="shared" si="399"/>
        <v>0</v>
      </c>
      <c r="M265" s="29">
        <v>0</v>
      </c>
      <c r="N265" s="390">
        <f t="shared" si="386"/>
        <v>0</v>
      </c>
      <c r="O265" s="349">
        <v>0</v>
      </c>
      <c r="P265" s="639">
        <v>0</v>
      </c>
      <c r="Q265" s="129">
        <f t="shared" si="387"/>
        <v>0</v>
      </c>
      <c r="R265" s="130">
        <f>2416700+(-49195)</f>
        <v>2367505</v>
      </c>
      <c r="S265" s="130">
        <v>0</v>
      </c>
      <c r="T265" s="130">
        <v>0</v>
      </c>
      <c r="U265" s="130">
        <f t="shared" si="388"/>
        <v>2367505</v>
      </c>
      <c r="V265" s="130">
        <v>0</v>
      </c>
      <c r="W265" s="130">
        <v>0</v>
      </c>
      <c r="X265" s="130">
        <v>0</v>
      </c>
      <c r="Y265" s="130">
        <f t="shared" si="470"/>
        <v>0</v>
      </c>
      <c r="Z265" s="130">
        <f t="shared" si="471"/>
        <v>2367505</v>
      </c>
      <c r="AA265" s="131">
        <f t="shared" si="472"/>
        <v>800217</v>
      </c>
      <c r="AB265" s="131">
        <f t="shared" si="473"/>
        <v>47350</v>
      </c>
      <c r="AC265" s="130">
        <v>0</v>
      </c>
      <c r="AD265" s="130">
        <v>0</v>
      </c>
      <c r="AE265" s="130">
        <f t="shared" si="406"/>
        <v>0</v>
      </c>
      <c r="AF265" s="130">
        <f t="shared" si="407"/>
        <v>3215072</v>
      </c>
      <c r="AG265" s="132">
        <v>0</v>
      </c>
      <c r="AH265" s="132">
        <v>0</v>
      </c>
      <c r="AI265" s="132">
        <v>6.82</v>
      </c>
      <c r="AJ265" s="132">
        <v>0</v>
      </c>
      <c r="AK265" s="132">
        <v>0</v>
      </c>
      <c r="AL265" s="132">
        <f t="shared" si="408"/>
        <v>6.82</v>
      </c>
      <c r="AM265" s="132">
        <f>AH265+AK265</f>
        <v>0</v>
      </c>
      <c r="AN265" s="403">
        <f t="shared" si="409"/>
        <v>6.82</v>
      </c>
      <c r="AO265" s="128">
        <f t="shared" si="389"/>
        <v>3215072</v>
      </c>
      <c r="AP265" s="130">
        <f t="shared" si="390"/>
        <v>2367505</v>
      </c>
      <c r="AQ265" s="130">
        <f t="shared" si="391"/>
        <v>0</v>
      </c>
      <c r="AR265" s="130">
        <f t="shared" si="392"/>
        <v>800217</v>
      </c>
      <c r="AS265" s="130">
        <f t="shared" si="393"/>
        <v>47350</v>
      </c>
      <c r="AT265" s="130">
        <f t="shared" si="394"/>
        <v>0</v>
      </c>
      <c r="AU265" s="132">
        <f t="shared" si="395"/>
        <v>6.82</v>
      </c>
      <c r="AV265" s="132">
        <f t="shared" si="396"/>
        <v>6.82</v>
      </c>
      <c r="AW265" s="133">
        <f t="shared" si="397"/>
        <v>0</v>
      </c>
    </row>
    <row r="266" spans="1:49" ht="14.1" customHeight="1" x14ac:dyDescent="0.2">
      <c r="A266" s="124">
        <v>55</v>
      </c>
      <c r="B266" s="121">
        <v>2484</v>
      </c>
      <c r="C266" s="144">
        <v>600079864</v>
      </c>
      <c r="D266" s="121">
        <v>46746145</v>
      </c>
      <c r="E266" s="123" t="s">
        <v>685</v>
      </c>
      <c r="F266" s="124">
        <v>3141</v>
      </c>
      <c r="G266" s="123" t="s">
        <v>321</v>
      </c>
      <c r="H266" s="125" t="s">
        <v>284</v>
      </c>
      <c r="I266" s="126">
        <f t="shared" si="385"/>
        <v>3527988</v>
      </c>
      <c r="J266" s="666">
        <v>2570894</v>
      </c>
      <c r="K266" s="127">
        <f t="shared" si="398"/>
        <v>868962</v>
      </c>
      <c r="L266" s="477">
        <f t="shared" si="399"/>
        <v>51418</v>
      </c>
      <c r="M266" s="666">
        <v>36714</v>
      </c>
      <c r="N266" s="390">
        <f t="shared" si="386"/>
        <v>8.74</v>
      </c>
      <c r="O266" s="668">
        <v>0</v>
      </c>
      <c r="P266" s="667">
        <v>8.74</v>
      </c>
      <c r="Q266" s="129">
        <f t="shared" si="387"/>
        <v>-24000</v>
      </c>
      <c r="R266" s="130">
        <v>0</v>
      </c>
      <c r="S266" s="130">
        <v>0</v>
      </c>
      <c r="T266" s="130">
        <v>0</v>
      </c>
      <c r="U266" s="130">
        <f t="shared" si="388"/>
        <v>-24000</v>
      </c>
      <c r="V266" s="130">
        <v>24000</v>
      </c>
      <c r="W266" s="130">
        <v>0</v>
      </c>
      <c r="X266" s="130">
        <v>0</v>
      </c>
      <c r="Y266" s="130">
        <f t="shared" si="470"/>
        <v>24000</v>
      </c>
      <c r="Z266" s="130">
        <f t="shared" si="471"/>
        <v>0</v>
      </c>
      <c r="AA266" s="131">
        <f t="shared" si="472"/>
        <v>0</v>
      </c>
      <c r="AB266" s="131">
        <f t="shared" si="473"/>
        <v>-480</v>
      </c>
      <c r="AC266" s="130">
        <v>0</v>
      </c>
      <c r="AD266" s="130">
        <v>0</v>
      </c>
      <c r="AE266" s="130">
        <f t="shared" si="406"/>
        <v>0</v>
      </c>
      <c r="AF266" s="130">
        <f t="shared" si="407"/>
        <v>-480</v>
      </c>
      <c r="AG266" s="132">
        <v>0</v>
      </c>
      <c r="AH266" s="132">
        <v>-0.03</v>
      </c>
      <c r="AI266" s="132">
        <v>0</v>
      </c>
      <c r="AJ266" s="132">
        <v>0</v>
      </c>
      <c r="AK266" s="132">
        <v>0</v>
      </c>
      <c r="AL266" s="132">
        <f t="shared" si="408"/>
        <v>0</v>
      </c>
      <c r="AM266" s="132">
        <f>AH266+AK266</f>
        <v>-0.03</v>
      </c>
      <c r="AN266" s="403">
        <f t="shared" si="409"/>
        <v>-0.03</v>
      </c>
      <c r="AO266" s="128">
        <f t="shared" si="389"/>
        <v>3527508</v>
      </c>
      <c r="AP266" s="130">
        <f t="shared" si="390"/>
        <v>2546894</v>
      </c>
      <c r="AQ266" s="130">
        <f t="shared" si="391"/>
        <v>24000</v>
      </c>
      <c r="AR266" s="130">
        <f t="shared" si="392"/>
        <v>868962</v>
      </c>
      <c r="AS266" s="130">
        <f t="shared" si="393"/>
        <v>50938</v>
      </c>
      <c r="AT266" s="130">
        <f t="shared" si="394"/>
        <v>36714</v>
      </c>
      <c r="AU266" s="132">
        <f t="shared" si="395"/>
        <v>8.7100000000000009</v>
      </c>
      <c r="AV266" s="132">
        <f t="shared" si="396"/>
        <v>0</v>
      </c>
      <c r="AW266" s="133">
        <f t="shared" si="397"/>
        <v>8.7100000000000009</v>
      </c>
    </row>
    <row r="267" spans="1:49" ht="14.1" customHeight="1" x14ac:dyDescent="0.2">
      <c r="A267" s="124">
        <v>55</v>
      </c>
      <c r="B267" s="121">
        <v>2484</v>
      </c>
      <c r="C267" s="144">
        <v>600079864</v>
      </c>
      <c r="D267" s="121">
        <v>46746145</v>
      </c>
      <c r="E267" s="123" t="s">
        <v>685</v>
      </c>
      <c r="F267" s="124">
        <v>3143</v>
      </c>
      <c r="G267" s="145" t="s">
        <v>635</v>
      </c>
      <c r="H267" s="125" t="s">
        <v>283</v>
      </c>
      <c r="I267" s="126">
        <f t="shared" si="385"/>
        <v>4127930</v>
      </c>
      <c r="J267" s="631">
        <v>3039713</v>
      </c>
      <c r="K267" s="127">
        <f t="shared" si="398"/>
        <v>1027423</v>
      </c>
      <c r="L267" s="477">
        <f t="shared" si="399"/>
        <v>60794</v>
      </c>
      <c r="M267" s="478">
        <v>0</v>
      </c>
      <c r="N267" s="390">
        <f t="shared" si="386"/>
        <v>6.5395000000000003</v>
      </c>
      <c r="O267" s="644">
        <v>6.5395000000000003</v>
      </c>
      <c r="P267" s="639">
        <v>0</v>
      </c>
      <c r="Q267" s="129">
        <f t="shared" si="387"/>
        <v>-24000</v>
      </c>
      <c r="R267" s="130">
        <v>0</v>
      </c>
      <c r="S267" s="130">
        <v>0</v>
      </c>
      <c r="T267" s="130">
        <v>0</v>
      </c>
      <c r="U267" s="130">
        <f t="shared" si="388"/>
        <v>-24000</v>
      </c>
      <c r="V267" s="130">
        <v>24000</v>
      </c>
      <c r="W267" s="130">
        <v>0</v>
      </c>
      <c r="X267" s="130">
        <v>0</v>
      </c>
      <c r="Y267" s="130">
        <f t="shared" si="470"/>
        <v>24000</v>
      </c>
      <c r="Z267" s="130">
        <f t="shared" si="471"/>
        <v>0</v>
      </c>
      <c r="AA267" s="131">
        <f t="shared" si="472"/>
        <v>0</v>
      </c>
      <c r="AB267" s="131">
        <f t="shared" si="473"/>
        <v>-480</v>
      </c>
      <c r="AC267" s="130">
        <v>0</v>
      </c>
      <c r="AD267" s="130">
        <v>0</v>
      </c>
      <c r="AE267" s="130">
        <f t="shared" si="406"/>
        <v>0</v>
      </c>
      <c r="AF267" s="130">
        <f t="shared" si="407"/>
        <v>-480</v>
      </c>
      <c r="AG267" s="132">
        <v>-0.04</v>
      </c>
      <c r="AH267" s="132">
        <v>0</v>
      </c>
      <c r="AI267" s="132">
        <v>0</v>
      </c>
      <c r="AJ267" s="132">
        <v>0</v>
      </c>
      <c r="AK267" s="132">
        <v>0</v>
      </c>
      <c r="AL267" s="132">
        <f t="shared" si="408"/>
        <v>-0.04</v>
      </c>
      <c r="AM267" s="132">
        <f>AH267+AK267</f>
        <v>0</v>
      </c>
      <c r="AN267" s="403">
        <f t="shared" si="409"/>
        <v>-0.04</v>
      </c>
      <c r="AO267" s="128">
        <f t="shared" si="389"/>
        <v>4127450</v>
      </c>
      <c r="AP267" s="130">
        <f t="shared" si="390"/>
        <v>3015713</v>
      </c>
      <c r="AQ267" s="130">
        <f t="shared" si="391"/>
        <v>24000</v>
      </c>
      <c r="AR267" s="130">
        <f t="shared" si="392"/>
        <v>1027423</v>
      </c>
      <c r="AS267" s="130">
        <f t="shared" si="393"/>
        <v>60314</v>
      </c>
      <c r="AT267" s="130">
        <f t="shared" si="394"/>
        <v>0</v>
      </c>
      <c r="AU267" s="132">
        <f t="shared" si="395"/>
        <v>6.4995000000000003</v>
      </c>
      <c r="AV267" s="132">
        <f t="shared" si="396"/>
        <v>6.4995000000000003</v>
      </c>
      <c r="AW267" s="133">
        <f t="shared" si="397"/>
        <v>0</v>
      </c>
    </row>
    <row r="268" spans="1:49" ht="14.1" customHeight="1" x14ac:dyDescent="0.2">
      <c r="A268" s="124">
        <v>55</v>
      </c>
      <c r="B268" s="121">
        <v>2484</v>
      </c>
      <c r="C268" s="144">
        <v>600079864</v>
      </c>
      <c r="D268" s="121">
        <v>46746145</v>
      </c>
      <c r="E268" s="123" t="s">
        <v>685</v>
      </c>
      <c r="F268" s="124">
        <v>3143</v>
      </c>
      <c r="G268" s="145" t="s">
        <v>636</v>
      </c>
      <c r="H268" s="125" t="s">
        <v>284</v>
      </c>
      <c r="I268" s="126">
        <f t="shared" si="385"/>
        <v>128505</v>
      </c>
      <c r="J268" s="664">
        <v>90585</v>
      </c>
      <c r="K268" s="127">
        <f t="shared" ref="K268" si="474">ROUND(J268*33.8%,0)</f>
        <v>30618</v>
      </c>
      <c r="L268" s="477">
        <f t="shared" ref="L268" si="475">ROUND(J268*2%,0)</f>
        <v>1812</v>
      </c>
      <c r="M268" s="664">
        <v>5490</v>
      </c>
      <c r="N268" s="390">
        <f t="shared" si="386"/>
        <v>0.38</v>
      </c>
      <c r="O268" s="665">
        <v>0</v>
      </c>
      <c r="P268" s="667">
        <v>0.38</v>
      </c>
      <c r="Q268" s="129">
        <f t="shared" si="387"/>
        <v>0</v>
      </c>
      <c r="R268" s="130">
        <v>0</v>
      </c>
      <c r="S268" s="130">
        <v>0</v>
      </c>
      <c r="T268" s="130">
        <v>0</v>
      </c>
      <c r="U268" s="130">
        <f t="shared" si="388"/>
        <v>0</v>
      </c>
      <c r="V268" s="130">
        <v>0</v>
      </c>
      <c r="W268" s="130">
        <v>0</v>
      </c>
      <c r="X268" s="130">
        <v>0</v>
      </c>
      <c r="Y268" s="130">
        <f t="shared" si="470"/>
        <v>0</v>
      </c>
      <c r="Z268" s="130">
        <f t="shared" si="471"/>
        <v>0</v>
      </c>
      <c r="AA268" s="131">
        <f t="shared" si="472"/>
        <v>0</v>
      </c>
      <c r="AB268" s="131">
        <f t="shared" si="473"/>
        <v>0</v>
      </c>
      <c r="AC268" s="130">
        <v>0</v>
      </c>
      <c r="AD268" s="130">
        <v>0</v>
      </c>
      <c r="AE268" s="130">
        <f t="shared" si="406"/>
        <v>0</v>
      </c>
      <c r="AF268" s="130">
        <f t="shared" si="407"/>
        <v>0</v>
      </c>
      <c r="AG268" s="132">
        <v>0</v>
      </c>
      <c r="AH268" s="132">
        <v>0</v>
      </c>
      <c r="AI268" s="132">
        <v>0</v>
      </c>
      <c r="AJ268" s="132">
        <v>0</v>
      </c>
      <c r="AK268" s="132">
        <v>0</v>
      </c>
      <c r="AL268" s="132">
        <f t="shared" si="408"/>
        <v>0</v>
      </c>
      <c r="AM268" s="132">
        <f>AH268+AK268</f>
        <v>0</v>
      </c>
      <c r="AN268" s="403">
        <f t="shared" si="409"/>
        <v>0</v>
      </c>
      <c r="AO268" s="128">
        <f t="shared" si="389"/>
        <v>128505</v>
      </c>
      <c r="AP268" s="130">
        <f t="shared" si="390"/>
        <v>90585</v>
      </c>
      <c r="AQ268" s="130">
        <f t="shared" si="391"/>
        <v>0</v>
      </c>
      <c r="AR268" s="130">
        <f t="shared" si="392"/>
        <v>30618</v>
      </c>
      <c r="AS268" s="130">
        <f t="shared" si="393"/>
        <v>1812</v>
      </c>
      <c r="AT268" s="130">
        <f t="shared" si="394"/>
        <v>5490</v>
      </c>
      <c r="AU268" s="132">
        <f t="shared" si="395"/>
        <v>0.38</v>
      </c>
      <c r="AV268" s="132">
        <f t="shared" si="396"/>
        <v>0</v>
      </c>
      <c r="AW268" s="133">
        <f t="shared" si="397"/>
        <v>0.38</v>
      </c>
    </row>
    <row r="269" spans="1:49" ht="14.1" customHeight="1" x14ac:dyDescent="0.2">
      <c r="A269" s="137">
        <v>55</v>
      </c>
      <c r="B269" s="134">
        <v>2484</v>
      </c>
      <c r="C269" s="146">
        <v>600079864</v>
      </c>
      <c r="D269" s="134">
        <v>46746145</v>
      </c>
      <c r="E269" s="136" t="s">
        <v>686</v>
      </c>
      <c r="F269" s="137"/>
      <c r="G269" s="136"/>
      <c r="H269" s="138"/>
      <c r="I269" s="139">
        <f t="shared" ref="I269:P269" si="476">SUM(I264:I268)</f>
        <v>46340772</v>
      </c>
      <c r="J269" s="140">
        <f t="shared" si="476"/>
        <v>33301478</v>
      </c>
      <c r="K269" s="140">
        <f t="shared" si="476"/>
        <v>11255900</v>
      </c>
      <c r="L269" s="140">
        <f t="shared" si="476"/>
        <v>666030</v>
      </c>
      <c r="M269" s="140">
        <f t="shared" si="476"/>
        <v>1117364</v>
      </c>
      <c r="N269" s="141">
        <f t="shared" si="476"/>
        <v>67.257899999999992</v>
      </c>
      <c r="O269" s="141">
        <f t="shared" si="476"/>
        <v>46.495099999999994</v>
      </c>
      <c r="P269" s="142">
        <f t="shared" si="476"/>
        <v>20.762800000000002</v>
      </c>
      <c r="Q269" s="342">
        <f t="shared" ref="Q269:AW269" si="477">SUM(Q264:Q268)</f>
        <v>-128000</v>
      </c>
      <c r="R269" s="140">
        <f t="shared" si="477"/>
        <v>2367505</v>
      </c>
      <c r="S269" s="140">
        <f t="shared" si="477"/>
        <v>0</v>
      </c>
      <c r="T269" s="140">
        <f t="shared" si="477"/>
        <v>0</v>
      </c>
      <c r="U269" s="140">
        <f t="shared" si="477"/>
        <v>2239505</v>
      </c>
      <c r="V269" s="140">
        <f t="shared" si="477"/>
        <v>128000</v>
      </c>
      <c r="W269" s="140">
        <f t="shared" si="477"/>
        <v>200992</v>
      </c>
      <c r="X269" s="140">
        <f t="shared" si="477"/>
        <v>0</v>
      </c>
      <c r="Y269" s="140">
        <f t="shared" si="477"/>
        <v>328992</v>
      </c>
      <c r="Z269" s="140">
        <f t="shared" si="477"/>
        <v>2568497</v>
      </c>
      <c r="AA269" s="140">
        <f t="shared" si="477"/>
        <v>868152</v>
      </c>
      <c r="AB269" s="140">
        <f t="shared" si="477"/>
        <v>44790</v>
      </c>
      <c r="AC269" s="140">
        <f t="shared" si="477"/>
        <v>0</v>
      </c>
      <c r="AD269" s="140">
        <f t="shared" si="477"/>
        <v>0</v>
      </c>
      <c r="AE269" s="140">
        <f t="shared" si="477"/>
        <v>0</v>
      </c>
      <c r="AF269" s="140">
        <f t="shared" si="477"/>
        <v>3481439</v>
      </c>
      <c r="AG269" s="141">
        <f t="shared" si="477"/>
        <v>-0.09</v>
      </c>
      <c r="AH269" s="141">
        <f t="shared" si="477"/>
        <v>-7.0000000000000007E-2</v>
      </c>
      <c r="AI269" s="141">
        <f t="shared" si="477"/>
        <v>6.82</v>
      </c>
      <c r="AJ269" s="141">
        <f t="shared" si="477"/>
        <v>0</v>
      </c>
      <c r="AK269" s="141">
        <f t="shared" si="477"/>
        <v>0</v>
      </c>
      <c r="AL269" s="141">
        <f t="shared" si="477"/>
        <v>6.73</v>
      </c>
      <c r="AM269" s="141">
        <f t="shared" si="477"/>
        <v>-7.0000000000000007E-2</v>
      </c>
      <c r="AN269" s="635">
        <f t="shared" si="477"/>
        <v>6.66</v>
      </c>
      <c r="AO269" s="139">
        <f t="shared" si="477"/>
        <v>49822211</v>
      </c>
      <c r="AP269" s="140">
        <f t="shared" si="477"/>
        <v>35540983</v>
      </c>
      <c r="AQ269" s="140">
        <f t="shared" si="477"/>
        <v>328992</v>
      </c>
      <c r="AR269" s="140">
        <f t="shared" si="477"/>
        <v>12124052</v>
      </c>
      <c r="AS269" s="140">
        <f t="shared" si="477"/>
        <v>710820</v>
      </c>
      <c r="AT269" s="140">
        <f t="shared" si="477"/>
        <v>1117364</v>
      </c>
      <c r="AU269" s="141">
        <f t="shared" si="477"/>
        <v>73.917899999999989</v>
      </c>
      <c r="AV269" s="141">
        <f t="shared" si="477"/>
        <v>53.225099999999998</v>
      </c>
      <c r="AW269" s="142">
        <f t="shared" si="477"/>
        <v>20.692800000000002</v>
      </c>
    </row>
    <row r="270" spans="1:49" ht="14.1" customHeight="1" x14ac:dyDescent="0.2">
      <c r="A270" s="124">
        <v>56</v>
      </c>
      <c r="B270" s="121">
        <v>2401</v>
      </c>
      <c r="C270" s="122">
        <v>600079597</v>
      </c>
      <c r="D270" s="121">
        <v>72741538</v>
      </c>
      <c r="E270" s="123" t="s">
        <v>687</v>
      </c>
      <c r="F270" s="124">
        <v>3111</v>
      </c>
      <c r="G270" s="123" t="s">
        <v>317</v>
      </c>
      <c r="H270" s="125" t="s">
        <v>283</v>
      </c>
      <c r="I270" s="126">
        <f t="shared" ref="I270:I332" si="478">SUM(J270:M270)</f>
        <v>3252475</v>
      </c>
      <c r="J270" s="127">
        <v>2381130</v>
      </c>
      <c r="K270" s="127">
        <f t="shared" ref="K270:K332" si="479">ROUND(J270*33.8%,0)</f>
        <v>804822</v>
      </c>
      <c r="L270" s="477">
        <f t="shared" ref="L270:L333" si="480">ROUND(J270*2%,0)</f>
        <v>47623</v>
      </c>
      <c r="M270" s="127">
        <v>18900</v>
      </c>
      <c r="N270" s="390">
        <f t="shared" ref="N270:N332" si="481">O270+P270</f>
        <v>5.4897999999999998</v>
      </c>
      <c r="O270" s="390">
        <v>4</v>
      </c>
      <c r="P270" s="439">
        <v>1.4898</v>
      </c>
      <c r="Q270" s="129">
        <f t="shared" ref="Q270:Q332" si="482">V270*-1</f>
        <v>-60000</v>
      </c>
      <c r="R270" s="130">
        <v>0</v>
      </c>
      <c r="S270" s="130">
        <v>0</v>
      </c>
      <c r="T270" s="130">
        <v>0</v>
      </c>
      <c r="U270" s="130">
        <f t="shared" ref="U270:U332" si="483">SUM(Q270:T270)</f>
        <v>-60000</v>
      </c>
      <c r="V270" s="130">
        <v>60000</v>
      </c>
      <c r="W270" s="130">
        <v>0</v>
      </c>
      <c r="X270" s="130">
        <v>0</v>
      </c>
      <c r="Y270" s="130">
        <f t="shared" ref="Y270:Y272" si="484">SUM(V270:X270)</f>
        <v>60000</v>
      </c>
      <c r="Z270" s="130">
        <f t="shared" ref="Z270:Z272" si="485">U270+Y270</f>
        <v>0</v>
      </c>
      <c r="AA270" s="131">
        <f t="shared" ref="AA270:AA272" si="486">ROUND((U270+V270+W270)*33.8%,0)</f>
        <v>0</v>
      </c>
      <c r="AB270" s="131">
        <f t="shared" ref="AB270:AB272" si="487">ROUND(U270*2%,0)</f>
        <v>-1200</v>
      </c>
      <c r="AC270" s="130">
        <v>0</v>
      </c>
      <c r="AD270" s="130">
        <v>0</v>
      </c>
      <c r="AE270" s="130">
        <f t="shared" si="406"/>
        <v>0</v>
      </c>
      <c r="AF270" s="130">
        <f t="shared" si="407"/>
        <v>-1200</v>
      </c>
      <c r="AG270" s="132">
        <v>0</v>
      </c>
      <c r="AH270" s="132">
        <v>-0.32</v>
      </c>
      <c r="AI270" s="132">
        <v>0</v>
      </c>
      <c r="AJ270" s="132">
        <v>0</v>
      </c>
      <c r="AK270" s="132">
        <v>0</v>
      </c>
      <c r="AL270" s="132">
        <f t="shared" si="408"/>
        <v>0</v>
      </c>
      <c r="AM270" s="132">
        <f>AH270+AK270</f>
        <v>-0.32</v>
      </c>
      <c r="AN270" s="403">
        <f t="shared" si="409"/>
        <v>-0.32</v>
      </c>
      <c r="AO270" s="128">
        <f t="shared" ref="AO270:AO332" si="488">I270+AF270</f>
        <v>3251275</v>
      </c>
      <c r="AP270" s="130">
        <f t="shared" ref="AP270:AP332" si="489">J270+U270</f>
        <v>2321130</v>
      </c>
      <c r="AQ270" s="130">
        <f t="shared" ref="AQ270:AQ332" si="490">Y270</f>
        <v>60000</v>
      </c>
      <c r="AR270" s="130">
        <f t="shared" ref="AR270:AR332" si="491">K270+AA270</f>
        <v>804822</v>
      </c>
      <c r="AS270" s="130">
        <f t="shared" ref="AS270:AS332" si="492">L270+AB270</f>
        <v>46423</v>
      </c>
      <c r="AT270" s="130">
        <f t="shared" ref="AT270:AT332" si="493">M270+AE270</f>
        <v>18900</v>
      </c>
      <c r="AU270" s="132">
        <f t="shared" ref="AU270:AU332" si="494">N270+AN270</f>
        <v>5.1697999999999995</v>
      </c>
      <c r="AV270" s="132">
        <f t="shared" ref="AV270:AV332" si="495">O270+AL270</f>
        <v>4</v>
      </c>
      <c r="AW270" s="133">
        <f t="shared" ref="AW270:AW332" si="496">P270+AM270</f>
        <v>1.1698</v>
      </c>
    </row>
    <row r="271" spans="1:49" ht="14.1" customHeight="1" x14ac:dyDescent="0.2">
      <c r="A271" s="124">
        <v>56</v>
      </c>
      <c r="B271" s="121">
        <v>2401</v>
      </c>
      <c r="C271" s="122">
        <v>600079597</v>
      </c>
      <c r="D271" s="121">
        <v>72741538</v>
      </c>
      <c r="E271" s="123" t="s">
        <v>687</v>
      </c>
      <c r="F271" s="124">
        <v>3111</v>
      </c>
      <c r="G271" s="123" t="s">
        <v>318</v>
      </c>
      <c r="H271" s="125" t="s">
        <v>284</v>
      </c>
      <c r="I271" s="126">
        <f t="shared" si="478"/>
        <v>0</v>
      </c>
      <c r="J271" s="29">
        <v>0</v>
      </c>
      <c r="K271" s="127">
        <f t="shared" si="479"/>
        <v>0</v>
      </c>
      <c r="L271" s="477">
        <f t="shared" si="480"/>
        <v>0</v>
      </c>
      <c r="M271" s="29">
        <v>0</v>
      </c>
      <c r="N271" s="390">
        <f t="shared" si="481"/>
        <v>0</v>
      </c>
      <c r="O271" s="349">
        <v>0</v>
      </c>
      <c r="P271" s="639">
        <v>0</v>
      </c>
      <c r="Q271" s="129">
        <f t="shared" si="482"/>
        <v>0</v>
      </c>
      <c r="R271" s="130">
        <v>635345</v>
      </c>
      <c r="S271" s="130">
        <v>0</v>
      </c>
      <c r="T271" s="130">
        <v>0</v>
      </c>
      <c r="U271" s="130">
        <f t="shared" si="483"/>
        <v>635345</v>
      </c>
      <c r="V271" s="130">
        <v>0</v>
      </c>
      <c r="W271" s="130">
        <v>0</v>
      </c>
      <c r="X271" s="130">
        <v>0</v>
      </c>
      <c r="Y271" s="130">
        <f t="shared" si="484"/>
        <v>0</v>
      </c>
      <c r="Z271" s="130">
        <f t="shared" si="485"/>
        <v>635345</v>
      </c>
      <c r="AA271" s="131">
        <f t="shared" si="486"/>
        <v>214747</v>
      </c>
      <c r="AB271" s="131">
        <f t="shared" si="487"/>
        <v>12707</v>
      </c>
      <c r="AC271" s="130">
        <v>0</v>
      </c>
      <c r="AD271" s="130">
        <v>0</v>
      </c>
      <c r="AE271" s="130">
        <f t="shared" si="406"/>
        <v>0</v>
      </c>
      <c r="AF271" s="130">
        <f t="shared" si="407"/>
        <v>862799</v>
      </c>
      <c r="AG271" s="132">
        <v>0</v>
      </c>
      <c r="AH271" s="132">
        <v>0</v>
      </c>
      <c r="AI271" s="132">
        <v>1.75</v>
      </c>
      <c r="AJ271" s="132">
        <v>0</v>
      </c>
      <c r="AK271" s="132">
        <v>0</v>
      </c>
      <c r="AL271" s="132">
        <f t="shared" si="408"/>
        <v>1.75</v>
      </c>
      <c r="AM271" s="132">
        <f>AH271+AK271</f>
        <v>0</v>
      </c>
      <c r="AN271" s="403">
        <f t="shared" si="409"/>
        <v>1.75</v>
      </c>
      <c r="AO271" s="128">
        <f t="shared" si="488"/>
        <v>862799</v>
      </c>
      <c r="AP271" s="130">
        <f t="shared" si="489"/>
        <v>635345</v>
      </c>
      <c r="AQ271" s="130">
        <f t="shared" si="490"/>
        <v>0</v>
      </c>
      <c r="AR271" s="130">
        <f t="shared" si="491"/>
        <v>214747</v>
      </c>
      <c r="AS271" s="130">
        <f t="shared" si="492"/>
        <v>12707</v>
      </c>
      <c r="AT271" s="130">
        <f t="shared" si="493"/>
        <v>0</v>
      </c>
      <c r="AU271" s="132">
        <f t="shared" si="494"/>
        <v>1.75</v>
      </c>
      <c r="AV271" s="132">
        <f t="shared" si="495"/>
        <v>1.75</v>
      </c>
      <c r="AW271" s="133">
        <f t="shared" si="496"/>
        <v>0</v>
      </c>
    </row>
    <row r="272" spans="1:49" ht="14.1" customHeight="1" x14ac:dyDescent="0.2">
      <c r="A272" s="124">
        <v>56</v>
      </c>
      <c r="B272" s="121">
        <v>2401</v>
      </c>
      <c r="C272" s="122">
        <v>600079597</v>
      </c>
      <c r="D272" s="121">
        <v>72741538</v>
      </c>
      <c r="E272" s="123" t="s">
        <v>687</v>
      </c>
      <c r="F272" s="124">
        <v>3141</v>
      </c>
      <c r="G272" s="123" t="s">
        <v>321</v>
      </c>
      <c r="H272" s="125" t="s">
        <v>284</v>
      </c>
      <c r="I272" s="126">
        <f t="shared" si="478"/>
        <v>564729</v>
      </c>
      <c r="J272" s="666">
        <v>414060</v>
      </c>
      <c r="K272" s="127">
        <f t="shared" si="479"/>
        <v>139952</v>
      </c>
      <c r="L272" s="477">
        <f t="shared" si="480"/>
        <v>8281</v>
      </c>
      <c r="M272" s="666">
        <v>2436</v>
      </c>
      <c r="N272" s="390">
        <f t="shared" si="481"/>
        <v>1.41</v>
      </c>
      <c r="O272" s="668">
        <v>0</v>
      </c>
      <c r="P272" s="667">
        <v>1.41</v>
      </c>
      <c r="Q272" s="129">
        <f t="shared" si="482"/>
        <v>0</v>
      </c>
      <c r="R272" s="130">
        <v>0</v>
      </c>
      <c r="S272" s="130">
        <v>0</v>
      </c>
      <c r="T272" s="130">
        <v>0</v>
      </c>
      <c r="U272" s="130">
        <f t="shared" si="483"/>
        <v>0</v>
      </c>
      <c r="V272" s="130">
        <v>0</v>
      </c>
      <c r="W272" s="130">
        <v>0</v>
      </c>
      <c r="X272" s="130">
        <v>0</v>
      </c>
      <c r="Y272" s="130">
        <f t="shared" si="484"/>
        <v>0</v>
      </c>
      <c r="Z272" s="130">
        <f t="shared" si="485"/>
        <v>0</v>
      </c>
      <c r="AA272" s="131">
        <f t="shared" si="486"/>
        <v>0</v>
      </c>
      <c r="AB272" s="131">
        <f t="shared" si="487"/>
        <v>0</v>
      </c>
      <c r="AC272" s="130">
        <v>0</v>
      </c>
      <c r="AD272" s="130">
        <v>0</v>
      </c>
      <c r="AE272" s="130">
        <f t="shared" si="406"/>
        <v>0</v>
      </c>
      <c r="AF272" s="130">
        <f t="shared" si="407"/>
        <v>0</v>
      </c>
      <c r="AG272" s="132">
        <v>0</v>
      </c>
      <c r="AH272" s="132">
        <v>0</v>
      </c>
      <c r="AI272" s="132">
        <v>0</v>
      </c>
      <c r="AJ272" s="132">
        <v>0</v>
      </c>
      <c r="AK272" s="132">
        <v>0</v>
      </c>
      <c r="AL272" s="132">
        <f t="shared" si="408"/>
        <v>0</v>
      </c>
      <c r="AM272" s="132">
        <f>AH272+AK272</f>
        <v>0</v>
      </c>
      <c r="AN272" s="403">
        <f t="shared" si="409"/>
        <v>0</v>
      </c>
      <c r="AO272" s="128">
        <f t="shared" si="488"/>
        <v>564729</v>
      </c>
      <c r="AP272" s="130">
        <f t="shared" si="489"/>
        <v>414060</v>
      </c>
      <c r="AQ272" s="130">
        <f t="shared" si="490"/>
        <v>0</v>
      </c>
      <c r="AR272" s="130">
        <f t="shared" si="491"/>
        <v>139952</v>
      </c>
      <c r="AS272" s="130">
        <f t="shared" si="492"/>
        <v>8281</v>
      </c>
      <c r="AT272" s="130">
        <f t="shared" si="493"/>
        <v>2436</v>
      </c>
      <c r="AU272" s="132">
        <f t="shared" si="494"/>
        <v>1.41</v>
      </c>
      <c r="AV272" s="132">
        <f t="shared" si="495"/>
        <v>0</v>
      </c>
      <c r="AW272" s="133">
        <f t="shared" si="496"/>
        <v>1.41</v>
      </c>
    </row>
    <row r="273" spans="1:49" ht="14.1" customHeight="1" x14ac:dyDescent="0.2">
      <c r="A273" s="137">
        <v>56</v>
      </c>
      <c r="B273" s="134">
        <v>2401</v>
      </c>
      <c r="C273" s="135">
        <v>600079597</v>
      </c>
      <c r="D273" s="134">
        <v>72741538</v>
      </c>
      <c r="E273" s="136" t="s">
        <v>688</v>
      </c>
      <c r="F273" s="137"/>
      <c r="G273" s="136"/>
      <c r="H273" s="138"/>
      <c r="I273" s="139">
        <f t="shared" ref="I273:P273" si="497">SUM(I270:I272)</f>
        <v>3817204</v>
      </c>
      <c r="J273" s="140">
        <f t="shared" si="497"/>
        <v>2795190</v>
      </c>
      <c r="K273" s="140">
        <f t="shared" si="497"/>
        <v>944774</v>
      </c>
      <c r="L273" s="140">
        <f t="shared" si="497"/>
        <v>55904</v>
      </c>
      <c r="M273" s="140">
        <f t="shared" si="497"/>
        <v>21336</v>
      </c>
      <c r="N273" s="141">
        <f t="shared" si="497"/>
        <v>6.8997999999999999</v>
      </c>
      <c r="O273" s="141">
        <f t="shared" si="497"/>
        <v>4</v>
      </c>
      <c r="P273" s="142">
        <f t="shared" si="497"/>
        <v>2.8997999999999999</v>
      </c>
      <c r="Q273" s="342">
        <f t="shared" ref="Q273:AW273" si="498">SUM(Q270:Q272)</f>
        <v>-60000</v>
      </c>
      <c r="R273" s="140">
        <f t="shared" si="498"/>
        <v>635345</v>
      </c>
      <c r="S273" s="140">
        <f t="shared" si="498"/>
        <v>0</v>
      </c>
      <c r="T273" s="140">
        <f t="shared" si="498"/>
        <v>0</v>
      </c>
      <c r="U273" s="140">
        <f t="shared" si="498"/>
        <v>575345</v>
      </c>
      <c r="V273" s="140">
        <f t="shared" si="498"/>
        <v>60000</v>
      </c>
      <c r="W273" s="140">
        <f t="shared" si="498"/>
        <v>0</v>
      </c>
      <c r="X273" s="140">
        <f t="shared" si="498"/>
        <v>0</v>
      </c>
      <c r="Y273" s="140">
        <f t="shared" si="498"/>
        <v>60000</v>
      </c>
      <c r="Z273" s="140">
        <f t="shared" si="498"/>
        <v>635345</v>
      </c>
      <c r="AA273" s="140">
        <f t="shared" si="498"/>
        <v>214747</v>
      </c>
      <c r="AB273" s="140">
        <f t="shared" si="498"/>
        <v>11507</v>
      </c>
      <c r="AC273" s="140">
        <f t="shared" si="498"/>
        <v>0</v>
      </c>
      <c r="AD273" s="140">
        <f t="shared" si="498"/>
        <v>0</v>
      </c>
      <c r="AE273" s="140">
        <f t="shared" si="498"/>
        <v>0</v>
      </c>
      <c r="AF273" s="140">
        <f t="shared" si="498"/>
        <v>861599</v>
      </c>
      <c r="AG273" s="141">
        <f t="shared" si="498"/>
        <v>0</v>
      </c>
      <c r="AH273" s="141">
        <f t="shared" si="498"/>
        <v>-0.32</v>
      </c>
      <c r="AI273" s="141">
        <f t="shared" si="498"/>
        <v>1.75</v>
      </c>
      <c r="AJ273" s="141">
        <f t="shared" si="498"/>
        <v>0</v>
      </c>
      <c r="AK273" s="141">
        <f t="shared" si="498"/>
        <v>0</v>
      </c>
      <c r="AL273" s="141">
        <f t="shared" si="498"/>
        <v>1.75</v>
      </c>
      <c r="AM273" s="141">
        <f t="shared" si="498"/>
        <v>-0.32</v>
      </c>
      <c r="AN273" s="635">
        <f t="shared" si="498"/>
        <v>1.43</v>
      </c>
      <c r="AO273" s="139">
        <f t="shared" si="498"/>
        <v>4678803</v>
      </c>
      <c r="AP273" s="140">
        <f t="shared" si="498"/>
        <v>3370535</v>
      </c>
      <c r="AQ273" s="140">
        <f t="shared" si="498"/>
        <v>60000</v>
      </c>
      <c r="AR273" s="140">
        <f t="shared" si="498"/>
        <v>1159521</v>
      </c>
      <c r="AS273" s="140">
        <f t="shared" si="498"/>
        <v>67411</v>
      </c>
      <c r="AT273" s="140">
        <f t="shared" si="498"/>
        <v>21336</v>
      </c>
      <c r="AU273" s="141">
        <f t="shared" si="498"/>
        <v>8.3297999999999988</v>
      </c>
      <c r="AV273" s="141">
        <f t="shared" si="498"/>
        <v>5.75</v>
      </c>
      <c r="AW273" s="142">
        <f t="shared" si="498"/>
        <v>2.5797999999999996</v>
      </c>
    </row>
    <row r="274" spans="1:49" ht="14.1" customHeight="1" x14ac:dyDescent="0.2">
      <c r="A274" s="124">
        <v>57</v>
      </c>
      <c r="B274" s="121">
        <v>2449</v>
      </c>
      <c r="C274" s="144">
        <v>650029348</v>
      </c>
      <c r="D274" s="121">
        <v>72742071</v>
      </c>
      <c r="E274" s="123" t="s">
        <v>689</v>
      </c>
      <c r="F274" s="124">
        <v>3111</v>
      </c>
      <c r="G274" s="123" t="s">
        <v>317</v>
      </c>
      <c r="H274" s="125" t="s">
        <v>283</v>
      </c>
      <c r="I274" s="126">
        <f t="shared" si="478"/>
        <v>3027722</v>
      </c>
      <c r="J274" s="127">
        <v>2212645</v>
      </c>
      <c r="K274" s="127">
        <f t="shared" si="479"/>
        <v>747874</v>
      </c>
      <c r="L274" s="477">
        <f t="shared" si="480"/>
        <v>44253</v>
      </c>
      <c r="M274" s="127">
        <v>22950</v>
      </c>
      <c r="N274" s="390">
        <f t="shared" si="481"/>
        <v>5.0217999999999998</v>
      </c>
      <c r="O274" s="390">
        <v>4</v>
      </c>
      <c r="P274" s="439">
        <v>1.0218</v>
      </c>
      <c r="Q274" s="129">
        <f t="shared" si="482"/>
        <v>0</v>
      </c>
      <c r="R274" s="130">
        <v>0</v>
      </c>
      <c r="S274" s="130">
        <v>0</v>
      </c>
      <c r="T274" s="130">
        <v>0</v>
      </c>
      <c r="U274" s="130">
        <f t="shared" si="483"/>
        <v>0</v>
      </c>
      <c r="V274" s="130">
        <v>0</v>
      </c>
      <c r="W274" s="130">
        <v>0</v>
      </c>
      <c r="X274" s="130">
        <v>0</v>
      </c>
      <c r="Y274" s="130">
        <f t="shared" ref="Y274:Y279" si="499">SUM(V274:X274)</f>
        <v>0</v>
      </c>
      <c r="Z274" s="130">
        <f t="shared" ref="Z274:Z279" si="500">U274+Y274</f>
        <v>0</v>
      </c>
      <c r="AA274" s="131">
        <f t="shared" ref="AA274:AA279" si="501">ROUND((U274+V274+W274)*33.8%,0)</f>
        <v>0</v>
      </c>
      <c r="AB274" s="131">
        <f t="shared" ref="AB274:AB279" si="502">ROUND(U274*2%,0)</f>
        <v>0</v>
      </c>
      <c r="AC274" s="130">
        <v>0</v>
      </c>
      <c r="AD274" s="130">
        <v>0</v>
      </c>
      <c r="AE274" s="130">
        <f t="shared" ref="AE274:AE337" si="503">SUM(AC274:AD274)</f>
        <v>0</v>
      </c>
      <c r="AF274" s="130">
        <f t="shared" ref="AF274:AF337" si="504">Z274+AA274+AB274+AE274</f>
        <v>0</v>
      </c>
      <c r="AG274" s="132">
        <v>0</v>
      </c>
      <c r="AH274" s="132">
        <v>0</v>
      </c>
      <c r="AI274" s="132">
        <v>0</v>
      </c>
      <c r="AJ274" s="132">
        <v>0</v>
      </c>
      <c r="AK274" s="132">
        <v>0</v>
      </c>
      <c r="AL274" s="132">
        <f t="shared" ref="AL274:AL337" si="505">AG274+AI274+AJ274</f>
        <v>0</v>
      </c>
      <c r="AM274" s="132">
        <f t="shared" ref="AM274:AM279" si="506">AH274+AK274</f>
        <v>0</v>
      </c>
      <c r="AN274" s="403">
        <f t="shared" ref="AN274:AN337" si="507">SUM(AL274:AM274)</f>
        <v>0</v>
      </c>
      <c r="AO274" s="128">
        <f t="shared" si="488"/>
        <v>3027722</v>
      </c>
      <c r="AP274" s="130">
        <f t="shared" si="489"/>
        <v>2212645</v>
      </c>
      <c r="AQ274" s="130">
        <f t="shared" si="490"/>
        <v>0</v>
      </c>
      <c r="AR274" s="130">
        <f t="shared" si="491"/>
        <v>747874</v>
      </c>
      <c r="AS274" s="130">
        <f t="shared" si="492"/>
        <v>44253</v>
      </c>
      <c r="AT274" s="130">
        <f t="shared" si="493"/>
        <v>22950</v>
      </c>
      <c r="AU274" s="132">
        <f t="shared" si="494"/>
        <v>5.0217999999999998</v>
      </c>
      <c r="AV274" s="132">
        <f t="shared" si="495"/>
        <v>4</v>
      </c>
      <c r="AW274" s="133">
        <f t="shared" si="496"/>
        <v>1.0218</v>
      </c>
    </row>
    <row r="275" spans="1:49" ht="14.1" customHeight="1" x14ac:dyDescent="0.2">
      <c r="A275" s="124">
        <v>57</v>
      </c>
      <c r="B275" s="121">
        <v>2449</v>
      </c>
      <c r="C275" s="144">
        <v>650029348</v>
      </c>
      <c r="D275" s="121">
        <v>72742071</v>
      </c>
      <c r="E275" s="123" t="s">
        <v>689</v>
      </c>
      <c r="F275" s="124">
        <v>3117</v>
      </c>
      <c r="G275" s="123" t="s">
        <v>320</v>
      </c>
      <c r="H275" s="125" t="s">
        <v>283</v>
      </c>
      <c r="I275" s="126">
        <f t="shared" si="478"/>
        <v>4146099</v>
      </c>
      <c r="J275" s="477">
        <v>2997687</v>
      </c>
      <c r="K275" s="127">
        <f t="shared" si="479"/>
        <v>1013218</v>
      </c>
      <c r="L275" s="477">
        <f t="shared" si="480"/>
        <v>59954</v>
      </c>
      <c r="M275" s="477">
        <v>75240</v>
      </c>
      <c r="N275" s="390">
        <f t="shared" si="481"/>
        <v>6.2304999999999993</v>
      </c>
      <c r="O275" s="645">
        <v>4</v>
      </c>
      <c r="P275" s="646">
        <v>2.2304999999999997</v>
      </c>
      <c r="Q275" s="129">
        <f t="shared" si="482"/>
        <v>-16000</v>
      </c>
      <c r="R275" s="130">
        <v>0</v>
      </c>
      <c r="S275" s="130">
        <v>0</v>
      </c>
      <c r="T275" s="130">
        <v>0</v>
      </c>
      <c r="U275" s="130">
        <f t="shared" si="483"/>
        <v>-16000</v>
      </c>
      <c r="V275" s="130">
        <v>16000</v>
      </c>
      <c r="W275" s="130">
        <v>0</v>
      </c>
      <c r="X275" s="130">
        <v>0</v>
      </c>
      <c r="Y275" s="130">
        <f t="shared" si="499"/>
        <v>16000</v>
      </c>
      <c r="Z275" s="130">
        <f t="shared" si="500"/>
        <v>0</v>
      </c>
      <c r="AA275" s="131">
        <f t="shared" si="501"/>
        <v>0</v>
      </c>
      <c r="AB275" s="131">
        <f t="shared" si="502"/>
        <v>-320</v>
      </c>
      <c r="AC275" s="130">
        <v>0</v>
      </c>
      <c r="AD275" s="130">
        <v>0</v>
      </c>
      <c r="AE275" s="130">
        <f t="shared" si="503"/>
        <v>0</v>
      </c>
      <c r="AF275" s="130">
        <f t="shared" si="504"/>
        <v>-320</v>
      </c>
      <c r="AG275" s="132">
        <v>0</v>
      </c>
      <c r="AH275" s="132">
        <v>0</v>
      </c>
      <c r="AI275" s="132">
        <v>0</v>
      </c>
      <c r="AJ275" s="132">
        <v>0</v>
      </c>
      <c r="AK275" s="132">
        <v>0</v>
      </c>
      <c r="AL275" s="132">
        <f t="shared" si="505"/>
        <v>0</v>
      </c>
      <c r="AM275" s="132">
        <f t="shared" si="506"/>
        <v>0</v>
      </c>
      <c r="AN275" s="403">
        <f t="shared" si="507"/>
        <v>0</v>
      </c>
      <c r="AO275" s="128">
        <f t="shared" si="488"/>
        <v>4145779</v>
      </c>
      <c r="AP275" s="130">
        <f t="shared" si="489"/>
        <v>2981687</v>
      </c>
      <c r="AQ275" s="130">
        <f t="shared" si="490"/>
        <v>16000</v>
      </c>
      <c r="AR275" s="130">
        <f t="shared" si="491"/>
        <v>1013218</v>
      </c>
      <c r="AS275" s="130">
        <f t="shared" si="492"/>
        <v>59634</v>
      </c>
      <c r="AT275" s="130">
        <f t="shared" si="493"/>
        <v>75240</v>
      </c>
      <c r="AU275" s="132">
        <f t="shared" si="494"/>
        <v>6.2304999999999993</v>
      </c>
      <c r="AV275" s="132">
        <f t="shared" si="495"/>
        <v>4</v>
      </c>
      <c r="AW275" s="133">
        <f t="shared" si="496"/>
        <v>2.2304999999999997</v>
      </c>
    </row>
    <row r="276" spans="1:49" ht="14.1" customHeight="1" x14ac:dyDescent="0.2">
      <c r="A276" s="124">
        <v>57</v>
      </c>
      <c r="B276" s="121">
        <v>2449</v>
      </c>
      <c r="C276" s="144">
        <v>650029348</v>
      </c>
      <c r="D276" s="121">
        <v>72742071</v>
      </c>
      <c r="E276" s="123" t="s">
        <v>689</v>
      </c>
      <c r="F276" s="124">
        <v>3117</v>
      </c>
      <c r="G276" s="143" t="s">
        <v>318</v>
      </c>
      <c r="H276" s="125" t="s">
        <v>284</v>
      </c>
      <c r="I276" s="126">
        <f t="shared" si="478"/>
        <v>0</v>
      </c>
      <c r="J276" s="29">
        <v>0</v>
      </c>
      <c r="K276" s="127">
        <f t="shared" si="479"/>
        <v>0</v>
      </c>
      <c r="L276" s="477">
        <f t="shared" si="480"/>
        <v>0</v>
      </c>
      <c r="M276" s="29">
        <v>0</v>
      </c>
      <c r="N276" s="390">
        <f t="shared" si="481"/>
        <v>0</v>
      </c>
      <c r="O276" s="349">
        <v>0</v>
      </c>
      <c r="P276" s="639">
        <v>0</v>
      </c>
      <c r="Q276" s="129">
        <f t="shared" si="482"/>
        <v>0</v>
      </c>
      <c r="R276" s="130">
        <v>710761</v>
      </c>
      <c r="S276" s="130">
        <v>0</v>
      </c>
      <c r="T276" s="130">
        <v>0</v>
      </c>
      <c r="U276" s="130">
        <f t="shared" si="483"/>
        <v>710761</v>
      </c>
      <c r="V276" s="130">
        <v>0</v>
      </c>
      <c r="W276" s="130">
        <v>0</v>
      </c>
      <c r="X276" s="130">
        <v>0</v>
      </c>
      <c r="Y276" s="130">
        <f t="shared" si="499"/>
        <v>0</v>
      </c>
      <c r="Z276" s="130">
        <f t="shared" si="500"/>
        <v>710761</v>
      </c>
      <c r="AA276" s="131">
        <f t="shared" si="501"/>
        <v>240237</v>
      </c>
      <c r="AB276" s="131">
        <f t="shared" si="502"/>
        <v>14215</v>
      </c>
      <c r="AC276" s="130">
        <v>0</v>
      </c>
      <c r="AD276" s="130">
        <v>0</v>
      </c>
      <c r="AE276" s="130">
        <f t="shared" si="503"/>
        <v>0</v>
      </c>
      <c r="AF276" s="130">
        <f t="shared" si="504"/>
        <v>965213</v>
      </c>
      <c r="AG276" s="132">
        <v>0</v>
      </c>
      <c r="AH276" s="132">
        <v>0</v>
      </c>
      <c r="AI276" s="132">
        <v>2.2200000000000002</v>
      </c>
      <c r="AJ276" s="132">
        <v>0</v>
      </c>
      <c r="AK276" s="132">
        <v>0</v>
      </c>
      <c r="AL276" s="132">
        <f t="shared" si="505"/>
        <v>2.2200000000000002</v>
      </c>
      <c r="AM276" s="132">
        <f t="shared" si="506"/>
        <v>0</v>
      </c>
      <c r="AN276" s="403">
        <f t="shared" si="507"/>
        <v>2.2200000000000002</v>
      </c>
      <c r="AO276" s="128">
        <f t="shared" si="488"/>
        <v>965213</v>
      </c>
      <c r="AP276" s="130">
        <f t="shared" si="489"/>
        <v>710761</v>
      </c>
      <c r="AQ276" s="130">
        <f t="shared" si="490"/>
        <v>0</v>
      </c>
      <c r="AR276" s="130">
        <f t="shared" si="491"/>
        <v>240237</v>
      </c>
      <c r="AS276" s="130">
        <f t="shared" si="492"/>
        <v>14215</v>
      </c>
      <c r="AT276" s="130">
        <f t="shared" si="493"/>
        <v>0</v>
      </c>
      <c r="AU276" s="132">
        <f t="shared" si="494"/>
        <v>2.2200000000000002</v>
      </c>
      <c r="AV276" s="132">
        <f t="shared" si="495"/>
        <v>2.2200000000000002</v>
      </c>
      <c r="AW276" s="133">
        <f t="shared" si="496"/>
        <v>0</v>
      </c>
    </row>
    <row r="277" spans="1:49" ht="14.1" customHeight="1" x14ac:dyDescent="0.2">
      <c r="A277" s="124">
        <v>57</v>
      </c>
      <c r="B277" s="121">
        <v>2449</v>
      </c>
      <c r="C277" s="144">
        <v>650029348</v>
      </c>
      <c r="D277" s="121">
        <v>72742071</v>
      </c>
      <c r="E277" s="123" t="s">
        <v>689</v>
      </c>
      <c r="F277" s="124">
        <v>3141</v>
      </c>
      <c r="G277" s="123" t="s">
        <v>321</v>
      </c>
      <c r="H277" s="125" t="s">
        <v>284</v>
      </c>
      <c r="I277" s="126">
        <f t="shared" si="478"/>
        <v>1090227</v>
      </c>
      <c r="J277" s="666">
        <v>798761</v>
      </c>
      <c r="K277" s="127">
        <f t="shared" si="479"/>
        <v>269981</v>
      </c>
      <c r="L277" s="477">
        <f t="shared" si="480"/>
        <v>15975</v>
      </c>
      <c r="M277" s="666">
        <v>5510</v>
      </c>
      <c r="N277" s="390">
        <f t="shared" si="481"/>
        <v>2.72</v>
      </c>
      <c r="O277" s="668">
        <v>0</v>
      </c>
      <c r="P277" s="667">
        <v>2.72</v>
      </c>
      <c r="Q277" s="129">
        <f t="shared" si="482"/>
        <v>0</v>
      </c>
      <c r="R277" s="130">
        <v>0</v>
      </c>
      <c r="S277" s="130">
        <v>0</v>
      </c>
      <c r="T277" s="130">
        <v>0</v>
      </c>
      <c r="U277" s="130">
        <f t="shared" si="483"/>
        <v>0</v>
      </c>
      <c r="V277" s="130">
        <v>0</v>
      </c>
      <c r="W277" s="130">
        <v>0</v>
      </c>
      <c r="X277" s="130">
        <v>0</v>
      </c>
      <c r="Y277" s="130">
        <f t="shared" si="499"/>
        <v>0</v>
      </c>
      <c r="Z277" s="130">
        <f t="shared" si="500"/>
        <v>0</v>
      </c>
      <c r="AA277" s="131">
        <f t="shared" si="501"/>
        <v>0</v>
      </c>
      <c r="AB277" s="131">
        <f t="shared" si="502"/>
        <v>0</v>
      </c>
      <c r="AC277" s="130">
        <v>0</v>
      </c>
      <c r="AD277" s="130">
        <v>0</v>
      </c>
      <c r="AE277" s="130">
        <f t="shared" si="503"/>
        <v>0</v>
      </c>
      <c r="AF277" s="130">
        <f t="shared" si="504"/>
        <v>0</v>
      </c>
      <c r="AG277" s="132">
        <v>0</v>
      </c>
      <c r="AH277" s="132">
        <v>0</v>
      </c>
      <c r="AI277" s="132">
        <v>0</v>
      </c>
      <c r="AJ277" s="132">
        <v>0</v>
      </c>
      <c r="AK277" s="132">
        <v>0</v>
      </c>
      <c r="AL277" s="132">
        <f t="shared" si="505"/>
        <v>0</v>
      </c>
      <c r="AM277" s="132">
        <f t="shared" si="506"/>
        <v>0</v>
      </c>
      <c r="AN277" s="403">
        <f t="shared" si="507"/>
        <v>0</v>
      </c>
      <c r="AO277" s="128">
        <f t="shared" si="488"/>
        <v>1090227</v>
      </c>
      <c r="AP277" s="130">
        <f t="shared" si="489"/>
        <v>798761</v>
      </c>
      <c r="AQ277" s="130">
        <f t="shared" si="490"/>
        <v>0</v>
      </c>
      <c r="AR277" s="130">
        <f t="shared" si="491"/>
        <v>269981</v>
      </c>
      <c r="AS277" s="130">
        <f t="shared" si="492"/>
        <v>15975</v>
      </c>
      <c r="AT277" s="130">
        <f t="shared" si="493"/>
        <v>5510</v>
      </c>
      <c r="AU277" s="132">
        <f t="shared" si="494"/>
        <v>2.72</v>
      </c>
      <c r="AV277" s="132">
        <f t="shared" si="495"/>
        <v>0</v>
      </c>
      <c r="AW277" s="133">
        <f t="shared" si="496"/>
        <v>2.72</v>
      </c>
    </row>
    <row r="278" spans="1:49" ht="14.1" customHeight="1" x14ac:dyDescent="0.2">
      <c r="A278" s="124">
        <v>57</v>
      </c>
      <c r="B278" s="121">
        <v>2449</v>
      </c>
      <c r="C278" s="144">
        <v>650029348</v>
      </c>
      <c r="D278" s="121">
        <v>72742071</v>
      </c>
      <c r="E278" s="123" t="s">
        <v>689</v>
      </c>
      <c r="F278" s="124">
        <v>3143</v>
      </c>
      <c r="G278" s="145" t="s">
        <v>635</v>
      </c>
      <c r="H278" s="125" t="s">
        <v>283</v>
      </c>
      <c r="I278" s="126">
        <f t="shared" si="478"/>
        <v>668683</v>
      </c>
      <c r="J278" s="631">
        <v>492403</v>
      </c>
      <c r="K278" s="127">
        <f t="shared" si="479"/>
        <v>166432</v>
      </c>
      <c r="L278" s="477">
        <f t="shared" si="480"/>
        <v>9848</v>
      </c>
      <c r="M278" s="478">
        <v>0</v>
      </c>
      <c r="N278" s="390">
        <f t="shared" si="481"/>
        <v>1</v>
      </c>
      <c r="O278" s="644">
        <v>1</v>
      </c>
      <c r="P278" s="639">
        <v>0</v>
      </c>
      <c r="Q278" s="129">
        <f t="shared" si="482"/>
        <v>0</v>
      </c>
      <c r="R278" s="130">
        <v>0</v>
      </c>
      <c r="S278" s="130">
        <v>0</v>
      </c>
      <c r="T278" s="130">
        <v>0</v>
      </c>
      <c r="U278" s="130">
        <f t="shared" si="483"/>
        <v>0</v>
      </c>
      <c r="V278" s="130">
        <v>0</v>
      </c>
      <c r="W278" s="130">
        <v>0</v>
      </c>
      <c r="X278" s="130">
        <v>0</v>
      </c>
      <c r="Y278" s="130">
        <f t="shared" si="499"/>
        <v>0</v>
      </c>
      <c r="Z278" s="130">
        <f t="shared" si="500"/>
        <v>0</v>
      </c>
      <c r="AA278" s="131">
        <f t="shared" si="501"/>
        <v>0</v>
      </c>
      <c r="AB278" s="131">
        <f t="shared" si="502"/>
        <v>0</v>
      </c>
      <c r="AC278" s="130">
        <v>0</v>
      </c>
      <c r="AD278" s="130">
        <v>0</v>
      </c>
      <c r="AE278" s="130">
        <f t="shared" si="503"/>
        <v>0</v>
      </c>
      <c r="AF278" s="130">
        <f t="shared" si="504"/>
        <v>0</v>
      </c>
      <c r="AG278" s="132">
        <v>0</v>
      </c>
      <c r="AH278" s="132">
        <v>0</v>
      </c>
      <c r="AI278" s="132">
        <v>0</v>
      </c>
      <c r="AJ278" s="132">
        <v>0</v>
      </c>
      <c r="AK278" s="132">
        <v>0</v>
      </c>
      <c r="AL278" s="132">
        <f t="shared" si="505"/>
        <v>0</v>
      </c>
      <c r="AM278" s="132">
        <f t="shared" si="506"/>
        <v>0</v>
      </c>
      <c r="AN278" s="403">
        <f t="shared" si="507"/>
        <v>0</v>
      </c>
      <c r="AO278" s="128">
        <f t="shared" si="488"/>
        <v>668683</v>
      </c>
      <c r="AP278" s="130">
        <f t="shared" si="489"/>
        <v>492403</v>
      </c>
      <c r="AQ278" s="130">
        <f t="shared" si="490"/>
        <v>0</v>
      </c>
      <c r="AR278" s="130">
        <f t="shared" si="491"/>
        <v>166432</v>
      </c>
      <c r="AS278" s="130">
        <f t="shared" si="492"/>
        <v>9848</v>
      </c>
      <c r="AT278" s="130">
        <f t="shared" si="493"/>
        <v>0</v>
      </c>
      <c r="AU278" s="132">
        <f t="shared" si="494"/>
        <v>1</v>
      </c>
      <c r="AV278" s="132">
        <f t="shared" si="495"/>
        <v>1</v>
      </c>
      <c r="AW278" s="133">
        <f t="shared" si="496"/>
        <v>0</v>
      </c>
    </row>
    <row r="279" spans="1:49" ht="14.1" customHeight="1" x14ac:dyDescent="0.2">
      <c r="A279" s="124">
        <v>57</v>
      </c>
      <c r="B279" s="121">
        <v>2449</v>
      </c>
      <c r="C279" s="144">
        <v>650029348</v>
      </c>
      <c r="D279" s="121">
        <v>72742071</v>
      </c>
      <c r="E279" s="123" t="s">
        <v>689</v>
      </c>
      <c r="F279" s="124">
        <v>3143</v>
      </c>
      <c r="G279" s="145" t="s">
        <v>636</v>
      </c>
      <c r="H279" s="125" t="s">
        <v>284</v>
      </c>
      <c r="I279" s="126">
        <f t="shared" si="478"/>
        <v>19662</v>
      </c>
      <c r="J279" s="664">
        <v>13860</v>
      </c>
      <c r="K279" s="127">
        <f t="shared" si="479"/>
        <v>4685</v>
      </c>
      <c r="L279" s="477">
        <f t="shared" si="480"/>
        <v>277</v>
      </c>
      <c r="M279" s="664">
        <v>840</v>
      </c>
      <c r="N279" s="390">
        <f t="shared" si="481"/>
        <v>0.06</v>
      </c>
      <c r="O279" s="665">
        <v>0</v>
      </c>
      <c r="P279" s="667">
        <v>0.06</v>
      </c>
      <c r="Q279" s="129">
        <f t="shared" si="482"/>
        <v>0</v>
      </c>
      <c r="R279" s="130">
        <v>0</v>
      </c>
      <c r="S279" s="130">
        <v>0</v>
      </c>
      <c r="T279" s="130">
        <v>0</v>
      </c>
      <c r="U279" s="130">
        <f t="shared" si="483"/>
        <v>0</v>
      </c>
      <c r="V279" s="130">
        <v>0</v>
      </c>
      <c r="W279" s="130">
        <v>0</v>
      </c>
      <c r="X279" s="130">
        <v>0</v>
      </c>
      <c r="Y279" s="130">
        <f t="shared" si="499"/>
        <v>0</v>
      </c>
      <c r="Z279" s="130">
        <f t="shared" si="500"/>
        <v>0</v>
      </c>
      <c r="AA279" s="131">
        <f t="shared" si="501"/>
        <v>0</v>
      </c>
      <c r="AB279" s="131">
        <f t="shared" si="502"/>
        <v>0</v>
      </c>
      <c r="AC279" s="130">
        <v>0</v>
      </c>
      <c r="AD279" s="130">
        <v>0</v>
      </c>
      <c r="AE279" s="130">
        <f t="shared" si="503"/>
        <v>0</v>
      </c>
      <c r="AF279" s="130">
        <f t="shared" si="504"/>
        <v>0</v>
      </c>
      <c r="AG279" s="132">
        <v>0</v>
      </c>
      <c r="AH279" s="132">
        <v>0</v>
      </c>
      <c r="AI279" s="132">
        <v>0</v>
      </c>
      <c r="AJ279" s="132">
        <v>0</v>
      </c>
      <c r="AK279" s="132">
        <v>0</v>
      </c>
      <c r="AL279" s="132">
        <f t="shared" si="505"/>
        <v>0</v>
      </c>
      <c r="AM279" s="132">
        <f t="shared" si="506"/>
        <v>0</v>
      </c>
      <c r="AN279" s="403">
        <f t="shared" si="507"/>
        <v>0</v>
      </c>
      <c r="AO279" s="128">
        <f t="shared" si="488"/>
        <v>19662</v>
      </c>
      <c r="AP279" s="130">
        <f t="shared" si="489"/>
        <v>13860</v>
      </c>
      <c r="AQ279" s="130">
        <f t="shared" si="490"/>
        <v>0</v>
      </c>
      <c r="AR279" s="130">
        <f t="shared" si="491"/>
        <v>4685</v>
      </c>
      <c r="AS279" s="130">
        <f t="shared" si="492"/>
        <v>277</v>
      </c>
      <c r="AT279" s="130">
        <f t="shared" si="493"/>
        <v>840</v>
      </c>
      <c r="AU279" s="132">
        <f t="shared" si="494"/>
        <v>0.06</v>
      </c>
      <c r="AV279" s="132">
        <f t="shared" si="495"/>
        <v>0</v>
      </c>
      <c r="AW279" s="133">
        <f t="shared" si="496"/>
        <v>0.06</v>
      </c>
    </row>
    <row r="280" spans="1:49" ht="14.1" customHeight="1" x14ac:dyDescent="0.2">
      <c r="A280" s="137">
        <v>57</v>
      </c>
      <c r="B280" s="134">
        <v>2449</v>
      </c>
      <c r="C280" s="146">
        <v>650029348</v>
      </c>
      <c r="D280" s="134">
        <v>72742071</v>
      </c>
      <c r="E280" s="136" t="s">
        <v>690</v>
      </c>
      <c r="F280" s="137"/>
      <c r="G280" s="136"/>
      <c r="H280" s="138"/>
      <c r="I280" s="139">
        <f t="shared" ref="I280:P280" si="508">SUM(I274:I279)</f>
        <v>8952393</v>
      </c>
      <c r="J280" s="140">
        <f t="shared" si="508"/>
        <v>6515356</v>
      </c>
      <c r="K280" s="140">
        <f t="shared" si="508"/>
        <v>2202190</v>
      </c>
      <c r="L280" s="140">
        <f t="shared" si="508"/>
        <v>130307</v>
      </c>
      <c r="M280" s="140">
        <f t="shared" si="508"/>
        <v>104540</v>
      </c>
      <c r="N280" s="141">
        <f t="shared" si="508"/>
        <v>15.032299999999999</v>
      </c>
      <c r="O280" s="141">
        <f t="shared" si="508"/>
        <v>9</v>
      </c>
      <c r="P280" s="142">
        <f t="shared" si="508"/>
        <v>6.0323000000000002</v>
      </c>
      <c r="Q280" s="342">
        <f t="shared" ref="Q280:AW280" si="509">SUM(Q274:Q279)</f>
        <v>-16000</v>
      </c>
      <c r="R280" s="140">
        <f t="shared" si="509"/>
        <v>710761</v>
      </c>
      <c r="S280" s="140">
        <f t="shared" si="509"/>
        <v>0</v>
      </c>
      <c r="T280" s="140">
        <f t="shared" si="509"/>
        <v>0</v>
      </c>
      <c r="U280" s="140">
        <f t="shared" si="509"/>
        <v>694761</v>
      </c>
      <c r="V280" s="140">
        <f t="shared" si="509"/>
        <v>16000</v>
      </c>
      <c r="W280" s="140">
        <f t="shared" si="509"/>
        <v>0</v>
      </c>
      <c r="X280" s="140">
        <f t="shared" si="509"/>
        <v>0</v>
      </c>
      <c r="Y280" s="140">
        <f t="shared" si="509"/>
        <v>16000</v>
      </c>
      <c r="Z280" s="140">
        <f t="shared" si="509"/>
        <v>710761</v>
      </c>
      <c r="AA280" s="140">
        <f t="shared" si="509"/>
        <v>240237</v>
      </c>
      <c r="AB280" s="140">
        <f t="shared" si="509"/>
        <v>13895</v>
      </c>
      <c r="AC280" s="140">
        <f t="shared" si="509"/>
        <v>0</v>
      </c>
      <c r="AD280" s="140">
        <f t="shared" si="509"/>
        <v>0</v>
      </c>
      <c r="AE280" s="140">
        <f t="shared" si="509"/>
        <v>0</v>
      </c>
      <c r="AF280" s="140">
        <f t="shared" si="509"/>
        <v>964893</v>
      </c>
      <c r="AG280" s="141">
        <f t="shared" si="509"/>
        <v>0</v>
      </c>
      <c r="AH280" s="141">
        <f t="shared" si="509"/>
        <v>0</v>
      </c>
      <c r="AI280" s="141">
        <f t="shared" si="509"/>
        <v>2.2200000000000002</v>
      </c>
      <c r="AJ280" s="141">
        <f t="shared" si="509"/>
        <v>0</v>
      </c>
      <c r="AK280" s="141">
        <f t="shared" si="509"/>
        <v>0</v>
      </c>
      <c r="AL280" s="141">
        <f t="shared" si="509"/>
        <v>2.2200000000000002</v>
      </c>
      <c r="AM280" s="141">
        <f t="shared" si="509"/>
        <v>0</v>
      </c>
      <c r="AN280" s="635">
        <f t="shared" si="509"/>
        <v>2.2200000000000002</v>
      </c>
      <c r="AO280" s="139">
        <f t="shared" si="509"/>
        <v>9917286</v>
      </c>
      <c r="AP280" s="140">
        <f t="shared" si="509"/>
        <v>7210117</v>
      </c>
      <c r="AQ280" s="140">
        <f t="shared" si="509"/>
        <v>16000</v>
      </c>
      <c r="AR280" s="140">
        <f t="shared" si="509"/>
        <v>2442427</v>
      </c>
      <c r="AS280" s="140">
        <f t="shared" si="509"/>
        <v>144202</v>
      </c>
      <c r="AT280" s="140">
        <f t="shared" si="509"/>
        <v>104540</v>
      </c>
      <c r="AU280" s="141">
        <f t="shared" si="509"/>
        <v>17.252299999999998</v>
      </c>
      <c r="AV280" s="141">
        <f t="shared" si="509"/>
        <v>11.22</v>
      </c>
      <c r="AW280" s="142">
        <f t="shared" si="509"/>
        <v>6.0323000000000002</v>
      </c>
    </row>
    <row r="281" spans="1:49" ht="14.1" customHeight="1" x14ac:dyDescent="0.2">
      <c r="A281" s="124">
        <v>58</v>
      </c>
      <c r="B281" s="121">
        <v>2318</v>
      </c>
      <c r="C281" s="122">
        <v>600079546</v>
      </c>
      <c r="D281" s="121">
        <v>70695253</v>
      </c>
      <c r="E281" s="123" t="s">
        <v>691</v>
      </c>
      <c r="F281" s="124">
        <v>3111</v>
      </c>
      <c r="G281" s="123" t="s">
        <v>317</v>
      </c>
      <c r="H281" s="125" t="s">
        <v>283</v>
      </c>
      <c r="I281" s="126">
        <f t="shared" si="478"/>
        <v>6452553</v>
      </c>
      <c r="J281" s="127">
        <v>4715024</v>
      </c>
      <c r="K281" s="127">
        <f t="shared" si="479"/>
        <v>1593678</v>
      </c>
      <c r="L281" s="477">
        <v>94301</v>
      </c>
      <c r="M281" s="127">
        <v>49550</v>
      </c>
      <c r="N281" s="390">
        <f t="shared" si="481"/>
        <v>10.965199999999999</v>
      </c>
      <c r="O281" s="390">
        <v>8</v>
      </c>
      <c r="P281" s="439">
        <v>2.9651999999999998</v>
      </c>
      <c r="Q281" s="129">
        <f t="shared" si="482"/>
        <v>-7283</v>
      </c>
      <c r="R281" s="130">
        <v>0</v>
      </c>
      <c r="S281" s="130">
        <v>0</v>
      </c>
      <c r="T281" s="130">
        <v>0</v>
      </c>
      <c r="U281" s="130">
        <f t="shared" si="483"/>
        <v>-7283</v>
      </c>
      <c r="V281" s="130">
        <v>7283</v>
      </c>
      <c r="W281" s="130">
        <v>0</v>
      </c>
      <c r="X281" s="130">
        <v>0</v>
      </c>
      <c r="Y281" s="130">
        <f t="shared" ref="Y281:Y284" si="510">SUM(V281:X281)</f>
        <v>7283</v>
      </c>
      <c r="Z281" s="130">
        <f t="shared" ref="Z281:Z284" si="511">U281+Y281</f>
        <v>0</v>
      </c>
      <c r="AA281" s="131">
        <f t="shared" ref="AA281:AA284" si="512">ROUND((U281+V281+W281)*33.8%,0)</f>
        <v>0</v>
      </c>
      <c r="AB281" s="131">
        <f t="shared" ref="AB281:AB284" si="513">ROUND(U281*2%,0)</f>
        <v>-146</v>
      </c>
      <c r="AC281" s="130">
        <v>0</v>
      </c>
      <c r="AD281" s="130">
        <v>0</v>
      </c>
      <c r="AE281" s="130">
        <f t="shared" si="503"/>
        <v>0</v>
      </c>
      <c r="AF281" s="130">
        <f t="shared" si="504"/>
        <v>-146</v>
      </c>
      <c r="AG281" s="132">
        <v>0</v>
      </c>
      <c r="AH281" s="132">
        <v>-0.04</v>
      </c>
      <c r="AI281" s="132">
        <v>0</v>
      </c>
      <c r="AJ281" s="132">
        <v>0</v>
      </c>
      <c r="AK281" s="132">
        <v>0</v>
      </c>
      <c r="AL281" s="132">
        <f t="shared" si="505"/>
        <v>0</v>
      </c>
      <c r="AM281" s="132">
        <f>AH281+AK281</f>
        <v>-0.04</v>
      </c>
      <c r="AN281" s="403">
        <f t="shared" si="507"/>
        <v>-0.04</v>
      </c>
      <c r="AO281" s="128">
        <f t="shared" si="488"/>
        <v>6452407</v>
      </c>
      <c r="AP281" s="130">
        <f t="shared" si="489"/>
        <v>4707741</v>
      </c>
      <c r="AQ281" s="130">
        <f t="shared" si="490"/>
        <v>7283</v>
      </c>
      <c r="AR281" s="130">
        <f t="shared" si="491"/>
        <v>1593678</v>
      </c>
      <c r="AS281" s="130">
        <f t="shared" si="492"/>
        <v>94155</v>
      </c>
      <c r="AT281" s="130">
        <f t="shared" si="493"/>
        <v>49550</v>
      </c>
      <c r="AU281" s="132">
        <f t="shared" si="494"/>
        <v>10.9252</v>
      </c>
      <c r="AV281" s="132">
        <f t="shared" si="495"/>
        <v>8</v>
      </c>
      <c r="AW281" s="133">
        <f t="shared" si="496"/>
        <v>2.9251999999999998</v>
      </c>
    </row>
    <row r="282" spans="1:49" ht="14.1" customHeight="1" x14ac:dyDescent="0.2">
      <c r="A282" s="124">
        <v>58</v>
      </c>
      <c r="B282" s="121">
        <v>2318</v>
      </c>
      <c r="C282" s="122">
        <v>600079546</v>
      </c>
      <c r="D282" s="121">
        <v>70695253</v>
      </c>
      <c r="E282" s="123" t="s">
        <v>691</v>
      </c>
      <c r="F282" s="124">
        <v>3111</v>
      </c>
      <c r="G282" s="98" t="s">
        <v>319</v>
      </c>
      <c r="H282" s="125" t="s">
        <v>283</v>
      </c>
      <c r="I282" s="126">
        <f t="shared" si="478"/>
        <v>417455</v>
      </c>
      <c r="J282" s="631">
        <v>307404</v>
      </c>
      <c r="K282" s="127">
        <f t="shared" si="479"/>
        <v>103903</v>
      </c>
      <c r="L282" s="477">
        <f t="shared" si="480"/>
        <v>6148</v>
      </c>
      <c r="M282" s="478">
        <v>0</v>
      </c>
      <c r="N282" s="390">
        <f t="shared" si="481"/>
        <v>1</v>
      </c>
      <c r="O282" s="644">
        <v>1</v>
      </c>
      <c r="P282" s="639">
        <v>0</v>
      </c>
      <c r="Q282" s="129">
        <f t="shared" si="482"/>
        <v>0</v>
      </c>
      <c r="R282" s="130">
        <v>0</v>
      </c>
      <c r="S282" s="130">
        <v>0</v>
      </c>
      <c r="T282" s="130">
        <v>0</v>
      </c>
      <c r="U282" s="130">
        <f t="shared" si="483"/>
        <v>0</v>
      </c>
      <c r="V282" s="130">
        <v>0</v>
      </c>
      <c r="W282" s="130">
        <v>0</v>
      </c>
      <c r="X282" s="130">
        <v>0</v>
      </c>
      <c r="Y282" s="130">
        <f t="shared" si="510"/>
        <v>0</v>
      </c>
      <c r="Z282" s="130">
        <f t="shared" si="511"/>
        <v>0</v>
      </c>
      <c r="AA282" s="131">
        <f t="shared" si="512"/>
        <v>0</v>
      </c>
      <c r="AB282" s="131">
        <f t="shared" si="513"/>
        <v>0</v>
      </c>
      <c r="AC282" s="130">
        <v>0</v>
      </c>
      <c r="AD282" s="130">
        <v>0</v>
      </c>
      <c r="AE282" s="130">
        <f t="shared" si="503"/>
        <v>0</v>
      </c>
      <c r="AF282" s="130">
        <f t="shared" si="504"/>
        <v>0</v>
      </c>
      <c r="AG282" s="132">
        <v>0</v>
      </c>
      <c r="AH282" s="132">
        <v>0</v>
      </c>
      <c r="AI282" s="132">
        <v>0</v>
      </c>
      <c r="AJ282" s="132">
        <v>0</v>
      </c>
      <c r="AK282" s="132">
        <v>0</v>
      </c>
      <c r="AL282" s="132">
        <f t="shared" si="505"/>
        <v>0</v>
      </c>
      <c r="AM282" s="132">
        <f>AH282+AK282</f>
        <v>0</v>
      </c>
      <c r="AN282" s="403">
        <f t="shared" si="507"/>
        <v>0</v>
      </c>
      <c r="AO282" s="128">
        <f t="shared" si="488"/>
        <v>417455</v>
      </c>
      <c r="AP282" s="130">
        <f t="shared" si="489"/>
        <v>307404</v>
      </c>
      <c r="AQ282" s="130">
        <f t="shared" si="490"/>
        <v>0</v>
      </c>
      <c r="AR282" s="130">
        <f t="shared" si="491"/>
        <v>103903</v>
      </c>
      <c r="AS282" s="130">
        <f t="shared" si="492"/>
        <v>6148</v>
      </c>
      <c r="AT282" s="130">
        <f t="shared" si="493"/>
        <v>0</v>
      </c>
      <c r="AU282" s="132">
        <f t="shared" si="494"/>
        <v>1</v>
      </c>
      <c r="AV282" s="132">
        <f t="shared" si="495"/>
        <v>1</v>
      </c>
      <c r="AW282" s="133">
        <f t="shared" si="496"/>
        <v>0</v>
      </c>
    </row>
    <row r="283" spans="1:49" ht="14.1" customHeight="1" x14ac:dyDescent="0.2">
      <c r="A283" s="124">
        <v>58</v>
      </c>
      <c r="B283" s="121">
        <v>2318</v>
      </c>
      <c r="C283" s="122">
        <v>600079546</v>
      </c>
      <c r="D283" s="121">
        <v>70695253</v>
      </c>
      <c r="E283" s="123" t="s">
        <v>691</v>
      </c>
      <c r="F283" s="124">
        <v>3111</v>
      </c>
      <c r="G283" s="143" t="s">
        <v>318</v>
      </c>
      <c r="H283" s="125" t="s">
        <v>284</v>
      </c>
      <c r="I283" s="126">
        <f t="shared" si="478"/>
        <v>0</v>
      </c>
      <c r="J283" s="29">
        <v>0</v>
      </c>
      <c r="K283" s="127">
        <f t="shared" si="479"/>
        <v>0</v>
      </c>
      <c r="L283" s="477">
        <f t="shared" si="480"/>
        <v>0</v>
      </c>
      <c r="M283" s="29">
        <v>0</v>
      </c>
      <c r="N283" s="390">
        <f t="shared" si="481"/>
        <v>0</v>
      </c>
      <c r="O283" s="349">
        <v>0</v>
      </c>
      <c r="P283" s="639">
        <v>0</v>
      </c>
      <c r="Q283" s="129">
        <f t="shared" si="482"/>
        <v>0</v>
      </c>
      <c r="R283" s="130">
        <v>0</v>
      </c>
      <c r="S283" s="130">
        <v>0</v>
      </c>
      <c r="T283" s="130">
        <v>0</v>
      </c>
      <c r="U283" s="130">
        <f t="shared" si="483"/>
        <v>0</v>
      </c>
      <c r="V283" s="130">
        <v>0</v>
      </c>
      <c r="W283" s="130">
        <v>0</v>
      </c>
      <c r="X283" s="130">
        <v>0</v>
      </c>
      <c r="Y283" s="130">
        <f t="shared" si="510"/>
        <v>0</v>
      </c>
      <c r="Z283" s="130">
        <f t="shared" si="511"/>
        <v>0</v>
      </c>
      <c r="AA283" s="131">
        <f t="shared" si="512"/>
        <v>0</v>
      </c>
      <c r="AB283" s="131">
        <f t="shared" si="513"/>
        <v>0</v>
      </c>
      <c r="AC283" s="130">
        <v>0</v>
      </c>
      <c r="AD283" s="130">
        <v>0</v>
      </c>
      <c r="AE283" s="130">
        <f t="shared" si="503"/>
        <v>0</v>
      </c>
      <c r="AF283" s="130">
        <f t="shared" si="504"/>
        <v>0</v>
      </c>
      <c r="AG283" s="132">
        <v>0</v>
      </c>
      <c r="AH283" s="132">
        <v>0</v>
      </c>
      <c r="AI283" s="132">
        <v>0</v>
      </c>
      <c r="AJ283" s="132">
        <v>0</v>
      </c>
      <c r="AK283" s="132">
        <v>0</v>
      </c>
      <c r="AL283" s="132">
        <f t="shared" si="505"/>
        <v>0</v>
      </c>
      <c r="AM283" s="132">
        <f>AH283+AK283</f>
        <v>0</v>
      </c>
      <c r="AN283" s="403">
        <f t="shared" si="507"/>
        <v>0</v>
      </c>
      <c r="AO283" s="128">
        <f t="shared" si="488"/>
        <v>0</v>
      </c>
      <c r="AP283" s="130">
        <f t="shared" si="489"/>
        <v>0</v>
      </c>
      <c r="AQ283" s="130">
        <f t="shared" si="490"/>
        <v>0</v>
      </c>
      <c r="AR283" s="130">
        <f t="shared" si="491"/>
        <v>0</v>
      </c>
      <c r="AS283" s="130">
        <f t="shared" si="492"/>
        <v>0</v>
      </c>
      <c r="AT283" s="130">
        <f t="shared" si="493"/>
        <v>0</v>
      </c>
      <c r="AU283" s="132">
        <f t="shared" si="494"/>
        <v>0</v>
      </c>
      <c r="AV283" s="132">
        <f t="shared" si="495"/>
        <v>0</v>
      </c>
      <c r="AW283" s="133">
        <f t="shared" si="496"/>
        <v>0</v>
      </c>
    </row>
    <row r="284" spans="1:49" ht="14.1" customHeight="1" x14ac:dyDescent="0.2">
      <c r="A284" s="124">
        <v>58</v>
      </c>
      <c r="B284" s="121">
        <v>2318</v>
      </c>
      <c r="C284" s="122">
        <v>600079546</v>
      </c>
      <c r="D284" s="121">
        <v>70695253</v>
      </c>
      <c r="E284" s="123" t="s">
        <v>691</v>
      </c>
      <c r="F284" s="124">
        <v>3141</v>
      </c>
      <c r="G284" s="123" t="s">
        <v>321</v>
      </c>
      <c r="H284" s="125" t="s">
        <v>284</v>
      </c>
      <c r="I284" s="126">
        <f t="shared" si="478"/>
        <v>972468</v>
      </c>
      <c r="J284" s="666">
        <v>712131</v>
      </c>
      <c r="K284" s="127">
        <f t="shared" si="479"/>
        <v>240700</v>
      </c>
      <c r="L284" s="477">
        <f t="shared" si="480"/>
        <v>14243</v>
      </c>
      <c r="M284" s="666">
        <v>5394</v>
      </c>
      <c r="N284" s="390">
        <f t="shared" si="481"/>
        <v>2.42</v>
      </c>
      <c r="O284" s="668">
        <v>0</v>
      </c>
      <c r="P284" s="667">
        <v>2.42</v>
      </c>
      <c r="Q284" s="129">
        <f t="shared" si="482"/>
        <v>-912</v>
      </c>
      <c r="R284" s="130">
        <v>0</v>
      </c>
      <c r="S284" s="130">
        <v>0</v>
      </c>
      <c r="T284" s="130">
        <v>0</v>
      </c>
      <c r="U284" s="130">
        <f t="shared" si="483"/>
        <v>-912</v>
      </c>
      <c r="V284" s="130">
        <v>912</v>
      </c>
      <c r="W284" s="130">
        <v>0</v>
      </c>
      <c r="X284" s="130">
        <v>0</v>
      </c>
      <c r="Y284" s="130">
        <f t="shared" si="510"/>
        <v>912</v>
      </c>
      <c r="Z284" s="130">
        <f t="shared" si="511"/>
        <v>0</v>
      </c>
      <c r="AA284" s="131">
        <f t="shared" si="512"/>
        <v>0</v>
      </c>
      <c r="AB284" s="131">
        <f t="shared" si="513"/>
        <v>-18</v>
      </c>
      <c r="AC284" s="130">
        <v>0</v>
      </c>
      <c r="AD284" s="130">
        <v>0</v>
      </c>
      <c r="AE284" s="130">
        <f t="shared" si="503"/>
        <v>0</v>
      </c>
      <c r="AF284" s="130">
        <f t="shared" si="504"/>
        <v>-18</v>
      </c>
      <c r="AG284" s="132">
        <v>0</v>
      </c>
      <c r="AH284" s="132">
        <v>0</v>
      </c>
      <c r="AI284" s="132">
        <v>0</v>
      </c>
      <c r="AJ284" s="132">
        <v>0</v>
      </c>
      <c r="AK284" s="132">
        <v>0</v>
      </c>
      <c r="AL284" s="132">
        <f t="shared" si="505"/>
        <v>0</v>
      </c>
      <c r="AM284" s="132">
        <f>AH284+AK284</f>
        <v>0</v>
      </c>
      <c r="AN284" s="403">
        <f t="shared" si="507"/>
        <v>0</v>
      </c>
      <c r="AO284" s="128">
        <f t="shared" si="488"/>
        <v>972450</v>
      </c>
      <c r="AP284" s="130">
        <f t="shared" si="489"/>
        <v>711219</v>
      </c>
      <c r="AQ284" s="130">
        <f t="shared" si="490"/>
        <v>912</v>
      </c>
      <c r="AR284" s="130">
        <f t="shared" si="491"/>
        <v>240700</v>
      </c>
      <c r="AS284" s="130">
        <f t="shared" si="492"/>
        <v>14225</v>
      </c>
      <c r="AT284" s="130">
        <f t="shared" si="493"/>
        <v>5394</v>
      </c>
      <c r="AU284" s="132">
        <f t="shared" si="494"/>
        <v>2.42</v>
      </c>
      <c r="AV284" s="132">
        <f t="shared" si="495"/>
        <v>0</v>
      </c>
      <c r="AW284" s="133">
        <f t="shared" si="496"/>
        <v>2.42</v>
      </c>
    </row>
    <row r="285" spans="1:49" ht="14.1" customHeight="1" x14ac:dyDescent="0.2">
      <c r="A285" s="137">
        <v>58</v>
      </c>
      <c r="B285" s="134">
        <v>2318</v>
      </c>
      <c r="C285" s="135">
        <v>600079546</v>
      </c>
      <c r="D285" s="134">
        <v>70695253</v>
      </c>
      <c r="E285" s="136" t="s">
        <v>692</v>
      </c>
      <c r="F285" s="137"/>
      <c r="G285" s="136"/>
      <c r="H285" s="138"/>
      <c r="I285" s="139">
        <f t="shared" ref="I285:P285" si="514">SUM(I281:I284)</f>
        <v>7842476</v>
      </c>
      <c r="J285" s="140">
        <f t="shared" si="514"/>
        <v>5734559</v>
      </c>
      <c r="K285" s="140">
        <f t="shared" si="514"/>
        <v>1938281</v>
      </c>
      <c r="L285" s="140">
        <f t="shared" si="514"/>
        <v>114692</v>
      </c>
      <c r="M285" s="140">
        <f t="shared" si="514"/>
        <v>54944</v>
      </c>
      <c r="N285" s="141">
        <f t="shared" si="514"/>
        <v>14.385199999999999</v>
      </c>
      <c r="O285" s="141">
        <f t="shared" si="514"/>
        <v>9</v>
      </c>
      <c r="P285" s="142">
        <f t="shared" si="514"/>
        <v>5.3851999999999993</v>
      </c>
      <c r="Q285" s="342">
        <f t="shared" ref="Q285:AW285" si="515">SUM(Q281:Q284)</f>
        <v>-8195</v>
      </c>
      <c r="R285" s="140">
        <f t="shared" si="515"/>
        <v>0</v>
      </c>
      <c r="S285" s="140">
        <f t="shared" si="515"/>
        <v>0</v>
      </c>
      <c r="T285" s="140">
        <f t="shared" si="515"/>
        <v>0</v>
      </c>
      <c r="U285" s="140">
        <f t="shared" si="515"/>
        <v>-8195</v>
      </c>
      <c r="V285" s="140">
        <f t="shared" si="515"/>
        <v>8195</v>
      </c>
      <c r="W285" s="140">
        <f t="shared" si="515"/>
        <v>0</v>
      </c>
      <c r="X285" s="140">
        <f t="shared" si="515"/>
        <v>0</v>
      </c>
      <c r="Y285" s="140">
        <f t="shared" si="515"/>
        <v>8195</v>
      </c>
      <c r="Z285" s="140">
        <f t="shared" si="515"/>
        <v>0</v>
      </c>
      <c r="AA285" s="140">
        <f t="shared" si="515"/>
        <v>0</v>
      </c>
      <c r="AB285" s="140">
        <f t="shared" si="515"/>
        <v>-164</v>
      </c>
      <c r="AC285" s="140">
        <f t="shared" si="515"/>
        <v>0</v>
      </c>
      <c r="AD285" s="140">
        <f t="shared" si="515"/>
        <v>0</v>
      </c>
      <c r="AE285" s="140">
        <f t="shared" si="515"/>
        <v>0</v>
      </c>
      <c r="AF285" s="140">
        <f t="shared" si="515"/>
        <v>-164</v>
      </c>
      <c r="AG285" s="141">
        <f t="shared" si="515"/>
        <v>0</v>
      </c>
      <c r="AH285" s="141">
        <f t="shared" si="515"/>
        <v>-0.04</v>
      </c>
      <c r="AI285" s="141">
        <f t="shared" si="515"/>
        <v>0</v>
      </c>
      <c r="AJ285" s="141">
        <f t="shared" si="515"/>
        <v>0</v>
      </c>
      <c r="AK285" s="141">
        <f t="shared" si="515"/>
        <v>0</v>
      </c>
      <c r="AL285" s="141">
        <f t="shared" si="515"/>
        <v>0</v>
      </c>
      <c r="AM285" s="141">
        <f t="shared" si="515"/>
        <v>-0.04</v>
      </c>
      <c r="AN285" s="635">
        <f t="shared" si="515"/>
        <v>-0.04</v>
      </c>
      <c r="AO285" s="139">
        <f t="shared" si="515"/>
        <v>7842312</v>
      </c>
      <c r="AP285" s="140">
        <f t="shared" si="515"/>
        <v>5726364</v>
      </c>
      <c r="AQ285" s="140">
        <f t="shared" si="515"/>
        <v>8195</v>
      </c>
      <c r="AR285" s="140">
        <f t="shared" si="515"/>
        <v>1938281</v>
      </c>
      <c r="AS285" s="140">
        <f t="shared" si="515"/>
        <v>114528</v>
      </c>
      <c r="AT285" s="140">
        <f t="shared" si="515"/>
        <v>54944</v>
      </c>
      <c r="AU285" s="141">
        <f t="shared" si="515"/>
        <v>14.3452</v>
      </c>
      <c r="AV285" s="141">
        <f t="shared" si="515"/>
        <v>9</v>
      </c>
      <c r="AW285" s="142">
        <f t="shared" si="515"/>
        <v>5.3452000000000002</v>
      </c>
    </row>
    <row r="286" spans="1:49" ht="14.1" customHeight="1" x14ac:dyDescent="0.2">
      <c r="A286" s="124">
        <v>59</v>
      </c>
      <c r="B286" s="121">
        <v>2452</v>
      </c>
      <c r="C286" s="144">
        <v>600079660</v>
      </c>
      <c r="D286" s="121">
        <v>70695261</v>
      </c>
      <c r="E286" s="123" t="s">
        <v>693</v>
      </c>
      <c r="F286" s="124">
        <v>3113</v>
      </c>
      <c r="G286" s="123" t="s">
        <v>320</v>
      </c>
      <c r="H286" s="125" t="s">
        <v>283</v>
      </c>
      <c r="I286" s="126">
        <f t="shared" si="478"/>
        <v>29316862</v>
      </c>
      <c r="J286" s="127">
        <v>21120561</v>
      </c>
      <c r="K286" s="127">
        <f t="shared" si="479"/>
        <v>7138750</v>
      </c>
      <c r="L286" s="477">
        <f t="shared" si="480"/>
        <v>422411</v>
      </c>
      <c r="M286" s="127">
        <v>635140</v>
      </c>
      <c r="N286" s="390">
        <f t="shared" si="481"/>
        <v>39.536799999999999</v>
      </c>
      <c r="O286" s="390">
        <v>30.7272</v>
      </c>
      <c r="P286" s="439">
        <v>8.8095999999999997</v>
      </c>
      <c r="Q286" s="129">
        <f t="shared" si="482"/>
        <v>-64000</v>
      </c>
      <c r="R286" s="130">
        <v>0</v>
      </c>
      <c r="S286" s="130">
        <v>0</v>
      </c>
      <c r="T286" s="130">
        <v>92292</v>
      </c>
      <c r="U286" s="130">
        <f t="shared" si="483"/>
        <v>28292</v>
      </c>
      <c r="V286" s="130">
        <v>64000</v>
      </c>
      <c r="W286" s="130">
        <v>0</v>
      </c>
      <c r="X286" s="130">
        <v>0</v>
      </c>
      <c r="Y286" s="130">
        <f t="shared" ref="Y286:Y292" si="516">SUM(V286:X286)</f>
        <v>64000</v>
      </c>
      <c r="Z286" s="130">
        <f t="shared" ref="Z286:Z292" si="517">U286+Y286</f>
        <v>92292</v>
      </c>
      <c r="AA286" s="131">
        <f t="shared" ref="AA286:AA292" si="518">ROUND((U286+V286+W286)*33.8%,0)</f>
        <v>31195</v>
      </c>
      <c r="AB286" s="131">
        <f t="shared" ref="AB286:AB292" si="519">ROUND(U286*2%,0)</f>
        <v>566</v>
      </c>
      <c r="AC286" s="130">
        <v>0</v>
      </c>
      <c r="AD286" s="130">
        <v>0</v>
      </c>
      <c r="AE286" s="130">
        <f t="shared" si="503"/>
        <v>0</v>
      </c>
      <c r="AF286" s="130">
        <f t="shared" si="504"/>
        <v>124053</v>
      </c>
      <c r="AG286" s="132">
        <v>0</v>
      </c>
      <c r="AH286" s="132">
        <v>-0.2</v>
      </c>
      <c r="AI286" s="132">
        <v>0</v>
      </c>
      <c r="AJ286" s="132">
        <v>0.15</v>
      </c>
      <c r="AK286" s="132">
        <v>0</v>
      </c>
      <c r="AL286" s="132">
        <f t="shared" si="505"/>
        <v>0.15</v>
      </c>
      <c r="AM286" s="132">
        <f t="shared" ref="AM286:AM292" si="520">AH286+AK286</f>
        <v>-0.2</v>
      </c>
      <c r="AN286" s="403">
        <f t="shared" si="507"/>
        <v>-5.0000000000000017E-2</v>
      </c>
      <c r="AO286" s="128">
        <f t="shared" si="488"/>
        <v>29440915</v>
      </c>
      <c r="AP286" s="130">
        <f t="shared" si="489"/>
        <v>21148853</v>
      </c>
      <c r="AQ286" s="130">
        <f t="shared" si="490"/>
        <v>64000</v>
      </c>
      <c r="AR286" s="130">
        <f t="shared" si="491"/>
        <v>7169945</v>
      </c>
      <c r="AS286" s="130">
        <f t="shared" si="492"/>
        <v>422977</v>
      </c>
      <c r="AT286" s="130">
        <f t="shared" si="493"/>
        <v>635140</v>
      </c>
      <c r="AU286" s="132">
        <f t="shared" si="494"/>
        <v>39.486800000000002</v>
      </c>
      <c r="AV286" s="132">
        <f t="shared" si="495"/>
        <v>30.877199999999998</v>
      </c>
      <c r="AW286" s="133">
        <f t="shared" si="496"/>
        <v>8.6096000000000004</v>
      </c>
    </row>
    <row r="287" spans="1:49" ht="14.1" customHeight="1" x14ac:dyDescent="0.2">
      <c r="A287" s="124">
        <v>59</v>
      </c>
      <c r="B287" s="121">
        <v>2452</v>
      </c>
      <c r="C287" s="144">
        <v>600079660</v>
      </c>
      <c r="D287" s="121">
        <v>70695261</v>
      </c>
      <c r="E287" s="123" t="s">
        <v>693</v>
      </c>
      <c r="F287" s="124">
        <v>3113</v>
      </c>
      <c r="G287" s="98" t="s">
        <v>319</v>
      </c>
      <c r="H287" s="125" t="s">
        <v>283</v>
      </c>
      <c r="I287" s="126">
        <f t="shared" si="478"/>
        <v>1266834</v>
      </c>
      <c r="J287" s="631">
        <v>932868</v>
      </c>
      <c r="K287" s="127">
        <f t="shared" si="479"/>
        <v>315309</v>
      </c>
      <c r="L287" s="477">
        <f t="shared" si="480"/>
        <v>18657</v>
      </c>
      <c r="M287" s="478">
        <v>0</v>
      </c>
      <c r="N287" s="390">
        <f t="shared" si="481"/>
        <v>2.6389</v>
      </c>
      <c r="O287" s="644">
        <v>2.6389</v>
      </c>
      <c r="P287" s="639">
        <v>0</v>
      </c>
      <c r="Q287" s="129">
        <f t="shared" si="482"/>
        <v>0</v>
      </c>
      <c r="R287" s="130">
        <v>0</v>
      </c>
      <c r="S287" s="130">
        <v>0</v>
      </c>
      <c r="T287" s="130">
        <v>0</v>
      </c>
      <c r="U287" s="130">
        <f t="shared" si="483"/>
        <v>0</v>
      </c>
      <c r="V287" s="130">
        <v>0</v>
      </c>
      <c r="W287" s="130">
        <v>0</v>
      </c>
      <c r="X287" s="130">
        <v>0</v>
      </c>
      <c r="Y287" s="130">
        <f t="shared" si="516"/>
        <v>0</v>
      </c>
      <c r="Z287" s="130">
        <f t="shared" si="517"/>
        <v>0</v>
      </c>
      <c r="AA287" s="131">
        <f t="shared" si="518"/>
        <v>0</v>
      </c>
      <c r="AB287" s="131">
        <f t="shared" si="519"/>
        <v>0</v>
      </c>
      <c r="AC287" s="130">
        <v>0</v>
      </c>
      <c r="AD287" s="130">
        <v>0</v>
      </c>
      <c r="AE287" s="130">
        <f t="shared" si="503"/>
        <v>0</v>
      </c>
      <c r="AF287" s="130">
        <f t="shared" si="504"/>
        <v>0</v>
      </c>
      <c r="AG287" s="132">
        <v>0</v>
      </c>
      <c r="AH287" s="132">
        <v>0</v>
      </c>
      <c r="AI287" s="132">
        <v>0</v>
      </c>
      <c r="AJ287" s="132">
        <v>0</v>
      </c>
      <c r="AK287" s="132">
        <v>0</v>
      </c>
      <c r="AL287" s="132">
        <f t="shared" si="505"/>
        <v>0</v>
      </c>
      <c r="AM287" s="132">
        <f t="shared" si="520"/>
        <v>0</v>
      </c>
      <c r="AN287" s="403">
        <f t="shared" si="507"/>
        <v>0</v>
      </c>
      <c r="AO287" s="128">
        <f t="shared" si="488"/>
        <v>1266834</v>
      </c>
      <c r="AP287" s="130">
        <f t="shared" si="489"/>
        <v>932868</v>
      </c>
      <c r="AQ287" s="130">
        <f t="shared" si="490"/>
        <v>0</v>
      </c>
      <c r="AR287" s="130">
        <f t="shared" si="491"/>
        <v>315309</v>
      </c>
      <c r="AS287" s="130">
        <f t="shared" si="492"/>
        <v>18657</v>
      </c>
      <c r="AT287" s="130">
        <f t="shared" si="493"/>
        <v>0</v>
      </c>
      <c r="AU287" s="132">
        <f t="shared" si="494"/>
        <v>2.6389</v>
      </c>
      <c r="AV287" s="132">
        <f t="shared" si="495"/>
        <v>2.6389</v>
      </c>
      <c r="AW287" s="133">
        <f t="shared" si="496"/>
        <v>0</v>
      </c>
    </row>
    <row r="288" spans="1:49" ht="14.1" customHeight="1" x14ac:dyDescent="0.2">
      <c r="A288" s="124">
        <v>59</v>
      </c>
      <c r="B288" s="121">
        <v>2452</v>
      </c>
      <c r="C288" s="144">
        <v>600079660</v>
      </c>
      <c r="D288" s="121">
        <v>70695261</v>
      </c>
      <c r="E288" s="123" t="s">
        <v>693</v>
      </c>
      <c r="F288" s="124">
        <v>3113</v>
      </c>
      <c r="G288" s="143" t="s">
        <v>318</v>
      </c>
      <c r="H288" s="125" t="s">
        <v>284</v>
      </c>
      <c r="I288" s="126">
        <f t="shared" si="478"/>
        <v>0</v>
      </c>
      <c r="J288" s="29">
        <v>0</v>
      </c>
      <c r="K288" s="127">
        <f t="shared" si="479"/>
        <v>0</v>
      </c>
      <c r="L288" s="477">
        <f t="shared" si="480"/>
        <v>0</v>
      </c>
      <c r="M288" s="29">
        <v>0</v>
      </c>
      <c r="N288" s="390">
        <f t="shared" si="481"/>
        <v>0</v>
      </c>
      <c r="O288" s="349">
        <v>0</v>
      </c>
      <c r="P288" s="639">
        <v>0</v>
      </c>
      <c r="Q288" s="129">
        <f t="shared" si="482"/>
        <v>0</v>
      </c>
      <c r="R288" s="130">
        <v>2283365</v>
      </c>
      <c r="S288" s="130">
        <v>0</v>
      </c>
      <c r="T288" s="130">
        <v>0</v>
      </c>
      <c r="U288" s="130">
        <f t="shared" si="483"/>
        <v>2283365</v>
      </c>
      <c r="V288" s="130">
        <v>0</v>
      </c>
      <c r="W288" s="130">
        <v>0</v>
      </c>
      <c r="X288" s="130">
        <v>0</v>
      </c>
      <c r="Y288" s="130">
        <f t="shared" si="516"/>
        <v>0</v>
      </c>
      <c r="Z288" s="130">
        <f t="shared" si="517"/>
        <v>2283365</v>
      </c>
      <c r="AA288" s="131">
        <f t="shared" si="518"/>
        <v>771777</v>
      </c>
      <c r="AB288" s="131">
        <f t="shared" si="519"/>
        <v>45667</v>
      </c>
      <c r="AC288" s="130">
        <v>0</v>
      </c>
      <c r="AD288" s="130">
        <v>0</v>
      </c>
      <c r="AE288" s="130">
        <f t="shared" si="503"/>
        <v>0</v>
      </c>
      <c r="AF288" s="130">
        <f t="shared" si="504"/>
        <v>3100809</v>
      </c>
      <c r="AG288" s="132">
        <v>0</v>
      </c>
      <c r="AH288" s="132">
        <v>0</v>
      </c>
      <c r="AI288" s="132">
        <v>6.51</v>
      </c>
      <c r="AJ288" s="132">
        <v>0</v>
      </c>
      <c r="AK288" s="132">
        <v>0</v>
      </c>
      <c r="AL288" s="132">
        <f t="shared" si="505"/>
        <v>6.51</v>
      </c>
      <c r="AM288" s="132">
        <f t="shared" si="520"/>
        <v>0</v>
      </c>
      <c r="AN288" s="403">
        <f t="shared" si="507"/>
        <v>6.51</v>
      </c>
      <c r="AO288" s="128">
        <f t="shared" si="488"/>
        <v>3100809</v>
      </c>
      <c r="AP288" s="130">
        <f t="shared" si="489"/>
        <v>2283365</v>
      </c>
      <c r="AQ288" s="130">
        <f t="shared" si="490"/>
        <v>0</v>
      </c>
      <c r="AR288" s="130">
        <f t="shared" si="491"/>
        <v>771777</v>
      </c>
      <c r="AS288" s="130">
        <f t="shared" si="492"/>
        <v>45667</v>
      </c>
      <c r="AT288" s="130">
        <f t="shared" si="493"/>
        <v>0</v>
      </c>
      <c r="AU288" s="132">
        <f t="shared" si="494"/>
        <v>6.51</v>
      </c>
      <c r="AV288" s="132">
        <f t="shared" si="495"/>
        <v>6.51</v>
      </c>
      <c r="AW288" s="133">
        <f t="shared" si="496"/>
        <v>0</v>
      </c>
    </row>
    <row r="289" spans="1:49" ht="14.1" customHeight="1" x14ac:dyDescent="0.2">
      <c r="A289" s="124">
        <v>59</v>
      </c>
      <c r="B289" s="121">
        <v>2452</v>
      </c>
      <c r="C289" s="144">
        <v>600079660</v>
      </c>
      <c r="D289" s="121">
        <v>70695261</v>
      </c>
      <c r="E289" s="123" t="s">
        <v>693</v>
      </c>
      <c r="F289" s="124">
        <v>3141</v>
      </c>
      <c r="G289" s="123" t="s">
        <v>321</v>
      </c>
      <c r="H289" s="125" t="s">
        <v>284</v>
      </c>
      <c r="I289" s="126">
        <f t="shared" si="478"/>
        <v>2241629</v>
      </c>
      <c r="J289" s="666">
        <v>1635309</v>
      </c>
      <c r="K289" s="127">
        <f t="shared" si="479"/>
        <v>552734</v>
      </c>
      <c r="L289" s="477">
        <f t="shared" si="480"/>
        <v>32706</v>
      </c>
      <c r="M289" s="666">
        <v>20880</v>
      </c>
      <c r="N289" s="390">
        <f t="shared" si="481"/>
        <v>5.56</v>
      </c>
      <c r="O289" s="668">
        <v>0</v>
      </c>
      <c r="P289" s="667">
        <v>5.56</v>
      </c>
      <c r="Q289" s="129">
        <f t="shared" si="482"/>
        <v>-16000</v>
      </c>
      <c r="R289" s="130">
        <v>0</v>
      </c>
      <c r="S289" s="130">
        <v>0</v>
      </c>
      <c r="T289" s="130">
        <v>0</v>
      </c>
      <c r="U289" s="130">
        <f t="shared" si="483"/>
        <v>-16000</v>
      </c>
      <c r="V289" s="130">
        <v>16000</v>
      </c>
      <c r="W289" s="130">
        <v>0</v>
      </c>
      <c r="X289" s="130">
        <v>0</v>
      </c>
      <c r="Y289" s="130">
        <f t="shared" si="516"/>
        <v>16000</v>
      </c>
      <c r="Z289" s="130">
        <f t="shared" si="517"/>
        <v>0</v>
      </c>
      <c r="AA289" s="131">
        <f t="shared" si="518"/>
        <v>0</v>
      </c>
      <c r="AB289" s="131">
        <f t="shared" si="519"/>
        <v>-320</v>
      </c>
      <c r="AC289" s="130">
        <v>0</v>
      </c>
      <c r="AD289" s="130">
        <v>0</v>
      </c>
      <c r="AE289" s="130">
        <f t="shared" si="503"/>
        <v>0</v>
      </c>
      <c r="AF289" s="130">
        <f t="shared" si="504"/>
        <v>-320</v>
      </c>
      <c r="AG289" s="132">
        <v>0</v>
      </c>
      <c r="AH289" s="132">
        <v>0</v>
      </c>
      <c r="AI289" s="132">
        <v>0</v>
      </c>
      <c r="AJ289" s="132">
        <v>0</v>
      </c>
      <c r="AK289" s="132">
        <v>0</v>
      </c>
      <c r="AL289" s="132">
        <f t="shared" si="505"/>
        <v>0</v>
      </c>
      <c r="AM289" s="132">
        <f t="shared" si="520"/>
        <v>0</v>
      </c>
      <c r="AN289" s="403">
        <f t="shared" si="507"/>
        <v>0</v>
      </c>
      <c r="AO289" s="128">
        <f t="shared" si="488"/>
        <v>2241309</v>
      </c>
      <c r="AP289" s="130">
        <f t="shared" si="489"/>
        <v>1619309</v>
      </c>
      <c r="AQ289" s="130">
        <f t="shared" si="490"/>
        <v>16000</v>
      </c>
      <c r="AR289" s="130">
        <f t="shared" si="491"/>
        <v>552734</v>
      </c>
      <c r="AS289" s="130">
        <f t="shared" si="492"/>
        <v>32386</v>
      </c>
      <c r="AT289" s="130">
        <f t="shared" si="493"/>
        <v>20880</v>
      </c>
      <c r="AU289" s="132">
        <f t="shared" si="494"/>
        <v>5.56</v>
      </c>
      <c r="AV289" s="132">
        <f t="shared" si="495"/>
        <v>0</v>
      </c>
      <c r="AW289" s="133">
        <f t="shared" si="496"/>
        <v>5.56</v>
      </c>
    </row>
    <row r="290" spans="1:49" ht="14.1" customHeight="1" x14ac:dyDescent="0.2">
      <c r="A290" s="124">
        <v>59</v>
      </c>
      <c r="B290" s="121">
        <v>2452</v>
      </c>
      <c r="C290" s="144">
        <v>600079660</v>
      </c>
      <c r="D290" s="121">
        <v>70695261</v>
      </c>
      <c r="E290" s="123" t="s">
        <v>693</v>
      </c>
      <c r="F290" s="124">
        <v>3143</v>
      </c>
      <c r="G290" s="145" t="s">
        <v>635</v>
      </c>
      <c r="H290" s="125" t="s">
        <v>283</v>
      </c>
      <c r="I290" s="126">
        <f t="shared" si="478"/>
        <v>2646912</v>
      </c>
      <c r="J290" s="631">
        <v>1949125</v>
      </c>
      <c r="K290" s="127">
        <f t="shared" si="479"/>
        <v>658804</v>
      </c>
      <c r="L290" s="477">
        <f t="shared" si="480"/>
        <v>38983</v>
      </c>
      <c r="M290" s="478">
        <v>0</v>
      </c>
      <c r="N290" s="390">
        <f t="shared" si="481"/>
        <v>4.6428000000000003</v>
      </c>
      <c r="O290" s="644">
        <v>4.6428000000000003</v>
      </c>
      <c r="P290" s="639">
        <v>0</v>
      </c>
      <c r="Q290" s="129">
        <f t="shared" si="482"/>
        <v>0</v>
      </c>
      <c r="R290" s="130">
        <v>0</v>
      </c>
      <c r="S290" s="130">
        <v>0</v>
      </c>
      <c r="T290" s="130">
        <v>0</v>
      </c>
      <c r="U290" s="130">
        <f t="shared" si="483"/>
        <v>0</v>
      </c>
      <c r="V290" s="130">
        <v>0</v>
      </c>
      <c r="W290" s="130">
        <v>0</v>
      </c>
      <c r="X290" s="130">
        <v>0</v>
      </c>
      <c r="Y290" s="130">
        <f t="shared" si="516"/>
        <v>0</v>
      </c>
      <c r="Z290" s="130">
        <f t="shared" si="517"/>
        <v>0</v>
      </c>
      <c r="AA290" s="131">
        <f t="shared" si="518"/>
        <v>0</v>
      </c>
      <c r="AB290" s="131">
        <f t="shared" si="519"/>
        <v>0</v>
      </c>
      <c r="AC290" s="130">
        <v>0</v>
      </c>
      <c r="AD290" s="130">
        <v>0</v>
      </c>
      <c r="AE290" s="130">
        <f t="shared" si="503"/>
        <v>0</v>
      </c>
      <c r="AF290" s="130">
        <f t="shared" si="504"/>
        <v>0</v>
      </c>
      <c r="AG290" s="132">
        <v>0</v>
      </c>
      <c r="AH290" s="132">
        <v>0</v>
      </c>
      <c r="AI290" s="132">
        <v>0</v>
      </c>
      <c r="AJ290" s="132">
        <v>0</v>
      </c>
      <c r="AK290" s="132">
        <v>0</v>
      </c>
      <c r="AL290" s="132">
        <f t="shared" si="505"/>
        <v>0</v>
      </c>
      <c r="AM290" s="132">
        <f t="shared" si="520"/>
        <v>0</v>
      </c>
      <c r="AN290" s="403">
        <f t="shared" si="507"/>
        <v>0</v>
      </c>
      <c r="AO290" s="128">
        <f t="shared" si="488"/>
        <v>2646912</v>
      </c>
      <c r="AP290" s="130">
        <f t="shared" si="489"/>
        <v>1949125</v>
      </c>
      <c r="AQ290" s="130">
        <f t="shared" si="490"/>
        <v>0</v>
      </c>
      <c r="AR290" s="130">
        <f t="shared" si="491"/>
        <v>658804</v>
      </c>
      <c r="AS290" s="130">
        <f t="shared" si="492"/>
        <v>38983</v>
      </c>
      <c r="AT290" s="130">
        <f t="shared" si="493"/>
        <v>0</v>
      </c>
      <c r="AU290" s="132">
        <f t="shared" si="494"/>
        <v>4.6428000000000003</v>
      </c>
      <c r="AV290" s="132">
        <f t="shared" si="495"/>
        <v>4.6428000000000003</v>
      </c>
      <c r="AW290" s="133">
        <f t="shared" si="496"/>
        <v>0</v>
      </c>
    </row>
    <row r="291" spans="1:49" ht="14.1" customHeight="1" x14ac:dyDescent="0.2">
      <c r="A291" s="124">
        <v>59</v>
      </c>
      <c r="B291" s="121">
        <v>2452</v>
      </c>
      <c r="C291" s="144">
        <v>600079660</v>
      </c>
      <c r="D291" s="121">
        <v>70695261</v>
      </c>
      <c r="E291" s="123" t="s">
        <v>693</v>
      </c>
      <c r="F291" s="124">
        <v>3143</v>
      </c>
      <c r="G291" s="145" t="s">
        <v>323</v>
      </c>
      <c r="H291" s="125" t="s">
        <v>284</v>
      </c>
      <c r="I291" s="126">
        <f t="shared" si="478"/>
        <v>430917</v>
      </c>
      <c r="J291" s="664">
        <v>315771</v>
      </c>
      <c r="K291" s="127">
        <f t="shared" si="479"/>
        <v>106731</v>
      </c>
      <c r="L291" s="477">
        <f t="shared" si="480"/>
        <v>6315</v>
      </c>
      <c r="M291" s="664">
        <v>2100</v>
      </c>
      <c r="N291" s="390">
        <f t="shared" si="481"/>
        <v>0.75</v>
      </c>
      <c r="O291" s="665">
        <v>0.6</v>
      </c>
      <c r="P291" s="667">
        <v>0.15</v>
      </c>
      <c r="Q291" s="129">
        <f t="shared" si="482"/>
        <v>0</v>
      </c>
      <c r="R291" s="130">
        <v>0</v>
      </c>
      <c r="S291" s="130">
        <v>0</v>
      </c>
      <c r="T291" s="130">
        <v>0</v>
      </c>
      <c r="U291" s="130">
        <f t="shared" si="483"/>
        <v>0</v>
      </c>
      <c r="V291" s="130">
        <v>0</v>
      </c>
      <c r="W291" s="130">
        <v>0</v>
      </c>
      <c r="X291" s="130">
        <v>0</v>
      </c>
      <c r="Y291" s="130">
        <f t="shared" si="516"/>
        <v>0</v>
      </c>
      <c r="Z291" s="130">
        <f t="shared" si="517"/>
        <v>0</v>
      </c>
      <c r="AA291" s="131">
        <f t="shared" si="518"/>
        <v>0</v>
      </c>
      <c r="AB291" s="131">
        <f t="shared" si="519"/>
        <v>0</v>
      </c>
      <c r="AC291" s="130">
        <v>0</v>
      </c>
      <c r="AD291" s="130">
        <v>0</v>
      </c>
      <c r="AE291" s="130">
        <f t="shared" si="503"/>
        <v>0</v>
      </c>
      <c r="AF291" s="130">
        <f t="shared" si="504"/>
        <v>0</v>
      </c>
      <c r="AG291" s="132">
        <v>0</v>
      </c>
      <c r="AH291" s="132">
        <v>0</v>
      </c>
      <c r="AI291" s="132">
        <v>0</v>
      </c>
      <c r="AJ291" s="132">
        <v>0</v>
      </c>
      <c r="AK291" s="132">
        <v>0</v>
      </c>
      <c r="AL291" s="132">
        <f t="shared" si="505"/>
        <v>0</v>
      </c>
      <c r="AM291" s="132">
        <f t="shared" si="520"/>
        <v>0</v>
      </c>
      <c r="AN291" s="403">
        <f t="shared" si="507"/>
        <v>0</v>
      </c>
      <c r="AO291" s="128">
        <f t="shared" si="488"/>
        <v>430917</v>
      </c>
      <c r="AP291" s="130">
        <f t="shared" si="489"/>
        <v>315771</v>
      </c>
      <c r="AQ291" s="130">
        <f t="shared" si="490"/>
        <v>0</v>
      </c>
      <c r="AR291" s="130">
        <f t="shared" si="491"/>
        <v>106731</v>
      </c>
      <c r="AS291" s="130">
        <f t="shared" si="492"/>
        <v>6315</v>
      </c>
      <c r="AT291" s="130">
        <f t="shared" si="493"/>
        <v>2100</v>
      </c>
      <c r="AU291" s="132">
        <f t="shared" si="494"/>
        <v>0.75</v>
      </c>
      <c r="AV291" s="132">
        <f t="shared" si="495"/>
        <v>0.6</v>
      </c>
      <c r="AW291" s="133">
        <f t="shared" si="496"/>
        <v>0.15</v>
      </c>
    </row>
    <row r="292" spans="1:49" ht="14.1" customHeight="1" x14ac:dyDescent="0.2">
      <c r="A292" s="124">
        <v>59</v>
      </c>
      <c r="B292" s="121">
        <v>2452</v>
      </c>
      <c r="C292" s="144">
        <v>600079660</v>
      </c>
      <c r="D292" s="121">
        <v>70695261</v>
      </c>
      <c r="E292" s="123" t="s">
        <v>693</v>
      </c>
      <c r="F292" s="124">
        <v>3143</v>
      </c>
      <c r="G292" s="145" t="s">
        <v>636</v>
      </c>
      <c r="H292" s="125" t="s">
        <v>284</v>
      </c>
      <c r="I292" s="126">
        <f t="shared" si="478"/>
        <v>91287</v>
      </c>
      <c r="J292" s="664">
        <v>64350</v>
      </c>
      <c r="K292" s="127">
        <f t="shared" si="479"/>
        <v>21750</v>
      </c>
      <c r="L292" s="477">
        <f t="shared" si="480"/>
        <v>1287</v>
      </c>
      <c r="M292" s="664">
        <v>3900</v>
      </c>
      <c r="N292" s="390">
        <f t="shared" si="481"/>
        <v>0.27</v>
      </c>
      <c r="O292" s="665">
        <v>0</v>
      </c>
      <c r="P292" s="667">
        <v>0.27</v>
      </c>
      <c r="Q292" s="129">
        <f t="shared" si="482"/>
        <v>0</v>
      </c>
      <c r="R292" s="130">
        <v>0</v>
      </c>
      <c r="S292" s="130">
        <v>0</v>
      </c>
      <c r="T292" s="130">
        <v>0</v>
      </c>
      <c r="U292" s="130">
        <f t="shared" si="483"/>
        <v>0</v>
      </c>
      <c r="V292" s="130">
        <v>0</v>
      </c>
      <c r="W292" s="130">
        <v>0</v>
      </c>
      <c r="X292" s="130">
        <v>0</v>
      </c>
      <c r="Y292" s="130">
        <f t="shared" si="516"/>
        <v>0</v>
      </c>
      <c r="Z292" s="130">
        <f t="shared" si="517"/>
        <v>0</v>
      </c>
      <c r="AA292" s="131">
        <f t="shared" si="518"/>
        <v>0</v>
      </c>
      <c r="AB292" s="131">
        <f t="shared" si="519"/>
        <v>0</v>
      </c>
      <c r="AC292" s="130">
        <v>0</v>
      </c>
      <c r="AD292" s="130">
        <v>0</v>
      </c>
      <c r="AE292" s="130">
        <f t="shared" si="503"/>
        <v>0</v>
      </c>
      <c r="AF292" s="130">
        <f t="shared" si="504"/>
        <v>0</v>
      </c>
      <c r="AG292" s="132">
        <v>0</v>
      </c>
      <c r="AH292" s="132">
        <v>0</v>
      </c>
      <c r="AI292" s="132">
        <v>0</v>
      </c>
      <c r="AJ292" s="132">
        <v>0</v>
      </c>
      <c r="AK292" s="132">
        <v>0</v>
      </c>
      <c r="AL292" s="132">
        <f t="shared" si="505"/>
        <v>0</v>
      </c>
      <c r="AM292" s="132">
        <f t="shared" si="520"/>
        <v>0</v>
      </c>
      <c r="AN292" s="403">
        <f t="shared" si="507"/>
        <v>0</v>
      </c>
      <c r="AO292" s="128">
        <f t="shared" si="488"/>
        <v>91287</v>
      </c>
      <c r="AP292" s="130">
        <f t="shared" si="489"/>
        <v>64350</v>
      </c>
      <c r="AQ292" s="130">
        <f t="shared" si="490"/>
        <v>0</v>
      </c>
      <c r="AR292" s="130">
        <f t="shared" si="491"/>
        <v>21750</v>
      </c>
      <c r="AS292" s="130">
        <f t="shared" si="492"/>
        <v>1287</v>
      </c>
      <c r="AT292" s="130">
        <f t="shared" si="493"/>
        <v>3900</v>
      </c>
      <c r="AU292" s="132">
        <f t="shared" si="494"/>
        <v>0.27</v>
      </c>
      <c r="AV292" s="132">
        <f t="shared" si="495"/>
        <v>0</v>
      </c>
      <c r="AW292" s="133">
        <f t="shared" si="496"/>
        <v>0.27</v>
      </c>
    </row>
    <row r="293" spans="1:49" ht="14.1" customHeight="1" x14ac:dyDescent="0.2">
      <c r="A293" s="137">
        <v>59</v>
      </c>
      <c r="B293" s="134">
        <v>2452</v>
      </c>
      <c r="C293" s="146">
        <v>600079660</v>
      </c>
      <c r="D293" s="134">
        <v>70695261</v>
      </c>
      <c r="E293" s="136" t="s">
        <v>694</v>
      </c>
      <c r="F293" s="137"/>
      <c r="G293" s="136"/>
      <c r="H293" s="138"/>
      <c r="I293" s="139">
        <f t="shared" ref="I293:P293" si="521">SUM(I286:I292)</f>
        <v>35994441</v>
      </c>
      <c r="J293" s="140">
        <f t="shared" si="521"/>
        <v>26017984</v>
      </c>
      <c r="K293" s="140">
        <f t="shared" si="521"/>
        <v>8794078</v>
      </c>
      <c r="L293" s="140">
        <f t="shared" si="521"/>
        <v>520359</v>
      </c>
      <c r="M293" s="140">
        <f t="shared" si="521"/>
        <v>662020</v>
      </c>
      <c r="N293" s="141">
        <f t="shared" si="521"/>
        <v>53.398500000000006</v>
      </c>
      <c r="O293" s="141">
        <f t="shared" si="521"/>
        <v>38.608900000000006</v>
      </c>
      <c r="P293" s="142">
        <f t="shared" si="521"/>
        <v>14.789599999999998</v>
      </c>
      <c r="Q293" s="342">
        <f t="shared" ref="Q293:AW293" si="522">SUM(Q286:Q292)</f>
        <v>-80000</v>
      </c>
      <c r="R293" s="140">
        <f t="shared" si="522"/>
        <v>2283365</v>
      </c>
      <c r="S293" s="140">
        <f t="shared" si="522"/>
        <v>0</v>
      </c>
      <c r="T293" s="140">
        <f t="shared" si="522"/>
        <v>92292</v>
      </c>
      <c r="U293" s="140">
        <f t="shared" si="522"/>
        <v>2295657</v>
      </c>
      <c r="V293" s="140">
        <f t="shared" si="522"/>
        <v>80000</v>
      </c>
      <c r="W293" s="140">
        <f t="shared" si="522"/>
        <v>0</v>
      </c>
      <c r="X293" s="140">
        <f t="shared" si="522"/>
        <v>0</v>
      </c>
      <c r="Y293" s="140">
        <f t="shared" si="522"/>
        <v>80000</v>
      </c>
      <c r="Z293" s="140">
        <f t="shared" si="522"/>
        <v>2375657</v>
      </c>
      <c r="AA293" s="140">
        <f t="shared" si="522"/>
        <v>802972</v>
      </c>
      <c r="AB293" s="140">
        <f t="shared" si="522"/>
        <v>45913</v>
      </c>
      <c r="AC293" s="140">
        <f t="shared" si="522"/>
        <v>0</v>
      </c>
      <c r="AD293" s="140">
        <f t="shared" si="522"/>
        <v>0</v>
      </c>
      <c r="AE293" s="140">
        <f t="shared" si="522"/>
        <v>0</v>
      </c>
      <c r="AF293" s="140">
        <f t="shared" si="522"/>
        <v>3224542</v>
      </c>
      <c r="AG293" s="141">
        <f t="shared" si="522"/>
        <v>0</v>
      </c>
      <c r="AH293" s="141">
        <f t="shared" si="522"/>
        <v>-0.2</v>
      </c>
      <c r="AI293" s="141">
        <f t="shared" si="522"/>
        <v>6.51</v>
      </c>
      <c r="AJ293" s="141">
        <f t="shared" si="522"/>
        <v>0.15</v>
      </c>
      <c r="AK293" s="141">
        <f t="shared" si="522"/>
        <v>0</v>
      </c>
      <c r="AL293" s="141">
        <f t="shared" si="522"/>
        <v>6.66</v>
      </c>
      <c r="AM293" s="141">
        <f t="shared" si="522"/>
        <v>-0.2</v>
      </c>
      <c r="AN293" s="635">
        <f t="shared" si="522"/>
        <v>6.46</v>
      </c>
      <c r="AO293" s="139">
        <f t="shared" si="522"/>
        <v>39218983</v>
      </c>
      <c r="AP293" s="140">
        <f t="shared" si="522"/>
        <v>28313641</v>
      </c>
      <c r="AQ293" s="140">
        <f t="shared" si="522"/>
        <v>80000</v>
      </c>
      <c r="AR293" s="140">
        <f t="shared" si="522"/>
        <v>9597050</v>
      </c>
      <c r="AS293" s="140">
        <f t="shared" si="522"/>
        <v>566272</v>
      </c>
      <c r="AT293" s="140">
        <f t="shared" si="522"/>
        <v>662020</v>
      </c>
      <c r="AU293" s="141">
        <f t="shared" si="522"/>
        <v>59.858500000000006</v>
      </c>
      <c r="AV293" s="141">
        <f t="shared" si="522"/>
        <v>45.268900000000002</v>
      </c>
      <c r="AW293" s="142">
        <f t="shared" si="522"/>
        <v>14.589599999999999</v>
      </c>
    </row>
    <row r="294" spans="1:49" ht="14.1" customHeight="1" x14ac:dyDescent="0.2">
      <c r="A294" s="124">
        <v>60</v>
      </c>
      <c r="B294" s="121">
        <v>2319</v>
      </c>
      <c r="C294" s="122">
        <v>600080218</v>
      </c>
      <c r="D294" s="121">
        <v>70695245</v>
      </c>
      <c r="E294" s="123" t="s">
        <v>695</v>
      </c>
      <c r="F294" s="124">
        <v>3231</v>
      </c>
      <c r="G294" s="123" t="s">
        <v>322</v>
      </c>
      <c r="H294" s="125" t="s">
        <v>283</v>
      </c>
      <c r="I294" s="126">
        <f t="shared" si="478"/>
        <v>6766720</v>
      </c>
      <c r="J294" s="478">
        <v>4967953</v>
      </c>
      <c r="K294" s="127">
        <f t="shared" si="479"/>
        <v>1679168</v>
      </c>
      <c r="L294" s="477">
        <f t="shared" si="480"/>
        <v>99359</v>
      </c>
      <c r="M294" s="478">
        <v>20240</v>
      </c>
      <c r="N294" s="390">
        <f t="shared" ref="N294" si="523">O294+P294</f>
        <v>9.6005000000000003</v>
      </c>
      <c r="O294" s="349">
        <v>8.5797000000000008</v>
      </c>
      <c r="P294" s="639">
        <v>1.0207999999999999</v>
      </c>
      <c r="Q294" s="129">
        <f t="shared" si="482"/>
        <v>0</v>
      </c>
      <c r="R294" s="130">
        <v>0</v>
      </c>
      <c r="S294" s="130">
        <v>0</v>
      </c>
      <c r="T294" s="130">
        <v>0</v>
      </c>
      <c r="U294" s="130">
        <f t="shared" si="483"/>
        <v>0</v>
      </c>
      <c r="V294" s="130">
        <v>0</v>
      </c>
      <c r="W294" s="130">
        <v>0</v>
      </c>
      <c r="X294" s="130">
        <v>0</v>
      </c>
      <c r="Y294" s="130">
        <f t="shared" ref="Y294" si="524">SUM(V294:X294)</f>
        <v>0</v>
      </c>
      <c r="Z294" s="130">
        <f>U294+Y294</f>
        <v>0</v>
      </c>
      <c r="AA294" s="131">
        <f>ROUND((U294+V294+W294)*33.8%,0)</f>
        <v>0</v>
      </c>
      <c r="AB294" s="131">
        <f>ROUND(U294*2%,0)</f>
        <v>0</v>
      </c>
      <c r="AC294" s="130">
        <v>0</v>
      </c>
      <c r="AD294" s="130">
        <v>0</v>
      </c>
      <c r="AE294" s="130">
        <f t="shared" si="503"/>
        <v>0</v>
      </c>
      <c r="AF294" s="130">
        <f t="shared" si="504"/>
        <v>0</v>
      </c>
      <c r="AG294" s="132">
        <v>0</v>
      </c>
      <c r="AH294" s="132">
        <v>0</v>
      </c>
      <c r="AI294" s="132">
        <v>0</v>
      </c>
      <c r="AJ294" s="132">
        <v>0</v>
      </c>
      <c r="AK294" s="132">
        <v>0</v>
      </c>
      <c r="AL294" s="132">
        <f t="shared" si="505"/>
        <v>0</v>
      </c>
      <c r="AM294" s="132">
        <f>AH294+AK294</f>
        <v>0</v>
      </c>
      <c r="AN294" s="403">
        <f t="shared" si="507"/>
        <v>0</v>
      </c>
      <c r="AO294" s="128">
        <f t="shared" si="488"/>
        <v>6766720</v>
      </c>
      <c r="AP294" s="130">
        <f t="shared" si="489"/>
        <v>4967953</v>
      </c>
      <c r="AQ294" s="130">
        <f t="shared" si="490"/>
        <v>0</v>
      </c>
      <c r="AR294" s="130">
        <f t="shared" si="491"/>
        <v>1679168</v>
      </c>
      <c r="AS294" s="130">
        <f t="shared" si="492"/>
        <v>99359</v>
      </c>
      <c r="AT294" s="130">
        <f t="shared" si="493"/>
        <v>20240</v>
      </c>
      <c r="AU294" s="132">
        <f t="shared" si="494"/>
        <v>9.6005000000000003</v>
      </c>
      <c r="AV294" s="132">
        <f t="shared" si="495"/>
        <v>8.5797000000000008</v>
      </c>
      <c r="AW294" s="133">
        <f t="shared" si="496"/>
        <v>1.0207999999999999</v>
      </c>
    </row>
    <row r="295" spans="1:49" ht="14.1" customHeight="1" x14ac:dyDescent="0.2">
      <c r="A295" s="137">
        <v>60</v>
      </c>
      <c r="B295" s="134">
        <v>2319</v>
      </c>
      <c r="C295" s="135">
        <v>600080218</v>
      </c>
      <c r="D295" s="134">
        <v>70695245</v>
      </c>
      <c r="E295" s="136" t="s">
        <v>696</v>
      </c>
      <c r="F295" s="137"/>
      <c r="G295" s="136"/>
      <c r="H295" s="138"/>
      <c r="I295" s="147">
        <f t="shared" ref="I295:P295" si="525">SUM(I294)</f>
        <v>6766720</v>
      </c>
      <c r="J295" s="148">
        <f t="shared" si="525"/>
        <v>4967953</v>
      </c>
      <c r="K295" s="148">
        <f t="shared" si="525"/>
        <v>1679168</v>
      </c>
      <c r="L295" s="148">
        <f t="shared" si="525"/>
        <v>99359</v>
      </c>
      <c r="M295" s="148">
        <f t="shared" si="525"/>
        <v>20240</v>
      </c>
      <c r="N295" s="149">
        <f t="shared" si="525"/>
        <v>9.6005000000000003</v>
      </c>
      <c r="O295" s="149">
        <f t="shared" si="525"/>
        <v>8.5797000000000008</v>
      </c>
      <c r="P295" s="150">
        <f t="shared" si="525"/>
        <v>1.0207999999999999</v>
      </c>
      <c r="Q295" s="343">
        <f t="shared" ref="Q295:AW295" si="526">SUM(Q294)</f>
        <v>0</v>
      </c>
      <c r="R295" s="148">
        <f t="shared" si="526"/>
        <v>0</v>
      </c>
      <c r="S295" s="148">
        <f t="shared" si="526"/>
        <v>0</v>
      </c>
      <c r="T295" s="148">
        <f t="shared" si="526"/>
        <v>0</v>
      </c>
      <c r="U295" s="148">
        <f t="shared" si="526"/>
        <v>0</v>
      </c>
      <c r="V295" s="148">
        <f t="shared" si="526"/>
        <v>0</v>
      </c>
      <c r="W295" s="148">
        <f t="shared" si="526"/>
        <v>0</v>
      </c>
      <c r="X295" s="148">
        <f t="shared" si="526"/>
        <v>0</v>
      </c>
      <c r="Y295" s="148">
        <f t="shared" si="526"/>
        <v>0</v>
      </c>
      <c r="Z295" s="148">
        <f t="shared" si="526"/>
        <v>0</v>
      </c>
      <c r="AA295" s="148">
        <f t="shared" si="526"/>
        <v>0</v>
      </c>
      <c r="AB295" s="148">
        <f t="shared" si="526"/>
        <v>0</v>
      </c>
      <c r="AC295" s="148">
        <f t="shared" si="526"/>
        <v>0</v>
      </c>
      <c r="AD295" s="148">
        <f t="shared" si="526"/>
        <v>0</v>
      </c>
      <c r="AE295" s="148">
        <f t="shared" si="526"/>
        <v>0</v>
      </c>
      <c r="AF295" s="148">
        <f t="shared" si="526"/>
        <v>0</v>
      </c>
      <c r="AG295" s="149">
        <f t="shared" si="526"/>
        <v>0</v>
      </c>
      <c r="AH295" s="149">
        <f t="shared" si="526"/>
        <v>0</v>
      </c>
      <c r="AI295" s="149">
        <f t="shared" si="526"/>
        <v>0</v>
      </c>
      <c r="AJ295" s="149">
        <f t="shared" si="526"/>
        <v>0</v>
      </c>
      <c r="AK295" s="149">
        <f t="shared" si="526"/>
        <v>0</v>
      </c>
      <c r="AL295" s="149">
        <f t="shared" si="526"/>
        <v>0</v>
      </c>
      <c r="AM295" s="149">
        <f t="shared" si="526"/>
        <v>0</v>
      </c>
      <c r="AN295" s="636">
        <f t="shared" si="526"/>
        <v>0</v>
      </c>
      <c r="AO295" s="147">
        <f t="shared" si="526"/>
        <v>6766720</v>
      </c>
      <c r="AP295" s="148">
        <f t="shared" si="526"/>
        <v>4967953</v>
      </c>
      <c r="AQ295" s="148">
        <f t="shared" si="526"/>
        <v>0</v>
      </c>
      <c r="AR295" s="148">
        <f t="shared" si="526"/>
        <v>1679168</v>
      </c>
      <c r="AS295" s="148">
        <f t="shared" si="526"/>
        <v>99359</v>
      </c>
      <c r="AT295" s="148">
        <f t="shared" si="526"/>
        <v>20240</v>
      </c>
      <c r="AU295" s="149">
        <f t="shared" si="526"/>
        <v>9.6005000000000003</v>
      </c>
      <c r="AV295" s="149">
        <f t="shared" si="526"/>
        <v>8.5797000000000008</v>
      </c>
      <c r="AW295" s="150">
        <f t="shared" si="526"/>
        <v>1.0207999999999999</v>
      </c>
    </row>
    <row r="296" spans="1:49" ht="14.1" customHeight="1" x14ac:dyDescent="0.2">
      <c r="A296" s="124">
        <v>61</v>
      </c>
      <c r="B296" s="121">
        <v>2444</v>
      </c>
      <c r="C296" s="144">
        <v>600079848</v>
      </c>
      <c r="D296" s="121">
        <v>72742836</v>
      </c>
      <c r="E296" s="123" t="s">
        <v>697</v>
      </c>
      <c r="F296" s="124">
        <v>3111</v>
      </c>
      <c r="G296" s="123" t="s">
        <v>317</v>
      </c>
      <c r="H296" s="125" t="s">
        <v>283</v>
      </c>
      <c r="I296" s="126">
        <f t="shared" si="478"/>
        <v>4116331</v>
      </c>
      <c r="J296" s="127">
        <v>3014603</v>
      </c>
      <c r="K296" s="127">
        <f t="shared" si="479"/>
        <v>1018936</v>
      </c>
      <c r="L296" s="477">
        <f t="shared" si="480"/>
        <v>60292</v>
      </c>
      <c r="M296" s="127">
        <v>22500</v>
      </c>
      <c r="N296" s="390">
        <f t="shared" si="481"/>
        <v>7.2827999999999999</v>
      </c>
      <c r="O296" s="390">
        <v>5.9</v>
      </c>
      <c r="P296" s="439">
        <v>1.3828</v>
      </c>
      <c r="Q296" s="129">
        <f t="shared" si="482"/>
        <v>-24000</v>
      </c>
      <c r="R296" s="130">
        <v>0</v>
      </c>
      <c r="S296" s="130">
        <v>0</v>
      </c>
      <c r="T296" s="130">
        <v>0</v>
      </c>
      <c r="U296" s="130">
        <f t="shared" si="483"/>
        <v>-24000</v>
      </c>
      <c r="V296" s="130">
        <v>24000</v>
      </c>
      <c r="W296" s="130">
        <v>0</v>
      </c>
      <c r="X296" s="130">
        <v>0</v>
      </c>
      <c r="Y296" s="130">
        <f t="shared" ref="Y296:Y301" si="527">SUM(V296:X296)</f>
        <v>24000</v>
      </c>
      <c r="Z296" s="130">
        <f t="shared" ref="Z296:Z301" si="528">U296+Y296</f>
        <v>0</v>
      </c>
      <c r="AA296" s="131">
        <f t="shared" ref="AA296:AA301" si="529">ROUND((U296+V296+W296)*33.8%,0)</f>
        <v>0</v>
      </c>
      <c r="AB296" s="131">
        <f t="shared" ref="AB296:AB301" si="530">ROUND(U296*2%,0)</f>
        <v>-480</v>
      </c>
      <c r="AC296" s="130">
        <v>0</v>
      </c>
      <c r="AD296" s="130">
        <v>0</v>
      </c>
      <c r="AE296" s="130">
        <f t="shared" si="503"/>
        <v>0</v>
      </c>
      <c r="AF296" s="130">
        <f t="shared" si="504"/>
        <v>-480</v>
      </c>
      <c r="AG296" s="132">
        <v>-0.06</v>
      </c>
      <c r="AH296" s="132">
        <v>0</v>
      </c>
      <c r="AI296" s="132">
        <v>0</v>
      </c>
      <c r="AJ296" s="132">
        <v>0</v>
      </c>
      <c r="AK296" s="132">
        <v>0</v>
      </c>
      <c r="AL296" s="132">
        <f t="shared" si="505"/>
        <v>-0.06</v>
      </c>
      <c r="AM296" s="132">
        <f t="shared" ref="AM296:AM301" si="531">AH296+AK296</f>
        <v>0</v>
      </c>
      <c r="AN296" s="403">
        <f t="shared" si="507"/>
        <v>-0.06</v>
      </c>
      <c r="AO296" s="128">
        <f t="shared" si="488"/>
        <v>4115851</v>
      </c>
      <c r="AP296" s="130">
        <f t="shared" si="489"/>
        <v>2990603</v>
      </c>
      <c r="AQ296" s="130">
        <f t="shared" si="490"/>
        <v>24000</v>
      </c>
      <c r="AR296" s="130">
        <f t="shared" si="491"/>
        <v>1018936</v>
      </c>
      <c r="AS296" s="130">
        <f t="shared" si="492"/>
        <v>59812</v>
      </c>
      <c r="AT296" s="130">
        <f t="shared" si="493"/>
        <v>22500</v>
      </c>
      <c r="AU296" s="132">
        <f t="shared" si="494"/>
        <v>7.2228000000000003</v>
      </c>
      <c r="AV296" s="132">
        <f t="shared" si="495"/>
        <v>5.8400000000000007</v>
      </c>
      <c r="AW296" s="133">
        <f t="shared" si="496"/>
        <v>1.3828</v>
      </c>
    </row>
    <row r="297" spans="1:49" ht="14.1" customHeight="1" x14ac:dyDescent="0.2">
      <c r="A297" s="124">
        <v>61</v>
      </c>
      <c r="B297" s="121">
        <v>2444</v>
      </c>
      <c r="C297" s="144">
        <v>600079848</v>
      </c>
      <c r="D297" s="121">
        <v>72742836</v>
      </c>
      <c r="E297" s="123" t="s">
        <v>697</v>
      </c>
      <c r="F297" s="124">
        <v>3117</v>
      </c>
      <c r="G297" s="152" t="s">
        <v>320</v>
      </c>
      <c r="H297" s="125" t="s">
        <v>283</v>
      </c>
      <c r="I297" s="126">
        <f t="shared" si="478"/>
        <v>4296082</v>
      </c>
      <c r="J297" s="477">
        <v>3094279</v>
      </c>
      <c r="K297" s="127">
        <v>1045867</v>
      </c>
      <c r="L297" s="477">
        <f t="shared" si="480"/>
        <v>61886</v>
      </c>
      <c r="M297" s="477">
        <v>94050</v>
      </c>
      <c r="N297" s="390">
        <f t="shared" si="481"/>
        <v>6.2330000000000005</v>
      </c>
      <c r="O297" s="645">
        <v>4</v>
      </c>
      <c r="P297" s="646">
        <v>2.2330000000000001</v>
      </c>
      <c r="Q297" s="129">
        <f t="shared" si="482"/>
        <v>-64800</v>
      </c>
      <c r="R297" s="130">
        <v>0</v>
      </c>
      <c r="S297" s="130">
        <v>0</v>
      </c>
      <c r="T297" s="130">
        <v>0</v>
      </c>
      <c r="U297" s="130">
        <f t="shared" si="483"/>
        <v>-64800</v>
      </c>
      <c r="V297" s="130">
        <v>64800</v>
      </c>
      <c r="W297" s="130">
        <v>0</v>
      </c>
      <c r="X297" s="130">
        <v>0</v>
      </c>
      <c r="Y297" s="130">
        <f t="shared" si="527"/>
        <v>64800</v>
      </c>
      <c r="Z297" s="130">
        <f t="shared" si="528"/>
        <v>0</v>
      </c>
      <c r="AA297" s="131">
        <f t="shared" si="529"/>
        <v>0</v>
      </c>
      <c r="AB297" s="131">
        <f t="shared" si="530"/>
        <v>-1296</v>
      </c>
      <c r="AC297" s="130">
        <v>0</v>
      </c>
      <c r="AD297" s="130">
        <v>0</v>
      </c>
      <c r="AE297" s="130">
        <f t="shared" si="503"/>
        <v>0</v>
      </c>
      <c r="AF297" s="130">
        <f t="shared" si="504"/>
        <v>-1296</v>
      </c>
      <c r="AG297" s="132">
        <v>-0.12</v>
      </c>
      <c r="AH297" s="132">
        <v>-0.02</v>
      </c>
      <c r="AI297" s="132">
        <v>0</v>
      </c>
      <c r="AJ297" s="132">
        <v>0</v>
      </c>
      <c r="AK297" s="132">
        <v>0</v>
      </c>
      <c r="AL297" s="132">
        <f t="shared" si="505"/>
        <v>-0.12</v>
      </c>
      <c r="AM297" s="132">
        <f t="shared" si="531"/>
        <v>-0.02</v>
      </c>
      <c r="AN297" s="403">
        <f t="shared" si="507"/>
        <v>-0.13999999999999999</v>
      </c>
      <c r="AO297" s="128">
        <f t="shared" si="488"/>
        <v>4294786</v>
      </c>
      <c r="AP297" s="130">
        <f t="shared" si="489"/>
        <v>3029479</v>
      </c>
      <c r="AQ297" s="130">
        <f t="shared" si="490"/>
        <v>64800</v>
      </c>
      <c r="AR297" s="130">
        <f t="shared" si="491"/>
        <v>1045867</v>
      </c>
      <c r="AS297" s="130">
        <f t="shared" si="492"/>
        <v>60590</v>
      </c>
      <c r="AT297" s="130">
        <f t="shared" si="493"/>
        <v>94050</v>
      </c>
      <c r="AU297" s="132">
        <f t="shared" si="494"/>
        <v>6.0930000000000009</v>
      </c>
      <c r="AV297" s="132">
        <f t="shared" si="495"/>
        <v>3.88</v>
      </c>
      <c r="AW297" s="133">
        <f t="shared" si="496"/>
        <v>2.2130000000000001</v>
      </c>
    </row>
    <row r="298" spans="1:49" ht="14.1" customHeight="1" x14ac:dyDescent="0.2">
      <c r="A298" s="124">
        <v>61</v>
      </c>
      <c r="B298" s="121">
        <v>2444</v>
      </c>
      <c r="C298" s="144">
        <v>600079848</v>
      </c>
      <c r="D298" s="121">
        <v>72742836</v>
      </c>
      <c r="E298" s="123" t="s">
        <v>697</v>
      </c>
      <c r="F298" s="124">
        <v>3117</v>
      </c>
      <c r="G298" s="143" t="s">
        <v>318</v>
      </c>
      <c r="H298" s="125" t="s">
        <v>284</v>
      </c>
      <c r="I298" s="126">
        <f t="shared" si="478"/>
        <v>0</v>
      </c>
      <c r="J298" s="29">
        <v>0</v>
      </c>
      <c r="K298" s="127">
        <f t="shared" si="479"/>
        <v>0</v>
      </c>
      <c r="L298" s="477">
        <f t="shared" si="480"/>
        <v>0</v>
      </c>
      <c r="M298" s="29">
        <v>0</v>
      </c>
      <c r="N298" s="390">
        <f t="shared" si="481"/>
        <v>0</v>
      </c>
      <c r="O298" s="349">
        <v>0</v>
      </c>
      <c r="P298" s="639">
        <v>0</v>
      </c>
      <c r="Q298" s="129">
        <f t="shared" si="482"/>
        <v>0</v>
      </c>
      <c r="R298" s="130">
        <v>244478</v>
      </c>
      <c r="S298" s="130">
        <v>0</v>
      </c>
      <c r="T298" s="130">
        <v>0</v>
      </c>
      <c r="U298" s="130">
        <f t="shared" si="483"/>
        <v>244478</v>
      </c>
      <c r="V298" s="130">
        <v>0</v>
      </c>
      <c r="W298" s="130">
        <v>0</v>
      </c>
      <c r="X298" s="130">
        <v>0</v>
      </c>
      <c r="Y298" s="130">
        <f t="shared" si="527"/>
        <v>0</v>
      </c>
      <c r="Z298" s="130">
        <f t="shared" si="528"/>
        <v>244478</v>
      </c>
      <c r="AA298" s="131">
        <f t="shared" si="529"/>
        <v>82634</v>
      </c>
      <c r="AB298" s="131">
        <f t="shared" si="530"/>
        <v>4890</v>
      </c>
      <c r="AC298" s="130">
        <v>0</v>
      </c>
      <c r="AD298" s="130">
        <v>0</v>
      </c>
      <c r="AE298" s="130">
        <f t="shared" si="503"/>
        <v>0</v>
      </c>
      <c r="AF298" s="130">
        <f t="shared" si="504"/>
        <v>332002</v>
      </c>
      <c r="AG298" s="132">
        <v>0</v>
      </c>
      <c r="AH298" s="132">
        <v>0</v>
      </c>
      <c r="AI298" s="132">
        <v>0.69</v>
      </c>
      <c r="AJ298" s="132">
        <v>0</v>
      </c>
      <c r="AK298" s="132">
        <v>0</v>
      </c>
      <c r="AL298" s="132">
        <f t="shared" si="505"/>
        <v>0.69</v>
      </c>
      <c r="AM298" s="132">
        <f t="shared" si="531"/>
        <v>0</v>
      </c>
      <c r="AN298" s="403">
        <f t="shared" si="507"/>
        <v>0.69</v>
      </c>
      <c r="AO298" s="128">
        <f t="shared" si="488"/>
        <v>332002</v>
      </c>
      <c r="AP298" s="130">
        <f t="shared" si="489"/>
        <v>244478</v>
      </c>
      <c r="AQ298" s="130">
        <f t="shared" si="490"/>
        <v>0</v>
      </c>
      <c r="AR298" s="130">
        <f t="shared" si="491"/>
        <v>82634</v>
      </c>
      <c r="AS298" s="130">
        <f t="shared" si="492"/>
        <v>4890</v>
      </c>
      <c r="AT298" s="130">
        <f t="shared" si="493"/>
        <v>0</v>
      </c>
      <c r="AU298" s="132">
        <f t="shared" si="494"/>
        <v>0.69</v>
      </c>
      <c r="AV298" s="132">
        <f t="shared" si="495"/>
        <v>0.69</v>
      </c>
      <c r="AW298" s="133">
        <f t="shared" si="496"/>
        <v>0</v>
      </c>
    </row>
    <row r="299" spans="1:49" ht="14.1" customHeight="1" x14ac:dyDescent="0.2">
      <c r="A299" s="124">
        <v>61</v>
      </c>
      <c r="B299" s="121">
        <v>2444</v>
      </c>
      <c r="C299" s="144">
        <v>600079848</v>
      </c>
      <c r="D299" s="121">
        <v>72742836</v>
      </c>
      <c r="E299" s="123" t="s">
        <v>697</v>
      </c>
      <c r="F299" s="124">
        <v>3141</v>
      </c>
      <c r="G299" s="123" t="s">
        <v>321</v>
      </c>
      <c r="H299" s="125" t="s">
        <v>284</v>
      </c>
      <c r="I299" s="126">
        <f t="shared" si="478"/>
        <v>1159548</v>
      </c>
      <c r="J299" s="666">
        <v>849380</v>
      </c>
      <c r="K299" s="127">
        <f t="shared" si="479"/>
        <v>287090</v>
      </c>
      <c r="L299" s="477">
        <f t="shared" si="480"/>
        <v>16988</v>
      </c>
      <c r="M299" s="666">
        <v>6090</v>
      </c>
      <c r="N299" s="390">
        <f t="shared" si="481"/>
        <v>2.89</v>
      </c>
      <c r="O299" s="668">
        <v>0</v>
      </c>
      <c r="P299" s="667">
        <v>2.89</v>
      </c>
      <c r="Q299" s="129">
        <f t="shared" si="482"/>
        <v>0</v>
      </c>
      <c r="R299" s="130">
        <v>0</v>
      </c>
      <c r="S299" s="130">
        <v>0</v>
      </c>
      <c r="T299" s="130">
        <v>0</v>
      </c>
      <c r="U299" s="130">
        <f t="shared" si="483"/>
        <v>0</v>
      </c>
      <c r="V299" s="130">
        <v>0</v>
      </c>
      <c r="W299" s="130">
        <v>0</v>
      </c>
      <c r="X299" s="130">
        <v>0</v>
      </c>
      <c r="Y299" s="130">
        <f t="shared" si="527"/>
        <v>0</v>
      </c>
      <c r="Z299" s="130">
        <f t="shared" si="528"/>
        <v>0</v>
      </c>
      <c r="AA299" s="131">
        <f t="shared" si="529"/>
        <v>0</v>
      </c>
      <c r="AB299" s="131">
        <f t="shared" si="530"/>
        <v>0</v>
      </c>
      <c r="AC299" s="130">
        <v>0</v>
      </c>
      <c r="AD299" s="130">
        <v>0</v>
      </c>
      <c r="AE299" s="130">
        <f t="shared" si="503"/>
        <v>0</v>
      </c>
      <c r="AF299" s="130">
        <f t="shared" si="504"/>
        <v>0</v>
      </c>
      <c r="AG299" s="132">
        <v>0</v>
      </c>
      <c r="AH299" s="132">
        <v>0</v>
      </c>
      <c r="AI299" s="132">
        <v>0</v>
      </c>
      <c r="AJ299" s="132">
        <v>0</v>
      </c>
      <c r="AK299" s="132">
        <v>0</v>
      </c>
      <c r="AL299" s="132">
        <f t="shared" si="505"/>
        <v>0</v>
      </c>
      <c r="AM299" s="132">
        <f t="shared" si="531"/>
        <v>0</v>
      </c>
      <c r="AN299" s="403">
        <f t="shared" si="507"/>
        <v>0</v>
      </c>
      <c r="AO299" s="128">
        <f t="shared" si="488"/>
        <v>1159548</v>
      </c>
      <c r="AP299" s="130">
        <f t="shared" si="489"/>
        <v>849380</v>
      </c>
      <c r="AQ299" s="130">
        <f t="shared" si="490"/>
        <v>0</v>
      </c>
      <c r="AR299" s="130">
        <f t="shared" si="491"/>
        <v>287090</v>
      </c>
      <c r="AS299" s="130">
        <f t="shared" si="492"/>
        <v>16988</v>
      </c>
      <c r="AT299" s="130">
        <f t="shared" si="493"/>
        <v>6090</v>
      </c>
      <c r="AU299" s="132">
        <f t="shared" si="494"/>
        <v>2.89</v>
      </c>
      <c r="AV299" s="132">
        <f t="shared" si="495"/>
        <v>0</v>
      </c>
      <c r="AW299" s="133">
        <f t="shared" si="496"/>
        <v>2.89</v>
      </c>
    </row>
    <row r="300" spans="1:49" ht="14.1" customHeight="1" x14ac:dyDescent="0.2">
      <c r="A300" s="124">
        <v>61</v>
      </c>
      <c r="B300" s="121">
        <v>2444</v>
      </c>
      <c r="C300" s="144">
        <v>600079848</v>
      </c>
      <c r="D300" s="121">
        <v>72742836</v>
      </c>
      <c r="E300" s="123" t="s">
        <v>697</v>
      </c>
      <c r="F300" s="124">
        <v>3143</v>
      </c>
      <c r="G300" s="145" t="s">
        <v>635</v>
      </c>
      <c r="H300" s="125" t="s">
        <v>283</v>
      </c>
      <c r="I300" s="126">
        <f t="shared" si="478"/>
        <v>723361</v>
      </c>
      <c r="J300" s="631">
        <v>532667</v>
      </c>
      <c r="K300" s="127">
        <f t="shared" si="479"/>
        <v>180041</v>
      </c>
      <c r="L300" s="477">
        <f t="shared" si="480"/>
        <v>10653</v>
      </c>
      <c r="M300" s="478">
        <v>0</v>
      </c>
      <c r="N300" s="390">
        <f t="shared" si="481"/>
        <v>1</v>
      </c>
      <c r="O300" s="644">
        <v>1</v>
      </c>
      <c r="P300" s="639">
        <v>0</v>
      </c>
      <c r="Q300" s="129">
        <f t="shared" si="482"/>
        <v>0</v>
      </c>
      <c r="R300" s="130">
        <v>0</v>
      </c>
      <c r="S300" s="130">
        <v>0</v>
      </c>
      <c r="T300" s="130">
        <v>0</v>
      </c>
      <c r="U300" s="130">
        <f t="shared" si="483"/>
        <v>0</v>
      </c>
      <c r="V300" s="130">
        <v>0</v>
      </c>
      <c r="W300" s="130">
        <v>0</v>
      </c>
      <c r="X300" s="130">
        <v>0</v>
      </c>
      <c r="Y300" s="130">
        <f t="shared" si="527"/>
        <v>0</v>
      </c>
      <c r="Z300" s="130">
        <f t="shared" si="528"/>
        <v>0</v>
      </c>
      <c r="AA300" s="131">
        <f t="shared" si="529"/>
        <v>0</v>
      </c>
      <c r="AB300" s="131">
        <f t="shared" si="530"/>
        <v>0</v>
      </c>
      <c r="AC300" s="130">
        <v>0</v>
      </c>
      <c r="AD300" s="130">
        <v>0</v>
      </c>
      <c r="AE300" s="130">
        <f t="shared" si="503"/>
        <v>0</v>
      </c>
      <c r="AF300" s="130">
        <f t="shared" si="504"/>
        <v>0</v>
      </c>
      <c r="AG300" s="132">
        <v>0</v>
      </c>
      <c r="AH300" s="132">
        <v>0</v>
      </c>
      <c r="AI300" s="132">
        <v>0</v>
      </c>
      <c r="AJ300" s="132">
        <v>0</v>
      </c>
      <c r="AK300" s="132">
        <v>0</v>
      </c>
      <c r="AL300" s="132">
        <f t="shared" si="505"/>
        <v>0</v>
      </c>
      <c r="AM300" s="132">
        <f t="shared" si="531"/>
        <v>0</v>
      </c>
      <c r="AN300" s="403">
        <f t="shared" si="507"/>
        <v>0</v>
      </c>
      <c r="AO300" s="128">
        <f t="shared" si="488"/>
        <v>723361</v>
      </c>
      <c r="AP300" s="130">
        <f t="shared" si="489"/>
        <v>532667</v>
      </c>
      <c r="AQ300" s="130">
        <f t="shared" si="490"/>
        <v>0</v>
      </c>
      <c r="AR300" s="130">
        <f t="shared" si="491"/>
        <v>180041</v>
      </c>
      <c r="AS300" s="130">
        <f t="shared" si="492"/>
        <v>10653</v>
      </c>
      <c r="AT300" s="130">
        <f t="shared" si="493"/>
        <v>0</v>
      </c>
      <c r="AU300" s="132">
        <f t="shared" si="494"/>
        <v>1</v>
      </c>
      <c r="AV300" s="132">
        <f t="shared" si="495"/>
        <v>1</v>
      </c>
      <c r="AW300" s="133">
        <f t="shared" si="496"/>
        <v>0</v>
      </c>
    </row>
    <row r="301" spans="1:49" ht="14.1" customHeight="1" x14ac:dyDescent="0.2">
      <c r="A301" s="124">
        <v>61</v>
      </c>
      <c r="B301" s="121">
        <v>2444</v>
      </c>
      <c r="C301" s="144">
        <v>600079848</v>
      </c>
      <c r="D301" s="121">
        <v>72742836</v>
      </c>
      <c r="E301" s="123" t="s">
        <v>697</v>
      </c>
      <c r="F301" s="124">
        <v>3143</v>
      </c>
      <c r="G301" s="145" t="s">
        <v>636</v>
      </c>
      <c r="H301" s="125" t="s">
        <v>284</v>
      </c>
      <c r="I301" s="126">
        <f t="shared" si="478"/>
        <v>21066</v>
      </c>
      <c r="J301" s="664">
        <v>14850</v>
      </c>
      <c r="K301" s="127">
        <f t="shared" si="479"/>
        <v>5019</v>
      </c>
      <c r="L301" s="477">
        <f t="shared" si="480"/>
        <v>297</v>
      </c>
      <c r="M301" s="664">
        <v>900</v>
      </c>
      <c r="N301" s="390">
        <f t="shared" si="481"/>
        <v>0.06</v>
      </c>
      <c r="O301" s="665">
        <v>0</v>
      </c>
      <c r="P301" s="667">
        <v>0.06</v>
      </c>
      <c r="Q301" s="129">
        <f t="shared" si="482"/>
        <v>0</v>
      </c>
      <c r="R301" s="130">
        <v>0</v>
      </c>
      <c r="S301" s="130">
        <v>0</v>
      </c>
      <c r="T301" s="130">
        <v>0</v>
      </c>
      <c r="U301" s="130">
        <f t="shared" si="483"/>
        <v>0</v>
      </c>
      <c r="V301" s="130">
        <v>0</v>
      </c>
      <c r="W301" s="130">
        <v>0</v>
      </c>
      <c r="X301" s="130">
        <v>0</v>
      </c>
      <c r="Y301" s="130">
        <f t="shared" si="527"/>
        <v>0</v>
      </c>
      <c r="Z301" s="130">
        <f t="shared" si="528"/>
        <v>0</v>
      </c>
      <c r="AA301" s="131">
        <f t="shared" si="529"/>
        <v>0</v>
      </c>
      <c r="AB301" s="131">
        <f t="shared" si="530"/>
        <v>0</v>
      </c>
      <c r="AC301" s="130">
        <v>0</v>
      </c>
      <c r="AD301" s="130">
        <v>0</v>
      </c>
      <c r="AE301" s="130">
        <f t="shared" si="503"/>
        <v>0</v>
      </c>
      <c r="AF301" s="130">
        <f t="shared" si="504"/>
        <v>0</v>
      </c>
      <c r="AG301" s="132">
        <v>0</v>
      </c>
      <c r="AH301" s="132">
        <v>0</v>
      </c>
      <c r="AI301" s="132">
        <v>0</v>
      </c>
      <c r="AJ301" s="132">
        <v>0</v>
      </c>
      <c r="AK301" s="132">
        <v>0</v>
      </c>
      <c r="AL301" s="132">
        <f t="shared" si="505"/>
        <v>0</v>
      </c>
      <c r="AM301" s="132">
        <f t="shared" si="531"/>
        <v>0</v>
      </c>
      <c r="AN301" s="403">
        <f t="shared" si="507"/>
        <v>0</v>
      </c>
      <c r="AO301" s="128">
        <f t="shared" si="488"/>
        <v>21066</v>
      </c>
      <c r="AP301" s="130">
        <f t="shared" si="489"/>
        <v>14850</v>
      </c>
      <c r="AQ301" s="130">
        <f t="shared" si="490"/>
        <v>0</v>
      </c>
      <c r="AR301" s="130">
        <f t="shared" si="491"/>
        <v>5019</v>
      </c>
      <c r="AS301" s="130">
        <f t="shared" si="492"/>
        <v>297</v>
      </c>
      <c r="AT301" s="130">
        <f t="shared" si="493"/>
        <v>900</v>
      </c>
      <c r="AU301" s="132">
        <f t="shared" si="494"/>
        <v>0.06</v>
      </c>
      <c r="AV301" s="132">
        <f t="shared" si="495"/>
        <v>0</v>
      </c>
      <c r="AW301" s="133">
        <f t="shared" si="496"/>
        <v>0.06</v>
      </c>
    </row>
    <row r="302" spans="1:49" ht="14.1" customHeight="1" x14ac:dyDescent="0.2">
      <c r="A302" s="137">
        <v>61</v>
      </c>
      <c r="B302" s="134">
        <v>2444</v>
      </c>
      <c r="C302" s="146">
        <v>600079848</v>
      </c>
      <c r="D302" s="134">
        <v>72742836</v>
      </c>
      <c r="E302" s="136" t="s">
        <v>698</v>
      </c>
      <c r="F302" s="137"/>
      <c r="G302" s="136"/>
      <c r="H302" s="138"/>
      <c r="I302" s="139">
        <f t="shared" ref="I302:P302" si="532">SUM(I296:I301)</f>
        <v>10316388</v>
      </c>
      <c r="J302" s="140">
        <f t="shared" si="532"/>
        <v>7505779</v>
      </c>
      <c r="K302" s="140">
        <f t="shared" si="532"/>
        <v>2536953</v>
      </c>
      <c r="L302" s="140">
        <f t="shared" si="532"/>
        <v>150116</v>
      </c>
      <c r="M302" s="140">
        <f t="shared" si="532"/>
        <v>123540</v>
      </c>
      <c r="N302" s="141">
        <f t="shared" si="532"/>
        <v>17.465799999999998</v>
      </c>
      <c r="O302" s="141">
        <f t="shared" si="532"/>
        <v>10.9</v>
      </c>
      <c r="P302" s="142">
        <f t="shared" si="532"/>
        <v>6.5658000000000003</v>
      </c>
      <c r="Q302" s="342">
        <f t="shared" ref="Q302:AW302" si="533">SUM(Q296:Q301)</f>
        <v>-88800</v>
      </c>
      <c r="R302" s="140">
        <f t="shared" si="533"/>
        <v>244478</v>
      </c>
      <c r="S302" s="140">
        <f t="shared" si="533"/>
        <v>0</v>
      </c>
      <c r="T302" s="140">
        <f t="shared" si="533"/>
        <v>0</v>
      </c>
      <c r="U302" s="140">
        <f t="shared" si="533"/>
        <v>155678</v>
      </c>
      <c r="V302" s="140">
        <f t="shared" si="533"/>
        <v>88800</v>
      </c>
      <c r="W302" s="140">
        <f t="shared" si="533"/>
        <v>0</v>
      </c>
      <c r="X302" s="140">
        <f t="shared" si="533"/>
        <v>0</v>
      </c>
      <c r="Y302" s="140">
        <f t="shared" si="533"/>
        <v>88800</v>
      </c>
      <c r="Z302" s="140">
        <f t="shared" si="533"/>
        <v>244478</v>
      </c>
      <c r="AA302" s="140">
        <f t="shared" si="533"/>
        <v>82634</v>
      </c>
      <c r="AB302" s="140">
        <f t="shared" si="533"/>
        <v>3114</v>
      </c>
      <c r="AC302" s="140">
        <f t="shared" si="533"/>
        <v>0</v>
      </c>
      <c r="AD302" s="140">
        <f t="shared" si="533"/>
        <v>0</v>
      </c>
      <c r="AE302" s="140">
        <f t="shared" si="533"/>
        <v>0</v>
      </c>
      <c r="AF302" s="140">
        <f t="shared" si="533"/>
        <v>330226</v>
      </c>
      <c r="AG302" s="141">
        <f t="shared" si="533"/>
        <v>-0.18</v>
      </c>
      <c r="AH302" s="141">
        <f t="shared" si="533"/>
        <v>-0.02</v>
      </c>
      <c r="AI302" s="141">
        <f t="shared" si="533"/>
        <v>0.69</v>
      </c>
      <c r="AJ302" s="141">
        <f t="shared" si="533"/>
        <v>0</v>
      </c>
      <c r="AK302" s="141">
        <f t="shared" si="533"/>
        <v>0</v>
      </c>
      <c r="AL302" s="141">
        <f t="shared" si="533"/>
        <v>0.51</v>
      </c>
      <c r="AM302" s="141">
        <f t="shared" si="533"/>
        <v>-0.02</v>
      </c>
      <c r="AN302" s="635">
        <f t="shared" si="533"/>
        <v>0.49</v>
      </c>
      <c r="AO302" s="139">
        <f t="shared" si="533"/>
        <v>10646614</v>
      </c>
      <c r="AP302" s="140">
        <f t="shared" si="533"/>
        <v>7661457</v>
      </c>
      <c r="AQ302" s="140">
        <f t="shared" si="533"/>
        <v>88800</v>
      </c>
      <c r="AR302" s="140">
        <f t="shared" si="533"/>
        <v>2619587</v>
      </c>
      <c r="AS302" s="140">
        <f t="shared" si="533"/>
        <v>153230</v>
      </c>
      <c r="AT302" s="140">
        <f t="shared" si="533"/>
        <v>123540</v>
      </c>
      <c r="AU302" s="141">
        <f t="shared" si="533"/>
        <v>17.9558</v>
      </c>
      <c r="AV302" s="141">
        <f t="shared" si="533"/>
        <v>11.41</v>
      </c>
      <c r="AW302" s="142">
        <f t="shared" si="533"/>
        <v>6.5457999999999998</v>
      </c>
    </row>
    <row r="303" spans="1:49" ht="14.1" customHeight="1" x14ac:dyDescent="0.2">
      <c r="A303" s="124">
        <v>62</v>
      </c>
      <c r="B303" s="121">
        <v>2457</v>
      </c>
      <c r="C303" s="144">
        <v>650021479</v>
      </c>
      <c r="D303" s="121">
        <v>72742577</v>
      </c>
      <c r="E303" s="123" t="s">
        <v>699</v>
      </c>
      <c r="F303" s="124">
        <v>3111</v>
      </c>
      <c r="G303" s="123" t="s">
        <v>317</v>
      </c>
      <c r="H303" s="125" t="s">
        <v>283</v>
      </c>
      <c r="I303" s="126">
        <f t="shared" si="478"/>
        <v>1373281</v>
      </c>
      <c r="J303" s="127">
        <v>1004625</v>
      </c>
      <c r="K303" s="127">
        <f t="shared" si="479"/>
        <v>339563</v>
      </c>
      <c r="L303" s="477">
        <f t="shared" si="480"/>
        <v>20093</v>
      </c>
      <c r="M303" s="127">
        <v>9000</v>
      </c>
      <c r="N303" s="390">
        <f t="shared" si="481"/>
        <v>2.3963999999999999</v>
      </c>
      <c r="O303" s="390">
        <v>1.9355</v>
      </c>
      <c r="P303" s="439">
        <v>0.46089999999999998</v>
      </c>
      <c r="Q303" s="129">
        <f t="shared" si="482"/>
        <v>0</v>
      </c>
      <c r="R303" s="130">
        <v>0</v>
      </c>
      <c r="S303" s="130">
        <v>0</v>
      </c>
      <c r="T303" s="130">
        <v>0</v>
      </c>
      <c r="U303" s="130">
        <f t="shared" si="483"/>
        <v>0</v>
      </c>
      <c r="V303" s="130">
        <v>0</v>
      </c>
      <c r="W303" s="130">
        <v>0</v>
      </c>
      <c r="X303" s="130">
        <v>0</v>
      </c>
      <c r="Y303" s="130">
        <f t="shared" ref="Y303:Y308" si="534">SUM(V303:X303)</f>
        <v>0</v>
      </c>
      <c r="Z303" s="130">
        <f t="shared" ref="Z303:Z308" si="535">U303+Y303</f>
        <v>0</v>
      </c>
      <c r="AA303" s="131">
        <f t="shared" ref="AA303:AA308" si="536">ROUND((U303+V303+W303)*33.8%,0)</f>
        <v>0</v>
      </c>
      <c r="AB303" s="131">
        <f t="shared" ref="AB303:AB308" si="537">ROUND(U303*2%,0)</f>
        <v>0</v>
      </c>
      <c r="AC303" s="130">
        <v>0</v>
      </c>
      <c r="AD303" s="130">
        <v>0</v>
      </c>
      <c r="AE303" s="130">
        <f t="shared" si="503"/>
        <v>0</v>
      </c>
      <c r="AF303" s="130">
        <f t="shared" si="504"/>
        <v>0</v>
      </c>
      <c r="AG303" s="132">
        <v>0</v>
      </c>
      <c r="AH303" s="132">
        <v>0</v>
      </c>
      <c r="AI303" s="132">
        <v>0</v>
      </c>
      <c r="AJ303" s="132">
        <v>0</v>
      </c>
      <c r="AK303" s="132">
        <v>0</v>
      </c>
      <c r="AL303" s="132">
        <f t="shared" si="505"/>
        <v>0</v>
      </c>
      <c r="AM303" s="132">
        <f t="shared" ref="AM303:AM308" si="538">AH303+AK303</f>
        <v>0</v>
      </c>
      <c r="AN303" s="403">
        <f t="shared" si="507"/>
        <v>0</v>
      </c>
      <c r="AO303" s="128">
        <f t="shared" si="488"/>
        <v>1373281</v>
      </c>
      <c r="AP303" s="130">
        <f t="shared" si="489"/>
        <v>1004625</v>
      </c>
      <c r="AQ303" s="130">
        <f t="shared" si="490"/>
        <v>0</v>
      </c>
      <c r="AR303" s="130">
        <f t="shared" si="491"/>
        <v>339563</v>
      </c>
      <c r="AS303" s="130">
        <f t="shared" si="492"/>
        <v>20093</v>
      </c>
      <c r="AT303" s="130">
        <f t="shared" si="493"/>
        <v>9000</v>
      </c>
      <c r="AU303" s="132">
        <f t="shared" si="494"/>
        <v>2.3963999999999999</v>
      </c>
      <c r="AV303" s="132">
        <f t="shared" si="495"/>
        <v>1.9355</v>
      </c>
      <c r="AW303" s="133">
        <f t="shared" si="496"/>
        <v>0.46089999999999998</v>
      </c>
    </row>
    <row r="304" spans="1:49" ht="14.1" customHeight="1" x14ac:dyDescent="0.2">
      <c r="A304" s="124">
        <v>62</v>
      </c>
      <c r="B304" s="121">
        <v>2457</v>
      </c>
      <c r="C304" s="144">
        <v>650021479</v>
      </c>
      <c r="D304" s="121">
        <v>72742577</v>
      </c>
      <c r="E304" s="123" t="s">
        <v>699</v>
      </c>
      <c r="F304" s="124">
        <v>3117</v>
      </c>
      <c r="G304" s="152" t="s">
        <v>320</v>
      </c>
      <c r="H304" s="125" t="s">
        <v>283</v>
      </c>
      <c r="I304" s="126">
        <f t="shared" si="478"/>
        <v>1718700</v>
      </c>
      <c r="J304" s="477">
        <v>1247983</v>
      </c>
      <c r="K304" s="127">
        <f t="shared" si="479"/>
        <v>421818</v>
      </c>
      <c r="L304" s="477">
        <v>24959</v>
      </c>
      <c r="M304" s="477">
        <v>23940</v>
      </c>
      <c r="N304" s="390">
        <f t="shared" si="481"/>
        <v>2.37</v>
      </c>
      <c r="O304" s="645">
        <v>1.5428999999999999</v>
      </c>
      <c r="P304" s="646">
        <v>0.82710000000000006</v>
      </c>
      <c r="Q304" s="129">
        <f t="shared" si="482"/>
        <v>0</v>
      </c>
      <c r="R304" s="130">
        <v>0</v>
      </c>
      <c r="S304" s="130">
        <v>0</v>
      </c>
      <c r="T304" s="130">
        <v>0</v>
      </c>
      <c r="U304" s="130">
        <f t="shared" si="483"/>
        <v>0</v>
      </c>
      <c r="V304" s="130">
        <v>0</v>
      </c>
      <c r="W304" s="130">
        <v>0</v>
      </c>
      <c r="X304" s="130">
        <v>0</v>
      </c>
      <c r="Y304" s="130">
        <f t="shared" si="534"/>
        <v>0</v>
      </c>
      <c r="Z304" s="130">
        <f t="shared" si="535"/>
        <v>0</v>
      </c>
      <c r="AA304" s="131">
        <f t="shared" si="536"/>
        <v>0</v>
      </c>
      <c r="AB304" s="131">
        <f t="shared" si="537"/>
        <v>0</v>
      </c>
      <c r="AC304" s="130">
        <v>0</v>
      </c>
      <c r="AD304" s="130">
        <v>0</v>
      </c>
      <c r="AE304" s="130">
        <f t="shared" si="503"/>
        <v>0</v>
      </c>
      <c r="AF304" s="130">
        <f t="shared" si="504"/>
        <v>0</v>
      </c>
      <c r="AG304" s="132">
        <v>0</v>
      </c>
      <c r="AH304" s="132">
        <v>0</v>
      </c>
      <c r="AI304" s="132">
        <v>0</v>
      </c>
      <c r="AJ304" s="132">
        <v>0</v>
      </c>
      <c r="AK304" s="132">
        <v>0</v>
      </c>
      <c r="AL304" s="132">
        <f t="shared" si="505"/>
        <v>0</v>
      </c>
      <c r="AM304" s="132">
        <f t="shared" si="538"/>
        <v>0</v>
      </c>
      <c r="AN304" s="403">
        <f t="shared" si="507"/>
        <v>0</v>
      </c>
      <c r="AO304" s="128">
        <f t="shared" si="488"/>
        <v>1718700</v>
      </c>
      <c r="AP304" s="130">
        <f t="shared" si="489"/>
        <v>1247983</v>
      </c>
      <c r="AQ304" s="130">
        <f t="shared" si="490"/>
        <v>0</v>
      </c>
      <c r="AR304" s="130">
        <f t="shared" si="491"/>
        <v>421818</v>
      </c>
      <c r="AS304" s="130">
        <f t="shared" si="492"/>
        <v>24959</v>
      </c>
      <c r="AT304" s="130">
        <f t="shared" si="493"/>
        <v>23940</v>
      </c>
      <c r="AU304" s="132">
        <f t="shared" si="494"/>
        <v>2.37</v>
      </c>
      <c r="AV304" s="132">
        <f t="shared" si="495"/>
        <v>1.5428999999999999</v>
      </c>
      <c r="AW304" s="133">
        <f t="shared" si="496"/>
        <v>0.82710000000000006</v>
      </c>
    </row>
    <row r="305" spans="1:49" ht="14.1" customHeight="1" x14ac:dyDescent="0.2">
      <c r="A305" s="124">
        <v>62</v>
      </c>
      <c r="B305" s="121">
        <v>2457</v>
      </c>
      <c r="C305" s="144">
        <v>650021479</v>
      </c>
      <c r="D305" s="121">
        <v>72742577</v>
      </c>
      <c r="E305" s="123" t="s">
        <v>699</v>
      </c>
      <c r="F305" s="124">
        <v>3117</v>
      </c>
      <c r="G305" s="143" t="s">
        <v>318</v>
      </c>
      <c r="H305" s="125" t="s">
        <v>284</v>
      </c>
      <c r="I305" s="126">
        <f t="shared" si="478"/>
        <v>0</v>
      </c>
      <c r="J305" s="29">
        <v>0</v>
      </c>
      <c r="K305" s="127">
        <f t="shared" si="479"/>
        <v>0</v>
      </c>
      <c r="L305" s="477">
        <f t="shared" si="480"/>
        <v>0</v>
      </c>
      <c r="M305" s="29">
        <v>0</v>
      </c>
      <c r="N305" s="390">
        <f t="shared" si="481"/>
        <v>0</v>
      </c>
      <c r="O305" s="349">
        <v>0</v>
      </c>
      <c r="P305" s="639">
        <v>0</v>
      </c>
      <c r="Q305" s="129">
        <f t="shared" si="482"/>
        <v>0</v>
      </c>
      <c r="R305" s="130">
        <v>0</v>
      </c>
      <c r="S305" s="130">
        <v>0</v>
      </c>
      <c r="T305" s="130">
        <v>0</v>
      </c>
      <c r="U305" s="130">
        <f t="shared" si="483"/>
        <v>0</v>
      </c>
      <c r="V305" s="130">
        <v>0</v>
      </c>
      <c r="W305" s="130">
        <v>0</v>
      </c>
      <c r="X305" s="130">
        <v>0</v>
      </c>
      <c r="Y305" s="130">
        <f t="shared" si="534"/>
        <v>0</v>
      </c>
      <c r="Z305" s="130">
        <f t="shared" si="535"/>
        <v>0</v>
      </c>
      <c r="AA305" s="131">
        <f t="shared" si="536"/>
        <v>0</v>
      </c>
      <c r="AB305" s="131">
        <f t="shared" si="537"/>
        <v>0</v>
      </c>
      <c r="AC305" s="130">
        <v>0</v>
      </c>
      <c r="AD305" s="130">
        <v>0</v>
      </c>
      <c r="AE305" s="130">
        <f t="shared" si="503"/>
        <v>0</v>
      </c>
      <c r="AF305" s="130">
        <f t="shared" si="504"/>
        <v>0</v>
      </c>
      <c r="AG305" s="132">
        <v>0</v>
      </c>
      <c r="AH305" s="132">
        <v>0</v>
      </c>
      <c r="AI305" s="132">
        <v>0</v>
      </c>
      <c r="AJ305" s="132">
        <v>0</v>
      </c>
      <c r="AK305" s="132">
        <v>0</v>
      </c>
      <c r="AL305" s="132">
        <f t="shared" si="505"/>
        <v>0</v>
      </c>
      <c r="AM305" s="132">
        <f t="shared" si="538"/>
        <v>0</v>
      </c>
      <c r="AN305" s="403">
        <f t="shared" si="507"/>
        <v>0</v>
      </c>
      <c r="AO305" s="128">
        <f t="shared" si="488"/>
        <v>0</v>
      </c>
      <c r="AP305" s="130">
        <f t="shared" si="489"/>
        <v>0</v>
      </c>
      <c r="AQ305" s="130">
        <f t="shared" si="490"/>
        <v>0</v>
      </c>
      <c r="AR305" s="130">
        <f t="shared" si="491"/>
        <v>0</v>
      </c>
      <c r="AS305" s="130">
        <f t="shared" si="492"/>
        <v>0</v>
      </c>
      <c r="AT305" s="130">
        <f t="shared" si="493"/>
        <v>0</v>
      </c>
      <c r="AU305" s="132">
        <f t="shared" si="494"/>
        <v>0</v>
      </c>
      <c r="AV305" s="132">
        <f t="shared" si="495"/>
        <v>0</v>
      </c>
      <c r="AW305" s="133">
        <f t="shared" si="496"/>
        <v>0</v>
      </c>
    </row>
    <row r="306" spans="1:49" ht="14.1" customHeight="1" x14ac:dyDescent="0.2">
      <c r="A306" s="124">
        <v>62</v>
      </c>
      <c r="B306" s="121">
        <v>2457</v>
      </c>
      <c r="C306" s="144">
        <v>650021479</v>
      </c>
      <c r="D306" s="121">
        <v>72742577</v>
      </c>
      <c r="E306" s="123" t="s">
        <v>699</v>
      </c>
      <c r="F306" s="124">
        <v>3141</v>
      </c>
      <c r="G306" s="123" t="s">
        <v>321</v>
      </c>
      <c r="H306" s="125" t="s">
        <v>284</v>
      </c>
      <c r="I306" s="126">
        <f t="shared" si="478"/>
        <v>470905</v>
      </c>
      <c r="J306" s="666">
        <v>345354</v>
      </c>
      <c r="K306" s="127">
        <f t="shared" si="479"/>
        <v>116730</v>
      </c>
      <c r="L306" s="477">
        <f t="shared" si="480"/>
        <v>6907</v>
      </c>
      <c r="M306" s="666">
        <v>1914</v>
      </c>
      <c r="N306" s="390">
        <f t="shared" si="481"/>
        <v>1.17</v>
      </c>
      <c r="O306" s="668">
        <v>0</v>
      </c>
      <c r="P306" s="667">
        <v>1.17</v>
      </c>
      <c r="Q306" s="129">
        <f t="shared" si="482"/>
        <v>-96000</v>
      </c>
      <c r="R306" s="130">
        <v>0</v>
      </c>
      <c r="S306" s="130">
        <v>0</v>
      </c>
      <c r="T306" s="130">
        <v>0</v>
      </c>
      <c r="U306" s="130">
        <f t="shared" si="483"/>
        <v>-96000</v>
      </c>
      <c r="V306" s="130">
        <v>96000</v>
      </c>
      <c r="W306" s="130">
        <v>0</v>
      </c>
      <c r="X306" s="130">
        <v>0</v>
      </c>
      <c r="Y306" s="130">
        <f t="shared" si="534"/>
        <v>96000</v>
      </c>
      <c r="Z306" s="130">
        <f t="shared" si="535"/>
        <v>0</v>
      </c>
      <c r="AA306" s="131">
        <f t="shared" si="536"/>
        <v>0</v>
      </c>
      <c r="AB306" s="131">
        <f t="shared" si="537"/>
        <v>-1920</v>
      </c>
      <c r="AC306" s="130">
        <v>0</v>
      </c>
      <c r="AD306" s="130">
        <v>0</v>
      </c>
      <c r="AE306" s="130">
        <f t="shared" si="503"/>
        <v>0</v>
      </c>
      <c r="AF306" s="130">
        <f t="shared" si="504"/>
        <v>-1920</v>
      </c>
      <c r="AG306" s="132">
        <v>0</v>
      </c>
      <c r="AH306" s="132">
        <v>-0.39</v>
      </c>
      <c r="AI306" s="132">
        <v>0</v>
      </c>
      <c r="AJ306" s="132">
        <v>0</v>
      </c>
      <c r="AK306" s="132">
        <v>0</v>
      </c>
      <c r="AL306" s="132">
        <f t="shared" si="505"/>
        <v>0</v>
      </c>
      <c r="AM306" s="132">
        <f t="shared" si="538"/>
        <v>-0.39</v>
      </c>
      <c r="AN306" s="403">
        <f t="shared" si="507"/>
        <v>-0.39</v>
      </c>
      <c r="AO306" s="128">
        <f t="shared" si="488"/>
        <v>468985</v>
      </c>
      <c r="AP306" s="130">
        <f t="shared" si="489"/>
        <v>249354</v>
      </c>
      <c r="AQ306" s="130">
        <f t="shared" si="490"/>
        <v>96000</v>
      </c>
      <c r="AR306" s="130">
        <f t="shared" si="491"/>
        <v>116730</v>
      </c>
      <c r="AS306" s="130">
        <f t="shared" si="492"/>
        <v>4987</v>
      </c>
      <c r="AT306" s="130">
        <f t="shared" si="493"/>
        <v>1914</v>
      </c>
      <c r="AU306" s="132">
        <f t="shared" si="494"/>
        <v>0.77999999999999992</v>
      </c>
      <c r="AV306" s="132">
        <f t="shared" si="495"/>
        <v>0</v>
      </c>
      <c r="AW306" s="133">
        <f t="shared" si="496"/>
        <v>0.77999999999999992</v>
      </c>
    </row>
    <row r="307" spans="1:49" ht="14.1" customHeight="1" x14ac:dyDescent="0.2">
      <c r="A307" s="124">
        <v>62</v>
      </c>
      <c r="B307" s="121">
        <v>2457</v>
      </c>
      <c r="C307" s="144">
        <v>650021479</v>
      </c>
      <c r="D307" s="121">
        <v>72742577</v>
      </c>
      <c r="E307" s="123" t="s">
        <v>699</v>
      </c>
      <c r="F307" s="124">
        <v>3143</v>
      </c>
      <c r="G307" s="145" t="s">
        <v>635</v>
      </c>
      <c r="H307" s="125" t="s">
        <v>283</v>
      </c>
      <c r="I307" s="126">
        <f t="shared" si="478"/>
        <v>64174</v>
      </c>
      <c r="J307" s="631">
        <v>47256</v>
      </c>
      <c r="K307" s="127">
        <f t="shared" si="479"/>
        <v>15973</v>
      </c>
      <c r="L307" s="477">
        <f t="shared" si="480"/>
        <v>945</v>
      </c>
      <c r="M307" s="478">
        <v>0</v>
      </c>
      <c r="N307" s="390">
        <f t="shared" si="481"/>
        <v>0.1</v>
      </c>
      <c r="O307" s="644">
        <v>0.1</v>
      </c>
      <c r="P307" s="639">
        <v>0</v>
      </c>
      <c r="Q307" s="129">
        <f t="shared" si="482"/>
        <v>0</v>
      </c>
      <c r="R307" s="130">
        <v>0</v>
      </c>
      <c r="S307" s="130">
        <v>0</v>
      </c>
      <c r="T307" s="130">
        <v>0</v>
      </c>
      <c r="U307" s="130">
        <f t="shared" si="483"/>
        <v>0</v>
      </c>
      <c r="V307" s="130">
        <v>0</v>
      </c>
      <c r="W307" s="130">
        <v>0</v>
      </c>
      <c r="X307" s="130">
        <v>0</v>
      </c>
      <c r="Y307" s="130">
        <f t="shared" si="534"/>
        <v>0</v>
      </c>
      <c r="Z307" s="130">
        <f t="shared" si="535"/>
        <v>0</v>
      </c>
      <c r="AA307" s="131">
        <f t="shared" si="536"/>
        <v>0</v>
      </c>
      <c r="AB307" s="131">
        <f t="shared" si="537"/>
        <v>0</v>
      </c>
      <c r="AC307" s="130">
        <v>0</v>
      </c>
      <c r="AD307" s="130">
        <v>0</v>
      </c>
      <c r="AE307" s="130">
        <f t="shared" si="503"/>
        <v>0</v>
      </c>
      <c r="AF307" s="130">
        <f t="shared" si="504"/>
        <v>0</v>
      </c>
      <c r="AG307" s="132">
        <v>0</v>
      </c>
      <c r="AH307" s="132">
        <v>0</v>
      </c>
      <c r="AI307" s="132">
        <v>0</v>
      </c>
      <c r="AJ307" s="132">
        <v>0</v>
      </c>
      <c r="AK307" s="132">
        <v>0</v>
      </c>
      <c r="AL307" s="132">
        <f t="shared" si="505"/>
        <v>0</v>
      </c>
      <c r="AM307" s="132">
        <f t="shared" si="538"/>
        <v>0</v>
      </c>
      <c r="AN307" s="403">
        <f t="shared" si="507"/>
        <v>0</v>
      </c>
      <c r="AO307" s="128">
        <f t="shared" si="488"/>
        <v>64174</v>
      </c>
      <c r="AP307" s="130">
        <f t="shared" si="489"/>
        <v>47256</v>
      </c>
      <c r="AQ307" s="130">
        <f t="shared" si="490"/>
        <v>0</v>
      </c>
      <c r="AR307" s="130">
        <f t="shared" si="491"/>
        <v>15973</v>
      </c>
      <c r="AS307" s="130">
        <f t="shared" si="492"/>
        <v>945</v>
      </c>
      <c r="AT307" s="130">
        <f t="shared" si="493"/>
        <v>0</v>
      </c>
      <c r="AU307" s="132">
        <f t="shared" si="494"/>
        <v>0.1</v>
      </c>
      <c r="AV307" s="132">
        <f t="shared" si="495"/>
        <v>0.1</v>
      </c>
      <c r="AW307" s="133">
        <f t="shared" si="496"/>
        <v>0</v>
      </c>
    </row>
    <row r="308" spans="1:49" ht="14.1" customHeight="1" x14ac:dyDescent="0.2">
      <c r="A308" s="124">
        <v>62</v>
      </c>
      <c r="B308" s="121">
        <v>2457</v>
      </c>
      <c r="C308" s="144">
        <v>650021479</v>
      </c>
      <c r="D308" s="121">
        <v>72742577</v>
      </c>
      <c r="E308" s="123" t="s">
        <v>699</v>
      </c>
      <c r="F308" s="124">
        <v>3143</v>
      </c>
      <c r="G308" s="145" t="s">
        <v>636</v>
      </c>
      <c r="H308" s="125" t="s">
        <v>284</v>
      </c>
      <c r="I308" s="126">
        <f t="shared" si="478"/>
        <v>9831</v>
      </c>
      <c r="J308" s="664">
        <v>6930</v>
      </c>
      <c r="K308" s="127">
        <f t="shared" si="479"/>
        <v>2342</v>
      </c>
      <c r="L308" s="477">
        <f t="shared" si="480"/>
        <v>139</v>
      </c>
      <c r="M308" s="664">
        <v>420</v>
      </c>
      <c r="N308" s="390">
        <f t="shared" si="481"/>
        <v>0.03</v>
      </c>
      <c r="O308" s="665">
        <v>0</v>
      </c>
      <c r="P308" s="667">
        <v>0.03</v>
      </c>
      <c r="Q308" s="129">
        <f t="shared" si="482"/>
        <v>0</v>
      </c>
      <c r="R308" s="130">
        <v>0</v>
      </c>
      <c r="S308" s="130">
        <v>0</v>
      </c>
      <c r="T308" s="130">
        <v>0</v>
      </c>
      <c r="U308" s="130">
        <f t="shared" si="483"/>
        <v>0</v>
      </c>
      <c r="V308" s="130">
        <v>0</v>
      </c>
      <c r="W308" s="130">
        <v>0</v>
      </c>
      <c r="X308" s="130">
        <v>0</v>
      </c>
      <c r="Y308" s="130">
        <f t="shared" si="534"/>
        <v>0</v>
      </c>
      <c r="Z308" s="130">
        <f t="shared" si="535"/>
        <v>0</v>
      </c>
      <c r="AA308" s="131">
        <f t="shared" si="536"/>
        <v>0</v>
      </c>
      <c r="AB308" s="131">
        <f t="shared" si="537"/>
        <v>0</v>
      </c>
      <c r="AC308" s="130">
        <v>0</v>
      </c>
      <c r="AD308" s="130">
        <v>0</v>
      </c>
      <c r="AE308" s="130">
        <f t="shared" si="503"/>
        <v>0</v>
      </c>
      <c r="AF308" s="130">
        <f t="shared" si="504"/>
        <v>0</v>
      </c>
      <c r="AG308" s="132">
        <v>0</v>
      </c>
      <c r="AH308" s="132">
        <v>0</v>
      </c>
      <c r="AI308" s="132">
        <v>0</v>
      </c>
      <c r="AJ308" s="132">
        <v>0</v>
      </c>
      <c r="AK308" s="132">
        <v>0</v>
      </c>
      <c r="AL308" s="132">
        <f t="shared" si="505"/>
        <v>0</v>
      </c>
      <c r="AM308" s="132">
        <f t="shared" si="538"/>
        <v>0</v>
      </c>
      <c r="AN308" s="403">
        <f t="shared" si="507"/>
        <v>0</v>
      </c>
      <c r="AO308" s="128">
        <f t="shared" si="488"/>
        <v>9831</v>
      </c>
      <c r="AP308" s="130">
        <f t="shared" si="489"/>
        <v>6930</v>
      </c>
      <c r="AQ308" s="130">
        <f t="shared" si="490"/>
        <v>0</v>
      </c>
      <c r="AR308" s="130">
        <f t="shared" si="491"/>
        <v>2342</v>
      </c>
      <c r="AS308" s="130">
        <f t="shared" si="492"/>
        <v>139</v>
      </c>
      <c r="AT308" s="130">
        <f t="shared" si="493"/>
        <v>420</v>
      </c>
      <c r="AU308" s="132">
        <f t="shared" si="494"/>
        <v>0.03</v>
      </c>
      <c r="AV308" s="132">
        <f t="shared" si="495"/>
        <v>0</v>
      </c>
      <c r="AW308" s="133">
        <f t="shared" si="496"/>
        <v>0.03</v>
      </c>
    </row>
    <row r="309" spans="1:49" ht="14.1" customHeight="1" x14ac:dyDescent="0.2">
      <c r="A309" s="137">
        <v>62</v>
      </c>
      <c r="B309" s="134">
        <v>2457</v>
      </c>
      <c r="C309" s="146">
        <v>650021479</v>
      </c>
      <c r="D309" s="134">
        <v>72742577</v>
      </c>
      <c r="E309" s="136" t="s">
        <v>700</v>
      </c>
      <c r="F309" s="137"/>
      <c r="G309" s="136"/>
      <c r="H309" s="138"/>
      <c r="I309" s="139">
        <f t="shared" ref="I309:P309" si="539">SUM(I303:I308)</f>
        <v>3636891</v>
      </c>
      <c r="J309" s="140">
        <f t="shared" si="539"/>
        <v>2652148</v>
      </c>
      <c r="K309" s="140">
        <f t="shared" si="539"/>
        <v>896426</v>
      </c>
      <c r="L309" s="140">
        <f t="shared" si="539"/>
        <v>53043</v>
      </c>
      <c r="M309" s="140">
        <f t="shared" si="539"/>
        <v>35274</v>
      </c>
      <c r="N309" s="141">
        <f t="shared" si="539"/>
        <v>6.0663999999999998</v>
      </c>
      <c r="O309" s="141">
        <f t="shared" si="539"/>
        <v>3.5783999999999998</v>
      </c>
      <c r="P309" s="142">
        <f t="shared" si="539"/>
        <v>2.488</v>
      </c>
      <c r="Q309" s="342">
        <f t="shared" ref="Q309:AW309" si="540">SUM(Q303:Q308)</f>
        <v>-96000</v>
      </c>
      <c r="R309" s="140">
        <f t="shared" si="540"/>
        <v>0</v>
      </c>
      <c r="S309" s="140">
        <f t="shared" si="540"/>
        <v>0</v>
      </c>
      <c r="T309" s="140">
        <f t="shared" si="540"/>
        <v>0</v>
      </c>
      <c r="U309" s="140">
        <f t="shared" si="540"/>
        <v>-96000</v>
      </c>
      <c r="V309" s="140">
        <f t="shared" si="540"/>
        <v>96000</v>
      </c>
      <c r="W309" s="140">
        <f t="shared" si="540"/>
        <v>0</v>
      </c>
      <c r="X309" s="140">
        <f t="shared" si="540"/>
        <v>0</v>
      </c>
      <c r="Y309" s="140">
        <f t="shared" si="540"/>
        <v>96000</v>
      </c>
      <c r="Z309" s="140">
        <f t="shared" si="540"/>
        <v>0</v>
      </c>
      <c r="AA309" s="140">
        <f t="shared" si="540"/>
        <v>0</v>
      </c>
      <c r="AB309" s="140">
        <f t="shared" si="540"/>
        <v>-1920</v>
      </c>
      <c r="AC309" s="140">
        <f t="shared" si="540"/>
        <v>0</v>
      </c>
      <c r="AD309" s="140">
        <f t="shared" si="540"/>
        <v>0</v>
      </c>
      <c r="AE309" s="140">
        <f t="shared" si="540"/>
        <v>0</v>
      </c>
      <c r="AF309" s="140">
        <f t="shared" si="540"/>
        <v>-1920</v>
      </c>
      <c r="AG309" s="141">
        <f t="shared" si="540"/>
        <v>0</v>
      </c>
      <c r="AH309" s="141">
        <f t="shared" si="540"/>
        <v>-0.39</v>
      </c>
      <c r="AI309" s="141">
        <f t="shared" si="540"/>
        <v>0</v>
      </c>
      <c r="AJ309" s="141">
        <f t="shared" si="540"/>
        <v>0</v>
      </c>
      <c r="AK309" s="141">
        <f t="shared" si="540"/>
        <v>0</v>
      </c>
      <c r="AL309" s="141">
        <f t="shared" si="540"/>
        <v>0</v>
      </c>
      <c r="AM309" s="141">
        <f t="shared" si="540"/>
        <v>-0.39</v>
      </c>
      <c r="AN309" s="635">
        <f t="shared" si="540"/>
        <v>-0.39</v>
      </c>
      <c r="AO309" s="139">
        <f t="shared" si="540"/>
        <v>3634971</v>
      </c>
      <c r="AP309" s="140">
        <f t="shared" si="540"/>
        <v>2556148</v>
      </c>
      <c r="AQ309" s="140">
        <f t="shared" si="540"/>
        <v>96000</v>
      </c>
      <c r="AR309" s="140">
        <f t="shared" si="540"/>
        <v>896426</v>
      </c>
      <c r="AS309" s="140">
        <f t="shared" si="540"/>
        <v>51123</v>
      </c>
      <c r="AT309" s="140">
        <f t="shared" si="540"/>
        <v>35274</v>
      </c>
      <c r="AU309" s="141">
        <f t="shared" si="540"/>
        <v>5.6764000000000001</v>
      </c>
      <c r="AV309" s="141">
        <f t="shared" si="540"/>
        <v>3.5783999999999998</v>
      </c>
      <c r="AW309" s="142">
        <f t="shared" si="540"/>
        <v>2.0979999999999999</v>
      </c>
    </row>
    <row r="310" spans="1:49" ht="14.1" customHeight="1" x14ac:dyDescent="0.2">
      <c r="A310" s="124">
        <v>63</v>
      </c>
      <c r="B310" s="121">
        <v>2403</v>
      </c>
      <c r="C310" s="122">
        <v>600078931</v>
      </c>
      <c r="D310" s="121">
        <v>72744324</v>
      </c>
      <c r="E310" s="123" t="s">
        <v>701</v>
      </c>
      <c r="F310" s="124">
        <v>3111</v>
      </c>
      <c r="G310" s="123" t="s">
        <v>317</v>
      </c>
      <c r="H310" s="125" t="s">
        <v>283</v>
      </c>
      <c r="I310" s="126">
        <f t="shared" si="478"/>
        <v>6329590</v>
      </c>
      <c r="J310" s="127">
        <v>4630478</v>
      </c>
      <c r="K310" s="127">
        <f t="shared" si="479"/>
        <v>1565102</v>
      </c>
      <c r="L310" s="477">
        <f t="shared" si="480"/>
        <v>92610</v>
      </c>
      <c r="M310" s="127">
        <v>41400</v>
      </c>
      <c r="N310" s="390">
        <f t="shared" si="481"/>
        <v>10.8682</v>
      </c>
      <c r="O310" s="390">
        <v>8</v>
      </c>
      <c r="P310" s="439">
        <v>2.8681999999999999</v>
      </c>
      <c r="Q310" s="129">
        <f t="shared" si="482"/>
        <v>0</v>
      </c>
      <c r="R310" s="130">
        <v>0</v>
      </c>
      <c r="S310" s="130">
        <v>0</v>
      </c>
      <c r="T310" s="130">
        <v>0</v>
      </c>
      <c r="U310" s="130">
        <f t="shared" si="483"/>
        <v>0</v>
      </c>
      <c r="V310" s="130">
        <v>0</v>
      </c>
      <c r="W310" s="130">
        <v>0</v>
      </c>
      <c r="X310" s="130">
        <v>0</v>
      </c>
      <c r="Y310" s="130">
        <f t="shared" ref="Y310:Y312" si="541">SUM(V310:X310)</f>
        <v>0</v>
      </c>
      <c r="Z310" s="130">
        <f t="shared" ref="Z310:Z312" si="542">U310+Y310</f>
        <v>0</v>
      </c>
      <c r="AA310" s="131">
        <f t="shared" ref="AA310:AA312" si="543">ROUND((U310+V310+W310)*33.8%,0)</f>
        <v>0</v>
      </c>
      <c r="AB310" s="131">
        <f t="shared" ref="AB310:AB312" si="544">ROUND(U310*2%,0)</f>
        <v>0</v>
      </c>
      <c r="AC310" s="130">
        <v>0</v>
      </c>
      <c r="AD310" s="130">
        <v>0</v>
      </c>
      <c r="AE310" s="130">
        <f t="shared" si="503"/>
        <v>0</v>
      </c>
      <c r="AF310" s="130">
        <f t="shared" si="504"/>
        <v>0</v>
      </c>
      <c r="AG310" s="132">
        <v>0</v>
      </c>
      <c r="AH310" s="132">
        <v>0</v>
      </c>
      <c r="AI310" s="132">
        <v>0</v>
      </c>
      <c r="AJ310" s="132">
        <v>0</v>
      </c>
      <c r="AK310" s="132">
        <v>0</v>
      </c>
      <c r="AL310" s="132">
        <f t="shared" si="505"/>
        <v>0</v>
      </c>
      <c r="AM310" s="132">
        <f>AH310+AK310</f>
        <v>0</v>
      </c>
      <c r="AN310" s="403">
        <f t="shared" si="507"/>
        <v>0</v>
      </c>
      <c r="AO310" s="128">
        <f t="shared" si="488"/>
        <v>6329590</v>
      </c>
      <c r="AP310" s="130">
        <f t="shared" si="489"/>
        <v>4630478</v>
      </c>
      <c r="AQ310" s="130">
        <f t="shared" si="490"/>
        <v>0</v>
      </c>
      <c r="AR310" s="130">
        <f t="shared" si="491"/>
        <v>1565102</v>
      </c>
      <c r="AS310" s="130">
        <f t="shared" si="492"/>
        <v>92610</v>
      </c>
      <c r="AT310" s="130">
        <f t="shared" si="493"/>
        <v>41400</v>
      </c>
      <c r="AU310" s="132">
        <f t="shared" si="494"/>
        <v>10.8682</v>
      </c>
      <c r="AV310" s="132">
        <f t="shared" si="495"/>
        <v>8</v>
      </c>
      <c r="AW310" s="133">
        <f t="shared" si="496"/>
        <v>2.8681999999999999</v>
      </c>
    </row>
    <row r="311" spans="1:49" ht="14.1" customHeight="1" x14ac:dyDescent="0.2">
      <c r="A311" s="124">
        <v>63</v>
      </c>
      <c r="B311" s="121">
        <v>2403</v>
      </c>
      <c r="C311" s="122">
        <v>600078931</v>
      </c>
      <c r="D311" s="121">
        <v>72744324</v>
      </c>
      <c r="E311" s="123" t="s">
        <v>701</v>
      </c>
      <c r="F311" s="124">
        <v>3111</v>
      </c>
      <c r="G311" s="143" t="s">
        <v>318</v>
      </c>
      <c r="H311" s="125" t="s">
        <v>284</v>
      </c>
      <c r="I311" s="126">
        <f t="shared" si="478"/>
        <v>0</v>
      </c>
      <c r="J311" s="29">
        <v>0</v>
      </c>
      <c r="K311" s="127">
        <f t="shared" si="479"/>
        <v>0</v>
      </c>
      <c r="L311" s="477">
        <f t="shared" si="480"/>
        <v>0</v>
      </c>
      <c r="M311" s="29">
        <v>0</v>
      </c>
      <c r="N311" s="390">
        <f t="shared" si="481"/>
        <v>0</v>
      </c>
      <c r="O311" s="349">
        <v>0</v>
      </c>
      <c r="P311" s="639">
        <v>0</v>
      </c>
      <c r="Q311" s="129">
        <f t="shared" si="482"/>
        <v>0</v>
      </c>
      <c r="R311" s="130">
        <v>259833</v>
      </c>
      <c r="S311" s="130">
        <v>0</v>
      </c>
      <c r="T311" s="130">
        <v>0</v>
      </c>
      <c r="U311" s="130">
        <f t="shared" si="483"/>
        <v>259833</v>
      </c>
      <c r="V311" s="130">
        <v>0</v>
      </c>
      <c r="W311" s="130">
        <v>0</v>
      </c>
      <c r="X311" s="130">
        <v>0</v>
      </c>
      <c r="Y311" s="130">
        <f t="shared" si="541"/>
        <v>0</v>
      </c>
      <c r="Z311" s="130">
        <f t="shared" si="542"/>
        <v>259833</v>
      </c>
      <c r="AA311" s="131">
        <f t="shared" si="543"/>
        <v>87824</v>
      </c>
      <c r="AB311" s="131">
        <f t="shared" si="544"/>
        <v>5197</v>
      </c>
      <c r="AC311" s="130">
        <v>0</v>
      </c>
      <c r="AD311" s="130">
        <v>0</v>
      </c>
      <c r="AE311" s="130">
        <f t="shared" si="503"/>
        <v>0</v>
      </c>
      <c r="AF311" s="130">
        <f t="shared" si="504"/>
        <v>352854</v>
      </c>
      <c r="AG311" s="132">
        <v>0</v>
      </c>
      <c r="AH311" s="132">
        <v>0</v>
      </c>
      <c r="AI311" s="132">
        <v>0.75</v>
      </c>
      <c r="AJ311" s="132">
        <v>0</v>
      </c>
      <c r="AK311" s="132">
        <v>0</v>
      </c>
      <c r="AL311" s="132">
        <f t="shared" si="505"/>
        <v>0.75</v>
      </c>
      <c r="AM311" s="132">
        <f>AH311+AK311</f>
        <v>0</v>
      </c>
      <c r="AN311" s="403">
        <f t="shared" si="507"/>
        <v>0.75</v>
      </c>
      <c r="AO311" s="128">
        <f t="shared" si="488"/>
        <v>352854</v>
      </c>
      <c r="AP311" s="130">
        <f t="shared" si="489"/>
        <v>259833</v>
      </c>
      <c r="AQ311" s="130">
        <f t="shared" si="490"/>
        <v>0</v>
      </c>
      <c r="AR311" s="130">
        <f t="shared" si="491"/>
        <v>87824</v>
      </c>
      <c r="AS311" s="130">
        <f t="shared" si="492"/>
        <v>5197</v>
      </c>
      <c r="AT311" s="130">
        <f t="shared" si="493"/>
        <v>0</v>
      </c>
      <c r="AU311" s="132">
        <f t="shared" si="494"/>
        <v>0.75</v>
      </c>
      <c r="AV311" s="132">
        <f t="shared" si="495"/>
        <v>0.75</v>
      </c>
      <c r="AW311" s="133">
        <f t="shared" si="496"/>
        <v>0</v>
      </c>
    </row>
    <row r="312" spans="1:49" ht="14.1" customHeight="1" x14ac:dyDescent="0.2">
      <c r="A312" s="124">
        <v>63</v>
      </c>
      <c r="B312" s="121">
        <v>2403</v>
      </c>
      <c r="C312" s="122">
        <v>600078931</v>
      </c>
      <c r="D312" s="121">
        <v>72744324</v>
      </c>
      <c r="E312" s="123" t="s">
        <v>701</v>
      </c>
      <c r="F312" s="124">
        <v>3141</v>
      </c>
      <c r="G312" s="123" t="s">
        <v>321</v>
      </c>
      <c r="H312" s="125" t="s">
        <v>284</v>
      </c>
      <c r="I312" s="126">
        <f t="shared" si="478"/>
        <v>957662</v>
      </c>
      <c r="J312" s="666">
        <v>701314</v>
      </c>
      <c r="K312" s="127">
        <f t="shared" si="479"/>
        <v>237044</v>
      </c>
      <c r="L312" s="477">
        <f t="shared" si="480"/>
        <v>14026</v>
      </c>
      <c r="M312" s="666">
        <v>5278</v>
      </c>
      <c r="N312" s="390">
        <f t="shared" si="481"/>
        <v>2.39</v>
      </c>
      <c r="O312" s="668">
        <v>0</v>
      </c>
      <c r="P312" s="667">
        <v>2.39</v>
      </c>
      <c r="Q312" s="129">
        <f t="shared" si="482"/>
        <v>0</v>
      </c>
      <c r="R312" s="130">
        <v>0</v>
      </c>
      <c r="S312" s="130">
        <v>0</v>
      </c>
      <c r="T312" s="130">
        <v>0</v>
      </c>
      <c r="U312" s="130">
        <f t="shared" si="483"/>
        <v>0</v>
      </c>
      <c r="V312" s="130">
        <v>0</v>
      </c>
      <c r="W312" s="130">
        <v>0</v>
      </c>
      <c r="X312" s="130">
        <v>0</v>
      </c>
      <c r="Y312" s="130">
        <f t="shared" si="541"/>
        <v>0</v>
      </c>
      <c r="Z312" s="130">
        <f t="shared" si="542"/>
        <v>0</v>
      </c>
      <c r="AA312" s="131">
        <f t="shared" si="543"/>
        <v>0</v>
      </c>
      <c r="AB312" s="131">
        <f t="shared" si="544"/>
        <v>0</v>
      </c>
      <c r="AC312" s="130">
        <v>0</v>
      </c>
      <c r="AD312" s="130">
        <v>0</v>
      </c>
      <c r="AE312" s="130">
        <f t="shared" si="503"/>
        <v>0</v>
      </c>
      <c r="AF312" s="130">
        <f t="shared" si="504"/>
        <v>0</v>
      </c>
      <c r="AG312" s="132">
        <v>0</v>
      </c>
      <c r="AH312" s="132">
        <v>0</v>
      </c>
      <c r="AI312" s="132">
        <v>0</v>
      </c>
      <c r="AJ312" s="132">
        <v>0</v>
      </c>
      <c r="AK312" s="132">
        <v>0</v>
      </c>
      <c r="AL312" s="132">
        <f t="shared" si="505"/>
        <v>0</v>
      </c>
      <c r="AM312" s="132">
        <f>AH312+AK312</f>
        <v>0</v>
      </c>
      <c r="AN312" s="403">
        <f t="shared" si="507"/>
        <v>0</v>
      </c>
      <c r="AO312" s="128">
        <f t="shared" si="488"/>
        <v>957662</v>
      </c>
      <c r="AP312" s="130">
        <f t="shared" si="489"/>
        <v>701314</v>
      </c>
      <c r="AQ312" s="130">
        <f t="shared" si="490"/>
        <v>0</v>
      </c>
      <c r="AR312" s="130">
        <f t="shared" si="491"/>
        <v>237044</v>
      </c>
      <c r="AS312" s="130">
        <f t="shared" si="492"/>
        <v>14026</v>
      </c>
      <c r="AT312" s="130">
        <f t="shared" si="493"/>
        <v>5278</v>
      </c>
      <c r="AU312" s="132">
        <f t="shared" si="494"/>
        <v>2.39</v>
      </c>
      <c r="AV312" s="132">
        <f t="shared" si="495"/>
        <v>0</v>
      </c>
      <c r="AW312" s="133">
        <f t="shared" si="496"/>
        <v>2.39</v>
      </c>
    </row>
    <row r="313" spans="1:49" ht="14.1" customHeight="1" x14ac:dyDescent="0.2">
      <c r="A313" s="137">
        <v>63</v>
      </c>
      <c r="B313" s="134">
        <v>2403</v>
      </c>
      <c r="C313" s="135">
        <v>600078931</v>
      </c>
      <c r="D313" s="134">
        <v>72744324</v>
      </c>
      <c r="E313" s="136" t="s">
        <v>702</v>
      </c>
      <c r="F313" s="137"/>
      <c r="G313" s="136"/>
      <c r="H313" s="138"/>
      <c r="I313" s="139">
        <f t="shared" ref="I313:P313" si="545">SUM(I310:I312)</f>
        <v>7287252</v>
      </c>
      <c r="J313" s="140">
        <f t="shared" si="545"/>
        <v>5331792</v>
      </c>
      <c r="K313" s="140">
        <f t="shared" si="545"/>
        <v>1802146</v>
      </c>
      <c r="L313" s="140">
        <f t="shared" si="545"/>
        <v>106636</v>
      </c>
      <c r="M313" s="140">
        <f t="shared" si="545"/>
        <v>46678</v>
      </c>
      <c r="N313" s="141">
        <f t="shared" si="545"/>
        <v>13.2582</v>
      </c>
      <c r="O313" s="141">
        <f t="shared" si="545"/>
        <v>8</v>
      </c>
      <c r="P313" s="142">
        <f t="shared" si="545"/>
        <v>5.2582000000000004</v>
      </c>
      <c r="Q313" s="342">
        <f t="shared" ref="Q313:AW313" si="546">SUM(Q310:Q312)</f>
        <v>0</v>
      </c>
      <c r="R313" s="140">
        <f t="shared" si="546"/>
        <v>259833</v>
      </c>
      <c r="S313" s="140">
        <f t="shared" si="546"/>
        <v>0</v>
      </c>
      <c r="T313" s="140">
        <f t="shared" si="546"/>
        <v>0</v>
      </c>
      <c r="U313" s="140">
        <f t="shared" si="546"/>
        <v>259833</v>
      </c>
      <c r="V313" s="140">
        <f t="shared" si="546"/>
        <v>0</v>
      </c>
      <c r="W313" s="140">
        <f t="shared" si="546"/>
        <v>0</v>
      </c>
      <c r="X313" s="140">
        <f t="shared" si="546"/>
        <v>0</v>
      </c>
      <c r="Y313" s="140">
        <f t="shared" si="546"/>
        <v>0</v>
      </c>
      <c r="Z313" s="140">
        <f t="shared" si="546"/>
        <v>259833</v>
      </c>
      <c r="AA313" s="140">
        <f t="shared" si="546"/>
        <v>87824</v>
      </c>
      <c r="AB313" s="140">
        <f t="shared" si="546"/>
        <v>5197</v>
      </c>
      <c r="AC313" s="140">
        <f t="shared" si="546"/>
        <v>0</v>
      </c>
      <c r="AD313" s="140">
        <f t="shared" si="546"/>
        <v>0</v>
      </c>
      <c r="AE313" s="140">
        <f t="shared" si="546"/>
        <v>0</v>
      </c>
      <c r="AF313" s="140">
        <f t="shared" si="546"/>
        <v>352854</v>
      </c>
      <c r="AG313" s="141">
        <f t="shared" si="546"/>
        <v>0</v>
      </c>
      <c r="AH313" s="141">
        <f t="shared" si="546"/>
        <v>0</v>
      </c>
      <c r="AI313" s="141">
        <f t="shared" si="546"/>
        <v>0.75</v>
      </c>
      <c r="AJ313" s="141">
        <f t="shared" si="546"/>
        <v>0</v>
      </c>
      <c r="AK313" s="141">
        <f t="shared" si="546"/>
        <v>0</v>
      </c>
      <c r="AL313" s="141">
        <f t="shared" si="546"/>
        <v>0.75</v>
      </c>
      <c r="AM313" s="141">
        <f t="shared" si="546"/>
        <v>0</v>
      </c>
      <c r="AN313" s="635">
        <f t="shared" si="546"/>
        <v>0.75</v>
      </c>
      <c r="AO313" s="139">
        <f t="shared" si="546"/>
        <v>7640106</v>
      </c>
      <c r="AP313" s="140">
        <f t="shared" si="546"/>
        <v>5591625</v>
      </c>
      <c r="AQ313" s="140">
        <f t="shared" si="546"/>
        <v>0</v>
      </c>
      <c r="AR313" s="140">
        <f t="shared" si="546"/>
        <v>1889970</v>
      </c>
      <c r="AS313" s="140">
        <f t="shared" si="546"/>
        <v>111833</v>
      </c>
      <c r="AT313" s="140">
        <f t="shared" si="546"/>
        <v>46678</v>
      </c>
      <c r="AU313" s="141">
        <f t="shared" si="546"/>
        <v>14.0082</v>
      </c>
      <c r="AV313" s="141">
        <f t="shared" si="546"/>
        <v>8.75</v>
      </c>
      <c r="AW313" s="142">
        <f t="shared" si="546"/>
        <v>5.2582000000000004</v>
      </c>
    </row>
    <row r="314" spans="1:49" ht="14.1" customHeight="1" x14ac:dyDescent="0.2">
      <c r="A314" s="124">
        <v>64</v>
      </c>
      <c r="B314" s="121">
        <v>2458</v>
      </c>
      <c r="C314" s="144">
        <v>600079741</v>
      </c>
      <c r="D314" s="121">
        <v>72744243</v>
      </c>
      <c r="E314" s="123" t="s">
        <v>703</v>
      </c>
      <c r="F314" s="124">
        <v>3113</v>
      </c>
      <c r="G314" s="123" t="s">
        <v>320</v>
      </c>
      <c r="H314" s="125" t="s">
        <v>283</v>
      </c>
      <c r="I314" s="126">
        <f t="shared" si="478"/>
        <v>21824691</v>
      </c>
      <c r="J314" s="127">
        <v>15743778</v>
      </c>
      <c r="K314" s="127">
        <f t="shared" si="479"/>
        <v>5321397</v>
      </c>
      <c r="L314" s="477">
        <f t="shared" si="480"/>
        <v>314876</v>
      </c>
      <c r="M314" s="127">
        <v>444640</v>
      </c>
      <c r="N314" s="390">
        <f t="shared" si="481"/>
        <v>30.453699999999998</v>
      </c>
      <c r="O314" s="390">
        <v>23.181899999999999</v>
      </c>
      <c r="P314" s="439">
        <v>7.2717999999999998</v>
      </c>
      <c r="Q314" s="129">
        <f t="shared" si="482"/>
        <v>0</v>
      </c>
      <c r="R314" s="130">
        <v>0</v>
      </c>
      <c r="S314" s="130">
        <v>0</v>
      </c>
      <c r="T314" s="130">
        <v>0</v>
      </c>
      <c r="U314" s="130">
        <f t="shared" si="483"/>
        <v>0</v>
      </c>
      <c r="V314" s="130">
        <v>0</v>
      </c>
      <c r="W314" s="130">
        <v>0</v>
      </c>
      <c r="X314" s="130">
        <v>0</v>
      </c>
      <c r="Y314" s="130">
        <f t="shared" ref="Y314:Y318" si="547">SUM(V314:X314)</f>
        <v>0</v>
      </c>
      <c r="Z314" s="130">
        <f t="shared" ref="Z314:Z318" si="548">U314+Y314</f>
        <v>0</v>
      </c>
      <c r="AA314" s="131">
        <f t="shared" ref="AA314:AA318" si="549">ROUND((U314+V314+W314)*33.8%,0)</f>
        <v>0</v>
      </c>
      <c r="AB314" s="131">
        <f t="shared" ref="AB314:AB318" si="550">ROUND(U314*2%,0)</f>
        <v>0</v>
      </c>
      <c r="AC314" s="130">
        <v>0</v>
      </c>
      <c r="AD314" s="130">
        <v>0</v>
      </c>
      <c r="AE314" s="130">
        <f t="shared" si="503"/>
        <v>0</v>
      </c>
      <c r="AF314" s="130">
        <f t="shared" si="504"/>
        <v>0</v>
      </c>
      <c r="AG314" s="132">
        <v>0</v>
      </c>
      <c r="AH314" s="132">
        <v>0</v>
      </c>
      <c r="AI314" s="132">
        <v>0</v>
      </c>
      <c r="AJ314" s="132">
        <v>0</v>
      </c>
      <c r="AK314" s="132">
        <v>0</v>
      </c>
      <c r="AL314" s="132">
        <f t="shared" si="505"/>
        <v>0</v>
      </c>
      <c r="AM314" s="132">
        <f>AH314+AK314</f>
        <v>0</v>
      </c>
      <c r="AN314" s="403">
        <f t="shared" si="507"/>
        <v>0</v>
      </c>
      <c r="AO314" s="128">
        <f t="shared" si="488"/>
        <v>21824691</v>
      </c>
      <c r="AP314" s="130">
        <f t="shared" si="489"/>
        <v>15743778</v>
      </c>
      <c r="AQ314" s="130">
        <f t="shared" si="490"/>
        <v>0</v>
      </c>
      <c r="AR314" s="130">
        <f t="shared" si="491"/>
        <v>5321397</v>
      </c>
      <c r="AS314" s="130">
        <f t="shared" si="492"/>
        <v>314876</v>
      </c>
      <c r="AT314" s="130">
        <f t="shared" si="493"/>
        <v>444640</v>
      </c>
      <c r="AU314" s="132">
        <f t="shared" si="494"/>
        <v>30.453699999999998</v>
      </c>
      <c r="AV314" s="132">
        <f t="shared" si="495"/>
        <v>23.181899999999999</v>
      </c>
      <c r="AW314" s="133">
        <f t="shared" si="496"/>
        <v>7.2717999999999998</v>
      </c>
    </row>
    <row r="315" spans="1:49" ht="14.1" customHeight="1" x14ac:dyDescent="0.2">
      <c r="A315" s="124">
        <v>64</v>
      </c>
      <c r="B315" s="121">
        <v>2458</v>
      </c>
      <c r="C315" s="144">
        <v>600079741</v>
      </c>
      <c r="D315" s="121">
        <v>72744243</v>
      </c>
      <c r="E315" s="123" t="s">
        <v>703</v>
      </c>
      <c r="F315" s="124">
        <v>3113</v>
      </c>
      <c r="G315" s="143" t="s">
        <v>318</v>
      </c>
      <c r="H315" s="125" t="s">
        <v>284</v>
      </c>
      <c r="I315" s="126">
        <f t="shared" si="478"/>
        <v>0</v>
      </c>
      <c r="J315" s="29">
        <v>0</v>
      </c>
      <c r="K315" s="127">
        <f t="shared" si="479"/>
        <v>0</v>
      </c>
      <c r="L315" s="477">
        <f t="shared" si="480"/>
        <v>0</v>
      </c>
      <c r="M315" s="29">
        <v>0</v>
      </c>
      <c r="N315" s="390">
        <f t="shared" si="481"/>
        <v>0</v>
      </c>
      <c r="O315" s="349">
        <v>0</v>
      </c>
      <c r="P315" s="639">
        <v>0</v>
      </c>
      <c r="Q315" s="129">
        <f t="shared" si="482"/>
        <v>0</v>
      </c>
      <c r="R315" s="130">
        <v>519666</v>
      </c>
      <c r="S315" s="130">
        <v>0</v>
      </c>
      <c r="T315" s="130">
        <v>0</v>
      </c>
      <c r="U315" s="130">
        <f t="shared" si="483"/>
        <v>519666</v>
      </c>
      <c r="V315" s="130">
        <v>0</v>
      </c>
      <c r="W315" s="130">
        <v>0</v>
      </c>
      <c r="X315" s="130">
        <v>0</v>
      </c>
      <c r="Y315" s="130">
        <f t="shared" si="547"/>
        <v>0</v>
      </c>
      <c r="Z315" s="130">
        <f t="shared" si="548"/>
        <v>519666</v>
      </c>
      <c r="AA315" s="131">
        <f t="shared" si="549"/>
        <v>175647</v>
      </c>
      <c r="AB315" s="131">
        <f t="shared" si="550"/>
        <v>10393</v>
      </c>
      <c r="AC315" s="130">
        <v>0</v>
      </c>
      <c r="AD315" s="130">
        <v>0</v>
      </c>
      <c r="AE315" s="130">
        <f t="shared" si="503"/>
        <v>0</v>
      </c>
      <c r="AF315" s="130">
        <f t="shared" si="504"/>
        <v>705706</v>
      </c>
      <c r="AG315" s="132">
        <v>0</v>
      </c>
      <c r="AH315" s="132">
        <v>0</v>
      </c>
      <c r="AI315" s="132">
        <v>1.5</v>
      </c>
      <c r="AJ315" s="132">
        <v>0</v>
      </c>
      <c r="AK315" s="132">
        <v>0</v>
      </c>
      <c r="AL315" s="132">
        <f t="shared" si="505"/>
        <v>1.5</v>
      </c>
      <c r="AM315" s="132">
        <f>AH315+AK315</f>
        <v>0</v>
      </c>
      <c r="AN315" s="403">
        <f t="shared" si="507"/>
        <v>1.5</v>
      </c>
      <c r="AO315" s="128">
        <f t="shared" si="488"/>
        <v>705706</v>
      </c>
      <c r="AP315" s="130">
        <f t="shared" si="489"/>
        <v>519666</v>
      </c>
      <c r="AQ315" s="130">
        <f t="shared" si="490"/>
        <v>0</v>
      </c>
      <c r="AR315" s="130">
        <f t="shared" si="491"/>
        <v>175647</v>
      </c>
      <c r="AS315" s="130">
        <f t="shared" si="492"/>
        <v>10393</v>
      </c>
      <c r="AT315" s="130">
        <f t="shared" si="493"/>
        <v>0</v>
      </c>
      <c r="AU315" s="132">
        <f t="shared" si="494"/>
        <v>1.5</v>
      </c>
      <c r="AV315" s="132">
        <f t="shared" si="495"/>
        <v>1.5</v>
      </c>
      <c r="AW315" s="133">
        <f t="shared" si="496"/>
        <v>0</v>
      </c>
    </row>
    <row r="316" spans="1:49" ht="14.1" customHeight="1" x14ac:dyDescent="0.2">
      <c r="A316" s="124">
        <v>64</v>
      </c>
      <c r="B316" s="121">
        <v>2458</v>
      </c>
      <c r="C316" s="144">
        <v>600079741</v>
      </c>
      <c r="D316" s="121">
        <v>72744243</v>
      </c>
      <c r="E316" s="123" t="s">
        <v>703</v>
      </c>
      <c r="F316" s="124">
        <v>3141</v>
      </c>
      <c r="G316" s="123" t="s">
        <v>321</v>
      </c>
      <c r="H316" s="125" t="s">
        <v>284</v>
      </c>
      <c r="I316" s="126">
        <f t="shared" si="478"/>
        <v>2006606</v>
      </c>
      <c r="J316" s="666">
        <v>1465182</v>
      </c>
      <c r="K316" s="127">
        <f t="shared" si="479"/>
        <v>495232</v>
      </c>
      <c r="L316" s="477">
        <f t="shared" si="480"/>
        <v>29304</v>
      </c>
      <c r="M316" s="666">
        <v>16888</v>
      </c>
      <c r="N316" s="390">
        <f t="shared" si="481"/>
        <v>4.9800000000000004</v>
      </c>
      <c r="O316" s="668">
        <v>0</v>
      </c>
      <c r="P316" s="667">
        <v>4.9800000000000004</v>
      </c>
      <c r="Q316" s="129">
        <f t="shared" si="482"/>
        <v>0</v>
      </c>
      <c r="R316" s="130">
        <v>0</v>
      </c>
      <c r="S316" s="130">
        <v>0</v>
      </c>
      <c r="T316" s="130">
        <v>0</v>
      </c>
      <c r="U316" s="130">
        <f t="shared" si="483"/>
        <v>0</v>
      </c>
      <c r="V316" s="130">
        <v>0</v>
      </c>
      <c r="W316" s="130">
        <v>0</v>
      </c>
      <c r="X316" s="130">
        <v>0</v>
      </c>
      <c r="Y316" s="130">
        <f t="shared" si="547"/>
        <v>0</v>
      </c>
      <c r="Z316" s="130">
        <f t="shared" si="548"/>
        <v>0</v>
      </c>
      <c r="AA316" s="131">
        <f t="shared" si="549"/>
        <v>0</v>
      </c>
      <c r="AB316" s="131">
        <f t="shared" si="550"/>
        <v>0</v>
      </c>
      <c r="AC316" s="130">
        <v>0</v>
      </c>
      <c r="AD316" s="130">
        <v>0</v>
      </c>
      <c r="AE316" s="130">
        <f t="shared" si="503"/>
        <v>0</v>
      </c>
      <c r="AF316" s="130">
        <f t="shared" si="504"/>
        <v>0</v>
      </c>
      <c r="AG316" s="132">
        <v>0</v>
      </c>
      <c r="AH316" s="132">
        <v>0</v>
      </c>
      <c r="AI316" s="132">
        <v>0</v>
      </c>
      <c r="AJ316" s="132">
        <v>0</v>
      </c>
      <c r="AK316" s="132">
        <v>0</v>
      </c>
      <c r="AL316" s="132">
        <f t="shared" si="505"/>
        <v>0</v>
      </c>
      <c r="AM316" s="132">
        <f>AH316+AK316</f>
        <v>0</v>
      </c>
      <c r="AN316" s="403">
        <f t="shared" si="507"/>
        <v>0</v>
      </c>
      <c r="AO316" s="128">
        <f t="shared" si="488"/>
        <v>2006606</v>
      </c>
      <c r="AP316" s="130">
        <f t="shared" si="489"/>
        <v>1465182</v>
      </c>
      <c r="AQ316" s="130">
        <f t="shared" si="490"/>
        <v>0</v>
      </c>
      <c r="AR316" s="130">
        <f t="shared" si="491"/>
        <v>495232</v>
      </c>
      <c r="AS316" s="130">
        <f t="shared" si="492"/>
        <v>29304</v>
      </c>
      <c r="AT316" s="130">
        <f t="shared" si="493"/>
        <v>16888</v>
      </c>
      <c r="AU316" s="132">
        <f t="shared" si="494"/>
        <v>4.9800000000000004</v>
      </c>
      <c r="AV316" s="132">
        <f t="shared" si="495"/>
        <v>0</v>
      </c>
      <c r="AW316" s="133">
        <f t="shared" si="496"/>
        <v>4.9800000000000004</v>
      </c>
    </row>
    <row r="317" spans="1:49" ht="14.1" customHeight="1" x14ac:dyDescent="0.2">
      <c r="A317" s="124">
        <v>64</v>
      </c>
      <c r="B317" s="121">
        <v>2458</v>
      </c>
      <c r="C317" s="144">
        <v>600079741</v>
      </c>
      <c r="D317" s="121">
        <v>72744243</v>
      </c>
      <c r="E317" s="123" t="s">
        <v>703</v>
      </c>
      <c r="F317" s="124">
        <v>3143</v>
      </c>
      <c r="G317" s="145" t="s">
        <v>635</v>
      </c>
      <c r="H317" s="125" t="s">
        <v>283</v>
      </c>
      <c r="I317" s="126">
        <f t="shared" si="478"/>
        <v>1852124</v>
      </c>
      <c r="J317" s="631">
        <v>1363862</v>
      </c>
      <c r="K317" s="127">
        <f t="shared" si="479"/>
        <v>460985</v>
      </c>
      <c r="L317" s="477">
        <f t="shared" si="480"/>
        <v>27277</v>
      </c>
      <c r="M317" s="478">
        <v>0</v>
      </c>
      <c r="N317" s="390">
        <f t="shared" si="481"/>
        <v>3.0068999999999999</v>
      </c>
      <c r="O317" s="644">
        <v>3.0068999999999999</v>
      </c>
      <c r="P317" s="639">
        <v>0</v>
      </c>
      <c r="Q317" s="129">
        <f t="shared" si="482"/>
        <v>0</v>
      </c>
      <c r="R317" s="130">
        <v>0</v>
      </c>
      <c r="S317" s="130">
        <v>0</v>
      </c>
      <c r="T317" s="130">
        <v>0</v>
      </c>
      <c r="U317" s="130">
        <f t="shared" si="483"/>
        <v>0</v>
      </c>
      <c r="V317" s="130">
        <v>0</v>
      </c>
      <c r="W317" s="130">
        <v>0</v>
      </c>
      <c r="X317" s="130">
        <v>0</v>
      </c>
      <c r="Y317" s="130">
        <f t="shared" si="547"/>
        <v>0</v>
      </c>
      <c r="Z317" s="130">
        <f t="shared" si="548"/>
        <v>0</v>
      </c>
      <c r="AA317" s="131">
        <f t="shared" si="549"/>
        <v>0</v>
      </c>
      <c r="AB317" s="131">
        <f t="shared" si="550"/>
        <v>0</v>
      </c>
      <c r="AC317" s="130">
        <v>0</v>
      </c>
      <c r="AD317" s="130">
        <v>0</v>
      </c>
      <c r="AE317" s="130">
        <f t="shared" si="503"/>
        <v>0</v>
      </c>
      <c r="AF317" s="130">
        <f t="shared" si="504"/>
        <v>0</v>
      </c>
      <c r="AG317" s="132">
        <v>0</v>
      </c>
      <c r="AH317" s="132">
        <v>0</v>
      </c>
      <c r="AI317" s="132">
        <v>0</v>
      </c>
      <c r="AJ317" s="132">
        <v>0</v>
      </c>
      <c r="AK317" s="132">
        <v>0</v>
      </c>
      <c r="AL317" s="132">
        <f t="shared" si="505"/>
        <v>0</v>
      </c>
      <c r="AM317" s="132">
        <f>AH317+AK317</f>
        <v>0</v>
      </c>
      <c r="AN317" s="403">
        <f t="shared" si="507"/>
        <v>0</v>
      </c>
      <c r="AO317" s="128">
        <f t="shared" si="488"/>
        <v>1852124</v>
      </c>
      <c r="AP317" s="130">
        <f t="shared" si="489"/>
        <v>1363862</v>
      </c>
      <c r="AQ317" s="130">
        <f t="shared" si="490"/>
        <v>0</v>
      </c>
      <c r="AR317" s="130">
        <f t="shared" si="491"/>
        <v>460985</v>
      </c>
      <c r="AS317" s="130">
        <f t="shared" si="492"/>
        <v>27277</v>
      </c>
      <c r="AT317" s="130">
        <f t="shared" si="493"/>
        <v>0</v>
      </c>
      <c r="AU317" s="132">
        <f t="shared" si="494"/>
        <v>3.0068999999999999</v>
      </c>
      <c r="AV317" s="132">
        <f t="shared" si="495"/>
        <v>3.0068999999999999</v>
      </c>
      <c r="AW317" s="133">
        <f t="shared" si="496"/>
        <v>0</v>
      </c>
    </row>
    <row r="318" spans="1:49" ht="14.1" customHeight="1" x14ac:dyDescent="0.2">
      <c r="A318" s="124">
        <v>64</v>
      </c>
      <c r="B318" s="121">
        <v>2458</v>
      </c>
      <c r="C318" s="144">
        <v>600079741</v>
      </c>
      <c r="D318" s="121">
        <v>72744243</v>
      </c>
      <c r="E318" s="123" t="s">
        <v>703</v>
      </c>
      <c r="F318" s="124">
        <v>3143</v>
      </c>
      <c r="G318" s="145" t="s">
        <v>636</v>
      </c>
      <c r="H318" s="125" t="s">
        <v>284</v>
      </c>
      <c r="I318" s="126">
        <f t="shared" si="478"/>
        <v>59688</v>
      </c>
      <c r="J318" s="664">
        <v>42075</v>
      </c>
      <c r="K318" s="127">
        <f t="shared" si="479"/>
        <v>14221</v>
      </c>
      <c r="L318" s="477">
        <f t="shared" si="480"/>
        <v>842</v>
      </c>
      <c r="M318" s="664">
        <v>2550</v>
      </c>
      <c r="N318" s="390">
        <f t="shared" si="481"/>
        <v>0.18</v>
      </c>
      <c r="O318" s="665">
        <v>0</v>
      </c>
      <c r="P318" s="667">
        <v>0.18</v>
      </c>
      <c r="Q318" s="129">
        <f t="shared" si="482"/>
        <v>0</v>
      </c>
      <c r="R318" s="130">
        <v>0</v>
      </c>
      <c r="S318" s="130">
        <v>0</v>
      </c>
      <c r="T318" s="130">
        <v>0</v>
      </c>
      <c r="U318" s="130">
        <f t="shared" si="483"/>
        <v>0</v>
      </c>
      <c r="V318" s="130">
        <v>0</v>
      </c>
      <c r="W318" s="130">
        <v>0</v>
      </c>
      <c r="X318" s="130">
        <v>0</v>
      </c>
      <c r="Y318" s="130">
        <f t="shared" si="547"/>
        <v>0</v>
      </c>
      <c r="Z318" s="130">
        <f t="shared" si="548"/>
        <v>0</v>
      </c>
      <c r="AA318" s="131">
        <f t="shared" si="549"/>
        <v>0</v>
      </c>
      <c r="AB318" s="131">
        <f t="shared" si="550"/>
        <v>0</v>
      </c>
      <c r="AC318" s="130">
        <v>0</v>
      </c>
      <c r="AD318" s="130">
        <v>0</v>
      </c>
      <c r="AE318" s="130">
        <f t="shared" si="503"/>
        <v>0</v>
      </c>
      <c r="AF318" s="130">
        <f t="shared" si="504"/>
        <v>0</v>
      </c>
      <c r="AG318" s="132">
        <v>0</v>
      </c>
      <c r="AH318" s="132">
        <v>0</v>
      </c>
      <c r="AI318" s="132">
        <v>0</v>
      </c>
      <c r="AJ318" s="132">
        <v>0</v>
      </c>
      <c r="AK318" s="132">
        <v>0</v>
      </c>
      <c r="AL318" s="132">
        <f t="shared" si="505"/>
        <v>0</v>
      </c>
      <c r="AM318" s="132">
        <f>AH318+AK318</f>
        <v>0</v>
      </c>
      <c r="AN318" s="403">
        <f t="shared" si="507"/>
        <v>0</v>
      </c>
      <c r="AO318" s="128">
        <f t="shared" si="488"/>
        <v>59688</v>
      </c>
      <c r="AP318" s="130">
        <f t="shared" si="489"/>
        <v>42075</v>
      </c>
      <c r="AQ318" s="130">
        <f t="shared" si="490"/>
        <v>0</v>
      </c>
      <c r="AR318" s="130">
        <f t="shared" si="491"/>
        <v>14221</v>
      </c>
      <c r="AS318" s="130">
        <f t="shared" si="492"/>
        <v>842</v>
      </c>
      <c r="AT318" s="130">
        <f t="shared" si="493"/>
        <v>2550</v>
      </c>
      <c r="AU318" s="132">
        <f t="shared" si="494"/>
        <v>0.18</v>
      </c>
      <c r="AV318" s="132">
        <f t="shared" si="495"/>
        <v>0</v>
      </c>
      <c r="AW318" s="133">
        <f t="shared" si="496"/>
        <v>0.18</v>
      </c>
    </row>
    <row r="319" spans="1:49" ht="14.1" customHeight="1" x14ac:dyDescent="0.2">
      <c r="A319" s="137">
        <v>64</v>
      </c>
      <c r="B319" s="134">
        <v>2458</v>
      </c>
      <c r="C319" s="146">
        <v>600079741</v>
      </c>
      <c r="D319" s="134">
        <v>72744243</v>
      </c>
      <c r="E319" s="136" t="s">
        <v>704</v>
      </c>
      <c r="F319" s="137"/>
      <c r="G319" s="136"/>
      <c r="H319" s="138"/>
      <c r="I319" s="139">
        <f t="shared" ref="I319:P319" si="551">SUM(I314:I318)</f>
        <v>25743109</v>
      </c>
      <c r="J319" s="140">
        <f t="shared" si="551"/>
        <v>18614897</v>
      </c>
      <c r="K319" s="140">
        <f t="shared" si="551"/>
        <v>6291835</v>
      </c>
      <c r="L319" s="140">
        <f t="shared" si="551"/>
        <v>372299</v>
      </c>
      <c r="M319" s="140">
        <f t="shared" si="551"/>
        <v>464078</v>
      </c>
      <c r="N319" s="141">
        <f t="shared" si="551"/>
        <v>38.620600000000003</v>
      </c>
      <c r="O319" s="141">
        <f t="shared" si="551"/>
        <v>26.188800000000001</v>
      </c>
      <c r="P319" s="142">
        <f t="shared" si="551"/>
        <v>12.431799999999999</v>
      </c>
      <c r="Q319" s="342">
        <f t="shared" ref="Q319:AW319" si="552">SUM(Q314:Q318)</f>
        <v>0</v>
      </c>
      <c r="R319" s="140">
        <f t="shared" si="552"/>
        <v>519666</v>
      </c>
      <c r="S319" s="140">
        <f t="shared" si="552"/>
        <v>0</v>
      </c>
      <c r="T319" s="140">
        <f t="shared" si="552"/>
        <v>0</v>
      </c>
      <c r="U319" s="140">
        <f t="shared" si="552"/>
        <v>519666</v>
      </c>
      <c r="V319" s="140">
        <f t="shared" si="552"/>
        <v>0</v>
      </c>
      <c r="W319" s="140">
        <f t="shared" si="552"/>
        <v>0</v>
      </c>
      <c r="X319" s="140">
        <f t="shared" si="552"/>
        <v>0</v>
      </c>
      <c r="Y319" s="140">
        <f t="shared" si="552"/>
        <v>0</v>
      </c>
      <c r="Z319" s="140">
        <f t="shared" si="552"/>
        <v>519666</v>
      </c>
      <c r="AA319" s="140">
        <f t="shared" si="552"/>
        <v>175647</v>
      </c>
      <c r="AB319" s="140">
        <f t="shared" si="552"/>
        <v>10393</v>
      </c>
      <c r="AC319" s="140">
        <f t="shared" si="552"/>
        <v>0</v>
      </c>
      <c r="AD319" s="140">
        <f t="shared" si="552"/>
        <v>0</v>
      </c>
      <c r="AE319" s="140">
        <f t="shared" si="552"/>
        <v>0</v>
      </c>
      <c r="AF319" s="140">
        <f t="shared" si="552"/>
        <v>705706</v>
      </c>
      <c r="AG319" s="141">
        <f t="shared" si="552"/>
        <v>0</v>
      </c>
      <c r="AH319" s="141">
        <f t="shared" si="552"/>
        <v>0</v>
      </c>
      <c r="AI319" s="141">
        <f t="shared" si="552"/>
        <v>1.5</v>
      </c>
      <c r="AJ319" s="141">
        <f t="shared" si="552"/>
        <v>0</v>
      </c>
      <c r="AK319" s="141">
        <f t="shared" si="552"/>
        <v>0</v>
      </c>
      <c r="AL319" s="141">
        <f t="shared" si="552"/>
        <v>1.5</v>
      </c>
      <c r="AM319" s="141">
        <f t="shared" si="552"/>
        <v>0</v>
      </c>
      <c r="AN319" s="635">
        <f t="shared" si="552"/>
        <v>1.5</v>
      </c>
      <c r="AO319" s="139">
        <f t="shared" si="552"/>
        <v>26448815</v>
      </c>
      <c r="AP319" s="140">
        <f t="shared" si="552"/>
        <v>19134563</v>
      </c>
      <c r="AQ319" s="140">
        <f t="shared" si="552"/>
        <v>0</v>
      </c>
      <c r="AR319" s="140">
        <f t="shared" si="552"/>
        <v>6467482</v>
      </c>
      <c r="AS319" s="140">
        <f t="shared" si="552"/>
        <v>382692</v>
      </c>
      <c r="AT319" s="140">
        <f t="shared" si="552"/>
        <v>464078</v>
      </c>
      <c r="AU319" s="141">
        <f t="shared" si="552"/>
        <v>40.120600000000003</v>
      </c>
      <c r="AV319" s="141">
        <f t="shared" si="552"/>
        <v>27.688800000000001</v>
      </c>
      <c r="AW319" s="142">
        <f t="shared" si="552"/>
        <v>12.431799999999999</v>
      </c>
    </row>
    <row r="320" spans="1:49" ht="14.1" customHeight="1" x14ac:dyDescent="0.2">
      <c r="A320" s="124">
        <v>65</v>
      </c>
      <c r="B320" s="121">
        <v>2316</v>
      </c>
      <c r="C320" s="122">
        <v>600080439</v>
      </c>
      <c r="D320" s="121">
        <v>70983224</v>
      </c>
      <c r="E320" s="123" t="s">
        <v>705</v>
      </c>
      <c r="F320" s="124">
        <v>3233</v>
      </c>
      <c r="G320" s="123" t="s">
        <v>324</v>
      </c>
      <c r="H320" s="125" t="s">
        <v>284</v>
      </c>
      <c r="I320" s="126">
        <f t="shared" si="478"/>
        <v>2137956</v>
      </c>
      <c r="J320" s="478">
        <v>1567149</v>
      </c>
      <c r="K320" s="127">
        <f t="shared" si="479"/>
        <v>529696</v>
      </c>
      <c r="L320" s="477">
        <f t="shared" si="480"/>
        <v>31343</v>
      </c>
      <c r="M320" s="478">
        <v>9768</v>
      </c>
      <c r="N320" s="390">
        <f t="shared" si="481"/>
        <v>3.5</v>
      </c>
      <c r="O320" s="349">
        <v>2.5</v>
      </c>
      <c r="P320" s="639">
        <v>1</v>
      </c>
      <c r="Q320" s="129">
        <f t="shared" si="482"/>
        <v>-24000</v>
      </c>
      <c r="R320" s="130">
        <v>0</v>
      </c>
      <c r="S320" s="130">
        <v>0</v>
      </c>
      <c r="T320" s="130">
        <v>0</v>
      </c>
      <c r="U320" s="130">
        <f t="shared" si="483"/>
        <v>-24000</v>
      </c>
      <c r="V320" s="130">
        <v>24000</v>
      </c>
      <c r="W320" s="130">
        <v>0</v>
      </c>
      <c r="X320" s="130">
        <v>0</v>
      </c>
      <c r="Y320" s="130">
        <f t="shared" ref="Y320" si="553">SUM(V320:X320)</f>
        <v>24000</v>
      </c>
      <c r="Z320" s="130">
        <f>U320+Y320</f>
        <v>0</v>
      </c>
      <c r="AA320" s="131">
        <f>ROUND((U320+V320+W320)*33.8%,0)</f>
        <v>0</v>
      </c>
      <c r="AB320" s="131">
        <f>ROUND(U320*2%,0)</f>
        <v>-480</v>
      </c>
      <c r="AC320" s="130">
        <v>0</v>
      </c>
      <c r="AD320" s="130">
        <v>0</v>
      </c>
      <c r="AE320" s="130">
        <f t="shared" si="503"/>
        <v>0</v>
      </c>
      <c r="AF320" s="130">
        <f t="shared" si="504"/>
        <v>-480</v>
      </c>
      <c r="AG320" s="132">
        <v>-0.02</v>
      </c>
      <c r="AH320" s="132">
        <v>-0.03</v>
      </c>
      <c r="AI320" s="132">
        <v>0</v>
      </c>
      <c r="AJ320" s="132">
        <v>0</v>
      </c>
      <c r="AK320" s="132">
        <v>0</v>
      </c>
      <c r="AL320" s="132">
        <f t="shared" si="505"/>
        <v>-0.02</v>
      </c>
      <c r="AM320" s="132">
        <f>AH320+AK320</f>
        <v>-0.03</v>
      </c>
      <c r="AN320" s="403">
        <f t="shared" si="507"/>
        <v>-0.05</v>
      </c>
      <c r="AO320" s="128">
        <f t="shared" si="488"/>
        <v>2137476</v>
      </c>
      <c r="AP320" s="130">
        <f t="shared" si="489"/>
        <v>1543149</v>
      </c>
      <c r="AQ320" s="130">
        <f t="shared" si="490"/>
        <v>24000</v>
      </c>
      <c r="AR320" s="130">
        <f t="shared" si="491"/>
        <v>529696</v>
      </c>
      <c r="AS320" s="130">
        <f t="shared" si="492"/>
        <v>30863</v>
      </c>
      <c r="AT320" s="130">
        <f t="shared" si="493"/>
        <v>9768</v>
      </c>
      <c r="AU320" s="132">
        <f t="shared" si="494"/>
        <v>3.45</v>
      </c>
      <c r="AV320" s="132">
        <f t="shared" si="495"/>
        <v>2.48</v>
      </c>
      <c r="AW320" s="133">
        <f t="shared" si="496"/>
        <v>0.97</v>
      </c>
    </row>
    <row r="321" spans="1:49" ht="14.1" customHeight="1" x14ac:dyDescent="0.2">
      <c r="A321" s="137">
        <v>65</v>
      </c>
      <c r="B321" s="134">
        <v>2316</v>
      </c>
      <c r="C321" s="135">
        <v>600080439</v>
      </c>
      <c r="D321" s="134">
        <v>70983224</v>
      </c>
      <c r="E321" s="136" t="s">
        <v>706</v>
      </c>
      <c r="F321" s="137"/>
      <c r="G321" s="136"/>
      <c r="H321" s="138"/>
      <c r="I321" s="139">
        <f t="shared" ref="I321:P321" si="554">SUM(I320)</f>
        <v>2137956</v>
      </c>
      <c r="J321" s="140">
        <f t="shared" si="554"/>
        <v>1567149</v>
      </c>
      <c r="K321" s="140">
        <f t="shared" si="554"/>
        <v>529696</v>
      </c>
      <c r="L321" s="140">
        <f t="shared" si="554"/>
        <v>31343</v>
      </c>
      <c r="M321" s="140">
        <f t="shared" si="554"/>
        <v>9768</v>
      </c>
      <c r="N321" s="141">
        <f t="shared" si="554"/>
        <v>3.5</v>
      </c>
      <c r="O321" s="141">
        <f t="shared" si="554"/>
        <v>2.5</v>
      </c>
      <c r="P321" s="142">
        <f t="shared" si="554"/>
        <v>1</v>
      </c>
      <c r="Q321" s="342">
        <f t="shared" ref="Q321:AW321" si="555">SUM(Q320)</f>
        <v>-24000</v>
      </c>
      <c r="R321" s="140">
        <f t="shared" si="555"/>
        <v>0</v>
      </c>
      <c r="S321" s="140">
        <f t="shared" si="555"/>
        <v>0</v>
      </c>
      <c r="T321" s="140">
        <f t="shared" si="555"/>
        <v>0</v>
      </c>
      <c r="U321" s="140">
        <f t="shared" si="555"/>
        <v>-24000</v>
      </c>
      <c r="V321" s="140">
        <f t="shared" si="555"/>
        <v>24000</v>
      </c>
      <c r="W321" s="140">
        <f t="shared" si="555"/>
        <v>0</v>
      </c>
      <c r="X321" s="140">
        <f t="shared" si="555"/>
        <v>0</v>
      </c>
      <c r="Y321" s="140">
        <f t="shared" si="555"/>
        <v>24000</v>
      </c>
      <c r="Z321" s="140">
        <f t="shared" si="555"/>
        <v>0</v>
      </c>
      <c r="AA321" s="140">
        <f t="shared" si="555"/>
        <v>0</v>
      </c>
      <c r="AB321" s="140">
        <f t="shared" si="555"/>
        <v>-480</v>
      </c>
      <c r="AC321" s="140">
        <f t="shared" si="555"/>
        <v>0</v>
      </c>
      <c r="AD321" s="140">
        <f t="shared" si="555"/>
        <v>0</v>
      </c>
      <c r="AE321" s="140">
        <f t="shared" si="555"/>
        <v>0</v>
      </c>
      <c r="AF321" s="140">
        <f t="shared" si="555"/>
        <v>-480</v>
      </c>
      <c r="AG321" s="141">
        <f t="shared" si="555"/>
        <v>-0.02</v>
      </c>
      <c r="AH321" s="141">
        <f t="shared" si="555"/>
        <v>-0.03</v>
      </c>
      <c r="AI321" s="141">
        <f t="shared" si="555"/>
        <v>0</v>
      </c>
      <c r="AJ321" s="141">
        <f t="shared" si="555"/>
        <v>0</v>
      </c>
      <c r="AK321" s="141">
        <f t="shared" si="555"/>
        <v>0</v>
      </c>
      <c r="AL321" s="141">
        <f t="shared" si="555"/>
        <v>-0.02</v>
      </c>
      <c r="AM321" s="141">
        <f t="shared" si="555"/>
        <v>-0.03</v>
      </c>
      <c r="AN321" s="635">
        <f t="shared" si="555"/>
        <v>-0.05</v>
      </c>
      <c r="AO321" s="139">
        <f t="shared" si="555"/>
        <v>2137476</v>
      </c>
      <c r="AP321" s="140">
        <f t="shared" si="555"/>
        <v>1543149</v>
      </c>
      <c r="AQ321" s="140">
        <f t="shared" si="555"/>
        <v>24000</v>
      </c>
      <c r="AR321" s="140">
        <f t="shared" si="555"/>
        <v>529696</v>
      </c>
      <c r="AS321" s="140">
        <f t="shared" si="555"/>
        <v>30863</v>
      </c>
      <c r="AT321" s="140">
        <f t="shared" si="555"/>
        <v>9768</v>
      </c>
      <c r="AU321" s="141">
        <f t="shared" si="555"/>
        <v>3.45</v>
      </c>
      <c r="AV321" s="141">
        <f t="shared" si="555"/>
        <v>2.48</v>
      </c>
      <c r="AW321" s="142">
        <f t="shared" si="555"/>
        <v>0.97</v>
      </c>
    </row>
    <row r="322" spans="1:49" ht="14.1" customHeight="1" x14ac:dyDescent="0.2">
      <c r="A322" s="124">
        <v>66</v>
      </c>
      <c r="B322" s="121">
        <v>2402</v>
      </c>
      <c r="C322" s="122">
        <v>600078949</v>
      </c>
      <c r="D322" s="121">
        <v>70983208</v>
      </c>
      <c r="E322" s="123" t="s">
        <v>707</v>
      </c>
      <c r="F322" s="124">
        <v>3111</v>
      </c>
      <c r="G322" s="123" t="s">
        <v>317</v>
      </c>
      <c r="H322" s="125" t="s">
        <v>283</v>
      </c>
      <c r="I322" s="126">
        <f t="shared" si="478"/>
        <v>6477766</v>
      </c>
      <c r="J322" s="127">
        <v>4740586</v>
      </c>
      <c r="K322" s="127">
        <f t="shared" si="479"/>
        <v>1602318</v>
      </c>
      <c r="L322" s="477">
        <f t="shared" si="480"/>
        <v>94812</v>
      </c>
      <c r="M322" s="127">
        <v>40050</v>
      </c>
      <c r="N322" s="390">
        <f t="shared" si="481"/>
        <v>11.2682</v>
      </c>
      <c r="O322" s="390">
        <v>8</v>
      </c>
      <c r="P322" s="439">
        <v>3.2681999999999998</v>
      </c>
      <c r="Q322" s="129">
        <f t="shared" si="482"/>
        <v>0</v>
      </c>
      <c r="R322" s="130">
        <v>0</v>
      </c>
      <c r="S322" s="130">
        <v>0</v>
      </c>
      <c r="T322" s="130">
        <v>0</v>
      </c>
      <c r="U322" s="130">
        <f t="shared" si="483"/>
        <v>0</v>
      </c>
      <c r="V322" s="130">
        <v>0</v>
      </c>
      <c r="W322" s="130">
        <v>0</v>
      </c>
      <c r="X322" s="130">
        <v>0</v>
      </c>
      <c r="Y322" s="130">
        <f t="shared" ref="Y322:Y323" si="556">SUM(V322:X322)</f>
        <v>0</v>
      </c>
      <c r="Z322" s="130">
        <f t="shared" ref="Z322:Z323" si="557">U322+Y322</f>
        <v>0</v>
      </c>
      <c r="AA322" s="131">
        <f t="shared" ref="AA322:AA323" si="558">ROUND((U322+V322+W322)*33.8%,0)</f>
        <v>0</v>
      </c>
      <c r="AB322" s="131">
        <f t="shared" ref="AB322:AB323" si="559">ROUND(U322*2%,0)</f>
        <v>0</v>
      </c>
      <c r="AC322" s="130">
        <v>0</v>
      </c>
      <c r="AD322" s="130">
        <v>0</v>
      </c>
      <c r="AE322" s="130">
        <f t="shared" si="503"/>
        <v>0</v>
      </c>
      <c r="AF322" s="130">
        <f t="shared" si="504"/>
        <v>0</v>
      </c>
      <c r="AG322" s="132">
        <v>0</v>
      </c>
      <c r="AH322" s="132">
        <v>0</v>
      </c>
      <c r="AI322" s="132">
        <v>0</v>
      </c>
      <c r="AJ322" s="132">
        <v>0</v>
      </c>
      <c r="AK322" s="132">
        <v>0</v>
      </c>
      <c r="AL322" s="132">
        <f t="shared" si="505"/>
        <v>0</v>
      </c>
      <c r="AM322" s="132">
        <f>AH322+AK322</f>
        <v>0</v>
      </c>
      <c r="AN322" s="403">
        <f t="shared" si="507"/>
        <v>0</v>
      </c>
      <c r="AO322" s="128">
        <f t="shared" si="488"/>
        <v>6477766</v>
      </c>
      <c r="AP322" s="130">
        <f t="shared" si="489"/>
        <v>4740586</v>
      </c>
      <c r="AQ322" s="130">
        <f t="shared" si="490"/>
        <v>0</v>
      </c>
      <c r="AR322" s="130">
        <f t="shared" si="491"/>
        <v>1602318</v>
      </c>
      <c r="AS322" s="130">
        <f t="shared" si="492"/>
        <v>94812</v>
      </c>
      <c r="AT322" s="130">
        <f t="shared" si="493"/>
        <v>40050</v>
      </c>
      <c r="AU322" s="132">
        <f t="shared" si="494"/>
        <v>11.2682</v>
      </c>
      <c r="AV322" s="132">
        <f t="shared" si="495"/>
        <v>8</v>
      </c>
      <c r="AW322" s="133">
        <f t="shared" si="496"/>
        <v>3.2681999999999998</v>
      </c>
    </row>
    <row r="323" spans="1:49" ht="14.1" customHeight="1" x14ac:dyDescent="0.2">
      <c r="A323" s="124">
        <v>66</v>
      </c>
      <c r="B323" s="121">
        <v>2402</v>
      </c>
      <c r="C323" s="122">
        <v>600078949</v>
      </c>
      <c r="D323" s="121">
        <v>70983208</v>
      </c>
      <c r="E323" s="123" t="s">
        <v>707</v>
      </c>
      <c r="F323" s="124">
        <v>3141</v>
      </c>
      <c r="G323" s="123" t="s">
        <v>321</v>
      </c>
      <c r="H323" s="125" t="s">
        <v>284</v>
      </c>
      <c r="I323" s="126">
        <f t="shared" si="478"/>
        <v>1136138</v>
      </c>
      <c r="J323" s="666">
        <v>832507</v>
      </c>
      <c r="K323" s="127">
        <f t="shared" si="479"/>
        <v>281387</v>
      </c>
      <c r="L323" s="477">
        <f t="shared" si="480"/>
        <v>16650</v>
      </c>
      <c r="M323" s="666">
        <v>5594</v>
      </c>
      <c r="N323" s="390">
        <f t="shared" si="481"/>
        <v>2.83</v>
      </c>
      <c r="O323" s="668">
        <v>0</v>
      </c>
      <c r="P323" s="674">
        <v>2.83</v>
      </c>
      <c r="Q323" s="129">
        <f t="shared" si="482"/>
        <v>0</v>
      </c>
      <c r="R323" s="130">
        <v>0</v>
      </c>
      <c r="S323" s="130">
        <v>0</v>
      </c>
      <c r="T323" s="130">
        <v>0</v>
      </c>
      <c r="U323" s="130">
        <f t="shared" si="483"/>
        <v>0</v>
      </c>
      <c r="V323" s="130">
        <v>0</v>
      </c>
      <c r="W323" s="130">
        <v>0</v>
      </c>
      <c r="X323" s="130">
        <v>0</v>
      </c>
      <c r="Y323" s="130">
        <f t="shared" si="556"/>
        <v>0</v>
      </c>
      <c r="Z323" s="130">
        <f t="shared" si="557"/>
        <v>0</v>
      </c>
      <c r="AA323" s="131">
        <f t="shared" si="558"/>
        <v>0</v>
      </c>
      <c r="AB323" s="131">
        <f t="shared" si="559"/>
        <v>0</v>
      </c>
      <c r="AC323" s="130">
        <v>0</v>
      </c>
      <c r="AD323" s="130">
        <v>0</v>
      </c>
      <c r="AE323" s="130">
        <f t="shared" si="503"/>
        <v>0</v>
      </c>
      <c r="AF323" s="130">
        <f t="shared" si="504"/>
        <v>0</v>
      </c>
      <c r="AG323" s="132">
        <v>0</v>
      </c>
      <c r="AH323" s="132">
        <v>0</v>
      </c>
      <c r="AI323" s="132">
        <v>0</v>
      </c>
      <c r="AJ323" s="132">
        <v>0</v>
      </c>
      <c r="AK323" s="132">
        <v>0</v>
      </c>
      <c r="AL323" s="132">
        <f t="shared" si="505"/>
        <v>0</v>
      </c>
      <c r="AM323" s="132">
        <f>AH323+AK323</f>
        <v>0</v>
      </c>
      <c r="AN323" s="403">
        <f t="shared" si="507"/>
        <v>0</v>
      </c>
      <c r="AO323" s="128">
        <f t="shared" si="488"/>
        <v>1136138</v>
      </c>
      <c r="AP323" s="130">
        <f t="shared" si="489"/>
        <v>832507</v>
      </c>
      <c r="AQ323" s="130">
        <f t="shared" si="490"/>
        <v>0</v>
      </c>
      <c r="AR323" s="130">
        <f t="shared" si="491"/>
        <v>281387</v>
      </c>
      <c r="AS323" s="130">
        <f t="shared" si="492"/>
        <v>16650</v>
      </c>
      <c r="AT323" s="130">
        <f t="shared" si="493"/>
        <v>5594</v>
      </c>
      <c r="AU323" s="132">
        <f t="shared" si="494"/>
        <v>2.83</v>
      </c>
      <c r="AV323" s="132">
        <f t="shared" si="495"/>
        <v>0</v>
      </c>
      <c r="AW323" s="133">
        <f t="shared" si="496"/>
        <v>2.83</v>
      </c>
    </row>
    <row r="324" spans="1:49" ht="14.1" customHeight="1" x14ac:dyDescent="0.2">
      <c r="A324" s="137">
        <v>66</v>
      </c>
      <c r="B324" s="134">
        <v>2402</v>
      </c>
      <c r="C324" s="135">
        <v>600078949</v>
      </c>
      <c r="D324" s="134">
        <v>70983208</v>
      </c>
      <c r="E324" s="136" t="s">
        <v>708</v>
      </c>
      <c r="F324" s="137"/>
      <c r="G324" s="136"/>
      <c r="H324" s="138"/>
      <c r="I324" s="139">
        <f t="shared" ref="I324:P324" si="560">SUM(I322:I323)</f>
        <v>7613904</v>
      </c>
      <c r="J324" s="140">
        <f t="shared" si="560"/>
        <v>5573093</v>
      </c>
      <c r="K324" s="140">
        <f t="shared" si="560"/>
        <v>1883705</v>
      </c>
      <c r="L324" s="140">
        <f t="shared" si="560"/>
        <v>111462</v>
      </c>
      <c r="M324" s="140">
        <f t="shared" si="560"/>
        <v>45644</v>
      </c>
      <c r="N324" s="141">
        <f t="shared" si="560"/>
        <v>14.0982</v>
      </c>
      <c r="O324" s="141">
        <f t="shared" si="560"/>
        <v>8</v>
      </c>
      <c r="P324" s="142">
        <f t="shared" si="560"/>
        <v>6.0982000000000003</v>
      </c>
      <c r="Q324" s="342">
        <f t="shared" ref="Q324:AW324" si="561">SUM(Q322:Q323)</f>
        <v>0</v>
      </c>
      <c r="R324" s="140">
        <f t="shared" si="561"/>
        <v>0</v>
      </c>
      <c r="S324" s="140">
        <f t="shared" si="561"/>
        <v>0</v>
      </c>
      <c r="T324" s="140">
        <f t="shared" si="561"/>
        <v>0</v>
      </c>
      <c r="U324" s="140">
        <f t="shared" si="561"/>
        <v>0</v>
      </c>
      <c r="V324" s="140">
        <f t="shared" si="561"/>
        <v>0</v>
      </c>
      <c r="W324" s="140">
        <f t="shared" si="561"/>
        <v>0</v>
      </c>
      <c r="X324" s="140">
        <f t="shared" si="561"/>
        <v>0</v>
      </c>
      <c r="Y324" s="140">
        <f t="shared" si="561"/>
        <v>0</v>
      </c>
      <c r="Z324" s="140">
        <f t="shared" si="561"/>
        <v>0</v>
      </c>
      <c r="AA324" s="140">
        <f t="shared" si="561"/>
        <v>0</v>
      </c>
      <c r="AB324" s="140">
        <f t="shared" si="561"/>
        <v>0</v>
      </c>
      <c r="AC324" s="140">
        <f t="shared" si="561"/>
        <v>0</v>
      </c>
      <c r="AD324" s="140">
        <f t="shared" si="561"/>
        <v>0</v>
      </c>
      <c r="AE324" s="140">
        <f t="shared" si="561"/>
        <v>0</v>
      </c>
      <c r="AF324" s="140">
        <f t="shared" si="561"/>
        <v>0</v>
      </c>
      <c r="AG324" s="141">
        <f t="shared" si="561"/>
        <v>0</v>
      </c>
      <c r="AH324" s="141">
        <f t="shared" si="561"/>
        <v>0</v>
      </c>
      <c r="AI324" s="141">
        <f t="shared" si="561"/>
        <v>0</v>
      </c>
      <c r="AJ324" s="141">
        <f t="shared" si="561"/>
        <v>0</v>
      </c>
      <c r="AK324" s="141">
        <f t="shared" si="561"/>
        <v>0</v>
      </c>
      <c r="AL324" s="141">
        <f t="shared" si="561"/>
        <v>0</v>
      </c>
      <c r="AM324" s="141">
        <f t="shared" si="561"/>
        <v>0</v>
      </c>
      <c r="AN324" s="635">
        <f t="shared" si="561"/>
        <v>0</v>
      </c>
      <c r="AO324" s="139">
        <f t="shared" si="561"/>
        <v>7613904</v>
      </c>
      <c r="AP324" s="140">
        <f t="shared" si="561"/>
        <v>5573093</v>
      </c>
      <c r="AQ324" s="140">
        <f t="shared" si="561"/>
        <v>0</v>
      </c>
      <c r="AR324" s="140">
        <f t="shared" si="561"/>
        <v>1883705</v>
      </c>
      <c r="AS324" s="140">
        <f t="shared" si="561"/>
        <v>111462</v>
      </c>
      <c r="AT324" s="140">
        <f t="shared" si="561"/>
        <v>45644</v>
      </c>
      <c r="AU324" s="141">
        <f t="shared" si="561"/>
        <v>14.0982</v>
      </c>
      <c r="AV324" s="141">
        <f t="shared" si="561"/>
        <v>8</v>
      </c>
      <c r="AW324" s="142">
        <f t="shared" si="561"/>
        <v>6.0982000000000003</v>
      </c>
    </row>
    <row r="325" spans="1:49" ht="14.1" customHeight="1" x14ac:dyDescent="0.2">
      <c r="A325" s="124">
        <v>67</v>
      </c>
      <c r="B325" s="121">
        <v>2404</v>
      </c>
      <c r="C325" s="122">
        <v>600078957</v>
      </c>
      <c r="D325" s="121">
        <v>70983135</v>
      </c>
      <c r="E325" s="123" t="s">
        <v>709</v>
      </c>
      <c r="F325" s="124">
        <v>3111</v>
      </c>
      <c r="G325" s="123" t="s">
        <v>317</v>
      </c>
      <c r="H325" s="125" t="s">
        <v>283</v>
      </c>
      <c r="I325" s="126">
        <f t="shared" si="478"/>
        <v>4912565</v>
      </c>
      <c r="J325" s="127">
        <v>3594304</v>
      </c>
      <c r="K325" s="127">
        <f t="shared" si="479"/>
        <v>1214875</v>
      </c>
      <c r="L325" s="477">
        <f t="shared" si="480"/>
        <v>71886</v>
      </c>
      <c r="M325" s="127">
        <v>31500</v>
      </c>
      <c r="N325" s="390">
        <f t="shared" si="481"/>
        <v>8.1341999999999999</v>
      </c>
      <c r="O325" s="390">
        <v>6</v>
      </c>
      <c r="P325" s="439">
        <v>2.1341999999999999</v>
      </c>
      <c r="Q325" s="129">
        <f t="shared" si="482"/>
        <v>0</v>
      </c>
      <c r="R325" s="130">
        <v>0</v>
      </c>
      <c r="S325" s="130">
        <v>0</v>
      </c>
      <c r="T325" s="130">
        <v>0</v>
      </c>
      <c r="U325" s="130">
        <f t="shared" si="483"/>
        <v>0</v>
      </c>
      <c r="V325" s="130">
        <v>0</v>
      </c>
      <c r="W325" s="130">
        <v>0</v>
      </c>
      <c r="X325" s="130">
        <v>0</v>
      </c>
      <c r="Y325" s="130">
        <f t="shared" ref="Y325:Y327" si="562">SUM(V325:X325)</f>
        <v>0</v>
      </c>
      <c r="Z325" s="130">
        <f t="shared" ref="Z325:Z327" si="563">U325+Y325</f>
        <v>0</v>
      </c>
      <c r="AA325" s="131">
        <f t="shared" ref="AA325:AA327" si="564">ROUND((U325+V325+W325)*33.8%,0)</f>
        <v>0</v>
      </c>
      <c r="AB325" s="131">
        <f t="shared" ref="AB325:AB327" si="565">ROUND(U325*2%,0)</f>
        <v>0</v>
      </c>
      <c r="AC325" s="130">
        <v>0</v>
      </c>
      <c r="AD325" s="130">
        <v>0</v>
      </c>
      <c r="AE325" s="130">
        <f t="shared" si="503"/>
        <v>0</v>
      </c>
      <c r="AF325" s="130">
        <f t="shared" si="504"/>
        <v>0</v>
      </c>
      <c r="AG325" s="132">
        <v>0</v>
      </c>
      <c r="AH325" s="132">
        <v>0</v>
      </c>
      <c r="AI325" s="132">
        <v>0</v>
      </c>
      <c r="AJ325" s="132">
        <v>0</v>
      </c>
      <c r="AK325" s="132">
        <v>0</v>
      </c>
      <c r="AL325" s="132">
        <f t="shared" si="505"/>
        <v>0</v>
      </c>
      <c r="AM325" s="132">
        <f>AH325+AK325</f>
        <v>0</v>
      </c>
      <c r="AN325" s="403">
        <f t="shared" si="507"/>
        <v>0</v>
      </c>
      <c r="AO325" s="128">
        <f t="shared" si="488"/>
        <v>4912565</v>
      </c>
      <c r="AP325" s="130">
        <f t="shared" si="489"/>
        <v>3594304</v>
      </c>
      <c r="AQ325" s="130">
        <f t="shared" si="490"/>
        <v>0</v>
      </c>
      <c r="AR325" s="130">
        <f t="shared" si="491"/>
        <v>1214875</v>
      </c>
      <c r="AS325" s="130">
        <f t="shared" si="492"/>
        <v>71886</v>
      </c>
      <c r="AT325" s="130">
        <f t="shared" si="493"/>
        <v>31500</v>
      </c>
      <c r="AU325" s="132">
        <f t="shared" si="494"/>
        <v>8.1341999999999999</v>
      </c>
      <c r="AV325" s="132">
        <f t="shared" si="495"/>
        <v>6</v>
      </c>
      <c r="AW325" s="133">
        <f t="shared" si="496"/>
        <v>2.1341999999999999</v>
      </c>
    </row>
    <row r="326" spans="1:49" ht="14.1" customHeight="1" x14ac:dyDescent="0.2">
      <c r="A326" s="124">
        <v>67</v>
      </c>
      <c r="B326" s="121">
        <v>2404</v>
      </c>
      <c r="C326" s="122">
        <v>600078957</v>
      </c>
      <c r="D326" s="121">
        <v>70983135</v>
      </c>
      <c r="E326" s="123" t="s">
        <v>709</v>
      </c>
      <c r="F326" s="124">
        <v>3111</v>
      </c>
      <c r="G326" s="143" t="s">
        <v>318</v>
      </c>
      <c r="H326" s="125" t="s">
        <v>284</v>
      </c>
      <c r="I326" s="126">
        <f t="shared" si="478"/>
        <v>0</v>
      </c>
      <c r="J326" s="29">
        <v>0</v>
      </c>
      <c r="K326" s="127">
        <f t="shared" si="479"/>
        <v>0</v>
      </c>
      <c r="L326" s="477">
        <f t="shared" si="480"/>
        <v>0</v>
      </c>
      <c r="M326" s="29">
        <v>0</v>
      </c>
      <c r="N326" s="390">
        <f t="shared" si="481"/>
        <v>0</v>
      </c>
      <c r="O326" s="349">
        <v>0</v>
      </c>
      <c r="P326" s="639">
        <v>0</v>
      </c>
      <c r="Q326" s="129">
        <f t="shared" si="482"/>
        <v>0</v>
      </c>
      <c r="R326" s="130">
        <v>427265</v>
      </c>
      <c r="S326" s="130">
        <v>0</v>
      </c>
      <c r="T326" s="130">
        <v>0</v>
      </c>
      <c r="U326" s="130">
        <f t="shared" si="483"/>
        <v>427265</v>
      </c>
      <c r="V326" s="130">
        <v>0</v>
      </c>
      <c r="W326" s="130">
        <v>0</v>
      </c>
      <c r="X326" s="130">
        <v>0</v>
      </c>
      <c r="Y326" s="130">
        <f t="shared" si="562"/>
        <v>0</v>
      </c>
      <c r="Z326" s="130">
        <f t="shared" si="563"/>
        <v>427265</v>
      </c>
      <c r="AA326" s="131">
        <f t="shared" si="564"/>
        <v>144416</v>
      </c>
      <c r="AB326" s="131">
        <f t="shared" si="565"/>
        <v>8545</v>
      </c>
      <c r="AC326" s="130">
        <v>0</v>
      </c>
      <c r="AD326" s="130">
        <v>0</v>
      </c>
      <c r="AE326" s="130">
        <f t="shared" si="503"/>
        <v>0</v>
      </c>
      <c r="AF326" s="130">
        <f t="shared" si="504"/>
        <v>580226</v>
      </c>
      <c r="AG326" s="132">
        <v>0</v>
      </c>
      <c r="AH326" s="132">
        <v>0</v>
      </c>
      <c r="AI326" s="132">
        <v>1.5</v>
      </c>
      <c r="AJ326" s="132">
        <v>0</v>
      </c>
      <c r="AK326" s="132">
        <v>0</v>
      </c>
      <c r="AL326" s="132">
        <f t="shared" si="505"/>
        <v>1.5</v>
      </c>
      <c r="AM326" s="132">
        <f>AH326+AK326</f>
        <v>0</v>
      </c>
      <c r="AN326" s="403">
        <f t="shared" si="507"/>
        <v>1.5</v>
      </c>
      <c r="AO326" s="128">
        <f t="shared" si="488"/>
        <v>580226</v>
      </c>
      <c r="AP326" s="130">
        <f t="shared" si="489"/>
        <v>427265</v>
      </c>
      <c r="AQ326" s="130">
        <f t="shared" si="490"/>
        <v>0</v>
      </c>
      <c r="AR326" s="130">
        <f t="shared" si="491"/>
        <v>144416</v>
      </c>
      <c r="AS326" s="130">
        <f t="shared" si="492"/>
        <v>8545</v>
      </c>
      <c r="AT326" s="130">
        <f t="shared" si="493"/>
        <v>0</v>
      </c>
      <c r="AU326" s="132">
        <f t="shared" si="494"/>
        <v>1.5</v>
      </c>
      <c r="AV326" s="132">
        <f t="shared" si="495"/>
        <v>1.5</v>
      </c>
      <c r="AW326" s="133">
        <f t="shared" si="496"/>
        <v>0</v>
      </c>
    </row>
    <row r="327" spans="1:49" ht="14.1" customHeight="1" x14ac:dyDescent="0.2">
      <c r="A327" s="124">
        <v>67</v>
      </c>
      <c r="B327" s="121">
        <v>2404</v>
      </c>
      <c r="C327" s="122">
        <v>600078957</v>
      </c>
      <c r="D327" s="121">
        <v>70983135</v>
      </c>
      <c r="E327" s="123" t="s">
        <v>709</v>
      </c>
      <c r="F327" s="124">
        <v>3141</v>
      </c>
      <c r="G327" s="123" t="s">
        <v>321</v>
      </c>
      <c r="H327" s="125" t="s">
        <v>284</v>
      </c>
      <c r="I327" s="126">
        <f t="shared" si="478"/>
        <v>799844</v>
      </c>
      <c r="J327" s="666">
        <v>585997</v>
      </c>
      <c r="K327" s="127">
        <f t="shared" si="479"/>
        <v>198067</v>
      </c>
      <c r="L327" s="477">
        <f t="shared" si="480"/>
        <v>11720</v>
      </c>
      <c r="M327" s="666">
        <v>4060</v>
      </c>
      <c r="N327" s="390">
        <f t="shared" si="481"/>
        <v>1.99</v>
      </c>
      <c r="O327" s="668">
        <v>0</v>
      </c>
      <c r="P327" s="667">
        <v>1.99</v>
      </c>
      <c r="Q327" s="129">
        <f t="shared" si="482"/>
        <v>0</v>
      </c>
      <c r="R327" s="130">
        <v>0</v>
      </c>
      <c r="S327" s="130">
        <v>0</v>
      </c>
      <c r="T327" s="130">
        <v>0</v>
      </c>
      <c r="U327" s="130">
        <f t="shared" si="483"/>
        <v>0</v>
      </c>
      <c r="V327" s="130">
        <v>0</v>
      </c>
      <c r="W327" s="130">
        <v>0</v>
      </c>
      <c r="X327" s="130">
        <v>0</v>
      </c>
      <c r="Y327" s="130">
        <f t="shared" si="562"/>
        <v>0</v>
      </c>
      <c r="Z327" s="130">
        <f t="shared" si="563"/>
        <v>0</v>
      </c>
      <c r="AA327" s="131">
        <f t="shared" si="564"/>
        <v>0</v>
      </c>
      <c r="AB327" s="131">
        <f t="shared" si="565"/>
        <v>0</v>
      </c>
      <c r="AC327" s="130">
        <v>0</v>
      </c>
      <c r="AD327" s="130">
        <v>0</v>
      </c>
      <c r="AE327" s="130">
        <f t="shared" si="503"/>
        <v>0</v>
      </c>
      <c r="AF327" s="130">
        <f t="shared" si="504"/>
        <v>0</v>
      </c>
      <c r="AG327" s="132">
        <v>0</v>
      </c>
      <c r="AH327" s="132">
        <v>0</v>
      </c>
      <c r="AI327" s="132">
        <v>0</v>
      </c>
      <c r="AJ327" s="132">
        <v>0</v>
      </c>
      <c r="AK327" s="132">
        <v>0</v>
      </c>
      <c r="AL327" s="132">
        <f t="shared" si="505"/>
        <v>0</v>
      </c>
      <c r="AM327" s="132">
        <f>AH327+AK327</f>
        <v>0</v>
      </c>
      <c r="AN327" s="403">
        <f t="shared" si="507"/>
        <v>0</v>
      </c>
      <c r="AO327" s="128">
        <f t="shared" si="488"/>
        <v>799844</v>
      </c>
      <c r="AP327" s="130">
        <f t="shared" si="489"/>
        <v>585997</v>
      </c>
      <c r="AQ327" s="130">
        <f t="shared" si="490"/>
        <v>0</v>
      </c>
      <c r="AR327" s="130">
        <f t="shared" si="491"/>
        <v>198067</v>
      </c>
      <c r="AS327" s="130">
        <f t="shared" si="492"/>
        <v>11720</v>
      </c>
      <c r="AT327" s="130">
        <f t="shared" si="493"/>
        <v>4060</v>
      </c>
      <c r="AU327" s="132">
        <f t="shared" si="494"/>
        <v>1.99</v>
      </c>
      <c r="AV327" s="132">
        <f t="shared" si="495"/>
        <v>0</v>
      </c>
      <c r="AW327" s="133">
        <f t="shared" si="496"/>
        <v>1.99</v>
      </c>
    </row>
    <row r="328" spans="1:49" ht="14.1" customHeight="1" x14ac:dyDescent="0.2">
      <c r="A328" s="137">
        <v>67</v>
      </c>
      <c r="B328" s="134">
        <v>2404</v>
      </c>
      <c r="C328" s="135">
        <v>600078957</v>
      </c>
      <c r="D328" s="134">
        <v>70983135</v>
      </c>
      <c r="E328" s="136" t="s">
        <v>710</v>
      </c>
      <c r="F328" s="137"/>
      <c r="G328" s="136"/>
      <c r="H328" s="138"/>
      <c r="I328" s="139">
        <f t="shared" ref="I328:P328" si="566">SUM(I325:I327)</f>
        <v>5712409</v>
      </c>
      <c r="J328" s="140">
        <f t="shared" si="566"/>
        <v>4180301</v>
      </c>
      <c r="K328" s="140">
        <f t="shared" si="566"/>
        <v>1412942</v>
      </c>
      <c r="L328" s="140">
        <f t="shared" si="566"/>
        <v>83606</v>
      </c>
      <c r="M328" s="140">
        <f t="shared" si="566"/>
        <v>35560</v>
      </c>
      <c r="N328" s="141">
        <f t="shared" si="566"/>
        <v>10.1242</v>
      </c>
      <c r="O328" s="141">
        <f t="shared" si="566"/>
        <v>6</v>
      </c>
      <c r="P328" s="142">
        <f t="shared" si="566"/>
        <v>4.1242000000000001</v>
      </c>
      <c r="Q328" s="342">
        <f t="shared" ref="Q328:AW328" si="567">SUM(Q325:Q327)</f>
        <v>0</v>
      </c>
      <c r="R328" s="140">
        <f t="shared" si="567"/>
        <v>427265</v>
      </c>
      <c r="S328" s="140">
        <f t="shared" si="567"/>
        <v>0</v>
      </c>
      <c r="T328" s="140">
        <f t="shared" si="567"/>
        <v>0</v>
      </c>
      <c r="U328" s="140">
        <f t="shared" si="567"/>
        <v>427265</v>
      </c>
      <c r="V328" s="140">
        <f t="shared" si="567"/>
        <v>0</v>
      </c>
      <c r="W328" s="140">
        <f t="shared" si="567"/>
        <v>0</v>
      </c>
      <c r="X328" s="140">
        <f t="shared" si="567"/>
        <v>0</v>
      </c>
      <c r="Y328" s="140">
        <f t="shared" si="567"/>
        <v>0</v>
      </c>
      <c r="Z328" s="140">
        <f t="shared" si="567"/>
        <v>427265</v>
      </c>
      <c r="AA328" s="140">
        <f t="shared" si="567"/>
        <v>144416</v>
      </c>
      <c r="AB328" s="140">
        <f t="shared" si="567"/>
        <v>8545</v>
      </c>
      <c r="AC328" s="140">
        <f t="shared" si="567"/>
        <v>0</v>
      </c>
      <c r="AD328" s="140">
        <f t="shared" si="567"/>
        <v>0</v>
      </c>
      <c r="AE328" s="140">
        <f t="shared" si="567"/>
        <v>0</v>
      </c>
      <c r="AF328" s="140">
        <f t="shared" si="567"/>
        <v>580226</v>
      </c>
      <c r="AG328" s="141">
        <f t="shared" si="567"/>
        <v>0</v>
      </c>
      <c r="AH328" s="141">
        <f t="shared" si="567"/>
        <v>0</v>
      </c>
      <c r="AI328" s="141">
        <f t="shared" si="567"/>
        <v>1.5</v>
      </c>
      <c r="AJ328" s="141">
        <f t="shared" si="567"/>
        <v>0</v>
      </c>
      <c r="AK328" s="141">
        <f t="shared" si="567"/>
        <v>0</v>
      </c>
      <c r="AL328" s="141">
        <f t="shared" si="567"/>
        <v>1.5</v>
      </c>
      <c r="AM328" s="141">
        <f t="shared" si="567"/>
        <v>0</v>
      </c>
      <c r="AN328" s="635">
        <f t="shared" si="567"/>
        <v>1.5</v>
      </c>
      <c r="AO328" s="139">
        <f t="shared" si="567"/>
        <v>6292635</v>
      </c>
      <c r="AP328" s="140">
        <f t="shared" si="567"/>
        <v>4607566</v>
      </c>
      <c r="AQ328" s="140">
        <f t="shared" si="567"/>
        <v>0</v>
      </c>
      <c r="AR328" s="140">
        <f t="shared" si="567"/>
        <v>1557358</v>
      </c>
      <c r="AS328" s="140">
        <f t="shared" si="567"/>
        <v>92151</v>
      </c>
      <c r="AT328" s="140">
        <f t="shared" si="567"/>
        <v>35560</v>
      </c>
      <c r="AU328" s="141">
        <f t="shared" si="567"/>
        <v>11.6242</v>
      </c>
      <c r="AV328" s="141">
        <f t="shared" si="567"/>
        <v>7.5</v>
      </c>
      <c r="AW328" s="142">
        <f t="shared" si="567"/>
        <v>4.1242000000000001</v>
      </c>
    </row>
    <row r="329" spans="1:49" ht="14.1" customHeight="1" x14ac:dyDescent="0.2">
      <c r="A329" s="124">
        <v>68</v>
      </c>
      <c r="B329" s="121">
        <v>2439</v>
      </c>
      <c r="C329" s="122">
        <v>600078965</v>
      </c>
      <c r="D329" s="121">
        <v>70983143</v>
      </c>
      <c r="E329" s="123" t="s">
        <v>711</v>
      </c>
      <c r="F329" s="124">
        <v>3111</v>
      </c>
      <c r="G329" s="123" t="s">
        <v>317</v>
      </c>
      <c r="H329" s="125" t="s">
        <v>283</v>
      </c>
      <c r="I329" s="126">
        <f t="shared" si="478"/>
        <v>3086828</v>
      </c>
      <c r="J329" s="127">
        <v>2259815</v>
      </c>
      <c r="K329" s="127">
        <f t="shared" si="479"/>
        <v>763817</v>
      </c>
      <c r="L329" s="477">
        <f t="shared" si="480"/>
        <v>45196</v>
      </c>
      <c r="M329" s="127">
        <v>18000</v>
      </c>
      <c r="N329" s="390">
        <f t="shared" si="481"/>
        <v>5.3898000000000001</v>
      </c>
      <c r="O329" s="390">
        <v>4</v>
      </c>
      <c r="P329" s="439">
        <v>1.3897999999999999</v>
      </c>
      <c r="Q329" s="129">
        <f t="shared" si="482"/>
        <v>0</v>
      </c>
      <c r="R329" s="130">
        <v>0</v>
      </c>
      <c r="S329" s="130">
        <v>0</v>
      </c>
      <c r="T329" s="130">
        <v>0</v>
      </c>
      <c r="U329" s="130">
        <f t="shared" si="483"/>
        <v>0</v>
      </c>
      <c r="V329" s="130">
        <v>0</v>
      </c>
      <c r="W329" s="130">
        <v>0</v>
      </c>
      <c r="X329" s="130">
        <v>0</v>
      </c>
      <c r="Y329" s="130">
        <f t="shared" ref="Y329:Y330" si="568">SUM(V329:X329)</f>
        <v>0</v>
      </c>
      <c r="Z329" s="130">
        <f t="shared" ref="Z329:Z330" si="569">U329+Y329</f>
        <v>0</v>
      </c>
      <c r="AA329" s="131">
        <f t="shared" ref="AA329:AA330" si="570">ROUND((U329+V329+W329)*33.8%,0)</f>
        <v>0</v>
      </c>
      <c r="AB329" s="131">
        <f t="shared" ref="AB329:AB330" si="571">ROUND(U329*2%,0)</f>
        <v>0</v>
      </c>
      <c r="AC329" s="130">
        <v>0</v>
      </c>
      <c r="AD329" s="130">
        <v>0</v>
      </c>
      <c r="AE329" s="130">
        <f t="shared" si="503"/>
        <v>0</v>
      </c>
      <c r="AF329" s="130">
        <f t="shared" si="504"/>
        <v>0</v>
      </c>
      <c r="AG329" s="132">
        <v>0</v>
      </c>
      <c r="AH329" s="132">
        <v>0</v>
      </c>
      <c r="AI329" s="132">
        <v>0</v>
      </c>
      <c r="AJ329" s="132">
        <v>0</v>
      </c>
      <c r="AK329" s="132">
        <v>0</v>
      </c>
      <c r="AL329" s="132">
        <f t="shared" si="505"/>
        <v>0</v>
      </c>
      <c r="AM329" s="132">
        <f>AH329+AK329</f>
        <v>0</v>
      </c>
      <c r="AN329" s="403">
        <f t="shared" si="507"/>
        <v>0</v>
      </c>
      <c r="AO329" s="128">
        <f t="shared" si="488"/>
        <v>3086828</v>
      </c>
      <c r="AP329" s="130">
        <f t="shared" si="489"/>
        <v>2259815</v>
      </c>
      <c r="AQ329" s="130">
        <f t="shared" si="490"/>
        <v>0</v>
      </c>
      <c r="AR329" s="130">
        <f t="shared" si="491"/>
        <v>763817</v>
      </c>
      <c r="AS329" s="130">
        <f t="shared" si="492"/>
        <v>45196</v>
      </c>
      <c r="AT329" s="130">
        <f t="shared" si="493"/>
        <v>18000</v>
      </c>
      <c r="AU329" s="132">
        <f t="shared" si="494"/>
        <v>5.3898000000000001</v>
      </c>
      <c r="AV329" s="132">
        <f t="shared" si="495"/>
        <v>4</v>
      </c>
      <c r="AW329" s="133">
        <f t="shared" si="496"/>
        <v>1.3897999999999999</v>
      </c>
    </row>
    <row r="330" spans="1:49" ht="14.1" customHeight="1" x14ac:dyDescent="0.2">
      <c r="A330" s="124">
        <v>68</v>
      </c>
      <c r="B330" s="121">
        <v>2439</v>
      </c>
      <c r="C330" s="122">
        <v>600078965</v>
      </c>
      <c r="D330" s="121">
        <v>70983143</v>
      </c>
      <c r="E330" s="123" t="s">
        <v>711</v>
      </c>
      <c r="F330" s="124">
        <v>3141</v>
      </c>
      <c r="G330" s="123" t="s">
        <v>321</v>
      </c>
      <c r="H330" s="125" t="s">
        <v>284</v>
      </c>
      <c r="I330" s="126">
        <f t="shared" si="478"/>
        <v>545737</v>
      </c>
      <c r="J330" s="666">
        <v>400160</v>
      </c>
      <c r="K330" s="127">
        <f t="shared" si="479"/>
        <v>135254</v>
      </c>
      <c r="L330" s="477">
        <f t="shared" si="480"/>
        <v>8003</v>
      </c>
      <c r="M330" s="666">
        <v>2320</v>
      </c>
      <c r="N330" s="390">
        <f t="shared" si="481"/>
        <v>1.36</v>
      </c>
      <c r="O330" s="668">
        <v>0</v>
      </c>
      <c r="P330" s="667">
        <v>1.36</v>
      </c>
      <c r="Q330" s="129">
        <f t="shared" si="482"/>
        <v>0</v>
      </c>
      <c r="R330" s="130">
        <v>0</v>
      </c>
      <c r="S330" s="130">
        <v>0</v>
      </c>
      <c r="T330" s="130">
        <v>0</v>
      </c>
      <c r="U330" s="130">
        <f t="shared" si="483"/>
        <v>0</v>
      </c>
      <c r="V330" s="130">
        <v>0</v>
      </c>
      <c r="W330" s="130">
        <v>0</v>
      </c>
      <c r="X330" s="130">
        <v>0</v>
      </c>
      <c r="Y330" s="130">
        <f t="shared" si="568"/>
        <v>0</v>
      </c>
      <c r="Z330" s="130">
        <f t="shared" si="569"/>
        <v>0</v>
      </c>
      <c r="AA330" s="131">
        <f t="shared" si="570"/>
        <v>0</v>
      </c>
      <c r="AB330" s="131">
        <f t="shared" si="571"/>
        <v>0</v>
      </c>
      <c r="AC330" s="130">
        <v>0</v>
      </c>
      <c r="AD330" s="130">
        <v>0</v>
      </c>
      <c r="AE330" s="130">
        <f t="shared" si="503"/>
        <v>0</v>
      </c>
      <c r="AF330" s="130">
        <f t="shared" si="504"/>
        <v>0</v>
      </c>
      <c r="AG330" s="132">
        <v>0</v>
      </c>
      <c r="AH330" s="132">
        <v>0</v>
      </c>
      <c r="AI330" s="132">
        <v>0</v>
      </c>
      <c r="AJ330" s="132">
        <v>0</v>
      </c>
      <c r="AK330" s="132">
        <v>0</v>
      </c>
      <c r="AL330" s="132">
        <f t="shared" si="505"/>
        <v>0</v>
      </c>
      <c r="AM330" s="132">
        <f>AH330+AK330</f>
        <v>0</v>
      </c>
      <c r="AN330" s="403">
        <f t="shared" si="507"/>
        <v>0</v>
      </c>
      <c r="AO330" s="128">
        <f t="shared" si="488"/>
        <v>545737</v>
      </c>
      <c r="AP330" s="130">
        <f t="shared" si="489"/>
        <v>400160</v>
      </c>
      <c r="AQ330" s="130">
        <f t="shared" si="490"/>
        <v>0</v>
      </c>
      <c r="AR330" s="130">
        <f t="shared" si="491"/>
        <v>135254</v>
      </c>
      <c r="AS330" s="130">
        <f t="shared" si="492"/>
        <v>8003</v>
      </c>
      <c r="AT330" s="130">
        <f t="shared" si="493"/>
        <v>2320</v>
      </c>
      <c r="AU330" s="132">
        <f t="shared" si="494"/>
        <v>1.36</v>
      </c>
      <c r="AV330" s="132">
        <f t="shared" si="495"/>
        <v>0</v>
      </c>
      <c r="AW330" s="133">
        <f t="shared" si="496"/>
        <v>1.36</v>
      </c>
    </row>
    <row r="331" spans="1:49" ht="14.1" customHeight="1" x14ac:dyDescent="0.2">
      <c r="A331" s="137">
        <v>68</v>
      </c>
      <c r="B331" s="134">
        <v>2439</v>
      </c>
      <c r="C331" s="135">
        <v>600078965</v>
      </c>
      <c r="D331" s="134">
        <v>70983143</v>
      </c>
      <c r="E331" s="136" t="s">
        <v>712</v>
      </c>
      <c r="F331" s="137"/>
      <c r="G331" s="136"/>
      <c r="H331" s="138"/>
      <c r="I331" s="139">
        <f t="shared" ref="I331:P331" si="572">SUM(I329:I330)</f>
        <v>3632565</v>
      </c>
      <c r="J331" s="140">
        <f t="shared" si="572"/>
        <v>2659975</v>
      </c>
      <c r="K331" s="140">
        <f t="shared" si="572"/>
        <v>899071</v>
      </c>
      <c r="L331" s="140">
        <f t="shared" si="572"/>
        <v>53199</v>
      </c>
      <c r="M331" s="140">
        <f t="shared" si="572"/>
        <v>20320</v>
      </c>
      <c r="N331" s="141">
        <f t="shared" si="572"/>
        <v>6.7498000000000005</v>
      </c>
      <c r="O331" s="141">
        <f t="shared" si="572"/>
        <v>4</v>
      </c>
      <c r="P331" s="142">
        <f t="shared" si="572"/>
        <v>2.7498</v>
      </c>
      <c r="Q331" s="342">
        <f t="shared" ref="Q331:AW331" si="573">SUM(Q329:Q330)</f>
        <v>0</v>
      </c>
      <c r="R331" s="140">
        <f t="shared" si="573"/>
        <v>0</v>
      </c>
      <c r="S331" s="140">
        <f t="shared" si="573"/>
        <v>0</v>
      </c>
      <c r="T331" s="140">
        <f t="shared" si="573"/>
        <v>0</v>
      </c>
      <c r="U331" s="140">
        <f t="shared" si="573"/>
        <v>0</v>
      </c>
      <c r="V331" s="140">
        <f t="shared" si="573"/>
        <v>0</v>
      </c>
      <c r="W331" s="140">
        <f t="shared" si="573"/>
        <v>0</v>
      </c>
      <c r="X331" s="140">
        <f t="shared" si="573"/>
        <v>0</v>
      </c>
      <c r="Y331" s="140">
        <f t="shared" si="573"/>
        <v>0</v>
      </c>
      <c r="Z331" s="140">
        <f t="shared" si="573"/>
        <v>0</v>
      </c>
      <c r="AA331" s="140">
        <f t="shared" si="573"/>
        <v>0</v>
      </c>
      <c r="AB331" s="140">
        <f t="shared" si="573"/>
        <v>0</v>
      </c>
      <c r="AC331" s="140">
        <f t="shared" si="573"/>
        <v>0</v>
      </c>
      <c r="AD331" s="140">
        <f t="shared" si="573"/>
        <v>0</v>
      </c>
      <c r="AE331" s="140">
        <f t="shared" si="573"/>
        <v>0</v>
      </c>
      <c r="AF331" s="140">
        <f t="shared" si="573"/>
        <v>0</v>
      </c>
      <c r="AG331" s="141">
        <f t="shared" si="573"/>
        <v>0</v>
      </c>
      <c r="AH331" s="141">
        <f t="shared" si="573"/>
        <v>0</v>
      </c>
      <c r="AI331" s="141">
        <f t="shared" si="573"/>
        <v>0</v>
      </c>
      <c r="AJ331" s="141">
        <f t="shared" si="573"/>
        <v>0</v>
      </c>
      <c r="AK331" s="141">
        <f t="shared" si="573"/>
        <v>0</v>
      </c>
      <c r="AL331" s="141">
        <f t="shared" si="573"/>
        <v>0</v>
      </c>
      <c r="AM331" s="141">
        <f t="shared" si="573"/>
        <v>0</v>
      </c>
      <c r="AN331" s="635">
        <f t="shared" si="573"/>
        <v>0</v>
      </c>
      <c r="AO331" s="139">
        <f t="shared" si="573"/>
        <v>3632565</v>
      </c>
      <c r="AP331" s="140">
        <f t="shared" si="573"/>
        <v>2659975</v>
      </c>
      <c r="AQ331" s="140">
        <f t="shared" si="573"/>
        <v>0</v>
      </c>
      <c r="AR331" s="140">
        <f t="shared" si="573"/>
        <v>899071</v>
      </c>
      <c r="AS331" s="140">
        <f t="shared" si="573"/>
        <v>53199</v>
      </c>
      <c r="AT331" s="140">
        <f t="shared" si="573"/>
        <v>20320</v>
      </c>
      <c r="AU331" s="141">
        <f t="shared" si="573"/>
        <v>6.7498000000000005</v>
      </c>
      <c r="AV331" s="141">
        <f t="shared" si="573"/>
        <v>4</v>
      </c>
      <c r="AW331" s="142">
        <f t="shared" si="573"/>
        <v>2.7498</v>
      </c>
    </row>
    <row r="332" spans="1:49" ht="14.1" customHeight="1" x14ac:dyDescent="0.2">
      <c r="A332" s="124">
        <v>69</v>
      </c>
      <c r="B332" s="121">
        <v>2302</v>
      </c>
      <c r="C332" s="122">
        <v>600080366</v>
      </c>
      <c r="D332" s="121">
        <v>70983127</v>
      </c>
      <c r="E332" s="123" t="s">
        <v>713</v>
      </c>
      <c r="F332" s="124">
        <v>3111</v>
      </c>
      <c r="G332" s="123" t="s">
        <v>317</v>
      </c>
      <c r="H332" s="125" t="s">
        <v>283</v>
      </c>
      <c r="I332" s="126">
        <f t="shared" si="478"/>
        <v>3320050</v>
      </c>
      <c r="J332" s="127">
        <v>2425589</v>
      </c>
      <c r="K332" s="127">
        <f t="shared" si="479"/>
        <v>819849</v>
      </c>
      <c r="L332" s="477">
        <f t="shared" si="480"/>
        <v>48512</v>
      </c>
      <c r="M332" s="127">
        <v>26100</v>
      </c>
      <c r="N332" s="390">
        <f t="shared" si="481"/>
        <v>6.3827999999999996</v>
      </c>
      <c r="O332" s="390">
        <v>5</v>
      </c>
      <c r="P332" s="439">
        <v>1.3828</v>
      </c>
      <c r="Q332" s="129">
        <f t="shared" si="482"/>
        <v>0</v>
      </c>
      <c r="R332" s="130">
        <v>0</v>
      </c>
      <c r="S332" s="130">
        <v>0</v>
      </c>
      <c r="T332" s="130">
        <v>0</v>
      </c>
      <c r="U332" s="130">
        <f t="shared" si="483"/>
        <v>0</v>
      </c>
      <c r="V332" s="130">
        <v>0</v>
      </c>
      <c r="W332" s="130">
        <v>0</v>
      </c>
      <c r="X332" s="130">
        <v>0</v>
      </c>
      <c r="Y332" s="130">
        <f t="shared" ref="Y332:Y338" si="574">SUM(V332:X332)</f>
        <v>0</v>
      </c>
      <c r="Z332" s="130">
        <f t="shared" ref="Z332:Z338" si="575">U332+Y332</f>
        <v>0</v>
      </c>
      <c r="AA332" s="131">
        <f t="shared" ref="AA332:AA338" si="576">ROUND((U332+V332+W332)*33.8%,0)</f>
        <v>0</v>
      </c>
      <c r="AB332" s="131">
        <f t="shared" ref="AB332:AB338" si="577">ROUND(U332*2%,0)</f>
        <v>0</v>
      </c>
      <c r="AC332" s="130">
        <v>0</v>
      </c>
      <c r="AD332" s="130">
        <v>0</v>
      </c>
      <c r="AE332" s="130">
        <f t="shared" si="503"/>
        <v>0</v>
      </c>
      <c r="AF332" s="130">
        <f t="shared" si="504"/>
        <v>0</v>
      </c>
      <c r="AG332" s="132">
        <v>0</v>
      </c>
      <c r="AH332" s="132">
        <v>0</v>
      </c>
      <c r="AI332" s="132">
        <v>0</v>
      </c>
      <c r="AJ332" s="132">
        <v>0</v>
      </c>
      <c r="AK332" s="132">
        <v>0</v>
      </c>
      <c r="AL332" s="132">
        <f t="shared" si="505"/>
        <v>0</v>
      </c>
      <c r="AM332" s="132">
        <f t="shared" ref="AM332:AM338" si="578">AH332+AK332</f>
        <v>0</v>
      </c>
      <c r="AN332" s="403">
        <f t="shared" si="507"/>
        <v>0</v>
      </c>
      <c r="AO332" s="128">
        <f t="shared" si="488"/>
        <v>3320050</v>
      </c>
      <c r="AP332" s="130">
        <f t="shared" si="489"/>
        <v>2425589</v>
      </c>
      <c r="AQ332" s="130">
        <f t="shared" si="490"/>
        <v>0</v>
      </c>
      <c r="AR332" s="130">
        <f t="shared" si="491"/>
        <v>819849</v>
      </c>
      <c r="AS332" s="130">
        <f t="shared" si="492"/>
        <v>48512</v>
      </c>
      <c r="AT332" s="130">
        <f t="shared" si="493"/>
        <v>26100</v>
      </c>
      <c r="AU332" s="132">
        <f t="shared" si="494"/>
        <v>6.3827999999999996</v>
      </c>
      <c r="AV332" s="132">
        <f t="shared" si="495"/>
        <v>5</v>
      </c>
      <c r="AW332" s="133">
        <f t="shared" si="496"/>
        <v>1.3828</v>
      </c>
    </row>
    <row r="333" spans="1:49" ht="14.1" customHeight="1" x14ac:dyDescent="0.2">
      <c r="A333" s="124">
        <v>69</v>
      </c>
      <c r="B333" s="121">
        <v>2302</v>
      </c>
      <c r="C333" s="122">
        <v>600080366</v>
      </c>
      <c r="D333" s="121">
        <v>70983127</v>
      </c>
      <c r="E333" s="123" t="s">
        <v>713</v>
      </c>
      <c r="F333" s="124">
        <v>3114</v>
      </c>
      <c r="G333" s="313" t="s">
        <v>565</v>
      </c>
      <c r="H333" s="125" t="s">
        <v>283</v>
      </c>
      <c r="I333" s="126">
        <f t="shared" ref="I333:I396" si="579">SUM(J333:M333)</f>
        <v>8538707</v>
      </c>
      <c r="J333" s="478">
        <v>6220034</v>
      </c>
      <c r="K333" s="127">
        <v>2102372</v>
      </c>
      <c r="L333" s="477">
        <f t="shared" si="480"/>
        <v>124401</v>
      </c>
      <c r="M333" s="478">
        <v>91900</v>
      </c>
      <c r="N333" s="390">
        <f t="shared" ref="N333:N396" si="580">O333+P333</f>
        <v>10.6669</v>
      </c>
      <c r="O333" s="349">
        <v>7</v>
      </c>
      <c r="P333" s="639">
        <v>3.6669</v>
      </c>
      <c r="Q333" s="129">
        <f t="shared" ref="Q333:Q396" si="581">V333*-1</f>
        <v>-64000</v>
      </c>
      <c r="R333" s="130">
        <v>0</v>
      </c>
      <c r="S333" s="130">
        <v>0</v>
      </c>
      <c r="T333" s="130">
        <v>0</v>
      </c>
      <c r="U333" s="130">
        <f t="shared" ref="U333:U396" si="582">SUM(Q333:T333)</f>
        <v>-64000</v>
      </c>
      <c r="V333" s="130">
        <v>64000</v>
      </c>
      <c r="W333" s="130">
        <v>0</v>
      </c>
      <c r="X333" s="130">
        <v>0</v>
      </c>
      <c r="Y333" s="130">
        <f t="shared" si="574"/>
        <v>64000</v>
      </c>
      <c r="Z333" s="130">
        <f t="shared" si="575"/>
        <v>0</v>
      </c>
      <c r="AA333" s="131">
        <f t="shared" si="576"/>
        <v>0</v>
      </c>
      <c r="AB333" s="131">
        <f t="shared" si="577"/>
        <v>-1280</v>
      </c>
      <c r="AC333" s="130">
        <v>0</v>
      </c>
      <c r="AD333" s="130">
        <v>0</v>
      </c>
      <c r="AE333" s="130">
        <f t="shared" si="503"/>
        <v>0</v>
      </c>
      <c r="AF333" s="130">
        <f t="shared" si="504"/>
        <v>-1280</v>
      </c>
      <c r="AG333" s="132">
        <v>0</v>
      </c>
      <c r="AH333" s="132">
        <v>-0.32</v>
      </c>
      <c r="AI333" s="132">
        <v>0</v>
      </c>
      <c r="AJ333" s="132">
        <v>0</v>
      </c>
      <c r="AK333" s="132">
        <v>0</v>
      </c>
      <c r="AL333" s="132">
        <f t="shared" si="505"/>
        <v>0</v>
      </c>
      <c r="AM333" s="132">
        <f t="shared" si="578"/>
        <v>-0.32</v>
      </c>
      <c r="AN333" s="403">
        <f t="shared" si="507"/>
        <v>-0.32</v>
      </c>
      <c r="AO333" s="128">
        <f t="shared" ref="AO333:AO396" si="583">I333+AF333</f>
        <v>8537427</v>
      </c>
      <c r="AP333" s="130">
        <f t="shared" ref="AP333:AP396" si="584">J333+U333</f>
        <v>6156034</v>
      </c>
      <c r="AQ333" s="130">
        <f t="shared" ref="AQ333:AQ396" si="585">Y333</f>
        <v>64000</v>
      </c>
      <c r="AR333" s="130">
        <f t="shared" ref="AR333:AR396" si="586">K333+AA333</f>
        <v>2102372</v>
      </c>
      <c r="AS333" s="130">
        <f t="shared" ref="AS333:AS396" si="587">L333+AB333</f>
        <v>123121</v>
      </c>
      <c r="AT333" s="130">
        <f t="shared" ref="AT333:AT396" si="588">M333+AE333</f>
        <v>91900</v>
      </c>
      <c r="AU333" s="132">
        <f t="shared" ref="AU333:AU396" si="589">N333+AN333</f>
        <v>10.3469</v>
      </c>
      <c r="AV333" s="132">
        <f t="shared" ref="AV333:AV396" si="590">O333+AL333</f>
        <v>7</v>
      </c>
      <c r="AW333" s="133">
        <f t="shared" ref="AW333:AW396" si="591">P333+AM333</f>
        <v>3.3469000000000002</v>
      </c>
    </row>
    <row r="334" spans="1:49" ht="14.1" customHeight="1" x14ac:dyDescent="0.2">
      <c r="A334" s="124">
        <v>69</v>
      </c>
      <c r="B334" s="121">
        <v>2302</v>
      </c>
      <c r="C334" s="122">
        <v>600080366</v>
      </c>
      <c r="D334" s="121">
        <v>70983127</v>
      </c>
      <c r="E334" s="123" t="s">
        <v>713</v>
      </c>
      <c r="F334" s="124">
        <v>3114</v>
      </c>
      <c r="G334" s="98" t="s">
        <v>319</v>
      </c>
      <c r="H334" s="125" t="s">
        <v>283</v>
      </c>
      <c r="I334" s="126">
        <f t="shared" si="579"/>
        <v>1730888</v>
      </c>
      <c r="J334" s="631">
        <v>1274586</v>
      </c>
      <c r="K334" s="127">
        <f t="shared" ref="K334:K397" si="592">ROUND(J334*33.8%,0)</f>
        <v>430810</v>
      </c>
      <c r="L334" s="477">
        <f t="shared" ref="L334:L397" si="593">ROUND(J334*2%,0)</f>
        <v>25492</v>
      </c>
      <c r="M334" s="478">
        <v>0</v>
      </c>
      <c r="N334" s="390">
        <f t="shared" si="580"/>
        <v>3.2778</v>
      </c>
      <c r="O334" s="644">
        <v>3.2778</v>
      </c>
      <c r="P334" s="639">
        <v>0</v>
      </c>
      <c r="Q334" s="129">
        <f t="shared" si="581"/>
        <v>0</v>
      </c>
      <c r="R334" s="130">
        <v>0</v>
      </c>
      <c r="S334" s="130">
        <v>0</v>
      </c>
      <c r="T334" s="130">
        <v>0</v>
      </c>
      <c r="U334" s="130">
        <f t="shared" si="582"/>
        <v>0</v>
      </c>
      <c r="V334" s="130">
        <v>0</v>
      </c>
      <c r="W334" s="130">
        <v>0</v>
      </c>
      <c r="X334" s="130">
        <v>0</v>
      </c>
      <c r="Y334" s="130">
        <f t="shared" si="574"/>
        <v>0</v>
      </c>
      <c r="Z334" s="130">
        <f t="shared" si="575"/>
        <v>0</v>
      </c>
      <c r="AA334" s="131">
        <f t="shared" si="576"/>
        <v>0</v>
      </c>
      <c r="AB334" s="131">
        <f t="shared" si="577"/>
        <v>0</v>
      </c>
      <c r="AC334" s="130">
        <v>0</v>
      </c>
      <c r="AD334" s="130">
        <v>0</v>
      </c>
      <c r="AE334" s="130">
        <f t="shared" si="503"/>
        <v>0</v>
      </c>
      <c r="AF334" s="130">
        <f t="shared" si="504"/>
        <v>0</v>
      </c>
      <c r="AG334" s="132">
        <v>0</v>
      </c>
      <c r="AH334" s="132">
        <v>0</v>
      </c>
      <c r="AI334" s="132">
        <v>0</v>
      </c>
      <c r="AJ334" s="132">
        <v>0</v>
      </c>
      <c r="AK334" s="132">
        <v>0</v>
      </c>
      <c r="AL334" s="132">
        <f t="shared" si="505"/>
        <v>0</v>
      </c>
      <c r="AM334" s="132">
        <f t="shared" si="578"/>
        <v>0</v>
      </c>
      <c r="AN334" s="403">
        <f t="shared" si="507"/>
        <v>0</v>
      </c>
      <c r="AO334" s="128">
        <f t="shared" si="583"/>
        <v>1730888</v>
      </c>
      <c r="AP334" s="130">
        <f t="shared" si="584"/>
        <v>1274586</v>
      </c>
      <c r="AQ334" s="130">
        <f t="shared" si="585"/>
        <v>0</v>
      </c>
      <c r="AR334" s="130">
        <f t="shared" si="586"/>
        <v>430810</v>
      </c>
      <c r="AS334" s="130">
        <f t="shared" si="587"/>
        <v>25492</v>
      </c>
      <c r="AT334" s="130">
        <f t="shared" si="588"/>
        <v>0</v>
      </c>
      <c r="AU334" s="132">
        <f t="shared" si="589"/>
        <v>3.2778</v>
      </c>
      <c r="AV334" s="132">
        <f t="shared" si="590"/>
        <v>3.2778</v>
      </c>
      <c r="AW334" s="133">
        <f t="shared" si="591"/>
        <v>0</v>
      </c>
    </row>
    <row r="335" spans="1:49" ht="14.1" customHeight="1" x14ac:dyDescent="0.2">
      <c r="A335" s="124">
        <v>69</v>
      </c>
      <c r="B335" s="121">
        <v>2302</v>
      </c>
      <c r="C335" s="122">
        <v>600080366</v>
      </c>
      <c r="D335" s="121">
        <v>70983127</v>
      </c>
      <c r="E335" s="123" t="s">
        <v>713</v>
      </c>
      <c r="F335" s="124">
        <v>3114</v>
      </c>
      <c r="G335" s="143" t="s">
        <v>318</v>
      </c>
      <c r="H335" s="125" t="s">
        <v>284</v>
      </c>
      <c r="I335" s="126">
        <f t="shared" si="579"/>
        <v>0</v>
      </c>
      <c r="J335" s="29">
        <v>0</v>
      </c>
      <c r="K335" s="127">
        <f t="shared" si="592"/>
        <v>0</v>
      </c>
      <c r="L335" s="477">
        <f t="shared" si="593"/>
        <v>0</v>
      </c>
      <c r="M335" s="29">
        <v>0</v>
      </c>
      <c r="N335" s="390">
        <f t="shared" si="580"/>
        <v>0</v>
      </c>
      <c r="O335" s="349">
        <v>0</v>
      </c>
      <c r="P335" s="639">
        <v>0</v>
      </c>
      <c r="Q335" s="129">
        <f t="shared" si="581"/>
        <v>0</v>
      </c>
      <c r="R335" s="130">
        <f>1520504+277184</f>
        <v>1797688</v>
      </c>
      <c r="S335" s="130">
        <v>0</v>
      </c>
      <c r="T335" s="130">
        <v>0</v>
      </c>
      <c r="U335" s="130">
        <f t="shared" si="582"/>
        <v>1797688</v>
      </c>
      <c r="V335" s="130">
        <v>0</v>
      </c>
      <c r="W335" s="130">
        <v>0</v>
      </c>
      <c r="X335" s="130">
        <v>0</v>
      </c>
      <c r="Y335" s="130">
        <f t="shared" si="574"/>
        <v>0</v>
      </c>
      <c r="Z335" s="130">
        <f t="shared" si="575"/>
        <v>1797688</v>
      </c>
      <c r="AA335" s="131">
        <f t="shared" si="576"/>
        <v>607619</v>
      </c>
      <c r="AB335" s="131">
        <f t="shared" si="577"/>
        <v>35954</v>
      </c>
      <c r="AC335" s="130">
        <v>3000</v>
      </c>
      <c r="AD335" s="130">
        <v>0</v>
      </c>
      <c r="AE335" s="130">
        <f t="shared" si="503"/>
        <v>3000</v>
      </c>
      <c r="AF335" s="130">
        <f t="shared" si="504"/>
        <v>2444261</v>
      </c>
      <c r="AG335" s="132">
        <v>0</v>
      </c>
      <c r="AH335" s="132">
        <v>0</v>
      </c>
      <c r="AI335" s="132">
        <f>4.39+0.79</f>
        <v>5.18</v>
      </c>
      <c r="AJ335" s="132">
        <v>0</v>
      </c>
      <c r="AK335" s="132">
        <v>0</v>
      </c>
      <c r="AL335" s="132">
        <f t="shared" si="505"/>
        <v>5.18</v>
      </c>
      <c r="AM335" s="132">
        <f t="shared" si="578"/>
        <v>0</v>
      </c>
      <c r="AN335" s="403">
        <f t="shared" si="507"/>
        <v>5.18</v>
      </c>
      <c r="AO335" s="128">
        <f t="shared" si="583"/>
        <v>2444261</v>
      </c>
      <c r="AP335" s="130">
        <f t="shared" si="584"/>
        <v>1797688</v>
      </c>
      <c r="AQ335" s="130">
        <f t="shared" si="585"/>
        <v>0</v>
      </c>
      <c r="AR335" s="130">
        <f t="shared" si="586"/>
        <v>607619</v>
      </c>
      <c r="AS335" s="130">
        <f t="shared" si="587"/>
        <v>35954</v>
      </c>
      <c r="AT335" s="130">
        <f t="shared" si="588"/>
        <v>3000</v>
      </c>
      <c r="AU335" s="132">
        <f t="shared" si="589"/>
        <v>5.18</v>
      </c>
      <c r="AV335" s="132">
        <f t="shared" si="590"/>
        <v>5.18</v>
      </c>
      <c r="AW335" s="133">
        <f t="shared" si="591"/>
        <v>0</v>
      </c>
    </row>
    <row r="336" spans="1:49" ht="14.1" customHeight="1" x14ac:dyDescent="0.2">
      <c r="A336" s="124">
        <v>69</v>
      </c>
      <c r="B336" s="121">
        <v>2302</v>
      </c>
      <c r="C336" s="122">
        <v>600080366</v>
      </c>
      <c r="D336" s="121">
        <v>70983127</v>
      </c>
      <c r="E336" s="123" t="s">
        <v>713</v>
      </c>
      <c r="F336" s="124">
        <v>3141</v>
      </c>
      <c r="G336" s="123" t="s">
        <v>321</v>
      </c>
      <c r="H336" s="125" t="s">
        <v>284</v>
      </c>
      <c r="I336" s="126">
        <f t="shared" si="579"/>
        <v>407311</v>
      </c>
      <c r="J336" s="666">
        <v>297556</v>
      </c>
      <c r="K336" s="127">
        <f t="shared" si="592"/>
        <v>100574</v>
      </c>
      <c r="L336" s="477">
        <f t="shared" si="593"/>
        <v>5951</v>
      </c>
      <c r="M336" s="666">
        <v>3230</v>
      </c>
      <c r="N336" s="390">
        <f t="shared" si="580"/>
        <v>1.01</v>
      </c>
      <c r="O336" s="668">
        <v>0</v>
      </c>
      <c r="P336" s="667">
        <v>1.01</v>
      </c>
      <c r="Q336" s="129">
        <f t="shared" si="581"/>
        <v>0</v>
      </c>
      <c r="R336" s="130">
        <v>0</v>
      </c>
      <c r="S336" s="130">
        <v>0</v>
      </c>
      <c r="T336" s="130">
        <v>0</v>
      </c>
      <c r="U336" s="130">
        <f t="shared" si="582"/>
        <v>0</v>
      </c>
      <c r="V336" s="130">
        <v>0</v>
      </c>
      <c r="W336" s="130">
        <v>0</v>
      </c>
      <c r="X336" s="130">
        <v>0</v>
      </c>
      <c r="Y336" s="130">
        <f t="shared" si="574"/>
        <v>0</v>
      </c>
      <c r="Z336" s="130">
        <f t="shared" si="575"/>
        <v>0</v>
      </c>
      <c r="AA336" s="131">
        <f t="shared" si="576"/>
        <v>0</v>
      </c>
      <c r="AB336" s="131">
        <f t="shared" si="577"/>
        <v>0</v>
      </c>
      <c r="AC336" s="130">
        <v>0</v>
      </c>
      <c r="AD336" s="130">
        <v>0</v>
      </c>
      <c r="AE336" s="130">
        <f t="shared" si="503"/>
        <v>0</v>
      </c>
      <c r="AF336" s="130">
        <f t="shared" si="504"/>
        <v>0</v>
      </c>
      <c r="AG336" s="132">
        <v>0</v>
      </c>
      <c r="AH336" s="132">
        <v>0</v>
      </c>
      <c r="AI336" s="132">
        <v>0</v>
      </c>
      <c r="AJ336" s="132">
        <v>0</v>
      </c>
      <c r="AK336" s="132">
        <v>0</v>
      </c>
      <c r="AL336" s="132">
        <f t="shared" si="505"/>
        <v>0</v>
      </c>
      <c r="AM336" s="132">
        <f t="shared" si="578"/>
        <v>0</v>
      </c>
      <c r="AN336" s="403">
        <f t="shared" si="507"/>
        <v>0</v>
      </c>
      <c r="AO336" s="128">
        <f t="shared" si="583"/>
        <v>407311</v>
      </c>
      <c r="AP336" s="130">
        <f t="shared" si="584"/>
        <v>297556</v>
      </c>
      <c r="AQ336" s="130">
        <f t="shared" si="585"/>
        <v>0</v>
      </c>
      <c r="AR336" s="130">
        <f t="shared" si="586"/>
        <v>100574</v>
      </c>
      <c r="AS336" s="130">
        <f t="shared" si="587"/>
        <v>5951</v>
      </c>
      <c r="AT336" s="130">
        <f t="shared" si="588"/>
        <v>3230</v>
      </c>
      <c r="AU336" s="132">
        <f t="shared" si="589"/>
        <v>1.01</v>
      </c>
      <c r="AV336" s="132">
        <f t="shared" si="590"/>
        <v>0</v>
      </c>
      <c r="AW336" s="133">
        <f t="shared" si="591"/>
        <v>1.01</v>
      </c>
    </row>
    <row r="337" spans="1:49" ht="14.1" customHeight="1" x14ac:dyDescent="0.2">
      <c r="A337" s="124">
        <v>69</v>
      </c>
      <c r="B337" s="121">
        <v>2302</v>
      </c>
      <c r="C337" s="122">
        <v>600080366</v>
      </c>
      <c r="D337" s="121">
        <v>70983127</v>
      </c>
      <c r="E337" s="123" t="s">
        <v>713</v>
      </c>
      <c r="F337" s="124">
        <v>3143</v>
      </c>
      <c r="G337" s="145" t="s">
        <v>635</v>
      </c>
      <c r="H337" s="125" t="s">
        <v>283</v>
      </c>
      <c r="I337" s="126">
        <f t="shared" si="579"/>
        <v>640595</v>
      </c>
      <c r="J337" s="631">
        <v>471720</v>
      </c>
      <c r="K337" s="127">
        <f t="shared" si="592"/>
        <v>159441</v>
      </c>
      <c r="L337" s="477">
        <f t="shared" si="593"/>
        <v>9434</v>
      </c>
      <c r="M337" s="478">
        <v>0</v>
      </c>
      <c r="N337" s="390">
        <f t="shared" si="580"/>
        <v>1</v>
      </c>
      <c r="O337" s="644">
        <v>1</v>
      </c>
      <c r="P337" s="639">
        <v>0</v>
      </c>
      <c r="Q337" s="129">
        <f t="shared" si="581"/>
        <v>0</v>
      </c>
      <c r="R337" s="130">
        <v>0</v>
      </c>
      <c r="S337" s="130">
        <v>0</v>
      </c>
      <c r="T337" s="130">
        <v>0</v>
      </c>
      <c r="U337" s="130">
        <f t="shared" si="582"/>
        <v>0</v>
      </c>
      <c r="V337" s="130">
        <v>0</v>
      </c>
      <c r="W337" s="130">
        <v>0</v>
      </c>
      <c r="X337" s="130">
        <v>0</v>
      </c>
      <c r="Y337" s="130">
        <f t="shared" si="574"/>
        <v>0</v>
      </c>
      <c r="Z337" s="130">
        <f t="shared" si="575"/>
        <v>0</v>
      </c>
      <c r="AA337" s="131">
        <f t="shared" si="576"/>
        <v>0</v>
      </c>
      <c r="AB337" s="131">
        <f t="shared" si="577"/>
        <v>0</v>
      </c>
      <c r="AC337" s="130">
        <v>0</v>
      </c>
      <c r="AD337" s="130">
        <v>0</v>
      </c>
      <c r="AE337" s="130">
        <f t="shared" si="503"/>
        <v>0</v>
      </c>
      <c r="AF337" s="130">
        <f t="shared" si="504"/>
        <v>0</v>
      </c>
      <c r="AG337" s="132">
        <v>0</v>
      </c>
      <c r="AH337" s="132">
        <v>0</v>
      </c>
      <c r="AI337" s="132">
        <v>0</v>
      </c>
      <c r="AJ337" s="132">
        <v>0</v>
      </c>
      <c r="AK337" s="132">
        <v>0</v>
      </c>
      <c r="AL337" s="132">
        <f t="shared" si="505"/>
        <v>0</v>
      </c>
      <c r="AM337" s="132">
        <f t="shared" si="578"/>
        <v>0</v>
      </c>
      <c r="AN337" s="403">
        <f t="shared" si="507"/>
        <v>0</v>
      </c>
      <c r="AO337" s="128">
        <f t="shared" si="583"/>
        <v>640595</v>
      </c>
      <c r="AP337" s="130">
        <f t="shared" si="584"/>
        <v>471720</v>
      </c>
      <c r="AQ337" s="130">
        <f t="shared" si="585"/>
        <v>0</v>
      </c>
      <c r="AR337" s="130">
        <f t="shared" si="586"/>
        <v>159441</v>
      </c>
      <c r="AS337" s="130">
        <f t="shared" si="587"/>
        <v>9434</v>
      </c>
      <c r="AT337" s="130">
        <f t="shared" si="588"/>
        <v>0</v>
      </c>
      <c r="AU337" s="132">
        <f t="shared" si="589"/>
        <v>1</v>
      </c>
      <c r="AV337" s="132">
        <f t="shared" si="590"/>
        <v>1</v>
      </c>
      <c r="AW337" s="133">
        <f t="shared" si="591"/>
        <v>0</v>
      </c>
    </row>
    <row r="338" spans="1:49" ht="14.1" customHeight="1" x14ac:dyDescent="0.2">
      <c r="A338" s="124">
        <v>69</v>
      </c>
      <c r="B338" s="121">
        <v>2302</v>
      </c>
      <c r="C338" s="122">
        <v>600080366</v>
      </c>
      <c r="D338" s="121">
        <v>70983127</v>
      </c>
      <c r="E338" s="123" t="s">
        <v>713</v>
      </c>
      <c r="F338" s="124">
        <v>3143</v>
      </c>
      <c r="G338" s="145" t="s">
        <v>636</v>
      </c>
      <c r="H338" s="125" t="s">
        <v>284</v>
      </c>
      <c r="I338" s="126">
        <f t="shared" si="579"/>
        <v>10534</v>
      </c>
      <c r="J338" s="664">
        <v>7425</v>
      </c>
      <c r="K338" s="127">
        <f t="shared" si="592"/>
        <v>2510</v>
      </c>
      <c r="L338" s="477">
        <f t="shared" si="593"/>
        <v>149</v>
      </c>
      <c r="M338" s="664">
        <v>450</v>
      </c>
      <c r="N338" s="390">
        <f t="shared" si="580"/>
        <v>0.03</v>
      </c>
      <c r="O338" s="665">
        <v>0</v>
      </c>
      <c r="P338" s="667">
        <v>0.03</v>
      </c>
      <c r="Q338" s="129">
        <f t="shared" si="581"/>
        <v>0</v>
      </c>
      <c r="R338" s="130">
        <v>0</v>
      </c>
      <c r="S338" s="130">
        <v>0</v>
      </c>
      <c r="T338" s="130">
        <v>0</v>
      </c>
      <c r="U338" s="130">
        <f t="shared" si="582"/>
        <v>0</v>
      </c>
      <c r="V338" s="130">
        <v>0</v>
      </c>
      <c r="W338" s="130">
        <v>0</v>
      </c>
      <c r="X338" s="130">
        <v>0</v>
      </c>
      <c r="Y338" s="130">
        <f t="shared" si="574"/>
        <v>0</v>
      </c>
      <c r="Z338" s="130">
        <f t="shared" si="575"/>
        <v>0</v>
      </c>
      <c r="AA338" s="131">
        <f t="shared" si="576"/>
        <v>0</v>
      </c>
      <c r="AB338" s="131">
        <f t="shared" si="577"/>
        <v>0</v>
      </c>
      <c r="AC338" s="130">
        <v>0</v>
      </c>
      <c r="AD338" s="130">
        <v>0</v>
      </c>
      <c r="AE338" s="130">
        <f t="shared" ref="AE338:AE400" si="594">SUM(AC338:AD338)</f>
        <v>0</v>
      </c>
      <c r="AF338" s="130">
        <f t="shared" ref="AF338:AF400" si="595">Z338+AA338+AB338+AE338</f>
        <v>0</v>
      </c>
      <c r="AG338" s="132">
        <v>0</v>
      </c>
      <c r="AH338" s="132">
        <v>0</v>
      </c>
      <c r="AI338" s="132">
        <v>0</v>
      </c>
      <c r="AJ338" s="132">
        <v>0</v>
      </c>
      <c r="AK338" s="132">
        <v>0</v>
      </c>
      <c r="AL338" s="132">
        <f t="shared" ref="AL338:AL400" si="596">AG338+AI338+AJ338</f>
        <v>0</v>
      </c>
      <c r="AM338" s="132">
        <f t="shared" si="578"/>
        <v>0</v>
      </c>
      <c r="AN338" s="403">
        <f t="shared" ref="AN338:AN400" si="597">SUM(AL338:AM338)</f>
        <v>0</v>
      </c>
      <c r="AO338" s="128">
        <f t="shared" si="583"/>
        <v>10534</v>
      </c>
      <c r="AP338" s="130">
        <f t="shared" si="584"/>
        <v>7425</v>
      </c>
      <c r="AQ338" s="130">
        <f t="shared" si="585"/>
        <v>0</v>
      </c>
      <c r="AR338" s="130">
        <f t="shared" si="586"/>
        <v>2510</v>
      </c>
      <c r="AS338" s="130">
        <f t="shared" si="587"/>
        <v>149</v>
      </c>
      <c r="AT338" s="130">
        <f t="shared" si="588"/>
        <v>450</v>
      </c>
      <c r="AU338" s="132">
        <f t="shared" si="589"/>
        <v>0.03</v>
      </c>
      <c r="AV338" s="132">
        <f t="shared" si="590"/>
        <v>0</v>
      </c>
      <c r="AW338" s="133">
        <f t="shared" si="591"/>
        <v>0.03</v>
      </c>
    </row>
    <row r="339" spans="1:49" ht="14.1" customHeight="1" x14ac:dyDescent="0.2">
      <c r="A339" s="137">
        <v>69</v>
      </c>
      <c r="B339" s="134">
        <v>2302</v>
      </c>
      <c r="C339" s="135">
        <v>600080366</v>
      </c>
      <c r="D339" s="134">
        <v>70983127</v>
      </c>
      <c r="E339" s="136" t="s">
        <v>714</v>
      </c>
      <c r="F339" s="137"/>
      <c r="G339" s="136"/>
      <c r="H339" s="138"/>
      <c r="I339" s="139">
        <f t="shared" ref="I339:P339" si="598">SUM(I332:I338)</f>
        <v>14648085</v>
      </c>
      <c r="J339" s="140">
        <f t="shared" si="598"/>
        <v>10696910</v>
      </c>
      <c r="K339" s="140">
        <f t="shared" si="598"/>
        <v>3615556</v>
      </c>
      <c r="L339" s="140">
        <f t="shared" si="598"/>
        <v>213939</v>
      </c>
      <c r="M339" s="140">
        <f t="shared" si="598"/>
        <v>121680</v>
      </c>
      <c r="N339" s="141">
        <f t="shared" si="598"/>
        <v>22.367500000000003</v>
      </c>
      <c r="O339" s="141">
        <f t="shared" si="598"/>
        <v>16.277799999999999</v>
      </c>
      <c r="P339" s="142">
        <f t="shared" si="598"/>
        <v>6.0896999999999997</v>
      </c>
      <c r="Q339" s="342">
        <f t="shared" ref="Q339:AW339" si="599">SUM(Q332:Q338)</f>
        <v>-64000</v>
      </c>
      <c r="R339" s="140">
        <f t="shared" si="599"/>
        <v>1797688</v>
      </c>
      <c r="S339" s="140">
        <f t="shared" si="599"/>
        <v>0</v>
      </c>
      <c r="T339" s="140">
        <f t="shared" si="599"/>
        <v>0</v>
      </c>
      <c r="U339" s="140">
        <f t="shared" si="599"/>
        <v>1733688</v>
      </c>
      <c r="V339" s="140">
        <f t="shared" si="599"/>
        <v>64000</v>
      </c>
      <c r="W339" s="140">
        <f t="shared" si="599"/>
        <v>0</v>
      </c>
      <c r="X339" s="140">
        <f t="shared" si="599"/>
        <v>0</v>
      </c>
      <c r="Y339" s="140">
        <f t="shared" si="599"/>
        <v>64000</v>
      </c>
      <c r="Z339" s="140">
        <f t="shared" si="599"/>
        <v>1797688</v>
      </c>
      <c r="AA339" s="140">
        <f t="shared" si="599"/>
        <v>607619</v>
      </c>
      <c r="AB339" s="140">
        <f t="shared" si="599"/>
        <v>34674</v>
      </c>
      <c r="AC339" s="140">
        <f t="shared" si="599"/>
        <v>3000</v>
      </c>
      <c r="AD339" s="140">
        <f t="shared" si="599"/>
        <v>0</v>
      </c>
      <c r="AE339" s="140">
        <f t="shared" si="599"/>
        <v>3000</v>
      </c>
      <c r="AF339" s="140">
        <f t="shared" si="599"/>
        <v>2442981</v>
      </c>
      <c r="AG339" s="141">
        <f t="shared" si="599"/>
        <v>0</v>
      </c>
      <c r="AH339" s="141">
        <f t="shared" si="599"/>
        <v>-0.32</v>
      </c>
      <c r="AI339" s="141">
        <f t="shared" si="599"/>
        <v>5.18</v>
      </c>
      <c r="AJ339" s="141">
        <f t="shared" si="599"/>
        <v>0</v>
      </c>
      <c r="AK339" s="141">
        <f t="shared" si="599"/>
        <v>0</v>
      </c>
      <c r="AL339" s="141">
        <f t="shared" si="599"/>
        <v>5.18</v>
      </c>
      <c r="AM339" s="141">
        <f t="shared" si="599"/>
        <v>-0.32</v>
      </c>
      <c r="AN339" s="635">
        <f t="shared" si="599"/>
        <v>4.8599999999999994</v>
      </c>
      <c r="AO339" s="139">
        <f t="shared" si="599"/>
        <v>17091066</v>
      </c>
      <c r="AP339" s="140">
        <f t="shared" si="599"/>
        <v>12430598</v>
      </c>
      <c r="AQ339" s="140">
        <f t="shared" si="599"/>
        <v>64000</v>
      </c>
      <c r="AR339" s="140">
        <f t="shared" si="599"/>
        <v>4223175</v>
      </c>
      <c r="AS339" s="140">
        <f t="shared" si="599"/>
        <v>248613</v>
      </c>
      <c r="AT339" s="140">
        <f t="shared" si="599"/>
        <v>124680</v>
      </c>
      <c r="AU339" s="141">
        <f t="shared" si="599"/>
        <v>27.227500000000003</v>
      </c>
      <c r="AV339" s="141">
        <f t="shared" si="599"/>
        <v>21.457799999999999</v>
      </c>
      <c r="AW339" s="142">
        <f t="shared" si="599"/>
        <v>5.7697000000000003</v>
      </c>
    </row>
    <row r="340" spans="1:49" ht="14.1" customHeight="1" x14ac:dyDescent="0.2">
      <c r="A340" s="124">
        <v>70</v>
      </c>
      <c r="B340" s="121">
        <v>2454</v>
      </c>
      <c r="C340" s="144">
        <v>600079759</v>
      </c>
      <c r="D340" s="121">
        <v>70983119</v>
      </c>
      <c r="E340" s="123" t="s">
        <v>715</v>
      </c>
      <c r="F340" s="124">
        <v>3117</v>
      </c>
      <c r="G340" s="123" t="s">
        <v>320</v>
      </c>
      <c r="H340" s="125" t="s">
        <v>283</v>
      </c>
      <c r="I340" s="126">
        <f t="shared" si="579"/>
        <v>5917106</v>
      </c>
      <c r="J340" s="127">
        <v>4252707</v>
      </c>
      <c r="K340" s="127">
        <f t="shared" si="592"/>
        <v>1437415</v>
      </c>
      <c r="L340" s="477">
        <f t="shared" si="593"/>
        <v>85054</v>
      </c>
      <c r="M340" s="127">
        <v>141930</v>
      </c>
      <c r="N340" s="390">
        <f t="shared" si="580"/>
        <v>8.8277000000000001</v>
      </c>
      <c r="O340" s="390">
        <v>6</v>
      </c>
      <c r="P340" s="439">
        <v>2.8277000000000001</v>
      </c>
      <c r="Q340" s="129">
        <f t="shared" si="581"/>
        <v>-56000</v>
      </c>
      <c r="R340" s="130">
        <v>0</v>
      </c>
      <c r="S340" s="130">
        <v>0</v>
      </c>
      <c r="T340" s="130">
        <v>0</v>
      </c>
      <c r="U340" s="130">
        <f t="shared" si="582"/>
        <v>-56000</v>
      </c>
      <c r="V340" s="130">
        <v>56000</v>
      </c>
      <c r="W340" s="130">
        <v>0</v>
      </c>
      <c r="X340" s="130">
        <v>0</v>
      </c>
      <c r="Y340" s="130">
        <f t="shared" ref="Y340:Y344" si="600">SUM(V340:X340)</f>
        <v>56000</v>
      </c>
      <c r="Z340" s="130">
        <f t="shared" ref="Z340:Z344" si="601">U340+Y340</f>
        <v>0</v>
      </c>
      <c r="AA340" s="131">
        <f t="shared" ref="AA340:AA344" si="602">ROUND((U340+V340+W340)*33.8%,0)</f>
        <v>0</v>
      </c>
      <c r="AB340" s="131">
        <f t="shared" ref="AB340:AB344" si="603">ROUND(U340*2%,0)</f>
        <v>-1120</v>
      </c>
      <c r="AC340" s="130">
        <v>0</v>
      </c>
      <c r="AD340" s="130">
        <v>0</v>
      </c>
      <c r="AE340" s="130">
        <f t="shared" si="594"/>
        <v>0</v>
      </c>
      <c r="AF340" s="130">
        <f t="shared" si="595"/>
        <v>-1120</v>
      </c>
      <c r="AG340" s="132">
        <v>0</v>
      </c>
      <c r="AH340" s="132">
        <v>-0.24</v>
      </c>
      <c r="AI340" s="132">
        <v>0</v>
      </c>
      <c r="AJ340" s="132">
        <v>0</v>
      </c>
      <c r="AK340" s="132">
        <v>0</v>
      </c>
      <c r="AL340" s="132">
        <f t="shared" si="596"/>
        <v>0</v>
      </c>
      <c r="AM340" s="132">
        <f>AH340+AK340</f>
        <v>-0.24</v>
      </c>
      <c r="AN340" s="403">
        <f t="shared" si="597"/>
        <v>-0.24</v>
      </c>
      <c r="AO340" s="128">
        <f t="shared" si="583"/>
        <v>5915986</v>
      </c>
      <c r="AP340" s="130">
        <f t="shared" si="584"/>
        <v>4196707</v>
      </c>
      <c r="AQ340" s="130">
        <f t="shared" si="585"/>
        <v>56000</v>
      </c>
      <c r="AR340" s="130">
        <f t="shared" si="586"/>
        <v>1437415</v>
      </c>
      <c r="AS340" s="130">
        <f t="shared" si="587"/>
        <v>83934</v>
      </c>
      <c r="AT340" s="130">
        <f t="shared" si="588"/>
        <v>141930</v>
      </c>
      <c r="AU340" s="132">
        <f t="shared" si="589"/>
        <v>8.5876999999999999</v>
      </c>
      <c r="AV340" s="132">
        <f t="shared" si="590"/>
        <v>6</v>
      </c>
      <c r="AW340" s="133">
        <f t="shared" si="591"/>
        <v>2.5876999999999999</v>
      </c>
    </row>
    <row r="341" spans="1:49" ht="14.1" customHeight="1" x14ac:dyDescent="0.2">
      <c r="A341" s="124">
        <v>70</v>
      </c>
      <c r="B341" s="121">
        <v>2454</v>
      </c>
      <c r="C341" s="144">
        <v>600079759</v>
      </c>
      <c r="D341" s="121">
        <v>70983119</v>
      </c>
      <c r="E341" s="123" t="s">
        <v>715</v>
      </c>
      <c r="F341" s="124">
        <v>3117</v>
      </c>
      <c r="G341" s="143" t="s">
        <v>318</v>
      </c>
      <c r="H341" s="125" t="s">
        <v>284</v>
      </c>
      <c r="I341" s="126">
        <f t="shared" si="579"/>
        <v>0</v>
      </c>
      <c r="J341" s="29">
        <v>0</v>
      </c>
      <c r="K341" s="127">
        <f t="shared" si="592"/>
        <v>0</v>
      </c>
      <c r="L341" s="477">
        <f t="shared" si="593"/>
        <v>0</v>
      </c>
      <c r="M341" s="29">
        <v>0</v>
      </c>
      <c r="N341" s="390">
        <f t="shared" si="580"/>
        <v>0</v>
      </c>
      <c r="O341" s="349">
        <v>0</v>
      </c>
      <c r="P341" s="639">
        <v>0</v>
      </c>
      <c r="Q341" s="129">
        <f t="shared" si="581"/>
        <v>0</v>
      </c>
      <c r="R341" s="130">
        <v>1228116</v>
      </c>
      <c r="S341" s="130">
        <v>0</v>
      </c>
      <c r="T341" s="130">
        <v>0</v>
      </c>
      <c r="U341" s="130">
        <f t="shared" si="582"/>
        <v>1228116</v>
      </c>
      <c r="V341" s="130">
        <v>0</v>
      </c>
      <c r="W341" s="130">
        <v>0</v>
      </c>
      <c r="X341" s="130">
        <v>0</v>
      </c>
      <c r="Y341" s="130">
        <f t="shared" si="600"/>
        <v>0</v>
      </c>
      <c r="Z341" s="130">
        <f t="shared" si="601"/>
        <v>1228116</v>
      </c>
      <c r="AA341" s="131">
        <f t="shared" si="602"/>
        <v>415103</v>
      </c>
      <c r="AB341" s="131">
        <f t="shared" si="603"/>
        <v>24562</v>
      </c>
      <c r="AC341" s="130">
        <v>0</v>
      </c>
      <c r="AD341" s="130">
        <v>0</v>
      </c>
      <c r="AE341" s="130">
        <f t="shared" si="594"/>
        <v>0</v>
      </c>
      <c r="AF341" s="130">
        <f t="shared" si="595"/>
        <v>1667781</v>
      </c>
      <c r="AG341" s="132">
        <v>0</v>
      </c>
      <c r="AH341" s="132">
        <v>0</v>
      </c>
      <c r="AI341" s="132">
        <v>3.48</v>
      </c>
      <c r="AJ341" s="132">
        <v>0</v>
      </c>
      <c r="AK341" s="132">
        <v>0</v>
      </c>
      <c r="AL341" s="132">
        <f t="shared" si="596"/>
        <v>3.48</v>
      </c>
      <c r="AM341" s="132">
        <f>AH341+AK341</f>
        <v>0</v>
      </c>
      <c r="AN341" s="403">
        <f t="shared" si="597"/>
        <v>3.48</v>
      </c>
      <c r="AO341" s="128">
        <f t="shared" si="583"/>
        <v>1667781</v>
      </c>
      <c r="AP341" s="130">
        <f t="shared" si="584"/>
        <v>1228116</v>
      </c>
      <c r="AQ341" s="130">
        <f t="shared" si="585"/>
        <v>0</v>
      </c>
      <c r="AR341" s="130">
        <f t="shared" si="586"/>
        <v>415103</v>
      </c>
      <c r="AS341" s="130">
        <f t="shared" si="587"/>
        <v>24562</v>
      </c>
      <c r="AT341" s="130">
        <f t="shared" si="588"/>
        <v>0</v>
      </c>
      <c r="AU341" s="132">
        <f t="shared" si="589"/>
        <v>3.48</v>
      </c>
      <c r="AV341" s="132">
        <f t="shared" si="590"/>
        <v>3.48</v>
      </c>
      <c r="AW341" s="133">
        <f t="shared" si="591"/>
        <v>0</v>
      </c>
    </row>
    <row r="342" spans="1:49" ht="14.1" customHeight="1" x14ac:dyDescent="0.2">
      <c r="A342" s="124">
        <v>70</v>
      </c>
      <c r="B342" s="121">
        <v>2454</v>
      </c>
      <c r="C342" s="144">
        <v>600079759</v>
      </c>
      <c r="D342" s="121">
        <v>70983119</v>
      </c>
      <c r="E342" s="123" t="s">
        <v>715</v>
      </c>
      <c r="F342" s="124">
        <v>3141</v>
      </c>
      <c r="G342" s="123" t="s">
        <v>321</v>
      </c>
      <c r="H342" s="125" t="s">
        <v>284</v>
      </c>
      <c r="I342" s="126">
        <f t="shared" si="579"/>
        <v>261548</v>
      </c>
      <c r="J342" s="666">
        <v>190527</v>
      </c>
      <c r="K342" s="127">
        <f t="shared" si="592"/>
        <v>64398</v>
      </c>
      <c r="L342" s="477">
        <f t="shared" si="593"/>
        <v>3811</v>
      </c>
      <c r="M342" s="666">
        <v>2812</v>
      </c>
      <c r="N342" s="390">
        <f t="shared" si="580"/>
        <v>0.65</v>
      </c>
      <c r="O342" s="668">
        <v>0</v>
      </c>
      <c r="P342" s="667">
        <v>0.65</v>
      </c>
      <c r="Q342" s="129">
        <f t="shared" si="581"/>
        <v>0</v>
      </c>
      <c r="R342" s="130">
        <v>0</v>
      </c>
      <c r="S342" s="130">
        <v>0</v>
      </c>
      <c r="T342" s="130">
        <v>0</v>
      </c>
      <c r="U342" s="130">
        <f t="shared" si="582"/>
        <v>0</v>
      </c>
      <c r="V342" s="130">
        <v>0</v>
      </c>
      <c r="W342" s="130">
        <v>0</v>
      </c>
      <c r="X342" s="130">
        <v>0</v>
      </c>
      <c r="Y342" s="130">
        <f t="shared" si="600"/>
        <v>0</v>
      </c>
      <c r="Z342" s="130">
        <f t="shared" si="601"/>
        <v>0</v>
      </c>
      <c r="AA342" s="131">
        <f t="shared" si="602"/>
        <v>0</v>
      </c>
      <c r="AB342" s="131">
        <f t="shared" si="603"/>
        <v>0</v>
      </c>
      <c r="AC342" s="130">
        <v>0</v>
      </c>
      <c r="AD342" s="130">
        <v>0</v>
      </c>
      <c r="AE342" s="130">
        <f t="shared" si="594"/>
        <v>0</v>
      </c>
      <c r="AF342" s="130">
        <f t="shared" si="595"/>
        <v>0</v>
      </c>
      <c r="AG342" s="132">
        <v>0</v>
      </c>
      <c r="AH342" s="132">
        <v>0</v>
      </c>
      <c r="AI342" s="132">
        <v>0</v>
      </c>
      <c r="AJ342" s="132">
        <v>0</v>
      </c>
      <c r="AK342" s="132">
        <v>0</v>
      </c>
      <c r="AL342" s="132">
        <f t="shared" si="596"/>
        <v>0</v>
      </c>
      <c r="AM342" s="132">
        <f>AH342+AK342</f>
        <v>0</v>
      </c>
      <c r="AN342" s="403">
        <f t="shared" si="597"/>
        <v>0</v>
      </c>
      <c r="AO342" s="128">
        <f t="shared" si="583"/>
        <v>261548</v>
      </c>
      <c r="AP342" s="130">
        <f t="shared" si="584"/>
        <v>190527</v>
      </c>
      <c r="AQ342" s="130">
        <f t="shared" si="585"/>
        <v>0</v>
      </c>
      <c r="AR342" s="130">
        <f t="shared" si="586"/>
        <v>64398</v>
      </c>
      <c r="AS342" s="130">
        <f t="shared" si="587"/>
        <v>3811</v>
      </c>
      <c r="AT342" s="130">
        <f t="shared" si="588"/>
        <v>2812</v>
      </c>
      <c r="AU342" s="132">
        <f t="shared" si="589"/>
        <v>0.65</v>
      </c>
      <c r="AV342" s="132">
        <f t="shared" si="590"/>
        <v>0</v>
      </c>
      <c r="AW342" s="133">
        <f t="shared" si="591"/>
        <v>0.65</v>
      </c>
    </row>
    <row r="343" spans="1:49" ht="14.1" customHeight="1" x14ac:dyDescent="0.2">
      <c r="A343" s="124">
        <v>70</v>
      </c>
      <c r="B343" s="121">
        <v>2454</v>
      </c>
      <c r="C343" s="144">
        <v>600079759</v>
      </c>
      <c r="D343" s="121">
        <v>70983119</v>
      </c>
      <c r="E343" s="123" t="s">
        <v>715</v>
      </c>
      <c r="F343" s="124">
        <v>3143</v>
      </c>
      <c r="G343" s="145" t="s">
        <v>635</v>
      </c>
      <c r="H343" s="125" t="s">
        <v>283</v>
      </c>
      <c r="I343" s="126">
        <f t="shared" si="579"/>
        <v>896196</v>
      </c>
      <c r="J343" s="631">
        <v>659938</v>
      </c>
      <c r="K343" s="127">
        <f t="shared" si="592"/>
        <v>223059</v>
      </c>
      <c r="L343" s="477">
        <f t="shared" si="593"/>
        <v>13199</v>
      </c>
      <c r="M343" s="478">
        <v>0</v>
      </c>
      <c r="N343" s="390">
        <f t="shared" si="580"/>
        <v>1.45</v>
      </c>
      <c r="O343" s="644">
        <v>1.45</v>
      </c>
      <c r="P343" s="639">
        <v>0</v>
      </c>
      <c r="Q343" s="129">
        <f t="shared" si="581"/>
        <v>0</v>
      </c>
      <c r="R343" s="130">
        <v>0</v>
      </c>
      <c r="S343" s="130">
        <v>0</v>
      </c>
      <c r="T343" s="130">
        <v>0</v>
      </c>
      <c r="U343" s="130">
        <f t="shared" si="582"/>
        <v>0</v>
      </c>
      <c r="V343" s="130">
        <v>0</v>
      </c>
      <c r="W343" s="130">
        <v>0</v>
      </c>
      <c r="X343" s="130">
        <v>0</v>
      </c>
      <c r="Y343" s="130">
        <f t="shared" si="600"/>
        <v>0</v>
      </c>
      <c r="Z343" s="130">
        <f t="shared" si="601"/>
        <v>0</v>
      </c>
      <c r="AA343" s="131">
        <f t="shared" si="602"/>
        <v>0</v>
      </c>
      <c r="AB343" s="131">
        <f t="shared" si="603"/>
        <v>0</v>
      </c>
      <c r="AC343" s="130">
        <v>0</v>
      </c>
      <c r="AD343" s="130">
        <v>0</v>
      </c>
      <c r="AE343" s="130">
        <f t="shared" si="594"/>
        <v>0</v>
      </c>
      <c r="AF343" s="130">
        <f t="shared" si="595"/>
        <v>0</v>
      </c>
      <c r="AG343" s="132">
        <v>0</v>
      </c>
      <c r="AH343" s="132">
        <v>0</v>
      </c>
      <c r="AI343" s="132">
        <v>0</v>
      </c>
      <c r="AJ343" s="132">
        <v>0</v>
      </c>
      <c r="AK343" s="132">
        <v>0</v>
      </c>
      <c r="AL343" s="132">
        <f t="shared" si="596"/>
        <v>0</v>
      </c>
      <c r="AM343" s="132">
        <f>AH343+AK343</f>
        <v>0</v>
      </c>
      <c r="AN343" s="403">
        <f t="shared" si="597"/>
        <v>0</v>
      </c>
      <c r="AO343" s="128">
        <f t="shared" si="583"/>
        <v>896196</v>
      </c>
      <c r="AP343" s="130">
        <f t="shared" si="584"/>
        <v>659938</v>
      </c>
      <c r="AQ343" s="130">
        <f t="shared" si="585"/>
        <v>0</v>
      </c>
      <c r="AR343" s="130">
        <f t="shared" si="586"/>
        <v>223059</v>
      </c>
      <c r="AS343" s="130">
        <f t="shared" si="587"/>
        <v>13199</v>
      </c>
      <c r="AT343" s="130">
        <f t="shared" si="588"/>
        <v>0</v>
      </c>
      <c r="AU343" s="132">
        <f t="shared" si="589"/>
        <v>1.45</v>
      </c>
      <c r="AV343" s="132">
        <f t="shared" si="590"/>
        <v>1.45</v>
      </c>
      <c r="AW343" s="133">
        <f t="shared" si="591"/>
        <v>0</v>
      </c>
    </row>
    <row r="344" spans="1:49" ht="14.1" customHeight="1" x14ac:dyDescent="0.2">
      <c r="A344" s="124">
        <v>70</v>
      </c>
      <c r="B344" s="121">
        <v>2454</v>
      </c>
      <c r="C344" s="144">
        <v>600079759</v>
      </c>
      <c r="D344" s="121">
        <v>70983119</v>
      </c>
      <c r="E344" s="123" t="s">
        <v>715</v>
      </c>
      <c r="F344" s="124">
        <v>3143</v>
      </c>
      <c r="G344" s="145" t="s">
        <v>636</v>
      </c>
      <c r="H344" s="125" t="s">
        <v>284</v>
      </c>
      <c r="I344" s="126">
        <f t="shared" si="579"/>
        <v>34408</v>
      </c>
      <c r="J344" s="664">
        <v>24255</v>
      </c>
      <c r="K344" s="127">
        <f t="shared" si="592"/>
        <v>8198</v>
      </c>
      <c r="L344" s="477">
        <f t="shared" si="593"/>
        <v>485</v>
      </c>
      <c r="M344" s="664">
        <v>1470</v>
      </c>
      <c r="N344" s="390">
        <f t="shared" si="580"/>
        <v>0.1</v>
      </c>
      <c r="O344" s="665">
        <v>0</v>
      </c>
      <c r="P344" s="667">
        <v>0.1</v>
      </c>
      <c r="Q344" s="129">
        <f t="shared" si="581"/>
        <v>0</v>
      </c>
      <c r="R344" s="130">
        <v>0</v>
      </c>
      <c r="S344" s="130">
        <v>0</v>
      </c>
      <c r="T344" s="130">
        <v>0</v>
      </c>
      <c r="U344" s="130">
        <f t="shared" si="582"/>
        <v>0</v>
      </c>
      <c r="V344" s="130">
        <v>0</v>
      </c>
      <c r="W344" s="130">
        <v>0</v>
      </c>
      <c r="X344" s="130">
        <v>0</v>
      </c>
      <c r="Y344" s="130">
        <f t="shared" si="600"/>
        <v>0</v>
      </c>
      <c r="Z344" s="130">
        <f t="shared" si="601"/>
        <v>0</v>
      </c>
      <c r="AA344" s="131">
        <f t="shared" si="602"/>
        <v>0</v>
      </c>
      <c r="AB344" s="131">
        <f t="shared" si="603"/>
        <v>0</v>
      </c>
      <c r="AC344" s="130">
        <v>0</v>
      </c>
      <c r="AD344" s="130">
        <v>0</v>
      </c>
      <c r="AE344" s="130">
        <f t="shared" si="594"/>
        <v>0</v>
      </c>
      <c r="AF344" s="130">
        <f t="shared" si="595"/>
        <v>0</v>
      </c>
      <c r="AG344" s="132">
        <v>0</v>
      </c>
      <c r="AH344" s="132">
        <v>0</v>
      </c>
      <c r="AI344" s="132">
        <v>0</v>
      </c>
      <c r="AJ344" s="132">
        <v>0</v>
      </c>
      <c r="AK344" s="132">
        <v>0</v>
      </c>
      <c r="AL344" s="132">
        <f t="shared" si="596"/>
        <v>0</v>
      </c>
      <c r="AM344" s="132">
        <f>AH344+AK344</f>
        <v>0</v>
      </c>
      <c r="AN344" s="403">
        <f t="shared" si="597"/>
        <v>0</v>
      </c>
      <c r="AO344" s="128">
        <f t="shared" si="583"/>
        <v>34408</v>
      </c>
      <c r="AP344" s="130">
        <f t="shared" si="584"/>
        <v>24255</v>
      </c>
      <c r="AQ344" s="130">
        <f t="shared" si="585"/>
        <v>0</v>
      </c>
      <c r="AR344" s="130">
        <f t="shared" si="586"/>
        <v>8198</v>
      </c>
      <c r="AS344" s="130">
        <f t="shared" si="587"/>
        <v>485</v>
      </c>
      <c r="AT344" s="130">
        <f t="shared" si="588"/>
        <v>1470</v>
      </c>
      <c r="AU344" s="132">
        <f t="shared" si="589"/>
        <v>0.1</v>
      </c>
      <c r="AV344" s="132">
        <f t="shared" si="590"/>
        <v>0</v>
      </c>
      <c r="AW344" s="133">
        <f t="shared" si="591"/>
        <v>0.1</v>
      </c>
    </row>
    <row r="345" spans="1:49" ht="14.1" customHeight="1" x14ac:dyDescent="0.2">
      <c r="A345" s="137">
        <v>70</v>
      </c>
      <c r="B345" s="134">
        <v>2454</v>
      </c>
      <c r="C345" s="146">
        <v>600079759</v>
      </c>
      <c r="D345" s="134">
        <v>70983119</v>
      </c>
      <c r="E345" s="136" t="s">
        <v>716</v>
      </c>
      <c r="F345" s="137"/>
      <c r="G345" s="136"/>
      <c r="H345" s="138"/>
      <c r="I345" s="139">
        <f t="shared" ref="I345:P345" si="604">SUM(I340:I344)</f>
        <v>7109258</v>
      </c>
      <c r="J345" s="140">
        <f t="shared" si="604"/>
        <v>5127427</v>
      </c>
      <c r="K345" s="140">
        <f t="shared" si="604"/>
        <v>1733070</v>
      </c>
      <c r="L345" s="140">
        <f t="shared" si="604"/>
        <v>102549</v>
      </c>
      <c r="M345" s="140">
        <f t="shared" si="604"/>
        <v>146212</v>
      </c>
      <c r="N345" s="141">
        <f t="shared" si="604"/>
        <v>11.027699999999999</v>
      </c>
      <c r="O345" s="141">
        <f t="shared" si="604"/>
        <v>7.45</v>
      </c>
      <c r="P345" s="142">
        <f t="shared" si="604"/>
        <v>3.5777000000000001</v>
      </c>
      <c r="Q345" s="342">
        <f t="shared" ref="Q345:AW345" si="605">SUM(Q340:Q344)</f>
        <v>-56000</v>
      </c>
      <c r="R345" s="140">
        <f t="shared" si="605"/>
        <v>1228116</v>
      </c>
      <c r="S345" s="140">
        <f t="shared" si="605"/>
        <v>0</v>
      </c>
      <c r="T345" s="140">
        <f t="shared" si="605"/>
        <v>0</v>
      </c>
      <c r="U345" s="140">
        <f t="shared" si="605"/>
        <v>1172116</v>
      </c>
      <c r="V345" s="140">
        <f t="shared" si="605"/>
        <v>56000</v>
      </c>
      <c r="W345" s="140">
        <f t="shared" si="605"/>
        <v>0</v>
      </c>
      <c r="X345" s="140">
        <f t="shared" si="605"/>
        <v>0</v>
      </c>
      <c r="Y345" s="140">
        <f t="shared" si="605"/>
        <v>56000</v>
      </c>
      <c r="Z345" s="140">
        <f t="shared" si="605"/>
        <v>1228116</v>
      </c>
      <c r="AA345" s="140">
        <f t="shared" si="605"/>
        <v>415103</v>
      </c>
      <c r="AB345" s="140">
        <f t="shared" si="605"/>
        <v>23442</v>
      </c>
      <c r="AC345" s="140">
        <f t="shared" si="605"/>
        <v>0</v>
      </c>
      <c r="AD345" s="140">
        <f t="shared" si="605"/>
        <v>0</v>
      </c>
      <c r="AE345" s="140">
        <f t="shared" si="605"/>
        <v>0</v>
      </c>
      <c r="AF345" s="140">
        <f t="shared" si="605"/>
        <v>1666661</v>
      </c>
      <c r="AG345" s="141">
        <f t="shared" si="605"/>
        <v>0</v>
      </c>
      <c r="AH345" s="141">
        <f t="shared" si="605"/>
        <v>-0.24</v>
      </c>
      <c r="AI345" s="141">
        <f t="shared" si="605"/>
        <v>3.48</v>
      </c>
      <c r="AJ345" s="141">
        <f t="shared" si="605"/>
        <v>0</v>
      </c>
      <c r="AK345" s="141">
        <f t="shared" si="605"/>
        <v>0</v>
      </c>
      <c r="AL345" s="141">
        <f t="shared" si="605"/>
        <v>3.48</v>
      </c>
      <c r="AM345" s="141">
        <f t="shared" si="605"/>
        <v>-0.24</v>
      </c>
      <c r="AN345" s="635">
        <f t="shared" si="605"/>
        <v>3.24</v>
      </c>
      <c r="AO345" s="139">
        <f t="shared" si="605"/>
        <v>8775919</v>
      </c>
      <c r="AP345" s="140">
        <f t="shared" si="605"/>
        <v>6299543</v>
      </c>
      <c r="AQ345" s="140">
        <f t="shared" si="605"/>
        <v>56000</v>
      </c>
      <c r="AR345" s="140">
        <f t="shared" si="605"/>
        <v>2148173</v>
      </c>
      <c r="AS345" s="140">
        <f t="shared" si="605"/>
        <v>125991</v>
      </c>
      <c r="AT345" s="140">
        <f t="shared" si="605"/>
        <v>146212</v>
      </c>
      <c r="AU345" s="141">
        <f t="shared" si="605"/>
        <v>14.2677</v>
      </c>
      <c r="AV345" s="141">
        <f t="shared" si="605"/>
        <v>10.93</v>
      </c>
      <c r="AW345" s="142">
        <f t="shared" si="605"/>
        <v>3.3376999999999999</v>
      </c>
    </row>
    <row r="346" spans="1:49" ht="14.1" customHeight="1" x14ac:dyDescent="0.2">
      <c r="A346" s="124">
        <v>71</v>
      </c>
      <c r="B346" s="121">
        <v>2492</v>
      </c>
      <c r="C346" s="144">
        <v>600079767</v>
      </c>
      <c r="D346" s="121">
        <v>70983011</v>
      </c>
      <c r="E346" s="123" t="s">
        <v>809</v>
      </c>
      <c r="F346" s="124">
        <v>3113</v>
      </c>
      <c r="G346" s="123" t="s">
        <v>320</v>
      </c>
      <c r="H346" s="125" t="s">
        <v>283</v>
      </c>
      <c r="I346" s="126">
        <f t="shared" si="579"/>
        <v>20228417</v>
      </c>
      <c r="J346" s="127">
        <v>14592458</v>
      </c>
      <c r="K346" s="127">
        <v>4932250</v>
      </c>
      <c r="L346" s="477">
        <f t="shared" si="593"/>
        <v>291849</v>
      </c>
      <c r="M346" s="127">
        <v>411860</v>
      </c>
      <c r="N346" s="390">
        <f t="shared" si="580"/>
        <v>27.7502</v>
      </c>
      <c r="O346" s="390">
        <v>21.44</v>
      </c>
      <c r="P346" s="439">
        <v>6.3102</v>
      </c>
      <c r="Q346" s="129">
        <f t="shared" si="581"/>
        <v>-7200</v>
      </c>
      <c r="R346" s="130">
        <v>0</v>
      </c>
      <c r="S346" s="130">
        <v>0</v>
      </c>
      <c r="T346" s="130">
        <v>0</v>
      </c>
      <c r="U346" s="130">
        <f t="shared" si="582"/>
        <v>-7200</v>
      </c>
      <c r="V346" s="130">
        <v>7200</v>
      </c>
      <c r="W346" s="130">
        <v>0</v>
      </c>
      <c r="X346" s="130">
        <v>0</v>
      </c>
      <c r="Y346" s="130">
        <f t="shared" ref="Y346:Y351" si="606">SUM(V346:X346)</f>
        <v>7200</v>
      </c>
      <c r="Z346" s="130">
        <f t="shared" ref="Z346:Z351" si="607">U346+Y346</f>
        <v>0</v>
      </c>
      <c r="AA346" s="131">
        <f t="shared" ref="AA346:AA351" si="608">ROUND((U346+V346+W346)*33.8%,0)</f>
        <v>0</v>
      </c>
      <c r="AB346" s="131">
        <f t="shared" ref="AB346:AB351" si="609">ROUND(U346*2%,0)</f>
        <v>-144</v>
      </c>
      <c r="AC346" s="130">
        <v>0</v>
      </c>
      <c r="AD346" s="130">
        <v>0</v>
      </c>
      <c r="AE346" s="130">
        <f t="shared" si="594"/>
        <v>0</v>
      </c>
      <c r="AF346" s="130">
        <f t="shared" si="595"/>
        <v>-144</v>
      </c>
      <c r="AG346" s="132">
        <v>0</v>
      </c>
      <c r="AH346" s="132">
        <v>0</v>
      </c>
      <c r="AI346" s="132">
        <v>0</v>
      </c>
      <c r="AJ346" s="132">
        <v>0</v>
      </c>
      <c r="AK346" s="132">
        <v>0</v>
      </c>
      <c r="AL346" s="132">
        <f t="shared" si="596"/>
        <v>0</v>
      </c>
      <c r="AM346" s="132">
        <f t="shared" ref="AM346:AM351" si="610">AH346+AK346</f>
        <v>0</v>
      </c>
      <c r="AN346" s="403">
        <f t="shared" si="597"/>
        <v>0</v>
      </c>
      <c r="AO346" s="128">
        <f t="shared" si="583"/>
        <v>20228273</v>
      </c>
      <c r="AP346" s="130">
        <f t="shared" si="584"/>
        <v>14585258</v>
      </c>
      <c r="AQ346" s="130">
        <f t="shared" si="585"/>
        <v>7200</v>
      </c>
      <c r="AR346" s="130">
        <f t="shared" si="586"/>
        <v>4932250</v>
      </c>
      <c r="AS346" s="130">
        <f t="shared" si="587"/>
        <v>291705</v>
      </c>
      <c r="AT346" s="130">
        <f t="shared" si="588"/>
        <v>411860</v>
      </c>
      <c r="AU346" s="132">
        <f t="shared" si="589"/>
        <v>27.7502</v>
      </c>
      <c r="AV346" s="132">
        <f t="shared" si="590"/>
        <v>21.44</v>
      </c>
      <c r="AW346" s="133">
        <f t="shared" si="591"/>
        <v>6.3102</v>
      </c>
    </row>
    <row r="347" spans="1:49" ht="14.1" customHeight="1" x14ac:dyDescent="0.2">
      <c r="A347" s="124">
        <v>71</v>
      </c>
      <c r="B347" s="121">
        <v>2492</v>
      </c>
      <c r="C347" s="144">
        <v>600079767</v>
      </c>
      <c r="D347" s="121">
        <v>70983011</v>
      </c>
      <c r="E347" s="123" t="s">
        <v>809</v>
      </c>
      <c r="F347" s="124">
        <v>3113</v>
      </c>
      <c r="G347" s="143" t="s">
        <v>318</v>
      </c>
      <c r="H347" s="125" t="s">
        <v>284</v>
      </c>
      <c r="I347" s="126">
        <f t="shared" si="579"/>
        <v>0</v>
      </c>
      <c r="J347" s="29">
        <v>0</v>
      </c>
      <c r="K347" s="127">
        <f t="shared" si="592"/>
        <v>0</v>
      </c>
      <c r="L347" s="477">
        <f t="shared" si="593"/>
        <v>0</v>
      </c>
      <c r="M347" s="29">
        <v>0</v>
      </c>
      <c r="N347" s="390">
        <f t="shared" si="580"/>
        <v>0</v>
      </c>
      <c r="O347" s="349">
        <v>0</v>
      </c>
      <c r="P347" s="639">
        <v>0</v>
      </c>
      <c r="Q347" s="129">
        <f t="shared" si="581"/>
        <v>0</v>
      </c>
      <c r="R347" s="130">
        <v>1558998</v>
      </c>
      <c r="S347" s="130">
        <v>0</v>
      </c>
      <c r="T347" s="130">
        <v>0</v>
      </c>
      <c r="U347" s="130">
        <f t="shared" si="582"/>
        <v>1558998</v>
      </c>
      <c r="V347" s="130">
        <v>0</v>
      </c>
      <c r="W347" s="130">
        <v>0</v>
      </c>
      <c r="X347" s="130">
        <v>0</v>
      </c>
      <c r="Y347" s="130">
        <f t="shared" si="606"/>
        <v>0</v>
      </c>
      <c r="Z347" s="130">
        <f t="shared" si="607"/>
        <v>1558998</v>
      </c>
      <c r="AA347" s="131">
        <f t="shared" si="608"/>
        <v>526941</v>
      </c>
      <c r="AB347" s="131">
        <f t="shared" si="609"/>
        <v>31180</v>
      </c>
      <c r="AC347" s="130">
        <v>0</v>
      </c>
      <c r="AD347" s="130">
        <v>0</v>
      </c>
      <c r="AE347" s="130">
        <f t="shared" si="594"/>
        <v>0</v>
      </c>
      <c r="AF347" s="130">
        <f t="shared" si="595"/>
        <v>2117119</v>
      </c>
      <c r="AG347" s="132">
        <v>0</v>
      </c>
      <c r="AH347" s="132">
        <v>0</v>
      </c>
      <c r="AI347" s="132">
        <v>4.5</v>
      </c>
      <c r="AJ347" s="132">
        <v>0</v>
      </c>
      <c r="AK347" s="132">
        <v>0</v>
      </c>
      <c r="AL347" s="132">
        <f t="shared" si="596"/>
        <v>4.5</v>
      </c>
      <c r="AM347" s="132">
        <f t="shared" si="610"/>
        <v>0</v>
      </c>
      <c r="AN347" s="403">
        <f t="shared" si="597"/>
        <v>4.5</v>
      </c>
      <c r="AO347" s="128">
        <f t="shared" si="583"/>
        <v>2117119</v>
      </c>
      <c r="AP347" s="130">
        <f t="shared" si="584"/>
        <v>1558998</v>
      </c>
      <c r="AQ347" s="130">
        <f t="shared" si="585"/>
        <v>0</v>
      </c>
      <c r="AR347" s="130">
        <f t="shared" si="586"/>
        <v>526941</v>
      </c>
      <c r="AS347" s="130">
        <f t="shared" si="587"/>
        <v>31180</v>
      </c>
      <c r="AT347" s="130">
        <f t="shared" si="588"/>
        <v>0</v>
      </c>
      <c r="AU347" s="132">
        <f t="shared" si="589"/>
        <v>4.5</v>
      </c>
      <c r="AV347" s="132">
        <f t="shared" si="590"/>
        <v>4.5</v>
      </c>
      <c r="AW347" s="133">
        <f t="shared" si="591"/>
        <v>0</v>
      </c>
    </row>
    <row r="348" spans="1:49" ht="14.1" customHeight="1" x14ac:dyDescent="0.2">
      <c r="A348" s="124">
        <v>71</v>
      </c>
      <c r="B348" s="121">
        <v>2492</v>
      </c>
      <c r="C348" s="144">
        <v>600079767</v>
      </c>
      <c r="D348" s="121">
        <v>70983011</v>
      </c>
      <c r="E348" s="123" t="s">
        <v>809</v>
      </c>
      <c r="F348" s="124">
        <v>3141</v>
      </c>
      <c r="G348" s="123" t="s">
        <v>321</v>
      </c>
      <c r="H348" s="125" t="s">
        <v>284</v>
      </c>
      <c r="I348" s="126">
        <f t="shared" si="579"/>
        <v>3351310</v>
      </c>
      <c r="J348" s="666">
        <v>2446252</v>
      </c>
      <c r="K348" s="127">
        <f t="shared" si="592"/>
        <v>826833</v>
      </c>
      <c r="L348" s="477">
        <f t="shared" si="593"/>
        <v>48925</v>
      </c>
      <c r="M348" s="666">
        <v>29300</v>
      </c>
      <c r="N348" s="390">
        <f t="shared" si="580"/>
        <v>8.32</v>
      </c>
      <c r="O348" s="668">
        <v>0</v>
      </c>
      <c r="P348" s="667">
        <v>8.32</v>
      </c>
      <c r="Q348" s="129">
        <f t="shared" si="581"/>
        <v>0</v>
      </c>
      <c r="R348" s="130">
        <v>0</v>
      </c>
      <c r="S348" s="130">
        <v>0</v>
      </c>
      <c r="T348" s="130">
        <v>0</v>
      </c>
      <c r="U348" s="130">
        <f t="shared" si="582"/>
        <v>0</v>
      </c>
      <c r="V348" s="130">
        <v>0</v>
      </c>
      <c r="W348" s="130">
        <v>0</v>
      </c>
      <c r="X348" s="130">
        <v>0</v>
      </c>
      <c r="Y348" s="130">
        <f t="shared" si="606"/>
        <v>0</v>
      </c>
      <c r="Z348" s="130">
        <f t="shared" si="607"/>
        <v>0</v>
      </c>
      <c r="AA348" s="131">
        <f t="shared" si="608"/>
        <v>0</v>
      </c>
      <c r="AB348" s="131">
        <f t="shared" si="609"/>
        <v>0</v>
      </c>
      <c r="AC348" s="130">
        <v>0</v>
      </c>
      <c r="AD348" s="130">
        <v>0</v>
      </c>
      <c r="AE348" s="130">
        <f t="shared" si="594"/>
        <v>0</v>
      </c>
      <c r="AF348" s="130">
        <f t="shared" si="595"/>
        <v>0</v>
      </c>
      <c r="AG348" s="132">
        <v>0</v>
      </c>
      <c r="AH348" s="132">
        <v>0</v>
      </c>
      <c r="AI348" s="132">
        <v>0</v>
      </c>
      <c r="AJ348" s="132">
        <v>0</v>
      </c>
      <c r="AK348" s="132">
        <v>0</v>
      </c>
      <c r="AL348" s="132">
        <f t="shared" si="596"/>
        <v>0</v>
      </c>
      <c r="AM348" s="132">
        <f t="shared" si="610"/>
        <v>0</v>
      </c>
      <c r="AN348" s="403">
        <f t="shared" si="597"/>
        <v>0</v>
      </c>
      <c r="AO348" s="128">
        <f t="shared" si="583"/>
        <v>3351310</v>
      </c>
      <c r="AP348" s="130">
        <f t="shared" si="584"/>
        <v>2446252</v>
      </c>
      <c r="AQ348" s="130">
        <f t="shared" si="585"/>
        <v>0</v>
      </c>
      <c r="AR348" s="130">
        <f t="shared" si="586"/>
        <v>826833</v>
      </c>
      <c r="AS348" s="130">
        <f t="shared" si="587"/>
        <v>48925</v>
      </c>
      <c r="AT348" s="130">
        <f t="shared" si="588"/>
        <v>29300</v>
      </c>
      <c r="AU348" s="132">
        <f t="shared" si="589"/>
        <v>8.32</v>
      </c>
      <c r="AV348" s="132">
        <f t="shared" si="590"/>
        <v>0</v>
      </c>
      <c r="AW348" s="133">
        <f t="shared" si="591"/>
        <v>8.32</v>
      </c>
    </row>
    <row r="349" spans="1:49" ht="14.1" customHeight="1" x14ac:dyDescent="0.2">
      <c r="A349" s="124">
        <v>71</v>
      </c>
      <c r="B349" s="121">
        <v>2492</v>
      </c>
      <c r="C349" s="144">
        <v>600079767</v>
      </c>
      <c r="D349" s="121">
        <v>70983011</v>
      </c>
      <c r="E349" s="123" t="s">
        <v>809</v>
      </c>
      <c r="F349" s="124">
        <v>3143</v>
      </c>
      <c r="G349" s="145" t="s">
        <v>635</v>
      </c>
      <c r="H349" s="125" t="s">
        <v>283</v>
      </c>
      <c r="I349" s="126">
        <f t="shared" si="579"/>
        <v>1641009</v>
      </c>
      <c r="J349" s="631">
        <v>1208401</v>
      </c>
      <c r="K349" s="127">
        <f t="shared" si="592"/>
        <v>408440</v>
      </c>
      <c r="L349" s="477">
        <f t="shared" si="593"/>
        <v>24168</v>
      </c>
      <c r="M349" s="478">
        <v>0</v>
      </c>
      <c r="N349" s="390">
        <f t="shared" si="580"/>
        <v>2.5</v>
      </c>
      <c r="O349" s="644">
        <v>2.5</v>
      </c>
      <c r="P349" s="639">
        <v>0</v>
      </c>
      <c r="Q349" s="129">
        <f t="shared" si="581"/>
        <v>0</v>
      </c>
      <c r="R349" s="130">
        <v>0</v>
      </c>
      <c r="S349" s="130">
        <v>0</v>
      </c>
      <c r="T349" s="130">
        <v>0</v>
      </c>
      <c r="U349" s="130">
        <f t="shared" si="582"/>
        <v>0</v>
      </c>
      <c r="V349" s="130">
        <v>0</v>
      </c>
      <c r="W349" s="130">
        <v>0</v>
      </c>
      <c r="X349" s="130">
        <v>0</v>
      </c>
      <c r="Y349" s="130">
        <f t="shared" si="606"/>
        <v>0</v>
      </c>
      <c r="Z349" s="130">
        <f t="shared" si="607"/>
        <v>0</v>
      </c>
      <c r="AA349" s="131">
        <f t="shared" si="608"/>
        <v>0</v>
      </c>
      <c r="AB349" s="131">
        <f t="shared" si="609"/>
        <v>0</v>
      </c>
      <c r="AC349" s="130">
        <v>0</v>
      </c>
      <c r="AD349" s="130">
        <v>0</v>
      </c>
      <c r="AE349" s="130">
        <f t="shared" si="594"/>
        <v>0</v>
      </c>
      <c r="AF349" s="130">
        <f t="shared" si="595"/>
        <v>0</v>
      </c>
      <c r="AG349" s="132">
        <v>0</v>
      </c>
      <c r="AH349" s="132">
        <v>0</v>
      </c>
      <c r="AI349" s="132">
        <v>0</v>
      </c>
      <c r="AJ349" s="132">
        <v>0</v>
      </c>
      <c r="AK349" s="132">
        <v>0</v>
      </c>
      <c r="AL349" s="132">
        <f t="shared" si="596"/>
        <v>0</v>
      </c>
      <c r="AM349" s="132">
        <f t="shared" si="610"/>
        <v>0</v>
      </c>
      <c r="AN349" s="403">
        <f t="shared" si="597"/>
        <v>0</v>
      </c>
      <c r="AO349" s="128">
        <f t="shared" si="583"/>
        <v>1641009</v>
      </c>
      <c r="AP349" s="130">
        <f t="shared" si="584"/>
        <v>1208401</v>
      </c>
      <c r="AQ349" s="130">
        <f t="shared" si="585"/>
        <v>0</v>
      </c>
      <c r="AR349" s="130">
        <f t="shared" si="586"/>
        <v>408440</v>
      </c>
      <c r="AS349" s="130">
        <f t="shared" si="587"/>
        <v>24168</v>
      </c>
      <c r="AT349" s="130">
        <f t="shared" si="588"/>
        <v>0</v>
      </c>
      <c r="AU349" s="132">
        <f t="shared" si="589"/>
        <v>2.5</v>
      </c>
      <c r="AV349" s="132">
        <f t="shared" si="590"/>
        <v>2.5</v>
      </c>
      <c r="AW349" s="133">
        <f t="shared" si="591"/>
        <v>0</v>
      </c>
    </row>
    <row r="350" spans="1:49" ht="14.1" customHeight="1" x14ac:dyDescent="0.2">
      <c r="A350" s="124">
        <v>71</v>
      </c>
      <c r="B350" s="121">
        <v>2492</v>
      </c>
      <c r="C350" s="144">
        <v>600079767</v>
      </c>
      <c r="D350" s="121">
        <v>70983011</v>
      </c>
      <c r="E350" s="123" t="s">
        <v>809</v>
      </c>
      <c r="F350" s="124">
        <v>3143</v>
      </c>
      <c r="G350" s="145" t="s">
        <v>636</v>
      </c>
      <c r="H350" s="125" t="s">
        <v>284</v>
      </c>
      <c r="I350" s="126">
        <f t="shared" si="579"/>
        <v>47048</v>
      </c>
      <c r="J350" s="664">
        <v>33165</v>
      </c>
      <c r="K350" s="127">
        <f t="shared" si="592"/>
        <v>11210</v>
      </c>
      <c r="L350" s="477">
        <f t="shared" si="593"/>
        <v>663</v>
      </c>
      <c r="M350" s="664">
        <v>2010</v>
      </c>
      <c r="N350" s="390">
        <f t="shared" si="580"/>
        <v>0.14000000000000001</v>
      </c>
      <c r="O350" s="665">
        <v>0</v>
      </c>
      <c r="P350" s="667">
        <v>0.14000000000000001</v>
      </c>
      <c r="Q350" s="129">
        <f t="shared" si="581"/>
        <v>0</v>
      </c>
      <c r="R350" s="130">
        <v>0</v>
      </c>
      <c r="S350" s="130">
        <v>0</v>
      </c>
      <c r="T350" s="130">
        <v>0</v>
      </c>
      <c r="U350" s="130">
        <f t="shared" si="582"/>
        <v>0</v>
      </c>
      <c r="V350" s="130">
        <v>0</v>
      </c>
      <c r="W350" s="130">
        <v>0</v>
      </c>
      <c r="X350" s="130">
        <v>0</v>
      </c>
      <c r="Y350" s="130">
        <f t="shared" si="606"/>
        <v>0</v>
      </c>
      <c r="Z350" s="130">
        <f t="shared" si="607"/>
        <v>0</v>
      </c>
      <c r="AA350" s="131">
        <f t="shared" si="608"/>
        <v>0</v>
      </c>
      <c r="AB350" s="131">
        <f t="shared" si="609"/>
        <v>0</v>
      </c>
      <c r="AC350" s="130">
        <v>0</v>
      </c>
      <c r="AD350" s="130">
        <v>0</v>
      </c>
      <c r="AE350" s="130">
        <f t="shared" si="594"/>
        <v>0</v>
      </c>
      <c r="AF350" s="130">
        <f t="shared" si="595"/>
        <v>0</v>
      </c>
      <c r="AG350" s="132">
        <v>0</v>
      </c>
      <c r="AH350" s="132">
        <v>0</v>
      </c>
      <c r="AI350" s="132">
        <v>0</v>
      </c>
      <c r="AJ350" s="132">
        <v>0</v>
      </c>
      <c r="AK350" s="132">
        <v>0</v>
      </c>
      <c r="AL350" s="132">
        <f t="shared" si="596"/>
        <v>0</v>
      </c>
      <c r="AM350" s="132">
        <f t="shared" si="610"/>
        <v>0</v>
      </c>
      <c r="AN350" s="403">
        <f t="shared" si="597"/>
        <v>0</v>
      </c>
      <c r="AO350" s="128">
        <f t="shared" si="583"/>
        <v>47048</v>
      </c>
      <c r="AP350" s="130">
        <f t="shared" si="584"/>
        <v>33165</v>
      </c>
      <c r="AQ350" s="130">
        <f t="shared" si="585"/>
        <v>0</v>
      </c>
      <c r="AR350" s="130">
        <f t="shared" si="586"/>
        <v>11210</v>
      </c>
      <c r="AS350" s="130">
        <f t="shared" si="587"/>
        <v>663</v>
      </c>
      <c r="AT350" s="130">
        <f t="shared" si="588"/>
        <v>2010</v>
      </c>
      <c r="AU350" s="132">
        <f t="shared" si="589"/>
        <v>0.14000000000000001</v>
      </c>
      <c r="AV350" s="132">
        <f t="shared" si="590"/>
        <v>0</v>
      </c>
      <c r="AW350" s="133">
        <f t="shared" si="591"/>
        <v>0.14000000000000001</v>
      </c>
    </row>
    <row r="351" spans="1:49" ht="14.1" customHeight="1" x14ac:dyDescent="0.2">
      <c r="A351" s="124">
        <v>71</v>
      </c>
      <c r="B351" s="121">
        <v>2492</v>
      </c>
      <c r="C351" s="144">
        <v>600079767</v>
      </c>
      <c r="D351" s="121">
        <v>70983011</v>
      </c>
      <c r="E351" s="123" t="s">
        <v>810</v>
      </c>
      <c r="F351" s="124">
        <v>3231</v>
      </c>
      <c r="G351" s="145" t="s">
        <v>322</v>
      </c>
      <c r="H351" s="125" t="s">
        <v>283</v>
      </c>
      <c r="I351" s="126">
        <f t="shared" si="579"/>
        <v>1238527</v>
      </c>
      <c r="J351" s="478">
        <v>909103</v>
      </c>
      <c r="K351" s="127">
        <f t="shared" si="592"/>
        <v>307277</v>
      </c>
      <c r="L351" s="477">
        <f t="shared" si="593"/>
        <v>18182</v>
      </c>
      <c r="M351" s="478">
        <v>3965</v>
      </c>
      <c r="N351" s="390">
        <f t="shared" si="580"/>
        <v>1.7588999999999999</v>
      </c>
      <c r="O351" s="349">
        <v>1.5669999999999999</v>
      </c>
      <c r="P351" s="639">
        <v>0.19189999999999999</v>
      </c>
      <c r="Q351" s="129">
        <f t="shared" si="581"/>
        <v>0</v>
      </c>
      <c r="R351" s="130">
        <v>0</v>
      </c>
      <c r="S351" s="130">
        <v>0</v>
      </c>
      <c r="T351" s="130">
        <v>0</v>
      </c>
      <c r="U351" s="130">
        <f t="shared" si="582"/>
        <v>0</v>
      </c>
      <c r="V351" s="130">
        <v>0</v>
      </c>
      <c r="W351" s="130">
        <v>0</v>
      </c>
      <c r="X351" s="130">
        <v>0</v>
      </c>
      <c r="Y351" s="130">
        <f t="shared" si="606"/>
        <v>0</v>
      </c>
      <c r="Z351" s="130">
        <f t="shared" si="607"/>
        <v>0</v>
      </c>
      <c r="AA351" s="131">
        <f t="shared" si="608"/>
        <v>0</v>
      </c>
      <c r="AB351" s="131">
        <f t="shared" si="609"/>
        <v>0</v>
      </c>
      <c r="AC351" s="130">
        <v>0</v>
      </c>
      <c r="AD351" s="130">
        <v>0</v>
      </c>
      <c r="AE351" s="130">
        <f t="shared" si="594"/>
        <v>0</v>
      </c>
      <c r="AF351" s="130">
        <f t="shared" si="595"/>
        <v>0</v>
      </c>
      <c r="AG351" s="132">
        <v>0</v>
      </c>
      <c r="AH351" s="132">
        <v>0</v>
      </c>
      <c r="AI351" s="132">
        <v>0</v>
      </c>
      <c r="AJ351" s="132">
        <v>0</v>
      </c>
      <c r="AK351" s="132">
        <v>0</v>
      </c>
      <c r="AL351" s="132">
        <f t="shared" si="596"/>
        <v>0</v>
      </c>
      <c r="AM351" s="132">
        <f t="shared" si="610"/>
        <v>0</v>
      </c>
      <c r="AN351" s="403">
        <f t="shared" si="597"/>
        <v>0</v>
      </c>
      <c r="AO351" s="128">
        <f t="shared" si="583"/>
        <v>1238527</v>
      </c>
      <c r="AP351" s="130">
        <f t="shared" si="584"/>
        <v>909103</v>
      </c>
      <c r="AQ351" s="130">
        <f t="shared" si="585"/>
        <v>0</v>
      </c>
      <c r="AR351" s="130">
        <f t="shared" si="586"/>
        <v>307277</v>
      </c>
      <c r="AS351" s="130">
        <f t="shared" si="587"/>
        <v>18182</v>
      </c>
      <c r="AT351" s="130">
        <f t="shared" si="588"/>
        <v>3965</v>
      </c>
      <c r="AU351" s="132">
        <f t="shared" si="589"/>
        <v>1.7588999999999999</v>
      </c>
      <c r="AV351" s="132">
        <f t="shared" si="590"/>
        <v>1.5669999999999999</v>
      </c>
      <c r="AW351" s="133">
        <f t="shared" si="591"/>
        <v>0.19189999999999999</v>
      </c>
    </row>
    <row r="352" spans="1:49" ht="14.1" customHeight="1" x14ac:dyDescent="0.2">
      <c r="A352" s="137">
        <v>71</v>
      </c>
      <c r="B352" s="134">
        <v>2492</v>
      </c>
      <c r="C352" s="146">
        <v>600079767</v>
      </c>
      <c r="D352" s="134">
        <v>70983011</v>
      </c>
      <c r="E352" s="136" t="s">
        <v>811</v>
      </c>
      <c r="F352" s="137"/>
      <c r="G352" s="136"/>
      <c r="H352" s="138"/>
      <c r="I352" s="139">
        <f t="shared" ref="I352:P352" si="611">SUM(I346:I351)</f>
        <v>26506311</v>
      </c>
      <c r="J352" s="140">
        <f t="shared" si="611"/>
        <v>19189379</v>
      </c>
      <c r="K352" s="140">
        <f t="shared" si="611"/>
        <v>6486010</v>
      </c>
      <c r="L352" s="140">
        <f t="shared" si="611"/>
        <v>383787</v>
      </c>
      <c r="M352" s="140">
        <f t="shared" si="611"/>
        <v>447135</v>
      </c>
      <c r="N352" s="141">
        <f t="shared" si="611"/>
        <v>40.469099999999997</v>
      </c>
      <c r="O352" s="141">
        <f t="shared" si="611"/>
        <v>25.507000000000001</v>
      </c>
      <c r="P352" s="142">
        <f t="shared" si="611"/>
        <v>14.962100000000001</v>
      </c>
      <c r="Q352" s="342">
        <f t="shared" ref="Q352:AW352" si="612">SUM(Q346:Q351)</f>
        <v>-7200</v>
      </c>
      <c r="R352" s="140">
        <f t="shared" si="612"/>
        <v>1558998</v>
      </c>
      <c r="S352" s="140">
        <f t="shared" si="612"/>
        <v>0</v>
      </c>
      <c r="T352" s="140">
        <f t="shared" si="612"/>
        <v>0</v>
      </c>
      <c r="U352" s="140">
        <f t="shared" si="612"/>
        <v>1551798</v>
      </c>
      <c r="V352" s="140">
        <f t="shared" si="612"/>
        <v>7200</v>
      </c>
      <c r="W352" s="140">
        <f t="shared" si="612"/>
        <v>0</v>
      </c>
      <c r="X352" s="140">
        <f t="shared" si="612"/>
        <v>0</v>
      </c>
      <c r="Y352" s="140">
        <f t="shared" si="612"/>
        <v>7200</v>
      </c>
      <c r="Z352" s="140">
        <f t="shared" si="612"/>
        <v>1558998</v>
      </c>
      <c r="AA352" s="140">
        <f t="shared" si="612"/>
        <v>526941</v>
      </c>
      <c r="AB352" s="140">
        <f t="shared" si="612"/>
        <v>31036</v>
      </c>
      <c r="AC352" s="140">
        <f t="shared" si="612"/>
        <v>0</v>
      </c>
      <c r="AD352" s="140">
        <f t="shared" si="612"/>
        <v>0</v>
      </c>
      <c r="AE352" s="140">
        <f t="shared" si="612"/>
        <v>0</v>
      </c>
      <c r="AF352" s="140">
        <f t="shared" si="612"/>
        <v>2116975</v>
      </c>
      <c r="AG352" s="141">
        <f t="shared" si="612"/>
        <v>0</v>
      </c>
      <c r="AH352" s="141">
        <f t="shared" si="612"/>
        <v>0</v>
      </c>
      <c r="AI352" s="141">
        <f t="shared" si="612"/>
        <v>4.5</v>
      </c>
      <c r="AJ352" s="141">
        <f t="shared" si="612"/>
        <v>0</v>
      </c>
      <c r="AK352" s="141">
        <f t="shared" si="612"/>
        <v>0</v>
      </c>
      <c r="AL352" s="141">
        <f t="shared" si="612"/>
        <v>4.5</v>
      </c>
      <c r="AM352" s="141">
        <f t="shared" si="612"/>
        <v>0</v>
      </c>
      <c r="AN352" s="635">
        <f t="shared" si="612"/>
        <v>4.5</v>
      </c>
      <c r="AO352" s="139">
        <f t="shared" si="612"/>
        <v>28623286</v>
      </c>
      <c r="AP352" s="140">
        <f t="shared" si="612"/>
        <v>20741177</v>
      </c>
      <c r="AQ352" s="140">
        <f t="shared" si="612"/>
        <v>7200</v>
      </c>
      <c r="AR352" s="140">
        <f t="shared" si="612"/>
        <v>7012951</v>
      </c>
      <c r="AS352" s="140">
        <f t="shared" si="612"/>
        <v>414823</v>
      </c>
      <c r="AT352" s="140">
        <f t="shared" si="612"/>
        <v>447135</v>
      </c>
      <c r="AU352" s="141">
        <f t="shared" si="612"/>
        <v>44.969099999999997</v>
      </c>
      <c r="AV352" s="141">
        <f t="shared" si="612"/>
        <v>30.007000000000001</v>
      </c>
      <c r="AW352" s="142">
        <f t="shared" si="612"/>
        <v>14.962100000000001</v>
      </c>
    </row>
    <row r="353" spans="1:49" ht="14.1" customHeight="1" x14ac:dyDescent="0.2">
      <c r="A353" s="124">
        <v>72</v>
      </c>
      <c r="B353" s="121">
        <v>2491</v>
      </c>
      <c r="C353" s="144">
        <v>600079775</v>
      </c>
      <c r="D353" s="121">
        <v>70983003</v>
      </c>
      <c r="E353" s="123" t="s">
        <v>717</v>
      </c>
      <c r="F353" s="124">
        <v>3113</v>
      </c>
      <c r="G353" s="123" t="s">
        <v>320</v>
      </c>
      <c r="H353" s="125" t="s">
        <v>283</v>
      </c>
      <c r="I353" s="126">
        <f t="shared" si="579"/>
        <v>26608740</v>
      </c>
      <c r="J353" s="127">
        <v>19214013</v>
      </c>
      <c r="K353" s="127">
        <v>6494337</v>
      </c>
      <c r="L353" s="477">
        <f t="shared" si="593"/>
        <v>384280</v>
      </c>
      <c r="M353" s="127">
        <v>516110</v>
      </c>
      <c r="N353" s="390">
        <f t="shared" si="580"/>
        <v>35.5899</v>
      </c>
      <c r="O353" s="390">
        <v>28.318100000000001</v>
      </c>
      <c r="P353" s="439">
        <v>7.2717999999999998</v>
      </c>
      <c r="Q353" s="129">
        <f t="shared" si="581"/>
        <v>0</v>
      </c>
      <c r="R353" s="130">
        <v>0</v>
      </c>
      <c r="S353" s="130">
        <v>0</v>
      </c>
      <c r="T353" s="130">
        <v>0</v>
      </c>
      <c r="U353" s="130">
        <f t="shared" si="582"/>
        <v>0</v>
      </c>
      <c r="V353" s="130">
        <v>0</v>
      </c>
      <c r="W353" s="130">
        <v>0</v>
      </c>
      <c r="X353" s="130">
        <v>0</v>
      </c>
      <c r="Y353" s="130">
        <f t="shared" ref="Y353:Y356" si="613">SUM(V353:X353)</f>
        <v>0</v>
      </c>
      <c r="Z353" s="130">
        <f t="shared" ref="Z353:Z356" si="614">U353+Y353</f>
        <v>0</v>
      </c>
      <c r="AA353" s="131">
        <f t="shared" ref="AA353:AA356" si="615">ROUND((U353+V353+W353)*33.8%,0)</f>
        <v>0</v>
      </c>
      <c r="AB353" s="131">
        <f t="shared" ref="AB353:AB356" si="616">ROUND(U353*2%,0)</f>
        <v>0</v>
      </c>
      <c r="AC353" s="130">
        <v>0</v>
      </c>
      <c r="AD353" s="130">
        <v>0</v>
      </c>
      <c r="AE353" s="130">
        <f t="shared" si="594"/>
        <v>0</v>
      </c>
      <c r="AF353" s="130">
        <f t="shared" si="595"/>
        <v>0</v>
      </c>
      <c r="AG353" s="132">
        <v>0</v>
      </c>
      <c r="AH353" s="132">
        <v>0</v>
      </c>
      <c r="AI353" s="132">
        <v>0</v>
      </c>
      <c r="AJ353" s="132">
        <v>0</v>
      </c>
      <c r="AK353" s="132">
        <v>0</v>
      </c>
      <c r="AL353" s="132">
        <f t="shared" si="596"/>
        <v>0</v>
      </c>
      <c r="AM353" s="132">
        <f>AH353+AK353</f>
        <v>0</v>
      </c>
      <c r="AN353" s="403">
        <f t="shared" si="597"/>
        <v>0</v>
      </c>
      <c r="AO353" s="128">
        <f t="shared" si="583"/>
        <v>26608740</v>
      </c>
      <c r="AP353" s="130">
        <f t="shared" si="584"/>
        <v>19214013</v>
      </c>
      <c r="AQ353" s="130">
        <f t="shared" si="585"/>
        <v>0</v>
      </c>
      <c r="AR353" s="130">
        <f t="shared" si="586"/>
        <v>6494337</v>
      </c>
      <c r="AS353" s="130">
        <f t="shared" si="587"/>
        <v>384280</v>
      </c>
      <c r="AT353" s="130">
        <f t="shared" si="588"/>
        <v>516110</v>
      </c>
      <c r="AU353" s="132">
        <f t="shared" si="589"/>
        <v>35.5899</v>
      </c>
      <c r="AV353" s="132">
        <f t="shared" si="590"/>
        <v>28.318100000000001</v>
      </c>
      <c r="AW353" s="133">
        <f t="shared" si="591"/>
        <v>7.2717999999999998</v>
      </c>
    </row>
    <row r="354" spans="1:49" ht="14.1" customHeight="1" x14ac:dyDescent="0.2">
      <c r="A354" s="124">
        <v>72</v>
      </c>
      <c r="B354" s="121">
        <v>2491</v>
      </c>
      <c r="C354" s="144">
        <v>600079775</v>
      </c>
      <c r="D354" s="121">
        <v>70983003</v>
      </c>
      <c r="E354" s="123" t="s">
        <v>717</v>
      </c>
      <c r="F354" s="124">
        <v>3113</v>
      </c>
      <c r="G354" s="143" t="s">
        <v>318</v>
      </c>
      <c r="H354" s="125" t="s">
        <v>284</v>
      </c>
      <c r="I354" s="126">
        <f t="shared" si="579"/>
        <v>0</v>
      </c>
      <c r="J354" s="29">
        <v>0</v>
      </c>
      <c r="K354" s="127">
        <f t="shared" si="592"/>
        <v>0</v>
      </c>
      <c r="L354" s="477">
        <f t="shared" si="593"/>
        <v>0</v>
      </c>
      <c r="M354" s="29">
        <v>0</v>
      </c>
      <c r="N354" s="390">
        <f t="shared" si="580"/>
        <v>0</v>
      </c>
      <c r="O354" s="349">
        <v>0</v>
      </c>
      <c r="P354" s="639">
        <v>0</v>
      </c>
      <c r="Q354" s="129">
        <f t="shared" si="581"/>
        <v>0</v>
      </c>
      <c r="R354" s="130">
        <v>2047166</v>
      </c>
      <c r="S354" s="130">
        <v>0</v>
      </c>
      <c r="T354" s="130">
        <v>0</v>
      </c>
      <c r="U354" s="130">
        <f t="shared" si="582"/>
        <v>2047166</v>
      </c>
      <c r="V354" s="130">
        <v>0</v>
      </c>
      <c r="W354" s="130">
        <v>0</v>
      </c>
      <c r="X354" s="130">
        <v>0</v>
      </c>
      <c r="Y354" s="130">
        <f t="shared" si="613"/>
        <v>0</v>
      </c>
      <c r="Z354" s="130">
        <f t="shared" si="614"/>
        <v>2047166</v>
      </c>
      <c r="AA354" s="131">
        <f t="shared" si="615"/>
        <v>691942</v>
      </c>
      <c r="AB354" s="131">
        <f t="shared" si="616"/>
        <v>40943</v>
      </c>
      <c r="AC354" s="130">
        <v>1750</v>
      </c>
      <c r="AD354" s="130">
        <v>0</v>
      </c>
      <c r="AE354" s="130">
        <f t="shared" si="594"/>
        <v>1750</v>
      </c>
      <c r="AF354" s="130">
        <f t="shared" si="595"/>
        <v>2781801</v>
      </c>
      <c r="AG354" s="132">
        <v>0</v>
      </c>
      <c r="AH354" s="132">
        <v>0</v>
      </c>
      <c r="AI354" s="132">
        <v>5.3</v>
      </c>
      <c r="AJ354" s="132">
        <v>0</v>
      </c>
      <c r="AK354" s="132">
        <v>0</v>
      </c>
      <c r="AL354" s="132">
        <f t="shared" si="596"/>
        <v>5.3</v>
      </c>
      <c r="AM354" s="132">
        <f>AH354+AK354</f>
        <v>0</v>
      </c>
      <c r="AN354" s="403">
        <f t="shared" si="597"/>
        <v>5.3</v>
      </c>
      <c r="AO354" s="128">
        <f t="shared" si="583"/>
        <v>2781801</v>
      </c>
      <c r="AP354" s="130">
        <f t="shared" si="584"/>
        <v>2047166</v>
      </c>
      <c r="AQ354" s="130">
        <f t="shared" si="585"/>
        <v>0</v>
      </c>
      <c r="AR354" s="130">
        <f t="shared" si="586"/>
        <v>691942</v>
      </c>
      <c r="AS354" s="130">
        <f t="shared" si="587"/>
        <v>40943</v>
      </c>
      <c r="AT354" s="130">
        <f t="shared" si="588"/>
        <v>1750</v>
      </c>
      <c r="AU354" s="132">
        <f t="shared" si="589"/>
        <v>5.3</v>
      </c>
      <c r="AV354" s="132">
        <f t="shared" si="590"/>
        <v>5.3</v>
      </c>
      <c r="AW354" s="133">
        <f t="shared" si="591"/>
        <v>0</v>
      </c>
    </row>
    <row r="355" spans="1:49" ht="14.1" customHeight="1" x14ac:dyDescent="0.2">
      <c r="A355" s="124">
        <v>72</v>
      </c>
      <c r="B355" s="121">
        <v>2491</v>
      </c>
      <c r="C355" s="144">
        <v>600079775</v>
      </c>
      <c r="D355" s="121">
        <v>70983003</v>
      </c>
      <c r="E355" s="123" t="s">
        <v>717</v>
      </c>
      <c r="F355" s="124">
        <v>3143</v>
      </c>
      <c r="G355" s="145" t="s">
        <v>635</v>
      </c>
      <c r="H355" s="125" t="s">
        <v>283</v>
      </c>
      <c r="I355" s="126">
        <f t="shared" si="579"/>
        <v>2278167</v>
      </c>
      <c r="J355" s="631">
        <v>1677590</v>
      </c>
      <c r="K355" s="127">
        <f t="shared" si="592"/>
        <v>567025</v>
      </c>
      <c r="L355" s="477">
        <f t="shared" si="593"/>
        <v>33552</v>
      </c>
      <c r="M355" s="478">
        <v>0</v>
      </c>
      <c r="N355" s="390">
        <f t="shared" si="580"/>
        <v>3.5714000000000001</v>
      </c>
      <c r="O355" s="644">
        <v>3.5714000000000001</v>
      </c>
      <c r="P355" s="639">
        <v>0</v>
      </c>
      <c r="Q355" s="129">
        <f t="shared" si="581"/>
        <v>0</v>
      </c>
      <c r="R355" s="130">
        <v>0</v>
      </c>
      <c r="S355" s="130">
        <v>0</v>
      </c>
      <c r="T355" s="130">
        <v>0</v>
      </c>
      <c r="U355" s="130">
        <f t="shared" si="582"/>
        <v>0</v>
      </c>
      <c r="V355" s="130">
        <v>0</v>
      </c>
      <c r="W355" s="130">
        <v>0</v>
      </c>
      <c r="X355" s="130">
        <v>0</v>
      </c>
      <c r="Y355" s="130">
        <f t="shared" si="613"/>
        <v>0</v>
      </c>
      <c r="Z355" s="130">
        <f t="shared" si="614"/>
        <v>0</v>
      </c>
      <c r="AA355" s="131">
        <f t="shared" si="615"/>
        <v>0</v>
      </c>
      <c r="AB355" s="131">
        <f t="shared" si="616"/>
        <v>0</v>
      </c>
      <c r="AC355" s="130">
        <v>0</v>
      </c>
      <c r="AD355" s="130">
        <v>0</v>
      </c>
      <c r="AE355" s="130">
        <f t="shared" si="594"/>
        <v>0</v>
      </c>
      <c r="AF355" s="130">
        <f t="shared" si="595"/>
        <v>0</v>
      </c>
      <c r="AG355" s="132">
        <v>0</v>
      </c>
      <c r="AH355" s="132">
        <v>0</v>
      </c>
      <c r="AI355" s="132">
        <v>0</v>
      </c>
      <c r="AJ355" s="132">
        <v>0</v>
      </c>
      <c r="AK355" s="132">
        <v>0</v>
      </c>
      <c r="AL355" s="132">
        <f t="shared" si="596"/>
        <v>0</v>
      </c>
      <c r="AM355" s="132">
        <f>AH355+AK355</f>
        <v>0</v>
      </c>
      <c r="AN355" s="403">
        <f t="shared" si="597"/>
        <v>0</v>
      </c>
      <c r="AO355" s="128">
        <f t="shared" si="583"/>
        <v>2278167</v>
      </c>
      <c r="AP355" s="130">
        <f t="shared" si="584"/>
        <v>1677590</v>
      </c>
      <c r="AQ355" s="130">
        <f t="shared" si="585"/>
        <v>0</v>
      </c>
      <c r="AR355" s="130">
        <f t="shared" si="586"/>
        <v>567025</v>
      </c>
      <c r="AS355" s="130">
        <f t="shared" si="587"/>
        <v>33552</v>
      </c>
      <c r="AT355" s="130">
        <f t="shared" si="588"/>
        <v>0</v>
      </c>
      <c r="AU355" s="132">
        <f t="shared" si="589"/>
        <v>3.5714000000000001</v>
      </c>
      <c r="AV355" s="132">
        <f t="shared" si="590"/>
        <v>3.5714000000000001</v>
      </c>
      <c r="AW355" s="133">
        <f t="shared" si="591"/>
        <v>0</v>
      </c>
    </row>
    <row r="356" spans="1:49" ht="14.1" customHeight="1" x14ac:dyDescent="0.2">
      <c r="A356" s="124">
        <v>72</v>
      </c>
      <c r="B356" s="121">
        <v>2491</v>
      </c>
      <c r="C356" s="144">
        <v>600079775</v>
      </c>
      <c r="D356" s="121">
        <v>70983003</v>
      </c>
      <c r="E356" s="123" t="s">
        <v>717</v>
      </c>
      <c r="F356" s="124">
        <v>3143</v>
      </c>
      <c r="G356" s="145" t="s">
        <v>636</v>
      </c>
      <c r="H356" s="125" t="s">
        <v>284</v>
      </c>
      <c r="I356" s="126">
        <f t="shared" si="579"/>
        <v>63199</v>
      </c>
      <c r="J356" s="664">
        <v>44550</v>
      </c>
      <c r="K356" s="127">
        <f t="shared" si="592"/>
        <v>15058</v>
      </c>
      <c r="L356" s="477">
        <f t="shared" si="593"/>
        <v>891</v>
      </c>
      <c r="M356" s="664">
        <v>2700</v>
      </c>
      <c r="N356" s="390">
        <f t="shared" si="580"/>
        <v>0.19</v>
      </c>
      <c r="O356" s="665">
        <v>0</v>
      </c>
      <c r="P356" s="667">
        <v>0.19</v>
      </c>
      <c r="Q356" s="129">
        <f t="shared" si="581"/>
        <v>0</v>
      </c>
      <c r="R356" s="130">
        <v>0</v>
      </c>
      <c r="S356" s="130">
        <v>0</v>
      </c>
      <c r="T356" s="130">
        <v>0</v>
      </c>
      <c r="U356" s="130">
        <f t="shared" si="582"/>
        <v>0</v>
      </c>
      <c r="V356" s="130">
        <v>0</v>
      </c>
      <c r="W356" s="130">
        <v>0</v>
      </c>
      <c r="X356" s="130">
        <v>0</v>
      </c>
      <c r="Y356" s="130">
        <f t="shared" si="613"/>
        <v>0</v>
      </c>
      <c r="Z356" s="130">
        <f t="shared" si="614"/>
        <v>0</v>
      </c>
      <c r="AA356" s="131">
        <f t="shared" si="615"/>
        <v>0</v>
      </c>
      <c r="AB356" s="131">
        <f t="shared" si="616"/>
        <v>0</v>
      </c>
      <c r="AC356" s="130">
        <v>0</v>
      </c>
      <c r="AD356" s="130">
        <v>0</v>
      </c>
      <c r="AE356" s="130">
        <f t="shared" si="594"/>
        <v>0</v>
      </c>
      <c r="AF356" s="130">
        <f t="shared" si="595"/>
        <v>0</v>
      </c>
      <c r="AG356" s="132">
        <v>0</v>
      </c>
      <c r="AH356" s="132">
        <v>0</v>
      </c>
      <c r="AI356" s="132">
        <v>0</v>
      </c>
      <c r="AJ356" s="132">
        <v>0</v>
      </c>
      <c r="AK356" s="132">
        <v>0</v>
      </c>
      <c r="AL356" s="132">
        <f t="shared" si="596"/>
        <v>0</v>
      </c>
      <c r="AM356" s="132">
        <f>AH356+AK356</f>
        <v>0</v>
      </c>
      <c r="AN356" s="403">
        <f t="shared" si="597"/>
        <v>0</v>
      </c>
      <c r="AO356" s="128">
        <f t="shared" si="583"/>
        <v>63199</v>
      </c>
      <c r="AP356" s="130">
        <f t="shared" si="584"/>
        <v>44550</v>
      </c>
      <c r="AQ356" s="130">
        <f t="shared" si="585"/>
        <v>0</v>
      </c>
      <c r="AR356" s="130">
        <f t="shared" si="586"/>
        <v>15058</v>
      </c>
      <c r="AS356" s="130">
        <f t="shared" si="587"/>
        <v>891</v>
      </c>
      <c r="AT356" s="130">
        <f t="shared" si="588"/>
        <v>2700</v>
      </c>
      <c r="AU356" s="132">
        <f t="shared" si="589"/>
        <v>0.19</v>
      </c>
      <c r="AV356" s="132">
        <f t="shared" si="590"/>
        <v>0</v>
      </c>
      <c r="AW356" s="133">
        <f t="shared" si="591"/>
        <v>0.19</v>
      </c>
    </row>
    <row r="357" spans="1:49" ht="14.1" customHeight="1" x14ac:dyDescent="0.2">
      <c r="A357" s="137">
        <v>72</v>
      </c>
      <c r="B357" s="134">
        <v>2491</v>
      </c>
      <c r="C357" s="146">
        <v>600079775</v>
      </c>
      <c r="D357" s="134">
        <v>70983003</v>
      </c>
      <c r="E357" s="136" t="s">
        <v>718</v>
      </c>
      <c r="F357" s="137"/>
      <c r="G357" s="136"/>
      <c r="H357" s="138"/>
      <c r="I357" s="139">
        <f t="shared" ref="I357:P357" si="617">SUM(I353:I356)</f>
        <v>28950106</v>
      </c>
      <c r="J357" s="140">
        <f t="shared" si="617"/>
        <v>20936153</v>
      </c>
      <c r="K357" s="140">
        <f t="shared" si="617"/>
        <v>7076420</v>
      </c>
      <c r="L357" s="140">
        <f t="shared" si="617"/>
        <v>418723</v>
      </c>
      <c r="M357" s="140">
        <f t="shared" si="617"/>
        <v>518810</v>
      </c>
      <c r="N357" s="141">
        <f t="shared" si="617"/>
        <v>39.351299999999995</v>
      </c>
      <c r="O357" s="141">
        <f t="shared" si="617"/>
        <v>31.889500000000002</v>
      </c>
      <c r="P357" s="142">
        <f t="shared" si="617"/>
        <v>7.4618000000000002</v>
      </c>
      <c r="Q357" s="342">
        <f t="shared" ref="Q357:AW357" si="618">SUM(Q353:Q356)</f>
        <v>0</v>
      </c>
      <c r="R357" s="140">
        <f t="shared" si="618"/>
        <v>2047166</v>
      </c>
      <c r="S357" s="140">
        <f t="shared" si="618"/>
        <v>0</v>
      </c>
      <c r="T357" s="140">
        <f t="shared" si="618"/>
        <v>0</v>
      </c>
      <c r="U357" s="140">
        <f t="shared" si="618"/>
        <v>2047166</v>
      </c>
      <c r="V357" s="140">
        <f t="shared" si="618"/>
        <v>0</v>
      </c>
      <c r="W357" s="140">
        <f t="shared" si="618"/>
        <v>0</v>
      </c>
      <c r="X357" s="140">
        <f t="shared" si="618"/>
        <v>0</v>
      </c>
      <c r="Y357" s="140">
        <f t="shared" si="618"/>
        <v>0</v>
      </c>
      <c r="Z357" s="140">
        <f t="shared" si="618"/>
        <v>2047166</v>
      </c>
      <c r="AA357" s="140">
        <f t="shared" si="618"/>
        <v>691942</v>
      </c>
      <c r="AB357" s="140">
        <f t="shared" si="618"/>
        <v>40943</v>
      </c>
      <c r="AC357" s="140">
        <f t="shared" si="618"/>
        <v>1750</v>
      </c>
      <c r="AD357" s="140">
        <f t="shared" si="618"/>
        <v>0</v>
      </c>
      <c r="AE357" s="140">
        <f t="shared" si="618"/>
        <v>1750</v>
      </c>
      <c r="AF357" s="140">
        <f t="shared" si="618"/>
        <v>2781801</v>
      </c>
      <c r="AG357" s="141">
        <f t="shared" si="618"/>
        <v>0</v>
      </c>
      <c r="AH357" s="141">
        <f t="shared" si="618"/>
        <v>0</v>
      </c>
      <c r="AI357" s="141">
        <f t="shared" si="618"/>
        <v>5.3</v>
      </c>
      <c r="AJ357" s="141">
        <f t="shared" si="618"/>
        <v>0</v>
      </c>
      <c r="AK357" s="141">
        <f t="shared" si="618"/>
        <v>0</v>
      </c>
      <c r="AL357" s="141">
        <f t="shared" si="618"/>
        <v>5.3</v>
      </c>
      <c r="AM357" s="141">
        <f t="shared" si="618"/>
        <v>0</v>
      </c>
      <c r="AN357" s="635">
        <f t="shared" si="618"/>
        <v>5.3</v>
      </c>
      <c r="AO357" s="139">
        <f t="shared" si="618"/>
        <v>31731907</v>
      </c>
      <c r="AP357" s="140">
        <f t="shared" si="618"/>
        <v>22983319</v>
      </c>
      <c r="AQ357" s="140">
        <f t="shared" si="618"/>
        <v>0</v>
      </c>
      <c r="AR357" s="140">
        <f t="shared" si="618"/>
        <v>7768362</v>
      </c>
      <c r="AS357" s="140">
        <f t="shared" si="618"/>
        <v>459666</v>
      </c>
      <c r="AT357" s="140">
        <f t="shared" si="618"/>
        <v>520560</v>
      </c>
      <c r="AU357" s="141">
        <f t="shared" si="618"/>
        <v>44.651299999999992</v>
      </c>
      <c r="AV357" s="141">
        <f t="shared" si="618"/>
        <v>37.189499999999995</v>
      </c>
      <c r="AW357" s="142">
        <f t="shared" si="618"/>
        <v>7.4618000000000002</v>
      </c>
    </row>
    <row r="358" spans="1:49" ht="14.1" customHeight="1" x14ac:dyDescent="0.2">
      <c r="A358" s="124">
        <v>73</v>
      </c>
      <c r="B358" s="121">
        <v>2459</v>
      </c>
      <c r="C358" s="144">
        <v>650030583</v>
      </c>
      <c r="D358" s="121">
        <v>72744707</v>
      </c>
      <c r="E358" s="123" t="s">
        <v>719</v>
      </c>
      <c r="F358" s="124">
        <v>3111</v>
      </c>
      <c r="G358" s="123" t="s">
        <v>317</v>
      </c>
      <c r="H358" s="125" t="s">
        <v>283</v>
      </c>
      <c r="I358" s="126">
        <f t="shared" si="579"/>
        <v>3112810</v>
      </c>
      <c r="J358" s="127">
        <v>2276296</v>
      </c>
      <c r="K358" s="127">
        <f t="shared" si="592"/>
        <v>769388</v>
      </c>
      <c r="L358" s="477">
        <f t="shared" si="593"/>
        <v>45526</v>
      </c>
      <c r="M358" s="127">
        <v>21600</v>
      </c>
      <c r="N358" s="390">
        <f t="shared" si="580"/>
        <v>5.0217999999999998</v>
      </c>
      <c r="O358" s="390">
        <v>4</v>
      </c>
      <c r="P358" s="439">
        <v>1.0218</v>
      </c>
      <c r="Q358" s="129">
        <f t="shared" si="581"/>
        <v>-4000</v>
      </c>
      <c r="R358" s="130">
        <v>0</v>
      </c>
      <c r="S358" s="130">
        <v>0</v>
      </c>
      <c r="T358" s="130">
        <v>0</v>
      </c>
      <c r="U358" s="130">
        <f t="shared" si="582"/>
        <v>-4000</v>
      </c>
      <c r="V358" s="130">
        <v>4000</v>
      </c>
      <c r="W358" s="130">
        <v>0</v>
      </c>
      <c r="X358" s="130">
        <v>0</v>
      </c>
      <c r="Y358" s="130">
        <f t="shared" ref="Y358:Y363" si="619">SUM(V358:X358)</f>
        <v>4000</v>
      </c>
      <c r="Z358" s="130">
        <f t="shared" ref="Z358:Z363" si="620">U358+Y358</f>
        <v>0</v>
      </c>
      <c r="AA358" s="131">
        <f t="shared" ref="AA358:AA363" si="621">ROUND((U358+V358+W358)*33.8%,0)</f>
        <v>0</v>
      </c>
      <c r="AB358" s="131">
        <f t="shared" ref="AB358:AB363" si="622">ROUND(U358*2%,0)</f>
        <v>-80</v>
      </c>
      <c r="AC358" s="130">
        <v>0</v>
      </c>
      <c r="AD358" s="130">
        <v>0</v>
      </c>
      <c r="AE358" s="130">
        <f t="shared" si="594"/>
        <v>0</v>
      </c>
      <c r="AF358" s="130">
        <f t="shared" si="595"/>
        <v>-80</v>
      </c>
      <c r="AG358" s="132">
        <v>-0.01</v>
      </c>
      <c r="AH358" s="132">
        <v>0</v>
      </c>
      <c r="AI358" s="132">
        <v>0</v>
      </c>
      <c r="AJ358" s="132">
        <v>0</v>
      </c>
      <c r="AK358" s="132">
        <v>0</v>
      </c>
      <c r="AL358" s="132">
        <f t="shared" si="596"/>
        <v>-0.01</v>
      </c>
      <c r="AM358" s="132">
        <f t="shared" ref="AM358:AM363" si="623">AH358+AK358</f>
        <v>0</v>
      </c>
      <c r="AN358" s="403">
        <f t="shared" si="597"/>
        <v>-0.01</v>
      </c>
      <c r="AO358" s="128">
        <f t="shared" si="583"/>
        <v>3112730</v>
      </c>
      <c r="AP358" s="130">
        <f t="shared" si="584"/>
        <v>2272296</v>
      </c>
      <c r="AQ358" s="130">
        <f t="shared" si="585"/>
        <v>4000</v>
      </c>
      <c r="AR358" s="130">
        <f t="shared" si="586"/>
        <v>769388</v>
      </c>
      <c r="AS358" s="130">
        <f t="shared" si="587"/>
        <v>45446</v>
      </c>
      <c r="AT358" s="130">
        <f t="shared" si="588"/>
        <v>21600</v>
      </c>
      <c r="AU358" s="132">
        <f t="shared" si="589"/>
        <v>5.0118</v>
      </c>
      <c r="AV358" s="132">
        <f t="shared" si="590"/>
        <v>3.99</v>
      </c>
      <c r="AW358" s="133">
        <f t="shared" si="591"/>
        <v>1.0218</v>
      </c>
    </row>
    <row r="359" spans="1:49" ht="14.1" customHeight="1" x14ac:dyDescent="0.2">
      <c r="A359" s="124">
        <v>73</v>
      </c>
      <c r="B359" s="121">
        <v>2459</v>
      </c>
      <c r="C359" s="144">
        <v>650030583</v>
      </c>
      <c r="D359" s="121">
        <v>72744707</v>
      </c>
      <c r="E359" s="123" t="s">
        <v>719</v>
      </c>
      <c r="F359" s="124">
        <v>3117</v>
      </c>
      <c r="G359" s="123" t="s">
        <v>320</v>
      </c>
      <c r="H359" s="125" t="s">
        <v>283</v>
      </c>
      <c r="I359" s="126">
        <f t="shared" si="579"/>
        <v>6014906</v>
      </c>
      <c r="J359" s="477">
        <v>4354946</v>
      </c>
      <c r="K359" s="127">
        <v>1471971</v>
      </c>
      <c r="L359" s="477">
        <f t="shared" si="593"/>
        <v>87099</v>
      </c>
      <c r="M359" s="477">
        <v>100890</v>
      </c>
      <c r="N359" s="390">
        <f t="shared" si="580"/>
        <v>8.1199000000000012</v>
      </c>
      <c r="O359" s="645">
        <v>5.4545000000000003</v>
      </c>
      <c r="P359" s="646">
        <v>2.6654</v>
      </c>
      <c r="Q359" s="129">
        <f t="shared" si="581"/>
        <v>-44000</v>
      </c>
      <c r="R359" s="130">
        <v>0</v>
      </c>
      <c r="S359" s="130">
        <v>0</v>
      </c>
      <c r="T359" s="130">
        <v>0</v>
      </c>
      <c r="U359" s="130">
        <f t="shared" si="582"/>
        <v>-44000</v>
      </c>
      <c r="V359" s="130">
        <v>44000</v>
      </c>
      <c r="W359" s="130">
        <v>0</v>
      </c>
      <c r="X359" s="130">
        <v>0</v>
      </c>
      <c r="Y359" s="130">
        <f t="shared" si="619"/>
        <v>44000</v>
      </c>
      <c r="Z359" s="130">
        <f t="shared" si="620"/>
        <v>0</v>
      </c>
      <c r="AA359" s="131">
        <f t="shared" si="621"/>
        <v>0</v>
      </c>
      <c r="AB359" s="131">
        <f t="shared" si="622"/>
        <v>-880</v>
      </c>
      <c r="AC359" s="130">
        <v>0</v>
      </c>
      <c r="AD359" s="130">
        <v>0</v>
      </c>
      <c r="AE359" s="130">
        <f t="shared" si="594"/>
        <v>0</v>
      </c>
      <c r="AF359" s="130">
        <f t="shared" si="595"/>
        <v>-880</v>
      </c>
      <c r="AG359" s="132">
        <v>-0.08</v>
      </c>
      <c r="AH359" s="132">
        <v>-0.02</v>
      </c>
      <c r="AI359" s="132">
        <v>0</v>
      </c>
      <c r="AJ359" s="132">
        <v>0</v>
      </c>
      <c r="AK359" s="132">
        <v>0</v>
      </c>
      <c r="AL359" s="132">
        <f t="shared" si="596"/>
        <v>-0.08</v>
      </c>
      <c r="AM359" s="132">
        <f t="shared" si="623"/>
        <v>-0.02</v>
      </c>
      <c r="AN359" s="403">
        <f t="shared" si="597"/>
        <v>-0.1</v>
      </c>
      <c r="AO359" s="128">
        <f t="shared" si="583"/>
        <v>6014026</v>
      </c>
      <c r="AP359" s="130">
        <f t="shared" si="584"/>
        <v>4310946</v>
      </c>
      <c r="AQ359" s="130">
        <f t="shared" si="585"/>
        <v>44000</v>
      </c>
      <c r="AR359" s="130">
        <f t="shared" si="586"/>
        <v>1471971</v>
      </c>
      <c r="AS359" s="130">
        <f t="shared" si="587"/>
        <v>86219</v>
      </c>
      <c r="AT359" s="130">
        <f t="shared" si="588"/>
        <v>100890</v>
      </c>
      <c r="AU359" s="132">
        <f t="shared" si="589"/>
        <v>8.0199000000000016</v>
      </c>
      <c r="AV359" s="132">
        <f t="shared" si="590"/>
        <v>5.3745000000000003</v>
      </c>
      <c r="AW359" s="133">
        <f t="shared" si="591"/>
        <v>2.6454</v>
      </c>
    </row>
    <row r="360" spans="1:49" ht="14.1" customHeight="1" x14ac:dyDescent="0.2">
      <c r="A360" s="124">
        <v>73</v>
      </c>
      <c r="B360" s="121">
        <v>2459</v>
      </c>
      <c r="C360" s="144">
        <v>650030583</v>
      </c>
      <c r="D360" s="121">
        <v>72744707</v>
      </c>
      <c r="E360" s="123" t="s">
        <v>719</v>
      </c>
      <c r="F360" s="124">
        <v>3117</v>
      </c>
      <c r="G360" s="143" t="s">
        <v>318</v>
      </c>
      <c r="H360" s="125" t="s">
        <v>284</v>
      </c>
      <c r="I360" s="126">
        <f t="shared" si="579"/>
        <v>0</v>
      </c>
      <c r="J360" s="29">
        <v>0</v>
      </c>
      <c r="K360" s="127">
        <f t="shared" si="592"/>
        <v>0</v>
      </c>
      <c r="L360" s="477">
        <f t="shared" si="593"/>
        <v>0</v>
      </c>
      <c r="M360" s="29">
        <v>0</v>
      </c>
      <c r="N360" s="390">
        <f t="shared" si="580"/>
        <v>0</v>
      </c>
      <c r="O360" s="349">
        <v>0</v>
      </c>
      <c r="P360" s="639">
        <v>0</v>
      </c>
      <c r="Q360" s="129">
        <f t="shared" si="581"/>
        <v>0</v>
      </c>
      <c r="R360" s="130">
        <f>538915+38560</f>
        <v>577475</v>
      </c>
      <c r="S360" s="130">
        <v>0</v>
      </c>
      <c r="T360" s="130">
        <v>0</v>
      </c>
      <c r="U360" s="130">
        <f t="shared" si="582"/>
        <v>577475</v>
      </c>
      <c r="V360" s="130">
        <v>0</v>
      </c>
      <c r="W360" s="130">
        <v>0</v>
      </c>
      <c r="X360" s="130">
        <v>0</v>
      </c>
      <c r="Y360" s="130">
        <f t="shared" si="619"/>
        <v>0</v>
      </c>
      <c r="Z360" s="130">
        <f t="shared" si="620"/>
        <v>577475</v>
      </c>
      <c r="AA360" s="131">
        <f t="shared" si="621"/>
        <v>195187</v>
      </c>
      <c r="AB360" s="131">
        <f t="shared" si="622"/>
        <v>11550</v>
      </c>
      <c r="AC360" s="130">
        <v>3000</v>
      </c>
      <c r="AD360" s="130">
        <v>0</v>
      </c>
      <c r="AE360" s="130">
        <f t="shared" si="594"/>
        <v>3000</v>
      </c>
      <c r="AF360" s="130">
        <f t="shared" si="595"/>
        <v>787212</v>
      </c>
      <c r="AG360" s="132">
        <v>0</v>
      </c>
      <c r="AH360" s="132">
        <v>0</v>
      </c>
      <c r="AI360" s="132">
        <v>1.64</v>
      </c>
      <c r="AJ360" s="132">
        <v>0</v>
      </c>
      <c r="AK360" s="132">
        <v>0</v>
      </c>
      <c r="AL360" s="132">
        <f t="shared" si="596"/>
        <v>1.64</v>
      </c>
      <c r="AM360" s="132">
        <f t="shared" si="623"/>
        <v>0</v>
      </c>
      <c r="AN360" s="403">
        <f t="shared" si="597"/>
        <v>1.64</v>
      </c>
      <c r="AO360" s="128">
        <f t="shared" si="583"/>
        <v>787212</v>
      </c>
      <c r="AP360" s="130">
        <f t="shared" si="584"/>
        <v>577475</v>
      </c>
      <c r="AQ360" s="130">
        <f t="shared" si="585"/>
        <v>0</v>
      </c>
      <c r="AR360" s="130">
        <f t="shared" si="586"/>
        <v>195187</v>
      </c>
      <c r="AS360" s="130">
        <f t="shared" si="587"/>
        <v>11550</v>
      </c>
      <c r="AT360" s="130">
        <f t="shared" si="588"/>
        <v>3000</v>
      </c>
      <c r="AU360" s="132">
        <f t="shared" si="589"/>
        <v>1.64</v>
      </c>
      <c r="AV360" s="132">
        <f t="shared" si="590"/>
        <v>1.64</v>
      </c>
      <c r="AW360" s="133">
        <f t="shared" si="591"/>
        <v>0</v>
      </c>
    </row>
    <row r="361" spans="1:49" ht="14.1" customHeight="1" x14ac:dyDescent="0.2">
      <c r="A361" s="124">
        <v>73</v>
      </c>
      <c r="B361" s="121">
        <v>2459</v>
      </c>
      <c r="C361" s="144">
        <v>650030583</v>
      </c>
      <c r="D361" s="121">
        <v>72744707</v>
      </c>
      <c r="E361" s="123" t="s">
        <v>719</v>
      </c>
      <c r="F361" s="124">
        <v>3141</v>
      </c>
      <c r="G361" s="123" t="s">
        <v>321</v>
      </c>
      <c r="H361" s="125" t="s">
        <v>284</v>
      </c>
      <c r="I361" s="126">
        <f t="shared" si="579"/>
        <v>1135017</v>
      </c>
      <c r="J361" s="666">
        <v>831444</v>
      </c>
      <c r="K361" s="127">
        <f t="shared" si="592"/>
        <v>281028</v>
      </c>
      <c r="L361" s="477">
        <f t="shared" si="593"/>
        <v>16629</v>
      </c>
      <c r="M361" s="666">
        <v>5916</v>
      </c>
      <c r="N361" s="390">
        <f t="shared" si="580"/>
        <v>2.83</v>
      </c>
      <c r="O361" s="668">
        <v>0</v>
      </c>
      <c r="P361" s="667">
        <v>2.83</v>
      </c>
      <c r="Q361" s="129">
        <f t="shared" si="581"/>
        <v>0</v>
      </c>
      <c r="R361" s="130">
        <v>0</v>
      </c>
      <c r="S361" s="130">
        <v>0</v>
      </c>
      <c r="T361" s="130">
        <v>0</v>
      </c>
      <c r="U361" s="130">
        <f t="shared" si="582"/>
        <v>0</v>
      </c>
      <c r="V361" s="130">
        <v>0</v>
      </c>
      <c r="W361" s="130">
        <v>0</v>
      </c>
      <c r="X361" s="130">
        <v>0</v>
      </c>
      <c r="Y361" s="130">
        <f t="shared" si="619"/>
        <v>0</v>
      </c>
      <c r="Z361" s="130">
        <f t="shared" si="620"/>
        <v>0</v>
      </c>
      <c r="AA361" s="131">
        <f t="shared" si="621"/>
        <v>0</v>
      </c>
      <c r="AB361" s="131">
        <f t="shared" si="622"/>
        <v>0</v>
      </c>
      <c r="AC361" s="130">
        <v>0</v>
      </c>
      <c r="AD361" s="130">
        <v>0</v>
      </c>
      <c r="AE361" s="130">
        <f t="shared" si="594"/>
        <v>0</v>
      </c>
      <c r="AF361" s="130">
        <f t="shared" si="595"/>
        <v>0</v>
      </c>
      <c r="AG361" s="132">
        <v>0</v>
      </c>
      <c r="AH361" s="132">
        <v>0</v>
      </c>
      <c r="AI361" s="132">
        <v>0</v>
      </c>
      <c r="AJ361" s="132">
        <v>0</v>
      </c>
      <c r="AK361" s="132">
        <v>0</v>
      </c>
      <c r="AL361" s="132">
        <f t="shared" si="596"/>
        <v>0</v>
      </c>
      <c r="AM361" s="132">
        <f t="shared" si="623"/>
        <v>0</v>
      </c>
      <c r="AN361" s="403">
        <f t="shared" si="597"/>
        <v>0</v>
      </c>
      <c r="AO361" s="128">
        <f t="shared" si="583"/>
        <v>1135017</v>
      </c>
      <c r="AP361" s="130">
        <f t="shared" si="584"/>
        <v>831444</v>
      </c>
      <c r="AQ361" s="130">
        <f t="shared" si="585"/>
        <v>0</v>
      </c>
      <c r="AR361" s="130">
        <f t="shared" si="586"/>
        <v>281028</v>
      </c>
      <c r="AS361" s="130">
        <f t="shared" si="587"/>
        <v>16629</v>
      </c>
      <c r="AT361" s="130">
        <f t="shared" si="588"/>
        <v>5916</v>
      </c>
      <c r="AU361" s="132">
        <f t="shared" si="589"/>
        <v>2.83</v>
      </c>
      <c r="AV361" s="132">
        <f t="shared" si="590"/>
        <v>0</v>
      </c>
      <c r="AW361" s="133">
        <f t="shared" si="591"/>
        <v>2.83</v>
      </c>
    </row>
    <row r="362" spans="1:49" ht="14.1" customHeight="1" x14ac:dyDescent="0.2">
      <c r="A362" s="124">
        <v>73</v>
      </c>
      <c r="B362" s="121">
        <v>2459</v>
      </c>
      <c r="C362" s="144">
        <v>650030583</v>
      </c>
      <c r="D362" s="121">
        <v>72744707</v>
      </c>
      <c r="E362" s="123" t="s">
        <v>719</v>
      </c>
      <c r="F362" s="124">
        <v>3143</v>
      </c>
      <c r="G362" s="145" t="s">
        <v>635</v>
      </c>
      <c r="H362" s="125" t="s">
        <v>283</v>
      </c>
      <c r="I362" s="126">
        <f t="shared" si="579"/>
        <v>414550</v>
      </c>
      <c r="J362" s="631">
        <v>305265</v>
      </c>
      <c r="K362" s="127">
        <f t="shared" si="592"/>
        <v>103180</v>
      </c>
      <c r="L362" s="477">
        <f t="shared" si="593"/>
        <v>6105</v>
      </c>
      <c r="M362" s="478">
        <v>0</v>
      </c>
      <c r="N362" s="390">
        <f t="shared" si="580"/>
        <v>0.66</v>
      </c>
      <c r="O362" s="644">
        <v>0.66</v>
      </c>
      <c r="P362" s="639">
        <v>0</v>
      </c>
      <c r="Q362" s="129">
        <f t="shared" si="581"/>
        <v>-12000</v>
      </c>
      <c r="R362" s="130">
        <v>0</v>
      </c>
      <c r="S362" s="130">
        <v>0</v>
      </c>
      <c r="T362" s="130">
        <v>0</v>
      </c>
      <c r="U362" s="130">
        <f t="shared" si="582"/>
        <v>-12000</v>
      </c>
      <c r="V362" s="130">
        <v>12000</v>
      </c>
      <c r="W362" s="130">
        <v>0</v>
      </c>
      <c r="X362" s="130">
        <v>0</v>
      </c>
      <c r="Y362" s="130">
        <f t="shared" si="619"/>
        <v>12000</v>
      </c>
      <c r="Z362" s="130">
        <f t="shared" si="620"/>
        <v>0</v>
      </c>
      <c r="AA362" s="131">
        <f t="shared" si="621"/>
        <v>0</v>
      </c>
      <c r="AB362" s="131">
        <f t="shared" si="622"/>
        <v>-240</v>
      </c>
      <c r="AC362" s="130">
        <v>0</v>
      </c>
      <c r="AD362" s="130">
        <v>0</v>
      </c>
      <c r="AE362" s="130">
        <f t="shared" si="594"/>
        <v>0</v>
      </c>
      <c r="AF362" s="130">
        <f t="shared" si="595"/>
        <v>-240</v>
      </c>
      <c r="AG362" s="132">
        <v>-0.03</v>
      </c>
      <c r="AH362" s="132">
        <v>0</v>
      </c>
      <c r="AI362" s="132">
        <v>0</v>
      </c>
      <c r="AJ362" s="132">
        <v>0</v>
      </c>
      <c r="AK362" s="132">
        <v>0</v>
      </c>
      <c r="AL362" s="132">
        <f t="shared" si="596"/>
        <v>-0.03</v>
      </c>
      <c r="AM362" s="132">
        <f t="shared" si="623"/>
        <v>0</v>
      </c>
      <c r="AN362" s="403">
        <f t="shared" si="597"/>
        <v>-0.03</v>
      </c>
      <c r="AO362" s="128">
        <f t="shared" si="583"/>
        <v>414310</v>
      </c>
      <c r="AP362" s="130">
        <f t="shared" si="584"/>
        <v>293265</v>
      </c>
      <c r="AQ362" s="130">
        <f t="shared" si="585"/>
        <v>12000</v>
      </c>
      <c r="AR362" s="130">
        <f t="shared" si="586"/>
        <v>103180</v>
      </c>
      <c r="AS362" s="130">
        <f t="shared" si="587"/>
        <v>5865</v>
      </c>
      <c r="AT362" s="130">
        <f t="shared" si="588"/>
        <v>0</v>
      </c>
      <c r="AU362" s="132">
        <f t="shared" si="589"/>
        <v>0.63</v>
      </c>
      <c r="AV362" s="132">
        <f t="shared" si="590"/>
        <v>0.63</v>
      </c>
      <c r="AW362" s="133">
        <f t="shared" si="591"/>
        <v>0</v>
      </c>
    </row>
    <row r="363" spans="1:49" ht="14.1" customHeight="1" x14ac:dyDescent="0.2">
      <c r="A363" s="124">
        <v>73</v>
      </c>
      <c r="B363" s="121">
        <v>2459</v>
      </c>
      <c r="C363" s="144">
        <v>650030583</v>
      </c>
      <c r="D363" s="121">
        <v>72744707</v>
      </c>
      <c r="E363" s="123" t="s">
        <v>719</v>
      </c>
      <c r="F363" s="124">
        <v>3143</v>
      </c>
      <c r="G363" s="145" t="s">
        <v>636</v>
      </c>
      <c r="H363" s="125" t="s">
        <v>284</v>
      </c>
      <c r="I363" s="126">
        <f t="shared" si="579"/>
        <v>16853</v>
      </c>
      <c r="J363" s="664">
        <v>11880</v>
      </c>
      <c r="K363" s="127">
        <f t="shared" si="592"/>
        <v>4015</v>
      </c>
      <c r="L363" s="477">
        <f t="shared" si="593"/>
        <v>238</v>
      </c>
      <c r="M363" s="664">
        <v>720</v>
      </c>
      <c r="N363" s="390">
        <f t="shared" si="580"/>
        <v>0.05</v>
      </c>
      <c r="O363" s="665">
        <v>0</v>
      </c>
      <c r="P363" s="667">
        <v>0.05</v>
      </c>
      <c r="Q363" s="129">
        <f t="shared" si="581"/>
        <v>0</v>
      </c>
      <c r="R363" s="130">
        <v>0</v>
      </c>
      <c r="S363" s="130">
        <v>0</v>
      </c>
      <c r="T363" s="130">
        <v>0</v>
      </c>
      <c r="U363" s="130">
        <f t="shared" si="582"/>
        <v>0</v>
      </c>
      <c r="V363" s="130">
        <v>0</v>
      </c>
      <c r="W363" s="130">
        <v>0</v>
      </c>
      <c r="X363" s="130">
        <v>0</v>
      </c>
      <c r="Y363" s="130">
        <f t="shared" si="619"/>
        <v>0</v>
      </c>
      <c r="Z363" s="130">
        <f t="shared" si="620"/>
        <v>0</v>
      </c>
      <c r="AA363" s="131">
        <f t="shared" si="621"/>
        <v>0</v>
      </c>
      <c r="AB363" s="131">
        <f t="shared" si="622"/>
        <v>0</v>
      </c>
      <c r="AC363" s="130">
        <v>0</v>
      </c>
      <c r="AD363" s="130">
        <v>0</v>
      </c>
      <c r="AE363" s="130">
        <f t="shared" si="594"/>
        <v>0</v>
      </c>
      <c r="AF363" s="130">
        <f t="shared" si="595"/>
        <v>0</v>
      </c>
      <c r="AG363" s="132">
        <v>0</v>
      </c>
      <c r="AH363" s="132">
        <v>0</v>
      </c>
      <c r="AI363" s="132">
        <v>0</v>
      </c>
      <c r="AJ363" s="132">
        <v>0</v>
      </c>
      <c r="AK363" s="132">
        <v>0</v>
      </c>
      <c r="AL363" s="132">
        <f t="shared" si="596"/>
        <v>0</v>
      </c>
      <c r="AM363" s="132">
        <f t="shared" si="623"/>
        <v>0</v>
      </c>
      <c r="AN363" s="403">
        <f t="shared" si="597"/>
        <v>0</v>
      </c>
      <c r="AO363" s="128">
        <f t="shared" si="583"/>
        <v>16853</v>
      </c>
      <c r="AP363" s="130">
        <f t="shared" si="584"/>
        <v>11880</v>
      </c>
      <c r="AQ363" s="130">
        <f t="shared" si="585"/>
        <v>0</v>
      </c>
      <c r="AR363" s="130">
        <f t="shared" si="586"/>
        <v>4015</v>
      </c>
      <c r="AS363" s="130">
        <f t="shared" si="587"/>
        <v>238</v>
      </c>
      <c r="AT363" s="130">
        <f t="shared" si="588"/>
        <v>720</v>
      </c>
      <c r="AU363" s="132">
        <f t="shared" si="589"/>
        <v>0.05</v>
      </c>
      <c r="AV363" s="132">
        <f t="shared" si="590"/>
        <v>0</v>
      </c>
      <c r="AW363" s="133">
        <f t="shared" si="591"/>
        <v>0.05</v>
      </c>
    </row>
    <row r="364" spans="1:49" ht="14.1" customHeight="1" x14ac:dyDescent="0.2">
      <c r="A364" s="137">
        <v>73</v>
      </c>
      <c r="B364" s="134">
        <v>2459</v>
      </c>
      <c r="C364" s="146">
        <v>650030583</v>
      </c>
      <c r="D364" s="134">
        <v>72744707</v>
      </c>
      <c r="E364" s="136" t="s">
        <v>720</v>
      </c>
      <c r="F364" s="137"/>
      <c r="G364" s="136"/>
      <c r="H364" s="138"/>
      <c r="I364" s="139">
        <f t="shared" ref="I364:P364" si="624">SUM(I358:I363)</f>
        <v>10694136</v>
      </c>
      <c r="J364" s="140">
        <f t="shared" si="624"/>
        <v>7779831</v>
      </c>
      <c r="K364" s="140">
        <f t="shared" si="624"/>
        <v>2629582</v>
      </c>
      <c r="L364" s="140">
        <f t="shared" si="624"/>
        <v>155597</v>
      </c>
      <c r="M364" s="140">
        <f t="shared" si="624"/>
        <v>129126</v>
      </c>
      <c r="N364" s="141">
        <f t="shared" si="624"/>
        <v>16.681699999999999</v>
      </c>
      <c r="O364" s="141">
        <f t="shared" si="624"/>
        <v>10.1145</v>
      </c>
      <c r="P364" s="142">
        <f t="shared" si="624"/>
        <v>6.5671999999999997</v>
      </c>
      <c r="Q364" s="342">
        <f t="shared" ref="Q364:AW364" si="625">SUM(Q358:Q363)</f>
        <v>-60000</v>
      </c>
      <c r="R364" s="140">
        <f t="shared" si="625"/>
        <v>577475</v>
      </c>
      <c r="S364" s="140">
        <f t="shared" si="625"/>
        <v>0</v>
      </c>
      <c r="T364" s="140">
        <f t="shared" si="625"/>
        <v>0</v>
      </c>
      <c r="U364" s="140">
        <f t="shared" si="625"/>
        <v>517475</v>
      </c>
      <c r="V364" s="140">
        <f t="shared" si="625"/>
        <v>60000</v>
      </c>
      <c r="W364" s="140">
        <f t="shared" si="625"/>
        <v>0</v>
      </c>
      <c r="X364" s="140">
        <f t="shared" si="625"/>
        <v>0</v>
      </c>
      <c r="Y364" s="140">
        <f t="shared" si="625"/>
        <v>60000</v>
      </c>
      <c r="Z364" s="140">
        <f t="shared" si="625"/>
        <v>577475</v>
      </c>
      <c r="AA364" s="140">
        <f t="shared" si="625"/>
        <v>195187</v>
      </c>
      <c r="AB364" s="140">
        <f t="shared" si="625"/>
        <v>10350</v>
      </c>
      <c r="AC364" s="140">
        <f t="shared" si="625"/>
        <v>3000</v>
      </c>
      <c r="AD364" s="140">
        <f t="shared" si="625"/>
        <v>0</v>
      </c>
      <c r="AE364" s="140">
        <f t="shared" si="625"/>
        <v>3000</v>
      </c>
      <c r="AF364" s="140">
        <f t="shared" si="625"/>
        <v>786012</v>
      </c>
      <c r="AG364" s="141">
        <f t="shared" si="625"/>
        <v>-0.12</v>
      </c>
      <c r="AH364" s="141">
        <f t="shared" si="625"/>
        <v>-0.02</v>
      </c>
      <c r="AI364" s="141">
        <f t="shared" si="625"/>
        <v>1.64</v>
      </c>
      <c r="AJ364" s="141">
        <f t="shared" si="625"/>
        <v>0</v>
      </c>
      <c r="AK364" s="141">
        <f t="shared" si="625"/>
        <v>0</v>
      </c>
      <c r="AL364" s="141">
        <f t="shared" si="625"/>
        <v>1.5199999999999998</v>
      </c>
      <c r="AM364" s="141">
        <f t="shared" si="625"/>
        <v>-0.02</v>
      </c>
      <c r="AN364" s="635">
        <f t="shared" si="625"/>
        <v>1.4999999999999998</v>
      </c>
      <c r="AO364" s="139">
        <f t="shared" si="625"/>
        <v>11480148</v>
      </c>
      <c r="AP364" s="140">
        <f t="shared" si="625"/>
        <v>8297306</v>
      </c>
      <c r="AQ364" s="140">
        <f t="shared" si="625"/>
        <v>60000</v>
      </c>
      <c r="AR364" s="140">
        <f t="shared" si="625"/>
        <v>2824769</v>
      </c>
      <c r="AS364" s="140">
        <f t="shared" si="625"/>
        <v>165947</v>
      </c>
      <c r="AT364" s="140">
        <f t="shared" si="625"/>
        <v>132126</v>
      </c>
      <c r="AU364" s="141">
        <f t="shared" si="625"/>
        <v>18.181699999999999</v>
      </c>
      <c r="AV364" s="141">
        <f t="shared" si="625"/>
        <v>11.634500000000001</v>
      </c>
      <c r="AW364" s="142">
        <f t="shared" si="625"/>
        <v>6.5472000000000001</v>
      </c>
    </row>
    <row r="365" spans="1:49" ht="14.1" customHeight="1" x14ac:dyDescent="0.2">
      <c r="A365" s="124">
        <v>74</v>
      </c>
      <c r="B365" s="121">
        <v>2405</v>
      </c>
      <c r="C365" s="122">
        <v>600079023</v>
      </c>
      <c r="D365" s="121">
        <v>72741881</v>
      </c>
      <c r="E365" s="123" t="s">
        <v>721</v>
      </c>
      <c r="F365" s="124">
        <v>3111</v>
      </c>
      <c r="G365" s="123" t="s">
        <v>317</v>
      </c>
      <c r="H365" s="125" t="s">
        <v>283</v>
      </c>
      <c r="I365" s="126">
        <f t="shared" si="579"/>
        <v>13715746</v>
      </c>
      <c r="J365" s="127">
        <v>10038325</v>
      </c>
      <c r="K365" s="127">
        <f t="shared" si="592"/>
        <v>3392954</v>
      </c>
      <c r="L365" s="477">
        <f t="shared" si="593"/>
        <v>200767</v>
      </c>
      <c r="M365" s="127">
        <v>83700</v>
      </c>
      <c r="N365" s="390">
        <f t="shared" si="580"/>
        <v>22.959300000000002</v>
      </c>
      <c r="O365" s="390">
        <v>16.709700000000002</v>
      </c>
      <c r="P365" s="439">
        <v>6.2496</v>
      </c>
      <c r="Q365" s="129">
        <f t="shared" si="581"/>
        <v>0</v>
      </c>
      <c r="R365" s="130">
        <v>0</v>
      </c>
      <c r="S365" s="130">
        <v>0</v>
      </c>
      <c r="T365" s="130">
        <v>0</v>
      </c>
      <c r="U365" s="130">
        <f t="shared" si="582"/>
        <v>0</v>
      </c>
      <c r="V365" s="130">
        <v>0</v>
      </c>
      <c r="W365" s="130">
        <v>0</v>
      </c>
      <c r="X365" s="130">
        <v>0</v>
      </c>
      <c r="Y365" s="130">
        <f t="shared" ref="Y365:Y367" si="626">SUM(V365:X365)</f>
        <v>0</v>
      </c>
      <c r="Z365" s="130">
        <f t="shared" ref="Z365:Z367" si="627">U365+Y365</f>
        <v>0</v>
      </c>
      <c r="AA365" s="131">
        <f t="shared" ref="AA365:AA367" si="628">ROUND((U365+V365+W365)*33.8%,0)</f>
        <v>0</v>
      </c>
      <c r="AB365" s="131">
        <f t="shared" ref="AB365:AB367" si="629">ROUND(U365*2%,0)</f>
        <v>0</v>
      </c>
      <c r="AC365" s="130">
        <v>0</v>
      </c>
      <c r="AD365" s="130">
        <v>0</v>
      </c>
      <c r="AE365" s="130">
        <f t="shared" si="594"/>
        <v>0</v>
      </c>
      <c r="AF365" s="130">
        <f t="shared" si="595"/>
        <v>0</v>
      </c>
      <c r="AG365" s="132">
        <v>0</v>
      </c>
      <c r="AH365" s="132">
        <v>0</v>
      </c>
      <c r="AI365" s="132">
        <v>0</v>
      </c>
      <c r="AJ365" s="132">
        <v>0</v>
      </c>
      <c r="AK365" s="132">
        <v>0</v>
      </c>
      <c r="AL365" s="132">
        <f t="shared" si="596"/>
        <v>0</v>
      </c>
      <c r="AM365" s="132">
        <f>AH365+AK365</f>
        <v>0</v>
      </c>
      <c r="AN365" s="403">
        <f t="shared" si="597"/>
        <v>0</v>
      </c>
      <c r="AO365" s="128">
        <f t="shared" si="583"/>
        <v>13715746</v>
      </c>
      <c r="AP365" s="130">
        <f t="shared" si="584"/>
        <v>10038325</v>
      </c>
      <c r="AQ365" s="130">
        <f t="shared" si="585"/>
        <v>0</v>
      </c>
      <c r="AR365" s="130">
        <f t="shared" si="586"/>
        <v>3392954</v>
      </c>
      <c r="AS365" s="130">
        <f t="shared" si="587"/>
        <v>200767</v>
      </c>
      <c r="AT365" s="130">
        <f t="shared" si="588"/>
        <v>83700</v>
      </c>
      <c r="AU365" s="132">
        <f t="shared" si="589"/>
        <v>22.959300000000002</v>
      </c>
      <c r="AV365" s="132">
        <f t="shared" si="590"/>
        <v>16.709700000000002</v>
      </c>
      <c r="AW365" s="133">
        <f t="shared" si="591"/>
        <v>6.2496</v>
      </c>
    </row>
    <row r="366" spans="1:49" ht="14.1" customHeight="1" x14ac:dyDescent="0.2">
      <c r="A366" s="124">
        <v>74</v>
      </c>
      <c r="B366" s="121">
        <v>2405</v>
      </c>
      <c r="C366" s="122">
        <v>600079023</v>
      </c>
      <c r="D366" s="121">
        <v>72741881</v>
      </c>
      <c r="E366" s="123" t="s">
        <v>721</v>
      </c>
      <c r="F366" s="124">
        <v>3111</v>
      </c>
      <c r="G366" s="143" t="s">
        <v>318</v>
      </c>
      <c r="H366" s="125" t="s">
        <v>284</v>
      </c>
      <c r="I366" s="126">
        <f t="shared" si="579"/>
        <v>0</v>
      </c>
      <c r="J366" s="29">
        <v>0</v>
      </c>
      <c r="K366" s="127">
        <f t="shared" si="592"/>
        <v>0</v>
      </c>
      <c r="L366" s="477">
        <f t="shared" si="593"/>
        <v>0</v>
      </c>
      <c r="M366" s="29">
        <v>0</v>
      </c>
      <c r="N366" s="390">
        <f t="shared" si="580"/>
        <v>0</v>
      </c>
      <c r="O366" s="349">
        <v>0</v>
      </c>
      <c r="P366" s="639">
        <v>0</v>
      </c>
      <c r="Q366" s="129">
        <f t="shared" si="581"/>
        <v>0</v>
      </c>
      <c r="R366" s="130">
        <v>0</v>
      </c>
      <c r="S366" s="130">
        <v>0</v>
      </c>
      <c r="T366" s="130">
        <v>0</v>
      </c>
      <c r="U366" s="130">
        <f t="shared" si="582"/>
        <v>0</v>
      </c>
      <c r="V366" s="130">
        <v>0</v>
      </c>
      <c r="W366" s="130">
        <v>0</v>
      </c>
      <c r="X366" s="130">
        <v>0</v>
      </c>
      <c r="Y366" s="130">
        <f t="shared" si="626"/>
        <v>0</v>
      </c>
      <c r="Z366" s="130">
        <f t="shared" si="627"/>
        <v>0</v>
      </c>
      <c r="AA366" s="131">
        <f t="shared" si="628"/>
        <v>0</v>
      </c>
      <c r="AB366" s="131">
        <f t="shared" si="629"/>
        <v>0</v>
      </c>
      <c r="AC366" s="130">
        <v>0</v>
      </c>
      <c r="AD366" s="130">
        <v>0</v>
      </c>
      <c r="AE366" s="130">
        <f t="shared" si="594"/>
        <v>0</v>
      </c>
      <c r="AF366" s="130">
        <f t="shared" si="595"/>
        <v>0</v>
      </c>
      <c r="AG366" s="132">
        <v>0</v>
      </c>
      <c r="AH366" s="132">
        <v>0</v>
      </c>
      <c r="AI366" s="132">
        <v>0</v>
      </c>
      <c r="AJ366" s="132">
        <v>0</v>
      </c>
      <c r="AK366" s="132">
        <v>0</v>
      </c>
      <c r="AL366" s="132">
        <f t="shared" si="596"/>
        <v>0</v>
      </c>
      <c r="AM366" s="132">
        <f>AH366+AK366</f>
        <v>0</v>
      </c>
      <c r="AN366" s="403">
        <f t="shared" si="597"/>
        <v>0</v>
      </c>
      <c r="AO366" s="128">
        <f t="shared" si="583"/>
        <v>0</v>
      </c>
      <c r="AP366" s="130">
        <f t="shared" si="584"/>
        <v>0</v>
      </c>
      <c r="AQ366" s="130">
        <f t="shared" si="585"/>
        <v>0</v>
      </c>
      <c r="AR366" s="130">
        <f t="shared" si="586"/>
        <v>0</v>
      </c>
      <c r="AS366" s="130">
        <f t="shared" si="587"/>
        <v>0</v>
      </c>
      <c r="AT366" s="130">
        <f t="shared" si="588"/>
        <v>0</v>
      </c>
      <c r="AU366" s="132">
        <f t="shared" si="589"/>
        <v>0</v>
      </c>
      <c r="AV366" s="132">
        <f t="shared" si="590"/>
        <v>0</v>
      </c>
      <c r="AW366" s="133">
        <f t="shared" si="591"/>
        <v>0</v>
      </c>
    </row>
    <row r="367" spans="1:49" ht="14.1" customHeight="1" x14ac:dyDescent="0.2">
      <c r="A367" s="124">
        <v>74</v>
      </c>
      <c r="B367" s="121">
        <v>2405</v>
      </c>
      <c r="C367" s="122">
        <v>600079023</v>
      </c>
      <c r="D367" s="121">
        <v>72741881</v>
      </c>
      <c r="E367" s="123" t="s">
        <v>721</v>
      </c>
      <c r="F367" s="124">
        <v>3141</v>
      </c>
      <c r="G367" s="123" t="s">
        <v>321</v>
      </c>
      <c r="H367" s="125" t="s">
        <v>284</v>
      </c>
      <c r="I367" s="126">
        <f t="shared" si="579"/>
        <v>1249341</v>
      </c>
      <c r="J367" s="666">
        <v>914089</v>
      </c>
      <c r="K367" s="127">
        <f t="shared" si="592"/>
        <v>308962</v>
      </c>
      <c r="L367" s="477">
        <f t="shared" si="593"/>
        <v>18282</v>
      </c>
      <c r="M367" s="666">
        <v>8008</v>
      </c>
      <c r="N367" s="390">
        <f t="shared" si="580"/>
        <v>3.1</v>
      </c>
      <c r="O367" s="668">
        <v>0</v>
      </c>
      <c r="P367" s="674">
        <v>3.1</v>
      </c>
      <c r="Q367" s="129">
        <f t="shared" si="581"/>
        <v>0</v>
      </c>
      <c r="R367" s="130">
        <v>0</v>
      </c>
      <c r="S367" s="130">
        <v>0</v>
      </c>
      <c r="T367" s="130">
        <v>0</v>
      </c>
      <c r="U367" s="130">
        <f t="shared" si="582"/>
        <v>0</v>
      </c>
      <c r="V367" s="130">
        <v>0</v>
      </c>
      <c r="W367" s="130">
        <v>0</v>
      </c>
      <c r="X367" s="130">
        <v>0</v>
      </c>
      <c r="Y367" s="130">
        <f t="shared" si="626"/>
        <v>0</v>
      </c>
      <c r="Z367" s="130">
        <f t="shared" si="627"/>
        <v>0</v>
      </c>
      <c r="AA367" s="131">
        <f t="shared" si="628"/>
        <v>0</v>
      </c>
      <c r="AB367" s="131">
        <f t="shared" si="629"/>
        <v>0</v>
      </c>
      <c r="AC367" s="130">
        <v>0</v>
      </c>
      <c r="AD367" s="130">
        <v>0</v>
      </c>
      <c r="AE367" s="130">
        <f t="shared" si="594"/>
        <v>0</v>
      </c>
      <c r="AF367" s="130">
        <f t="shared" si="595"/>
        <v>0</v>
      </c>
      <c r="AG367" s="132">
        <v>0</v>
      </c>
      <c r="AH367" s="132">
        <v>0</v>
      </c>
      <c r="AI367" s="132">
        <v>0</v>
      </c>
      <c r="AJ367" s="132">
        <v>0</v>
      </c>
      <c r="AK367" s="132">
        <v>0</v>
      </c>
      <c r="AL367" s="132">
        <f t="shared" si="596"/>
        <v>0</v>
      </c>
      <c r="AM367" s="132">
        <f>AH367+AK367</f>
        <v>0</v>
      </c>
      <c r="AN367" s="403">
        <f t="shared" si="597"/>
        <v>0</v>
      </c>
      <c r="AO367" s="128">
        <f t="shared" si="583"/>
        <v>1249341</v>
      </c>
      <c r="AP367" s="130">
        <f t="shared" si="584"/>
        <v>914089</v>
      </c>
      <c r="AQ367" s="130">
        <f t="shared" si="585"/>
        <v>0</v>
      </c>
      <c r="AR367" s="130">
        <f t="shared" si="586"/>
        <v>308962</v>
      </c>
      <c r="AS367" s="130">
        <f t="shared" si="587"/>
        <v>18282</v>
      </c>
      <c r="AT367" s="130">
        <f t="shared" si="588"/>
        <v>8008</v>
      </c>
      <c r="AU367" s="132">
        <f t="shared" si="589"/>
        <v>3.1</v>
      </c>
      <c r="AV367" s="132">
        <f t="shared" si="590"/>
        <v>0</v>
      </c>
      <c r="AW367" s="133">
        <f t="shared" si="591"/>
        <v>3.1</v>
      </c>
    </row>
    <row r="368" spans="1:49" ht="14.1" customHeight="1" x14ac:dyDescent="0.2">
      <c r="A368" s="137">
        <v>74</v>
      </c>
      <c r="B368" s="134">
        <v>2405</v>
      </c>
      <c r="C368" s="135">
        <v>600079023</v>
      </c>
      <c r="D368" s="134">
        <v>72741881</v>
      </c>
      <c r="E368" s="136" t="s">
        <v>722</v>
      </c>
      <c r="F368" s="137"/>
      <c r="G368" s="136"/>
      <c r="H368" s="138"/>
      <c r="I368" s="139">
        <f t="shared" ref="I368:P368" si="630">SUM(I365:I367)</f>
        <v>14965087</v>
      </c>
      <c r="J368" s="140">
        <f t="shared" si="630"/>
        <v>10952414</v>
      </c>
      <c r="K368" s="140">
        <f t="shared" si="630"/>
        <v>3701916</v>
      </c>
      <c r="L368" s="140">
        <f t="shared" si="630"/>
        <v>219049</v>
      </c>
      <c r="M368" s="140">
        <f t="shared" si="630"/>
        <v>91708</v>
      </c>
      <c r="N368" s="141">
        <f t="shared" si="630"/>
        <v>26.059300000000004</v>
      </c>
      <c r="O368" s="141">
        <f t="shared" si="630"/>
        <v>16.709700000000002</v>
      </c>
      <c r="P368" s="142">
        <f t="shared" si="630"/>
        <v>9.3496000000000006</v>
      </c>
      <c r="Q368" s="342">
        <f t="shared" ref="Q368:AW368" si="631">SUM(Q365:Q367)</f>
        <v>0</v>
      </c>
      <c r="R368" s="140">
        <f t="shared" si="631"/>
        <v>0</v>
      </c>
      <c r="S368" s="140">
        <f t="shared" si="631"/>
        <v>0</v>
      </c>
      <c r="T368" s="140">
        <f t="shared" si="631"/>
        <v>0</v>
      </c>
      <c r="U368" s="140">
        <f t="shared" si="631"/>
        <v>0</v>
      </c>
      <c r="V368" s="140">
        <f t="shared" si="631"/>
        <v>0</v>
      </c>
      <c r="W368" s="140">
        <f t="shared" si="631"/>
        <v>0</v>
      </c>
      <c r="X368" s="140">
        <f t="shared" si="631"/>
        <v>0</v>
      </c>
      <c r="Y368" s="140">
        <f t="shared" si="631"/>
        <v>0</v>
      </c>
      <c r="Z368" s="140">
        <f t="shared" si="631"/>
        <v>0</v>
      </c>
      <c r="AA368" s="140">
        <f t="shared" si="631"/>
        <v>0</v>
      </c>
      <c r="AB368" s="140">
        <f t="shared" si="631"/>
        <v>0</v>
      </c>
      <c r="AC368" s="140">
        <f t="shared" si="631"/>
        <v>0</v>
      </c>
      <c r="AD368" s="140">
        <f t="shared" si="631"/>
        <v>0</v>
      </c>
      <c r="AE368" s="140">
        <f t="shared" si="631"/>
        <v>0</v>
      </c>
      <c r="AF368" s="140">
        <f t="shared" si="631"/>
        <v>0</v>
      </c>
      <c r="AG368" s="141">
        <f t="shared" si="631"/>
        <v>0</v>
      </c>
      <c r="AH368" s="141">
        <f t="shared" si="631"/>
        <v>0</v>
      </c>
      <c r="AI368" s="141">
        <f t="shared" si="631"/>
        <v>0</v>
      </c>
      <c r="AJ368" s="141">
        <f t="shared" si="631"/>
        <v>0</v>
      </c>
      <c r="AK368" s="141">
        <f t="shared" si="631"/>
        <v>0</v>
      </c>
      <c r="AL368" s="141">
        <f t="shared" si="631"/>
        <v>0</v>
      </c>
      <c r="AM368" s="141">
        <f t="shared" si="631"/>
        <v>0</v>
      </c>
      <c r="AN368" s="635">
        <f t="shared" si="631"/>
        <v>0</v>
      </c>
      <c r="AO368" s="139">
        <f t="shared" si="631"/>
        <v>14965087</v>
      </c>
      <c r="AP368" s="140">
        <f t="shared" si="631"/>
        <v>10952414</v>
      </c>
      <c r="AQ368" s="140">
        <f t="shared" si="631"/>
        <v>0</v>
      </c>
      <c r="AR368" s="140">
        <f t="shared" si="631"/>
        <v>3701916</v>
      </c>
      <c r="AS368" s="140">
        <f t="shared" si="631"/>
        <v>219049</v>
      </c>
      <c r="AT368" s="140">
        <f t="shared" si="631"/>
        <v>91708</v>
      </c>
      <c r="AU368" s="141">
        <f t="shared" si="631"/>
        <v>26.059300000000004</v>
      </c>
      <c r="AV368" s="141">
        <f t="shared" si="631"/>
        <v>16.709700000000002</v>
      </c>
      <c r="AW368" s="142">
        <f t="shared" si="631"/>
        <v>9.3496000000000006</v>
      </c>
    </row>
    <row r="369" spans="1:49" ht="14.1" customHeight="1" x14ac:dyDescent="0.2">
      <c r="A369" s="124">
        <v>75</v>
      </c>
      <c r="B369" s="121">
        <v>2317</v>
      </c>
      <c r="C369" s="122">
        <v>600080501</v>
      </c>
      <c r="D369" s="121">
        <v>69411123</v>
      </c>
      <c r="E369" s="123" t="s">
        <v>723</v>
      </c>
      <c r="F369" s="124">
        <v>3141</v>
      </c>
      <c r="G369" s="123" t="s">
        <v>321</v>
      </c>
      <c r="H369" s="125" t="s">
        <v>284</v>
      </c>
      <c r="I369" s="126">
        <f t="shared" si="579"/>
        <v>3998181</v>
      </c>
      <c r="J369" s="666">
        <v>2916289</v>
      </c>
      <c r="K369" s="127">
        <f t="shared" ref="K369" si="632">ROUND(J369*33.8%,0)</f>
        <v>985706</v>
      </c>
      <c r="L369" s="477">
        <f t="shared" ref="L369" si="633">ROUND(J369*2%,0)</f>
        <v>58326</v>
      </c>
      <c r="M369" s="666">
        <v>37860</v>
      </c>
      <c r="N369" s="390">
        <f t="shared" ref="N369" si="634">O369+P369</f>
        <v>9.92</v>
      </c>
      <c r="O369" s="668">
        <v>0</v>
      </c>
      <c r="P369" s="667">
        <v>9.92</v>
      </c>
      <c r="Q369" s="129">
        <f t="shared" si="581"/>
        <v>-22400</v>
      </c>
      <c r="R369" s="130">
        <v>0</v>
      </c>
      <c r="S369" s="130">
        <v>0</v>
      </c>
      <c r="T369" s="130">
        <v>335160</v>
      </c>
      <c r="U369" s="130">
        <f t="shared" si="582"/>
        <v>312760</v>
      </c>
      <c r="V369" s="130">
        <v>22400</v>
      </c>
      <c r="W369" s="130">
        <v>0</v>
      </c>
      <c r="X369" s="130">
        <v>0</v>
      </c>
      <c r="Y369" s="130">
        <f t="shared" ref="Y369" si="635">SUM(V369:X369)</f>
        <v>22400</v>
      </c>
      <c r="Z369" s="130">
        <f>U369+Y369</f>
        <v>335160</v>
      </c>
      <c r="AA369" s="131">
        <f>ROUND((U369+V369+W369)*33.8%,0)</f>
        <v>113284</v>
      </c>
      <c r="AB369" s="131">
        <f>ROUND(U369*2%,0)</f>
        <v>6255</v>
      </c>
      <c r="AC369" s="130">
        <v>0</v>
      </c>
      <c r="AD369" s="130">
        <v>0</v>
      </c>
      <c r="AE369" s="130">
        <f t="shared" si="594"/>
        <v>0</v>
      </c>
      <c r="AF369" s="130">
        <f t="shared" si="595"/>
        <v>454699</v>
      </c>
      <c r="AG369" s="132">
        <v>0</v>
      </c>
      <c r="AH369" s="132">
        <v>-0.09</v>
      </c>
      <c r="AI369" s="132">
        <v>0</v>
      </c>
      <c r="AJ369" s="132">
        <v>0</v>
      </c>
      <c r="AK369" s="132">
        <v>1.1399999999999999</v>
      </c>
      <c r="AL369" s="132">
        <f t="shared" si="596"/>
        <v>0</v>
      </c>
      <c r="AM369" s="132">
        <f>AH369+AK369</f>
        <v>1.0499999999999998</v>
      </c>
      <c r="AN369" s="403">
        <f t="shared" si="597"/>
        <v>1.0499999999999998</v>
      </c>
      <c r="AO369" s="128">
        <f t="shared" si="583"/>
        <v>4452880</v>
      </c>
      <c r="AP369" s="130">
        <f t="shared" si="584"/>
        <v>3229049</v>
      </c>
      <c r="AQ369" s="130">
        <f t="shared" si="585"/>
        <v>22400</v>
      </c>
      <c r="AR369" s="130">
        <f t="shared" si="586"/>
        <v>1098990</v>
      </c>
      <c r="AS369" s="130">
        <f t="shared" si="587"/>
        <v>64581</v>
      </c>
      <c r="AT369" s="130">
        <f t="shared" si="588"/>
        <v>37860</v>
      </c>
      <c r="AU369" s="132">
        <f t="shared" si="589"/>
        <v>10.969999999999999</v>
      </c>
      <c r="AV369" s="132">
        <f t="shared" si="590"/>
        <v>0</v>
      </c>
      <c r="AW369" s="133">
        <f t="shared" si="591"/>
        <v>10.969999999999999</v>
      </c>
    </row>
    <row r="370" spans="1:49" ht="14.1" customHeight="1" x14ac:dyDescent="0.2">
      <c r="A370" s="137">
        <v>75</v>
      </c>
      <c r="B370" s="134">
        <v>2317</v>
      </c>
      <c r="C370" s="135">
        <v>600080501</v>
      </c>
      <c r="D370" s="134">
        <v>69411123</v>
      </c>
      <c r="E370" s="136" t="s">
        <v>724</v>
      </c>
      <c r="F370" s="137"/>
      <c r="G370" s="136"/>
      <c r="H370" s="138"/>
      <c r="I370" s="153">
        <f t="shared" ref="I370:P370" si="636">SUM(I369)</f>
        <v>3998181</v>
      </c>
      <c r="J370" s="154">
        <f t="shared" si="636"/>
        <v>2916289</v>
      </c>
      <c r="K370" s="154">
        <f t="shared" si="636"/>
        <v>985706</v>
      </c>
      <c r="L370" s="154">
        <f t="shared" si="636"/>
        <v>58326</v>
      </c>
      <c r="M370" s="154">
        <f t="shared" si="636"/>
        <v>37860</v>
      </c>
      <c r="N370" s="155">
        <f t="shared" si="636"/>
        <v>9.92</v>
      </c>
      <c r="O370" s="155">
        <f t="shared" si="636"/>
        <v>0</v>
      </c>
      <c r="P370" s="156">
        <f t="shared" si="636"/>
        <v>9.92</v>
      </c>
      <c r="Q370" s="344">
        <f t="shared" ref="Q370:AW370" si="637">SUM(Q369)</f>
        <v>-22400</v>
      </c>
      <c r="R370" s="154">
        <f t="shared" si="637"/>
        <v>0</v>
      </c>
      <c r="S370" s="154">
        <f t="shared" si="637"/>
        <v>0</v>
      </c>
      <c r="T370" s="154">
        <f t="shared" si="637"/>
        <v>335160</v>
      </c>
      <c r="U370" s="154">
        <f t="shared" si="637"/>
        <v>312760</v>
      </c>
      <c r="V370" s="154">
        <f t="shared" si="637"/>
        <v>22400</v>
      </c>
      <c r="W370" s="154">
        <f t="shared" si="637"/>
        <v>0</v>
      </c>
      <c r="X370" s="154">
        <f t="shared" si="637"/>
        <v>0</v>
      </c>
      <c r="Y370" s="154">
        <f t="shared" si="637"/>
        <v>22400</v>
      </c>
      <c r="Z370" s="154">
        <f t="shared" si="637"/>
        <v>335160</v>
      </c>
      <c r="AA370" s="154">
        <f t="shared" si="637"/>
        <v>113284</v>
      </c>
      <c r="AB370" s="154">
        <f t="shared" si="637"/>
        <v>6255</v>
      </c>
      <c r="AC370" s="154">
        <f t="shared" si="637"/>
        <v>0</v>
      </c>
      <c r="AD370" s="154">
        <f t="shared" si="637"/>
        <v>0</v>
      </c>
      <c r="AE370" s="154">
        <f t="shared" si="637"/>
        <v>0</v>
      </c>
      <c r="AF370" s="154">
        <f t="shared" si="637"/>
        <v>454699</v>
      </c>
      <c r="AG370" s="155">
        <f t="shared" si="637"/>
        <v>0</v>
      </c>
      <c r="AH370" s="155">
        <f t="shared" si="637"/>
        <v>-0.09</v>
      </c>
      <c r="AI370" s="155">
        <f t="shared" si="637"/>
        <v>0</v>
      </c>
      <c r="AJ370" s="155">
        <f t="shared" si="637"/>
        <v>0</v>
      </c>
      <c r="AK370" s="155">
        <f t="shared" si="637"/>
        <v>1.1399999999999999</v>
      </c>
      <c r="AL370" s="155">
        <f t="shared" si="637"/>
        <v>0</v>
      </c>
      <c r="AM370" s="155">
        <f t="shared" si="637"/>
        <v>1.0499999999999998</v>
      </c>
      <c r="AN370" s="637">
        <f t="shared" si="637"/>
        <v>1.0499999999999998</v>
      </c>
      <c r="AO370" s="153">
        <f t="shared" si="637"/>
        <v>4452880</v>
      </c>
      <c r="AP370" s="154">
        <f t="shared" si="637"/>
        <v>3229049</v>
      </c>
      <c r="AQ370" s="154">
        <f t="shared" si="637"/>
        <v>22400</v>
      </c>
      <c r="AR370" s="154">
        <f t="shared" si="637"/>
        <v>1098990</v>
      </c>
      <c r="AS370" s="154">
        <f t="shared" si="637"/>
        <v>64581</v>
      </c>
      <c r="AT370" s="154">
        <f t="shared" si="637"/>
        <v>37860</v>
      </c>
      <c r="AU370" s="155">
        <f t="shared" si="637"/>
        <v>10.969999999999999</v>
      </c>
      <c r="AV370" s="155">
        <f t="shared" si="637"/>
        <v>0</v>
      </c>
      <c r="AW370" s="156">
        <f t="shared" si="637"/>
        <v>10.969999999999999</v>
      </c>
    </row>
    <row r="371" spans="1:49" ht="14.1" customHeight="1" x14ac:dyDescent="0.2">
      <c r="A371" s="124">
        <v>76</v>
      </c>
      <c r="B371" s="121">
        <v>2461</v>
      </c>
      <c r="C371" s="144">
        <v>600079805</v>
      </c>
      <c r="D371" s="121">
        <v>72741724</v>
      </c>
      <c r="E371" s="123" t="s">
        <v>725</v>
      </c>
      <c r="F371" s="124">
        <v>3111</v>
      </c>
      <c r="G371" s="123" t="s">
        <v>317</v>
      </c>
      <c r="H371" s="125" t="s">
        <v>283</v>
      </c>
      <c r="I371" s="126">
        <f t="shared" si="579"/>
        <v>1441731</v>
      </c>
      <c r="J371" s="127">
        <v>1055030</v>
      </c>
      <c r="K371" s="127">
        <f t="shared" si="592"/>
        <v>356600</v>
      </c>
      <c r="L371" s="477">
        <f t="shared" si="593"/>
        <v>21101</v>
      </c>
      <c r="M371" s="127">
        <v>9000</v>
      </c>
      <c r="N371" s="390">
        <f t="shared" si="580"/>
        <v>2.4769999999999999</v>
      </c>
      <c r="O371" s="390">
        <v>2.0160999999999998</v>
      </c>
      <c r="P371" s="439">
        <v>0.46089999999999998</v>
      </c>
      <c r="Q371" s="129">
        <f t="shared" si="581"/>
        <v>-12000</v>
      </c>
      <c r="R371" s="130">
        <v>0</v>
      </c>
      <c r="S371" s="130">
        <v>0</v>
      </c>
      <c r="T371" s="130">
        <v>0</v>
      </c>
      <c r="U371" s="130">
        <f t="shared" si="582"/>
        <v>-12000</v>
      </c>
      <c r="V371" s="130">
        <v>12000</v>
      </c>
      <c r="W371" s="130">
        <v>0</v>
      </c>
      <c r="X371" s="130">
        <v>0</v>
      </c>
      <c r="Y371" s="130">
        <f t="shared" ref="Y371:Y376" si="638">SUM(V371:X371)</f>
        <v>12000</v>
      </c>
      <c r="Z371" s="130">
        <f t="shared" ref="Z371:Z376" si="639">U371+Y371</f>
        <v>0</v>
      </c>
      <c r="AA371" s="131">
        <f t="shared" ref="AA371:AA376" si="640">ROUND((U371+V371+W371)*33.8%,0)</f>
        <v>0</v>
      </c>
      <c r="AB371" s="131">
        <f t="shared" ref="AB371:AB376" si="641">ROUND(U371*2%,0)</f>
        <v>-240</v>
      </c>
      <c r="AC371" s="130">
        <v>0</v>
      </c>
      <c r="AD371" s="130">
        <v>0</v>
      </c>
      <c r="AE371" s="130">
        <f t="shared" si="594"/>
        <v>0</v>
      </c>
      <c r="AF371" s="130">
        <f t="shared" si="595"/>
        <v>-240</v>
      </c>
      <c r="AG371" s="132">
        <v>-0.03</v>
      </c>
      <c r="AH371" s="132">
        <v>0</v>
      </c>
      <c r="AI371" s="132">
        <v>0</v>
      </c>
      <c r="AJ371" s="132">
        <v>0</v>
      </c>
      <c r="AK371" s="132">
        <v>0</v>
      </c>
      <c r="AL371" s="132">
        <f t="shared" si="596"/>
        <v>-0.03</v>
      </c>
      <c r="AM371" s="132">
        <f t="shared" ref="AM371:AM376" si="642">AH371+AK371</f>
        <v>0</v>
      </c>
      <c r="AN371" s="403">
        <f t="shared" si="597"/>
        <v>-0.03</v>
      </c>
      <c r="AO371" s="128">
        <f t="shared" si="583"/>
        <v>1441491</v>
      </c>
      <c r="AP371" s="130">
        <f t="shared" si="584"/>
        <v>1043030</v>
      </c>
      <c r="AQ371" s="130">
        <f t="shared" si="585"/>
        <v>12000</v>
      </c>
      <c r="AR371" s="130">
        <f t="shared" si="586"/>
        <v>356600</v>
      </c>
      <c r="AS371" s="130">
        <f t="shared" si="587"/>
        <v>20861</v>
      </c>
      <c r="AT371" s="130">
        <f t="shared" si="588"/>
        <v>9000</v>
      </c>
      <c r="AU371" s="132">
        <f t="shared" si="589"/>
        <v>2.4470000000000001</v>
      </c>
      <c r="AV371" s="132">
        <f t="shared" si="590"/>
        <v>1.9860999999999998</v>
      </c>
      <c r="AW371" s="133">
        <f t="shared" si="591"/>
        <v>0.46089999999999998</v>
      </c>
    </row>
    <row r="372" spans="1:49" ht="14.1" customHeight="1" x14ac:dyDescent="0.2">
      <c r="A372" s="124">
        <v>76</v>
      </c>
      <c r="B372" s="121">
        <v>2461</v>
      </c>
      <c r="C372" s="144">
        <v>600079805</v>
      </c>
      <c r="D372" s="121">
        <v>72741724</v>
      </c>
      <c r="E372" s="123" t="s">
        <v>725</v>
      </c>
      <c r="F372" s="124">
        <v>3117</v>
      </c>
      <c r="G372" s="123" t="s">
        <v>320</v>
      </c>
      <c r="H372" s="125" t="s">
        <v>283</v>
      </c>
      <c r="I372" s="126">
        <f t="shared" si="579"/>
        <v>2513869</v>
      </c>
      <c r="J372" s="477">
        <v>1829749</v>
      </c>
      <c r="K372" s="127">
        <f t="shared" si="592"/>
        <v>618455</v>
      </c>
      <c r="L372" s="477">
        <f t="shared" si="593"/>
        <v>36595</v>
      </c>
      <c r="M372" s="477">
        <v>29070</v>
      </c>
      <c r="N372" s="390">
        <f t="shared" si="580"/>
        <v>3.5806</v>
      </c>
      <c r="O372" s="645">
        <v>2.5455000000000001</v>
      </c>
      <c r="P372" s="646">
        <v>1.0350999999999999</v>
      </c>
      <c r="Q372" s="129">
        <f t="shared" si="581"/>
        <v>-12000</v>
      </c>
      <c r="R372" s="130">
        <v>0</v>
      </c>
      <c r="S372" s="130">
        <v>0</v>
      </c>
      <c r="T372" s="130">
        <v>0</v>
      </c>
      <c r="U372" s="130">
        <f t="shared" si="582"/>
        <v>-12000</v>
      </c>
      <c r="V372" s="130">
        <v>12000</v>
      </c>
      <c r="W372" s="130">
        <v>0</v>
      </c>
      <c r="X372" s="130">
        <v>0</v>
      </c>
      <c r="Y372" s="130">
        <f t="shared" si="638"/>
        <v>12000</v>
      </c>
      <c r="Z372" s="130">
        <f t="shared" si="639"/>
        <v>0</v>
      </c>
      <c r="AA372" s="131">
        <f t="shared" si="640"/>
        <v>0</v>
      </c>
      <c r="AB372" s="131">
        <f t="shared" si="641"/>
        <v>-240</v>
      </c>
      <c r="AC372" s="130">
        <v>0</v>
      </c>
      <c r="AD372" s="130">
        <v>0</v>
      </c>
      <c r="AE372" s="130">
        <f t="shared" si="594"/>
        <v>0</v>
      </c>
      <c r="AF372" s="130">
        <f t="shared" si="595"/>
        <v>-240</v>
      </c>
      <c r="AG372" s="132">
        <v>-0.02</v>
      </c>
      <c r="AH372" s="132">
        <v>0</v>
      </c>
      <c r="AI372" s="132">
        <v>0</v>
      </c>
      <c r="AJ372" s="132">
        <v>0</v>
      </c>
      <c r="AK372" s="132">
        <v>0</v>
      </c>
      <c r="AL372" s="132">
        <f t="shared" si="596"/>
        <v>-0.02</v>
      </c>
      <c r="AM372" s="132">
        <f t="shared" si="642"/>
        <v>0</v>
      </c>
      <c r="AN372" s="403">
        <f t="shared" si="597"/>
        <v>-0.02</v>
      </c>
      <c r="AO372" s="128">
        <f t="shared" si="583"/>
        <v>2513629</v>
      </c>
      <c r="AP372" s="130">
        <f t="shared" si="584"/>
        <v>1817749</v>
      </c>
      <c r="AQ372" s="130">
        <f t="shared" si="585"/>
        <v>12000</v>
      </c>
      <c r="AR372" s="130">
        <f t="shared" si="586"/>
        <v>618455</v>
      </c>
      <c r="AS372" s="130">
        <f t="shared" si="587"/>
        <v>36355</v>
      </c>
      <c r="AT372" s="130">
        <f t="shared" si="588"/>
        <v>29070</v>
      </c>
      <c r="AU372" s="132">
        <f t="shared" si="589"/>
        <v>3.5606</v>
      </c>
      <c r="AV372" s="132">
        <f t="shared" si="590"/>
        <v>2.5255000000000001</v>
      </c>
      <c r="AW372" s="133">
        <f t="shared" si="591"/>
        <v>1.0350999999999999</v>
      </c>
    </row>
    <row r="373" spans="1:49" ht="14.1" customHeight="1" x14ac:dyDescent="0.2">
      <c r="A373" s="124">
        <v>76</v>
      </c>
      <c r="B373" s="121">
        <v>2461</v>
      </c>
      <c r="C373" s="144">
        <v>600079805</v>
      </c>
      <c r="D373" s="121">
        <v>72741724</v>
      </c>
      <c r="E373" s="123" t="s">
        <v>725</v>
      </c>
      <c r="F373" s="124">
        <v>3117</v>
      </c>
      <c r="G373" s="143" t="s">
        <v>318</v>
      </c>
      <c r="H373" s="125" t="s">
        <v>284</v>
      </c>
      <c r="I373" s="126">
        <f t="shared" si="579"/>
        <v>0</v>
      </c>
      <c r="J373" s="29">
        <v>0</v>
      </c>
      <c r="K373" s="127">
        <f t="shared" si="592"/>
        <v>0</v>
      </c>
      <c r="L373" s="477">
        <f t="shared" si="593"/>
        <v>0</v>
      </c>
      <c r="M373" s="29">
        <v>0</v>
      </c>
      <c r="N373" s="390">
        <f t="shared" si="580"/>
        <v>0</v>
      </c>
      <c r="O373" s="349">
        <v>0</v>
      </c>
      <c r="P373" s="639">
        <v>0</v>
      </c>
      <c r="Q373" s="129">
        <f t="shared" si="581"/>
        <v>0</v>
      </c>
      <c r="R373" s="130">
        <v>115680</v>
      </c>
      <c r="S373" s="130">
        <v>0</v>
      </c>
      <c r="T373" s="130">
        <v>0</v>
      </c>
      <c r="U373" s="130">
        <f t="shared" si="582"/>
        <v>115680</v>
      </c>
      <c r="V373" s="130">
        <v>0</v>
      </c>
      <c r="W373" s="130">
        <v>0</v>
      </c>
      <c r="X373" s="130">
        <v>0</v>
      </c>
      <c r="Y373" s="130">
        <f t="shared" si="638"/>
        <v>0</v>
      </c>
      <c r="Z373" s="130">
        <f t="shared" si="639"/>
        <v>115680</v>
      </c>
      <c r="AA373" s="131">
        <f t="shared" si="640"/>
        <v>39100</v>
      </c>
      <c r="AB373" s="131">
        <f t="shared" si="641"/>
        <v>2314</v>
      </c>
      <c r="AC373" s="130">
        <v>0</v>
      </c>
      <c r="AD373" s="130">
        <v>0</v>
      </c>
      <c r="AE373" s="130">
        <f t="shared" si="594"/>
        <v>0</v>
      </c>
      <c r="AF373" s="130">
        <f t="shared" si="595"/>
        <v>157094</v>
      </c>
      <c r="AG373" s="132">
        <v>0</v>
      </c>
      <c r="AH373" s="132">
        <v>0</v>
      </c>
      <c r="AI373" s="132">
        <v>0.25</v>
      </c>
      <c r="AJ373" s="132">
        <v>0</v>
      </c>
      <c r="AK373" s="132">
        <v>0</v>
      </c>
      <c r="AL373" s="132">
        <f t="shared" si="596"/>
        <v>0.25</v>
      </c>
      <c r="AM373" s="132">
        <f t="shared" si="642"/>
        <v>0</v>
      </c>
      <c r="AN373" s="403">
        <f t="shared" si="597"/>
        <v>0.25</v>
      </c>
      <c r="AO373" s="128">
        <f t="shared" si="583"/>
        <v>157094</v>
      </c>
      <c r="AP373" s="130">
        <f t="shared" si="584"/>
        <v>115680</v>
      </c>
      <c r="AQ373" s="130">
        <f t="shared" si="585"/>
        <v>0</v>
      </c>
      <c r="AR373" s="130">
        <f t="shared" si="586"/>
        <v>39100</v>
      </c>
      <c r="AS373" s="130">
        <f t="shared" si="587"/>
        <v>2314</v>
      </c>
      <c r="AT373" s="130">
        <f t="shared" si="588"/>
        <v>0</v>
      </c>
      <c r="AU373" s="132">
        <f t="shared" si="589"/>
        <v>0.25</v>
      </c>
      <c r="AV373" s="132">
        <f t="shared" si="590"/>
        <v>0.25</v>
      </c>
      <c r="AW373" s="133">
        <f t="shared" si="591"/>
        <v>0</v>
      </c>
    </row>
    <row r="374" spans="1:49" ht="14.1" customHeight="1" x14ac:dyDescent="0.2">
      <c r="A374" s="124">
        <v>76</v>
      </c>
      <c r="B374" s="121">
        <v>2461</v>
      </c>
      <c r="C374" s="144">
        <v>600079805</v>
      </c>
      <c r="D374" s="121">
        <v>72741724</v>
      </c>
      <c r="E374" s="123" t="s">
        <v>725</v>
      </c>
      <c r="F374" s="124">
        <v>3141</v>
      </c>
      <c r="G374" s="123" t="s">
        <v>321</v>
      </c>
      <c r="H374" s="125" t="s">
        <v>284</v>
      </c>
      <c r="I374" s="126">
        <f t="shared" si="579"/>
        <v>515766</v>
      </c>
      <c r="J374" s="666">
        <v>378218</v>
      </c>
      <c r="K374" s="127">
        <f t="shared" si="592"/>
        <v>127838</v>
      </c>
      <c r="L374" s="477">
        <f t="shared" si="593"/>
        <v>7564</v>
      </c>
      <c r="M374" s="666">
        <v>2146</v>
      </c>
      <c r="N374" s="390">
        <f t="shared" si="580"/>
        <v>1.29</v>
      </c>
      <c r="O374" s="668">
        <v>0</v>
      </c>
      <c r="P374" s="667">
        <v>1.29</v>
      </c>
      <c r="Q374" s="129">
        <f t="shared" si="581"/>
        <v>0</v>
      </c>
      <c r="R374" s="130">
        <v>0</v>
      </c>
      <c r="S374" s="130">
        <v>0</v>
      </c>
      <c r="T374" s="130">
        <v>0</v>
      </c>
      <c r="U374" s="130">
        <f t="shared" si="582"/>
        <v>0</v>
      </c>
      <c r="V374" s="130">
        <v>0</v>
      </c>
      <c r="W374" s="130">
        <v>0</v>
      </c>
      <c r="X374" s="130">
        <v>0</v>
      </c>
      <c r="Y374" s="130">
        <f t="shared" si="638"/>
        <v>0</v>
      </c>
      <c r="Z374" s="130">
        <f t="shared" si="639"/>
        <v>0</v>
      </c>
      <c r="AA374" s="131">
        <f t="shared" si="640"/>
        <v>0</v>
      </c>
      <c r="AB374" s="131">
        <f t="shared" si="641"/>
        <v>0</v>
      </c>
      <c r="AC374" s="130">
        <v>0</v>
      </c>
      <c r="AD374" s="130">
        <v>0</v>
      </c>
      <c r="AE374" s="130">
        <f t="shared" si="594"/>
        <v>0</v>
      </c>
      <c r="AF374" s="130">
        <f t="shared" si="595"/>
        <v>0</v>
      </c>
      <c r="AG374" s="132">
        <v>0</v>
      </c>
      <c r="AH374" s="132">
        <v>0</v>
      </c>
      <c r="AI374" s="132">
        <v>0</v>
      </c>
      <c r="AJ374" s="132">
        <v>0</v>
      </c>
      <c r="AK374" s="132">
        <v>0</v>
      </c>
      <c r="AL374" s="132">
        <f t="shared" si="596"/>
        <v>0</v>
      </c>
      <c r="AM374" s="132">
        <f t="shared" si="642"/>
        <v>0</v>
      </c>
      <c r="AN374" s="403">
        <f t="shared" si="597"/>
        <v>0</v>
      </c>
      <c r="AO374" s="128">
        <f t="shared" si="583"/>
        <v>515766</v>
      </c>
      <c r="AP374" s="130">
        <f t="shared" si="584"/>
        <v>378218</v>
      </c>
      <c r="AQ374" s="130">
        <f t="shared" si="585"/>
        <v>0</v>
      </c>
      <c r="AR374" s="130">
        <f t="shared" si="586"/>
        <v>127838</v>
      </c>
      <c r="AS374" s="130">
        <f t="shared" si="587"/>
        <v>7564</v>
      </c>
      <c r="AT374" s="130">
        <f t="shared" si="588"/>
        <v>2146</v>
      </c>
      <c r="AU374" s="132">
        <f t="shared" si="589"/>
        <v>1.29</v>
      </c>
      <c r="AV374" s="132">
        <f t="shared" si="590"/>
        <v>0</v>
      </c>
      <c r="AW374" s="133">
        <f t="shared" si="591"/>
        <v>1.29</v>
      </c>
    </row>
    <row r="375" spans="1:49" ht="14.1" customHeight="1" x14ac:dyDescent="0.2">
      <c r="A375" s="124">
        <v>76</v>
      </c>
      <c r="B375" s="121">
        <v>2461</v>
      </c>
      <c r="C375" s="144">
        <v>600079805</v>
      </c>
      <c r="D375" s="121">
        <v>72741724</v>
      </c>
      <c r="E375" s="123" t="s">
        <v>725</v>
      </c>
      <c r="F375" s="124">
        <v>3143</v>
      </c>
      <c r="G375" s="145" t="s">
        <v>635</v>
      </c>
      <c r="H375" s="125" t="s">
        <v>283</v>
      </c>
      <c r="I375" s="126">
        <f t="shared" si="579"/>
        <v>571670</v>
      </c>
      <c r="J375" s="631">
        <v>420965</v>
      </c>
      <c r="K375" s="127">
        <f t="shared" si="592"/>
        <v>142286</v>
      </c>
      <c r="L375" s="477">
        <f t="shared" si="593"/>
        <v>8419</v>
      </c>
      <c r="M375" s="478">
        <v>0</v>
      </c>
      <c r="N375" s="390">
        <f t="shared" si="580"/>
        <v>1</v>
      </c>
      <c r="O375" s="644">
        <v>1</v>
      </c>
      <c r="P375" s="639">
        <v>0</v>
      </c>
      <c r="Q375" s="129">
        <f t="shared" si="581"/>
        <v>0</v>
      </c>
      <c r="R375" s="130">
        <v>0</v>
      </c>
      <c r="S375" s="130">
        <v>0</v>
      </c>
      <c r="T375" s="130">
        <v>0</v>
      </c>
      <c r="U375" s="130">
        <f t="shared" si="582"/>
        <v>0</v>
      </c>
      <c r="V375" s="130">
        <v>0</v>
      </c>
      <c r="W375" s="130">
        <v>0</v>
      </c>
      <c r="X375" s="130">
        <v>0</v>
      </c>
      <c r="Y375" s="130">
        <f t="shared" si="638"/>
        <v>0</v>
      </c>
      <c r="Z375" s="130">
        <f t="shared" si="639"/>
        <v>0</v>
      </c>
      <c r="AA375" s="131">
        <f t="shared" si="640"/>
        <v>0</v>
      </c>
      <c r="AB375" s="131">
        <f t="shared" si="641"/>
        <v>0</v>
      </c>
      <c r="AC375" s="130">
        <v>0</v>
      </c>
      <c r="AD375" s="130">
        <v>0</v>
      </c>
      <c r="AE375" s="130">
        <f t="shared" si="594"/>
        <v>0</v>
      </c>
      <c r="AF375" s="130">
        <f t="shared" si="595"/>
        <v>0</v>
      </c>
      <c r="AG375" s="132">
        <v>0</v>
      </c>
      <c r="AH375" s="132">
        <v>0</v>
      </c>
      <c r="AI375" s="132">
        <v>0</v>
      </c>
      <c r="AJ375" s="132">
        <v>0</v>
      </c>
      <c r="AK375" s="132">
        <v>0</v>
      </c>
      <c r="AL375" s="132">
        <f t="shared" si="596"/>
        <v>0</v>
      </c>
      <c r="AM375" s="132">
        <f t="shared" si="642"/>
        <v>0</v>
      </c>
      <c r="AN375" s="403">
        <f t="shared" si="597"/>
        <v>0</v>
      </c>
      <c r="AO375" s="128">
        <f t="shared" si="583"/>
        <v>571670</v>
      </c>
      <c r="AP375" s="130">
        <f t="shared" si="584"/>
        <v>420965</v>
      </c>
      <c r="AQ375" s="130">
        <f t="shared" si="585"/>
        <v>0</v>
      </c>
      <c r="AR375" s="130">
        <f t="shared" si="586"/>
        <v>142286</v>
      </c>
      <c r="AS375" s="130">
        <f t="shared" si="587"/>
        <v>8419</v>
      </c>
      <c r="AT375" s="130">
        <f t="shared" si="588"/>
        <v>0</v>
      </c>
      <c r="AU375" s="132">
        <f t="shared" si="589"/>
        <v>1</v>
      </c>
      <c r="AV375" s="132">
        <f t="shared" si="590"/>
        <v>1</v>
      </c>
      <c r="AW375" s="133">
        <f t="shared" si="591"/>
        <v>0</v>
      </c>
    </row>
    <row r="376" spans="1:49" ht="14.1" customHeight="1" x14ac:dyDescent="0.2">
      <c r="A376" s="124">
        <v>76</v>
      </c>
      <c r="B376" s="121">
        <v>2461</v>
      </c>
      <c r="C376" s="144">
        <v>600079805</v>
      </c>
      <c r="D376" s="121">
        <v>72741724</v>
      </c>
      <c r="E376" s="123" t="s">
        <v>725</v>
      </c>
      <c r="F376" s="124">
        <v>3143</v>
      </c>
      <c r="G376" s="145" t="s">
        <v>636</v>
      </c>
      <c r="H376" s="125" t="s">
        <v>284</v>
      </c>
      <c r="I376" s="126">
        <f t="shared" si="579"/>
        <v>12640</v>
      </c>
      <c r="J376" s="664">
        <v>8910</v>
      </c>
      <c r="K376" s="127">
        <f t="shared" si="592"/>
        <v>3012</v>
      </c>
      <c r="L376" s="477">
        <f t="shared" si="593"/>
        <v>178</v>
      </c>
      <c r="M376" s="664">
        <v>540</v>
      </c>
      <c r="N376" s="390">
        <f t="shared" si="580"/>
        <v>0.04</v>
      </c>
      <c r="O376" s="665">
        <v>0</v>
      </c>
      <c r="P376" s="667">
        <v>0.04</v>
      </c>
      <c r="Q376" s="129">
        <f t="shared" si="581"/>
        <v>0</v>
      </c>
      <c r="R376" s="130">
        <v>0</v>
      </c>
      <c r="S376" s="130">
        <v>0</v>
      </c>
      <c r="T376" s="130">
        <v>0</v>
      </c>
      <c r="U376" s="130">
        <f t="shared" si="582"/>
        <v>0</v>
      </c>
      <c r="V376" s="130">
        <v>0</v>
      </c>
      <c r="W376" s="130">
        <v>0</v>
      </c>
      <c r="X376" s="130">
        <v>0</v>
      </c>
      <c r="Y376" s="130">
        <f t="shared" si="638"/>
        <v>0</v>
      </c>
      <c r="Z376" s="130">
        <f t="shared" si="639"/>
        <v>0</v>
      </c>
      <c r="AA376" s="131">
        <f t="shared" si="640"/>
        <v>0</v>
      </c>
      <c r="AB376" s="131">
        <f t="shared" si="641"/>
        <v>0</v>
      </c>
      <c r="AC376" s="130">
        <v>0</v>
      </c>
      <c r="AD376" s="130">
        <v>0</v>
      </c>
      <c r="AE376" s="130">
        <f t="shared" si="594"/>
        <v>0</v>
      </c>
      <c r="AF376" s="130">
        <f t="shared" si="595"/>
        <v>0</v>
      </c>
      <c r="AG376" s="132">
        <v>0</v>
      </c>
      <c r="AH376" s="132">
        <v>0</v>
      </c>
      <c r="AI376" s="132">
        <v>0</v>
      </c>
      <c r="AJ376" s="132">
        <v>0</v>
      </c>
      <c r="AK376" s="132">
        <v>0</v>
      </c>
      <c r="AL376" s="132">
        <f t="shared" si="596"/>
        <v>0</v>
      </c>
      <c r="AM376" s="132">
        <f t="shared" si="642"/>
        <v>0</v>
      </c>
      <c r="AN376" s="403">
        <f t="shared" si="597"/>
        <v>0</v>
      </c>
      <c r="AO376" s="128">
        <f t="shared" si="583"/>
        <v>12640</v>
      </c>
      <c r="AP376" s="130">
        <f t="shared" si="584"/>
        <v>8910</v>
      </c>
      <c r="AQ376" s="130">
        <f t="shared" si="585"/>
        <v>0</v>
      </c>
      <c r="AR376" s="130">
        <f t="shared" si="586"/>
        <v>3012</v>
      </c>
      <c r="AS376" s="130">
        <f t="shared" si="587"/>
        <v>178</v>
      </c>
      <c r="AT376" s="130">
        <f t="shared" si="588"/>
        <v>540</v>
      </c>
      <c r="AU376" s="132">
        <f t="shared" si="589"/>
        <v>0.04</v>
      </c>
      <c r="AV376" s="132">
        <f t="shared" si="590"/>
        <v>0</v>
      </c>
      <c r="AW376" s="133">
        <f t="shared" si="591"/>
        <v>0.04</v>
      </c>
    </row>
    <row r="377" spans="1:49" ht="14.1" customHeight="1" x14ac:dyDescent="0.2">
      <c r="A377" s="137">
        <v>76</v>
      </c>
      <c r="B377" s="134">
        <v>2461</v>
      </c>
      <c r="C377" s="146">
        <v>600079805</v>
      </c>
      <c r="D377" s="134">
        <v>72741724</v>
      </c>
      <c r="E377" s="136" t="s">
        <v>726</v>
      </c>
      <c r="F377" s="137"/>
      <c r="G377" s="136"/>
      <c r="H377" s="138"/>
      <c r="I377" s="139">
        <f t="shared" ref="I377:P377" si="643">SUM(I371:I376)</f>
        <v>5055676</v>
      </c>
      <c r="J377" s="140">
        <f t="shared" si="643"/>
        <v>3692872</v>
      </c>
      <c r="K377" s="140">
        <f t="shared" si="643"/>
        <v>1248191</v>
      </c>
      <c r="L377" s="140">
        <f t="shared" si="643"/>
        <v>73857</v>
      </c>
      <c r="M377" s="140">
        <f t="shared" si="643"/>
        <v>40756</v>
      </c>
      <c r="N377" s="141">
        <f t="shared" si="643"/>
        <v>8.3875999999999991</v>
      </c>
      <c r="O377" s="141">
        <f t="shared" si="643"/>
        <v>5.5616000000000003</v>
      </c>
      <c r="P377" s="142">
        <f t="shared" si="643"/>
        <v>2.8260000000000001</v>
      </c>
      <c r="Q377" s="342">
        <f t="shared" ref="Q377:AW377" si="644">SUM(Q371:Q376)</f>
        <v>-24000</v>
      </c>
      <c r="R377" s="140">
        <f t="shared" si="644"/>
        <v>115680</v>
      </c>
      <c r="S377" s="140">
        <f t="shared" si="644"/>
        <v>0</v>
      </c>
      <c r="T377" s="140">
        <f t="shared" si="644"/>
        <v>0</v>
      </c>
      <c r="U377" s="140">
        <f t="shared" si="644"/>
        <v>91680</v>
      </c>
      <c r="V377" s="140">
        <f t="shared" si="644"/>
        <v>24000</v>
      </c>
      <c r="W377" s="140">
        <f t="shared" si="644"/>
        <v>0</v>
      </c>
      <c r="X377" s="140">
        <f t="shared" si="644"/>
        <v>0</v>
      </c>
      <c r="Y377" s="140">
        <f t="shared" si="644"/>
        <v>24000</v>
      </c>
      <c r="Z377" s="140">
        <f t="shared" si="644"/>
        <v>115680</v>
      </c>
      <c r="AA377" s="140">
        <f t="shared" si="644"/>
        <v>39100</v>
      </c>
      <c r="AB377" s="140">
        <f t="shared" si="644"/>
        <v>1834</v>
      </c>
      <c r="AC377" s="140">
        <f t="shared" si="644"/>
        <v>0</v>
      </c>
      <c r="AD377" s="140">
        <f t="shared" si="644"/>
        <v>0</v>
      </c>
      <c r="AE377" s="140">
        <f t="shared" si="644"/>
        <v>0</v>
      </c>
      <c r="AF377" s="140">
        <f t="shared" si="644"/>
        <v>156614</v>
      </c>
      <c r="AG377" s="141">
        <f t="shared" si="644"/>
        <v>-0.05</v>
      </c>
      <c r="AH377" s="141">
        <f t="shared" si="644"/>
        <v>0</v>
      </c>
      <c r="AI377" s="141">
        <f t="shared" si="644"/>
        <v>0.25</v>
      </c>
      <c r="AJ377" s="141">
        <f t="shared" si="644"/>
        <v>0</v>
      </c>
      <c r="AK377" s="141">
        <f t="shared" si="644"/>
        <v>0</v>
      </c>
      <c r="AL377" s="141">
        <f t="shared" si="644"/>
        <v>0.2</v>
      </c>
      <c r="AM377" s="141">
        <f t="shared" si="644"/>
        <v>0</v>
      </c>
      <c r="AN377" s="635">
        <f t="shared" si="644"/>
        <v>0.2</v>
      </c>
      <c r="AO377" s="139">
        <f t="shared" si="644"/>
        <v>5212290</v>
      </c>
      <c r="AP377" s="140">
        <f t="shared" si="644"/>
        <v>3784552</v>
      </c>
      <c r="AQ377" s="140">
        <f t="shared" si="644"/>
        <v>24000</v>
      </c>
      <c r="AR377" s="140">
        <f t="shared" si="644"/>
        <v>1287291</v>
      </c>
      <c r="AS377" s="140">
        <f t="shared" si="644"/>
        <v>75691</v>
      </c>
      <c r="AT377" s="140">
        <f t="shared" si="644"/>
        <v>40756</v>
      </c>
      <c r="AU377" s="141">
        <f t="shared" si="644"/>
        <v>8.5875999999999983</v>
      </c>
      <c r="AV377" s="141">
        <f t="shared" si="644"/>
        <v>5.7615999999999996</v>
      </c>
      <c r="AW377" s="142">
        <f t="shared" si="644"/>
        <v>2.8260000000000001</v>
      </c>
    </row>
    <row r="378" spans="1:49" ht="14.1" customHeight="1" x14ac:dyDescent="0.2">
      <c r="A378" s="124">
        <v>77</v>
      </c>
      <c r="B378" s="121">
        <v>2460</v>
      </c>
      <c r="C378" s="144">
        <v>600079783</v>
      </c>
      <c r="D378" s="121">
        <v>72741643</v>
      </c>
      <c r="E378" s="123" t="s">
        <v>727</v>
      </c>
      <c r="F378" s="124">
        <v>3113</v>
      </c>
      <c r="G378" s="123" t="s">
        <v>320</v>
      </c>
      <c r="H378" s="125" t="s">
        <v>283</v>
      </c>
      <c r="I378" s="126">
        <f t="shared" si="579"/>
        <v>40550254</v>
      </c>
      <c r="J378" s="127">
        <v>29153412</v>
      </c>
      <c r="K378" s="127">
        <v>9853854</v>
      </c>
      <c r="L378" s="477">
        <f t="shared" si="593"/>
        <v>583068</v>
      </c>
      <c r="M378" s="127">
        <v>959920</v>
      </c>
      <c r="N378" s="390">
        <f t="shared" si="580"/>
        <v>54.6389</v>
      </c>
      <c r="O378" s="390">
        <v>42.454000000000001</v>
      </c>
      <c r="P378" s="439">
        <v>12.184899999999999</v>
      </c>
      <c r="Q378" s="129">
        <f t="shared" si="581"/>
        <v>0</v>
      </c>
      <c r="R378" s="130">
        <v>0</v>
      </c>
      <c r="S378" s="130">
        <v>0</v>
      </c>
      <c r="T378" s="130">
        <v>0</v>
      </c>
      <c r="U378" s="130">
        <f t="shared" si="582"/>
        <v>0</v>
      </c>
      <c r="V378" s="130">
        <v>0</v>
      </c>
      <c r="W378" s="130">
        <v>0</v>
      </c>
      <c r="X378" s="130">
        <v>0</v>
      </c>
      <c r="Y378" s="130">
        <f t="shared" ref="Y378:Y382" si="645">SUM(V378:X378)</f>
        <v>0</v>
      </c>
      <c r="Z378" s="130">
        <f t="shared" ref="Z378:Z382" si="646">U378+Y378</f>
        <v>0</v>
      </c>
      <c r="AA378" s="131">
        <f t="shared" ref="AA378:AA382" si="647">ROUND((U378+V378+W378)*33.8%,0)</f>
        <v>0</v>
      </c>
      <c r="AB378" s="131">
        <f t="shared" ref="AB378:AB382" si="648">ROUND(U378*2%,0)</f>
        <v>0</v>
      </c>
      <c r="AC378" s="130">
        <v>0</v>
      </c>
      <c r="AD378" s="130">
        <v>0</v>
      </c>
      <c r="AE378" s="130">
        <f t="shared" si="594"/>
        <v>0</v>
      </c>
      <c r="AF378" s="130">
        <f t="shared" si="595"/>
        <v>0</v>
      </c>
      <c r="AG378" s="132">
        <v>0</v>
      </c>
      <c r="AH378" s="132">
        <v>0</v>
      </c>
      <c r="AI378" s="132">
        <v>0</v>
      </c>
      <c r="AJ378" s="132">
        <v>0</v>
      </c>
      <c r="AK378" s="132">
        <v>0</v>
      </c>
      <c r="AL378" s="132">
        <f t="shared" si="596"/>
        <v>0</v>
      </c>
      <c r="AM378" s="132">
        <f>AH378+AK378</f>
        <v>0</v>
      </c>
      <c r="AN378" s="403">
        <f t="shared" si="597"/>
        <v>0</v>
      </c>
      <c r="AO378" s="128">
        <f t="shared" si="583"/>
        <v>40550254</v>
      </c>
      <c r="AP378" s="130">
        <f t="shared" si="584"/>
        <v>29153412</v>
      </c>
      <c r="AQ378" s="130">
        <f t="shared" si="585"/>
        <v>0</v>
      </c>
      <c r="AR378" s="130">
        <f t="shared" si="586"/>
        <v>9853854</v>
      </c>
      <c r="AS378" s="130">
        <f t="shared" si="587"/>
        <v>583068</v>
      </c>
      <c r="AT378" s="130">
        <f t="shared" si="588"/>
        <v>959920</v>
      </c>
      <c r="AU378" s="132">
        <f t="shared" si="589"/>
        <v>54.6389</v>
      </c>
      <c r="AV378" s="132">
        <f t="shared" si="590"/>
        <v>42.454000000000001</v>
      </c>
      <c r="AW378" s="133">
        <f t="shared" si="591"/>
        <v>12.184899999999999</v>
      </c>
    </row>
    <row r="379" spans="1:49" ht="14.1" customHeight="1" x14ac:dyDescent="0.2">
      <c r="A379" s="124">
        <v>77</v>
      </c>
      <c r="B379" s="121">
        <v>2460</v>
      </c>
      <c r="C379" s="144">
        <v>600079783</v>
      </c>
      <c r="D379" s="121">
        <v>72741643</v>
      </c>
      <c r="E379" s="123" t="s">
        <v>727</v>
      </c>
      <c r="F379" s="124">
        <v>3113</v>
      </c>
      <c r="G379" s="98" t="s">
        <v>319</v>
      </c>
      <c r="H379" s="125" t="s">
        <v>283</v>
      </c>
      <c r="I379" s="126">
        <f t="shared" si="579"/>
        <v>248595</v>
      </c>
      <c r="J379" s="631">
        <v>183060</v>
      </c>
      <c r="K379" s="127">
        <f t="shared" si="592"/>
        <v>61874</v>
      </c>
      <c r="L379" s="477">
        <f t="shared" si="593"/>
        <v>3661</v>
      </c>
      <c r="M379" s="478">
        <v>0</v>
      </c>
      <c r="N379" s="390">
        <f t="shared" si="580"/>
        <v>0.5</v>
      </c>
      <c r="O379" s="644">
        <v>0.5</v>
      </c>
      <c r="P379" s="639">
        <v>0</v>
      </c>
      <c r="Q379" s="129">
        <f t="shared" si="581"/>
        <v>0</v>
      </c>
      <c r="R379" s="130">
        <v>0</v>
      </c>
      <c r="S379" s="130">
        <v>0</v>
      </c>
      <c r="T379" s="130">
        <v>0</v>
      </c>
      <c r="U379" s="130">
        <f t="shared" si="582"/>
        <v>0</v>
      </c>
      <c r="V379" s="130">
        <v>0</v>
      </c>
      <c r="W379" s="130">
        <v>0</v>
      </c>
      <c r="X379" s="130">
        <v>0</v>
      </c>
      <c r="Y379" s="130">
        <f t="shared" si="645"/>
        <v>0</v>
      </c>
      <c r="Z379" s="130">
        <f t="shared" si="646"/>
        <v>0</v>
      </c>
      <c r="AA379" s="131">
        <f t="shared" si="647"/>
        <v>0</v>
      </c>
      <c r="AB379" s="131">
        <f t="shared" si="648"/>
        <v>0</v>
      </c>
      <c r="AC379" s="130">
        <v>0</v>
      </c>
      <c r="AD379" s="130">
        <v>0</v>
      </c>
      <c r="AE379" s="130">
        <f t="shared" si="594"/>
        <v>0</v>
      </c>
      <c r="AF379" s="130">
        <f t="shared" si="595"/>
        <v>0</v>
      </c>
      <c r="AG379" s="132">
        <v>0</v>
      </c>
      <c r="AH379" s="132">
        <v>0</v>
      </c>
      <c r="AI379" s="132">
        <v>0</v>
      </c>
      <c r="AJ379" s="132">
        <v>0</v>
      </c>
      <c r="AK379" s="132">
        <v>0</v>
      </c>
      <c r="AL379" s="132">
        <f t="shared" si="596"/>
        <v>0</v>
      </c>
      <c r="AM379" s="132">
        <f>AH379+AK379</f>
        <v>0</v>
      </c>
      <c r="AN379" s="403">
        <f t="shared" si="597"/>
        <v>0</v>
      </c>
      <c r="AO379" s="128">
        <f t="shared" si="583"/>
        <v>248595</v>
      </c>
      <c r="AP379" s="130">
        <f t="shared" si="584"/>
        <v>183060</v>
      </c>
      <c r="AQ379" s="130">
        <f t="shared" si="585"/>
        <v>0</v>
      </c>
      <c r="AR379" s="130">
        <f t="shared" si="586"/>
        <v>61874</v>
      </c>
      <c r="AS379" s="130">
        <f t="shared" si="587"/>
        <v>3661</v>
      </c>
      <c r="AT379" s="130">
        <f t="shared" si="588"/>
        <v>0</v>
      </c>
      <c r="AU379" s="132">
        <f t="shared" si="589"/>
        <v>0.5</v>
      </c>
      <c r="AV379" s="132">
        <f t="shared" si="590"/>
        <v>0.5</v>
      </c>
      <c r="AW379" s="133">
        <f t="shared" si="591"/>
        <v>0</v>
      </c>
    </row>
    <row r="380" spans="1:49" ht="14.1" customHeight="1" x14ac:dyDescent="0.2">
      <c r="A380" s="124">
        <v>77</v>
      </c>
      <c r="B380" s="121">
        <v>2460</v>
      </c>
      <c r="C380" s="144">
        <v>600079783</v>
      </c>
      <c r="D380" s="121">
        <v>72741643</v>
      </c>
      <c r="E380" s="123" t="s">
        <v>727</v>
      </c>
      <c r="F380" s="124">
        <v>3113</v>
      </c>
      <c r="G380" s="143" t="s">
        <v>318</v>
      </c>
      <c r="H380" s="125" t="s">
        <v>284</v>
      </c>
      <c r="I380" s="126">
        <f t="shared" si="579"/>
        <v>0</v>
      </c>
      <c r="J380" s="29">
        <v>0</v>
      </c>
      <c r="K380" s="127">
        <f t="shared" si="592"/>
        <v>0</v>
      </c>
      <c r="L380" s="477">
        <f t="shared" si="593"/>
        <v>0</v>
      </c>
      <c r="M380" s="29">
        <v>0</v>
      </c>
      <c r="N380" s="390">
        <f t="shared" si="580"/>
        <v>0</v>
      </c>
      <c r="O380" s="349">
        <v>0</v>
      </c>
      <c r="P380" s="639">
        <v>0</v>
      </c>
      <c r="Q380" s="129">
        <f t="shared" si="581"/>
        <v>0</v>
      </c>
      <c r="R380" s="130">
        <f>525599+17352</f>
        <v>542951</v>
      </c>
      <c r="S380" s="130">
        <v>0</v>
      </c>
      <c r="T380" s="130">
        <v>0</v>
      </c>
      <c r="U380" s="130">
        <f t="shared" si="582"/>
        <v>542951</v>
      </c>
      <c r="V380" s="130">
        <v>0</v>
      </c>
      <c r="W380" s="130">
        <v>0</v>
      </c>
      <c r="X380" s="130">
        <v>0</v>
      </c>
      <c r="Y380" s="130">
        <f t="shared" si="645"/>
        <v>0</v>
      </c>
      <c r="Z380" s="130">
        <f t="shared" si="646"/>
        <v>542951</v>
      </c>
      <c r="AA380" s="131">
        <f t="shared" si="647"/>
        <v>183517</v>
      </c>
      <c r="AB380" s="131">
        <f t="shared" si="648"/>
        <v>10859</v>
      </c>
      <c r="AC380" s="130">
        <v>0</v>
      </c>
      <c r="AD380" s="130">
        <v>0</v>
      </c>
      <c r="AE380" s="130">
        <f t="shared" si="594"/>
        <v>0</v>
      </c>
      <c r="AF380" s="130">
        <f t="shared" si="595"/>
        <v>737327</v>
      </c>
      <c r="AG380" s="132">
        <v>0</v>
      </c>
      <c r="AH380" s="132">
        <v>0</v>
      </c>
      <c r="AI380" s="132">
        <f>1.45+0.04</f>
        <v>1.49</v>
      </c>
      <c r="AJ380" s="132">
        <v>0</v>
      </c>
      <c r="AK380" s="132">
        <v>0</v>
      </c>
      <c r="AL380" s="132">
        <f t="shared" si="596"/>
        <v>1.49</v>
      </c>
      <c r="AM380" s="132">
        <f>AH380+AK380</f>
        <v>0</v>
      </c>
      <c r="AN380" s="403">
        <f t="shared" si="597"/>
        <v>1.49</v>
      </c>
      <c r="AO380" s="128">
        <f t="shared" si="583"/>
        <v>737327</v>
      </c>
      <c r="AP380" s="130">
        <f t="shared" si="584"/>
        <v>542951</v>
      </c>
      <c r="AQ380" s="130">
        <f t="shared" si="585"/>
        <v>0</v>
      </c>
      <c r="AR380" s="130">
        <f t="shared" si="586"/>
        <v>183517</v>
      </c>
      <c r="AS380" s="130">
        <f t="shared" si="587"/>
        <v>10859</v>
      </c>
      <c r="AT380" s="130">
        <f t="shared" si="588"/>
        <v>0</v>
      </c>
      <c r="AU380" s="132">
        <f t="shared" si="589"/>
        <v>1.49</v>
      </c>
      <c r="AV380" s="132">
        <f t="shared" si="590"/>
        <v>1.49</v>
      </c>
      <c r="AW380" s="133">
        <f t="shared" si="591"/>
        <v>0</v>
      </c>
    </row>
    <row r="381" spans="1:49" ht="14.1" customHeight="1" x14ac:dyDescent="0.2">
      <c r="A381" s="124">
        <v>77</v>
      </c>
      <c r="B381" s="121">
        <v>2460</v>
      </c>
      <c r="C381" s="144">
        <v>600079783</v>
      </c>
      <c r="D381" s="121">
        <v>72741643</v>
      </c>
      <c r="E381" s="123" t="s">
        <v>727</v>
      </c>
      <c r="F381" s="124">
        <v>3143</v>
      </c>
      <c r="G381" s="145" t="s">
        <v>635</v>
      </c>
      <c r="H381" s="125" t="s">
        <v>283</v>
      </c>
      <c r="I381" s="126">
        <f t="shared" si="579"/>
        <v>2840395</v>
      </c>
      <c r="J381" s="631">
        <v>2091602</v>
      </c>
      <c r="K381" s="127">
        <f t="shared" si="592"/>
        <v>706961</v>
      </c>
      <c r="L381" s="477">
        <f t="shared" si="593"/>
        <v>41832</v>
      </c>
      <c r="M381" s="478">
        <v>0</v>
      </c>
      <c r="N381" s="390">
        <f t="shared" si="580"/>
        <v>4.3213999999999997</v>
      </c>
      <c r="O381" s="644">
        <v>4.3213999999999997</v>
      </c>
      <c r="P381" s="639">
        <v>0</v>
      </c>
      <c r="Q381" s="129">
        <f t="shared" si="581"/>
        <v>0</v>
      </c>
      <c r="R381" s="130">
        <v>0</v>
      </c>
      <c r="S381" s="130">
        <v>0</v>
      </c>
      <c r="T381" s="130">
        <v>0</v>
      </c>
      <c r="U381" s="130">
        <f t="shared" si="582"/>
        <v>0</v>
      </c>
      <c r="V381" s="130">
        <v>0</v>
      </c>
      <c r="W381" s="130">
        <v>0</v>
      </c>
      <c r="X381" s="130">
        <v>0</v>
      </c>
      <c r="Y381" s="130">
        <f t="shared" si="645"/>
        <v>0</v>
      </c>
      <c r="Z381" s="130">
        <f t="shared" si="646"/>
        <v>0</v>
      </c>
      <c r="AA381" s="131">
        <f t="shared" si="647"/>
        <v>0</v>
      </c>
      <c r="AB381" s="131">
        <f t="shared" si="648"/>
        <v>0</v>
      </c>
      <c r="AC381" s="130">
        <v>0</v>
      </c>
      <c r="AD381" s="130">
        <v>0</v>
      </c>
      <c r="AE381" s="130">
        <f t="shared" si="594"/>
        <v>0</v>
      </c>
      <c r="AF381" s="130">
        <f t="shared" si="595"/>
        <v>0</v>
      </c>
      <c r="AG381" s="132">
        <v>0</v>
      </c>
      <c r="AH381" s="132">
        <v>0</v>
      </c>
      <c r="AI381" s="132">
        <v>0</v>
      </c>
      <c r="AJ381" s="132">
        <v>0</v>
      </c>
      <c r="AK381" s="132">
        <v>0</v>
      </c>
      <c r="AL381" s="132">
        <f t="shared" si="596"/>
        <v>0</v>
      </c>
      <c r="AM381" s="132">
        <f>AH381+AK381</f>
        <v>0</v>
      </c>
      <c r="AN381" s="403">
        <f t="shared" si="597"/>
        <v>0</v>
      </c>
      <c r="AO381" s="128">
        <f t="shared" si="583"/>
        <v>2840395</v>
      </c>
      <c r="AP381" s="130">
        <f t="shared" si="584"/>
        <v>2091602</v>
      </c>
      <c r="AQ381" s="130">
        <f t="shared" si="585"/>
        <v>0</v>
      </c>
      <c r="AR381" s="130">
        <f t="shared" si="586"/>
        <v>706961</v>
      </c>
      <c r="AS381" s="130">
        <f t="shared" si="587"/>
        <v>41832</v>
      </c>
      <c r="AT381" s="130">
        <f t="shared" si="588"/>
        <v>0</v>
      </c>
      <c r="AU381" s="132">
        <f t="shared" si="589"/>
        <v>4.3213999999999997</v>
      </c>
      <c r="AV381" s="132">
        <f t="shared" si="590"/>
        <v>4.3213999999999997</v>
      </c>
      <c r="AW381" s="133">
        <f t="shared" si="591"/>
        <v>0</v>
      </c>
    </row>
    <row r="382" spans="1:49" ht="14.1" customHeight="1" x14ac:dyDescent="0.2">
      <c r="A382" s="124">
        <v>77</v>
      </c>
      <c r="B382" s="121">
        <v>2460</v>
      </c>
      <c r="C382" s="144">
        <v>600079783</v>
      </c>
      <c r="D382" s="121">
        <v>72741643</v>
      </c>
      <c r="E382" s="123" t="s">
        <v>727</v>
      </c>
      <c r="F382" s="124">
        <v>3143</v>
      </c>
      <c r="G382" s="145" t="s">
        <v>636</v>
      </c>
      <c r="H382" s="125" t="s">
        <v>284</v>
      </c>
      <c r="I382" s="126">
        <f t="shared" si="579"/>
        <v>94097</v>
      </c>
      <c r="J382" s="664">
        <v>66330</v>
      </c>
      <c r="K382" s="127">
        <f t="shared" si="592"/>
        <v>22420</v>
      </c>
      <c r="L382" s="477">
        <f t="shared" si="593"/>
        <v>1327</v>
      </c>
      <c r="M382" s="664">
        <v>4020</v>
      </c>
      <c r="N382" s="390">
        <f t="shared" si="580"/>
        <v>0.28000000000000003</v>
      </c>
      <c r="O382" s="665">
        <v>0</v>
      </c>
      <c r="P382" s="667">
        <v>0.28000000000000003</v>
      </c>
      <c r="Q382" s="129">
        <f t="shared" si="581"/>
        <v>0</v>
      </c>
      <c r="R382" s="130">
        <v>0</v>
      </c>
      <c r="S382" s="130">
        <v>0</v>
      </c>
      <c r="T382" s="130">
        <v>0</v>
      </c>
      <c r="U382" s="130">
        <f t="shared" si="582"/>
        <v>0</v>
      </c>
      <c r="V382" s="130">
        <v>0</v>
      </c>
      <c r="W382" s="130">
        <v>0</v>
      </c>
      <c r="X382" s="130">
        <v>0</v>
      </c>
      <c r="Y382" s="130">
        <f t="shared" si="645"/>
        <v>0</v>
      </c>
      <c r="Z382" s="130">
        <f t="shared" si="646"/>
        <v>0</v>
      </c>
      <c r="AA382" s="131">
        <f t="shared" si="647"/>
        <v>0</v>
      </c>
      <c r="AB382" s="131">
        <f t="shared" si="648"/>
        <v>0</v>
      </c>
      <c r="AC382" s="130">
        <v>0</v>
      </c>
      <c r="AD382" s="130">
        <v>0</v>
      </c>
      <c r="AE382" s="130">
        <f t="shared" si="594"/>
        <v>0</v>
      </c>
      <c r="AF382" s="130">
        <f t="shared" si="595"/>
        <v>0</v>
      </c>
      <c r="AG382" s="132">
        <v>0</v>
      </c>
      <c r="AH382" s="132">
        <v>0</v>
      </c>
      <c r="AI382" s="132">
        <v>0</v>
      </c>
      <c r="AJ382" s="132">
        <v>0</v>
      </c>
      <c r="AK382" s="132">
        <v>0</v>
      </c>
      <c r="AL382" s="132">
        <f t="shared" si="596"/>
        <v>0</v>
      </c>
      <c r="AM382" s="132">
        <f>AH382+AK382</f>
        <v>0</v>
      </c>
      <c r="AN382" s="403">
        <f t="shared" si="597"/>
        <v>0</v>
      </c>
      <c r="AO382" s="128">
        <f t="shared" si="583"/>
        <v>94097</v>
      </c>
      <c r="AP382" s="130">
        <f t="shared" si="584"/>
        <v>66330</v>
      </c>
      <c r="AQ382" s="130">
        <f t="shared" si="585"/>
        <v>0</v>
      </c>
      <c r="AR382" s="130">
        <f t="shared" si="586"/>
        <v>22420</v>
      </c>
      <c r="AS382" s="130">
        <f t="shared" si="587"/>
        <v>1327</v>
      </c>
      <c r="AT382" s="130">
        <f t="shared" si="588"/>
        <v>4020</v>
      </c>
      <c r="AU382" s="132">
        <f t="shared" si="589"/>
        <v>0.28000000000000003</v>
      </c>
      <c r="AV382" s="132">
        <f t="shared" si="590"/>
        <v>0</v>
      </c>
      <c r="AW382" s="133">
        <f t="shared" si="591"/>
        <v>0.28000000000000003</v>
      </c>
    </row>
    <row r="383" spans="1:49" ht="14.1" customHeight="1" x14ac:dyDescent="0.2">
      <c r="A383" s="137">
        <v>77</v>
      </c>
      <c r="B383" s="134">
        <v>2460</v>
      </c>
      <c r="C383" s="146">
        <v>600079783</v>
      </c>
      <c r="D383" s="134">
        <v>72741643</v>
      </c>
      <c r="E383" s="136" t="s">
        <v>728</v>
      </c>
      <c r="F383" s="137"/>
      <c r="G383" s="136"/>
      <c r="H383" s="138"/>
      <c r="I383" s="139">
        <f t="shared" ref="I383:P383" si="649">SUM(I378:I382)</f>
        <v>43733341</v>
      </c>
      <c r="J383" s="140">
        <f t="shared" si="649"/>
        <v>31494404</v>
      </c>
      <c r="K383" s="140">
        <f t="shared" si="649"/>
        <v>10645109</v>
      </c>
      <c r="L383" s="140">
        <f t="shared" si="649"/>
        <v>629888</v>
      </c>
      <c r="M383" s="140">
        <f t="shared" si="649"/>
        <v>963940</v>
      </c>
      <c r="N383" s="141">
        <f t="shared" si="649"/>
        <v>59.740299999999998</v>
      </c>
      <c r="O383" s="141">
        <f t="shared" si="649"/>
        <v>47.275399999999998</v>
      </c>
      <c r="P383" s="142">
        <f t="shared" si="649"/>
        <v>12.464899999999998</v>
      </c>
      <c r="Q383" s="342">
        <f t="shared" ref="Q383:AW383" si="650">SUM(Q378:Q382)</f>
        <v>0</v>
      </c>
      <c r="R383" s="140">
        <f t="shared" si="650"/>
        <v>542951</v>
      </c>
      <c r="S383" s="140">
        <f t="shared" si="650"/>
        <v>0</v>
      </c>
      <c r="T383" s="140">
        <f t="shared" si="650"/>
        <v>0</v>
      </c>
      <c r="U383" s="140">
        <f t="shared" si="650"/>
        <v>542951</v>
      </c>
      <c r="V383" s="140">
        <f t="shared" si="650"/>
        <v>0</v>
      </c>
      <c r="W383" s="140">
        <f t="shared" si="650"/>
        <v>0</v>
      </c>
      <c r="X383" s="140">
        <f t="shared" si="650"/>
        <v>0</v>
      </c>
      <c r="Y383" s="140">
        <f t="shared" si="650"/>
        <v>0</v>
      </c>
      <c r="Z383" s="140">
        <f t="shared" si="650"/>
        <v>542951</v>
      </c>
      <c r="AA383" s="140">
        <f t="shared" si="650"/>
        <v>183517</v>
      </c>
      <c r="AB383" s="140">
        <f t="shared" si="650"/>
        <v>10859</v>
      </c>
      <c r="AC383" s="140">
        <f t="shared" si="650"/>
        <v>0</v>
      </c>
      <c r="AD383" s="140">
        <f t="shared" si="650"/>
        <v>0</v>
      </c>
      <c r="AE383" s="140">
        <f t="shared" si="650"/>
        <v>0</v>
      </c>
      <c r="AF383" s="140">
        <f t="shared" si="650"/>
        <v>737327</v>
      </c>
      <c r="AG383" s="141">
        <f t="shared" si="650"/>
        <v>0</v>
      </c>
      <c r="AH383" s="141">
        <f t="shared" si="650"/>
        <v>0</v>
      </c>
      <c r="AI383" s="141">
        <f t="shared" si="650"/>
        <v>1.49</v>
      </c>
      <c r="AJ383" s="141">
        <f t="shared" si="650"/>
        <v>0</v>
      </c>
      <c r="AK383" s="141">
        <f t="shared" si="650"/>
        <v>0</v>
      </c>
      <c r="AL383" s="141">
        <f t="shared" si="650"/>
        <v>1.49</v>
      </c>
      <c r="AM383" s="141">
        <f t="shared" si="650"/>
        <v>0</v>
      </c>
      <c r="AN383" s="635">
        <f t="shared" si="650"/>
        <v>1.49</v>
      </c>
      <c r="AO383" s="139">
        <f t="shared" si="650"/>
        <v>44470668</v>
      </c>
      <c r="AP383" s="140">
        <f t="shared" si="650"/>
        <v>32037355</v>
      </c>
      <c r="AQ383" s="140">
        <f t="shared" si="650"/>
        <v>0</v>
      </c>
      <c r="AR383" s="140">
        <f t="shared" si="650"/>
        <v>10828626</v>
      </c>
      <c r="AS383" s="140">
        <f t="shared" si="650"/>
        <v>640747</v>
      </c>
      <c r="AT383" s="140">
        <f t="shared" si="650"/>
        <v>963940</v>
      </c>
      <c r="AU383" s="141">
        <f t="shared" si="650"/>
        <v>61.2303</v>
      </c>
      <c r="AV383" s="141">
        <f t="shared" si="650"/>
        <v>48.7654</v>
      </c>
      <c r="AW383" s="142">
        <f t="shared" si="650"/>
        <v>12.464899999999998</v>
      </c>
    </row>
    <row r="384" spans="1:49" ht="14.1" customHeight="1" x14ac:dyDescent="0.2">
      <c r="A384" s="124">
        <v>78</v>
      </c>
      <c r="B384" s="121">
        <v>2324</v>
      </c>
      <c r="C384" s="122">
        <v>600074030</v>
      </c>
      <c r="D384" s="121">
        <v>71013083</v>
      </c>
      <c r="E384" s="123" t="s">
        <v>729</v>
      </c>
      <c r="F384" s="124">
        <v>3111</v>
      </c>
      <c r="G384" s="123" t="s">
        <v>317</v>
      </c>
      <c r="H384" s="125" t="s">
        <v>283</v>
      </c>
      <c r="I384" s="126">
        <f t="shared" si="579"/>
        <v>11295585</v>
      </c>
      <c r="J384" s="127">
        <v>8267773</v>
      </c>
      <c r="K384" s="127">
        <f t="shared" si="592"/>
        <v>2794507</v>
      </c>
      <c r="L384" s="477">
        <f t="shared" si="593"/>
        <v>165355</v>
      </c>
      <c r="M384" s="127">
        <v>67950</v>
      </c>
      <c r="N384" s="390">
        <f t="shared" si="580"/>
        <v>19.234999999999999</v>
      </c>
      <c r="O384" s="390">
        <v>14</v>
      </c>
      <c r="P384" s="439">
        <v>5.2349999999999994</v>
      </c>
      <c r="Q384" s="129">
        <f t="shared" si="581"/>
        <v>-18800</v>
      </c>
      <c r="R384" s="130">
        <v>0</v>
      </c>
      <c r="S384" s="130">
        <v>0</v>
      </c>
      <c r="T384" s="130">
        <v>0</v>
      </c>
      <c r="U384" s="130">
        <f t="shared" si="582"/>
        <v>-18800</v>
      </c>
      <c r="V384" s="130">
        <v>18800</v>
      </c>
      <c r="W384" s="130">
        <v>0</v>
      </c>
      <c r="X384" s="130">
        <v>0</v>
      </c>
      <c r="Y384" s="130">
        <f t="shared" ref="Y384:Y386" si="651">SUM(V384:X384)</f>
        <v>18800</v>
      </c>
      <c r="Z384" s="130">
        <f t="shared" ref="Z384:Z386" si="652">U384+Y384</f>
        <v>0</v>
      </c>
      <c r="AA384" s="131">
        <f t="shared" ref="AA384:AA386" si="653">ROUND((U384+V384+W384)*33.8%,0)</f>
        <v>0</v>
      </c>
      <c r="AB384" s="131">
        <f t="shared" ref="AB384:AB386" si="654">ROUND(U384*2%,0)</f>
        <v>-376</v>
      </c>
      <c r="AC384" s="130">
        <v>0</v>
      </c>
      <c r="AD384" s="130">
        <v>0</v>
      </c>
      <c r="AE384" s="130">
        <f t="shared" si="594"/>
        <v>0</v>
      </c>
      <c r="AF384" s="130">
        <f t="shared" si="595"/>
        <v>-376</v>
      </c>
      <c r="AG384" s="132">
        <v>0</v>
      </c>
      <c r="AH384" s="132">
        <v>0</v>
      </c>
      <c r="AI384" s="132">
        <v>0</v>
      </c>
      <c r="AJ384" s="132">
        <v>0</v>
      </c>
      <c r="AK384" s="132">
        <v>0</v>
      </c>
      <c r="AL384" s="132">
        <f t="shared" si="596"/>
        <v>0</v>
      </c>
      <c r="AM384" s="132">
        <f>AH384+AK384</f>
        <v>0</v>
      </c>
      <c r="AN384" s="403">
        <f t="shared" si="597"/>
        <v>0</v>
      </c>
      <c r="AO384" s="128">
        <f t="shared" si="583"/>
        <v>11295209</v>
      </c>
      <c r="AP384" s="130">
        <f t="shared" si="584"/>
        <v>8248973</v>
      </c>
      <c r="AQ384" s="130">
        <f t="shared" si="585"/>
        <v>18800</v>
      </c>
      <c r="AR384" s="130">
        <f t="shared" si="586"/>
        <v>2794507</v>
      </c>
      <c r="AS384" s="130">
        <f t="shared" si="587"/>
        <v>164979</v>
      </c>
      <c r="AT384" s="130">
        <f t="shared" si="588"/>
        <v>67950</v>
      </c>
      <c r="AU384" s="132">
        <f t="shared" si="589"/>
        <v>19.234999999999999</v>
      </c>
      <c r="AV384" s="132">
        <f t="shared" si="590"/>
        <v>14</v>
      </c>
      <c r="AW384" s="133">
        <f t="shared" si="591"/>
        <v>5.2349999999999994</v>
      </c>
    </row>
    <row r="385" spans="1:49" ht="14.1" customHeight="1" x14ac:dyDescent="0.2">
      <c r="A385" s="124">
        <v>78</v>
      </c>
      <c r="B385" s="121">
        <v>2324</v>
      </c>
      <c r="C385" s="122">
        <v>600074030</v>
      </c>
      <c r="D385" s="121">
        <v>71013083</v>
      </c>
      <c r="E385" s="123" t="s">
        <v>729</v>
      </c>
      <c r="F385" s="124">
        <v>3111</v>
      </c>
      <c r="G385" s="143" t="s">
        <v>318</v>
      </c>
      <c r="H385" s="125" t="s">
        <v>284</v>
      </c>
      <c r="I385" s="126">
        <f t="shared" si="579"/>
        <v>0</v>
      </c>
      <c r="J385" s="29">
        <v>0</v>
      </c>
      <c r="K385" s="127">
        <f t="shared" si="592"/>
        <v>0</v>
      </c>
      <c r="L385" s="477">
        <f t="shared" si="593"/>
        <v>0</v>
      </c>
      <c r="M385" s="29">
        <v>0</v>
      </c>
      <c r="N385" s="390">
        <f t="shared" si="580"/>
        <v>0</v>
      </c>
      <c r="O385" s="349">
        <v>0</v>
      </c>
      <c r="P385" s="639">
        <v>0</v>
      </c>
      <c r="Q385" s="129">
        <f t="shared" si="581"/>
        <v>0</v>
      </c>
      <c r="R385" s="130">
        <v>779498</v>
      </c>
      <c r="S385" s="130">
        <v>0</v>
      </c>
      <c r="T385" s="130">
        <v>0</v>
      </c>
      <c r="U385" s="130">
        <f t="shared" si="582"/>
        <v>779498</v>
      </c>
      <c r="V385" s="130">
        <v>0</v>
      </c>
      <c r="W385" s="130">
        <v>0</v>
      </c>
      <c r="X385" s="130">
        <v>0</v>
      </c>
      <c r="Y385" s="130">
        <f t="shared" si="651"/>
        <v>0</v>
      </c>
      <c r="Z385" s="130">
        <f t="shared" si="652"/>
        <v>779498</v>
      </c>
      <c r="AA385" s="131">
        <f t="shared" si="653"/>
        <v>263470</v>
      </c>
      <c r="AB385" s="131">
        <f t="shared" si="654"/>
        <v>15590</v>
      </c>
      <c r="AC385" s="130">
        <v>500</v>
      </c>
      <c r="AD385" s="130">
        <v>0</v>
      </c>
      <c r="AE385" s="130">
        <f t="shared" si="594"/>
        <v>500</v>
      </c>
      <c r="AF385" s="130">
        <f t="shared" si="595"/>
        <v>1059058</v>
      </c>
      <c r="AG385" s="132">
        <v>0</v>
      </c>
      <c r="AH385" s="132">
        <v>0</v>
      </c>
      <c r="AI385" s="132">
        <v>2.25</v>
      </c>
      <c r="AJ385" s="132">
        <v>0</v>
      </c>
      <c r="AK385" s="132">
        <v>0</v>
      </c>
      <c r="AL385" s="132">
        <f t="shared" si="596"/>
        <v>2.25</v>
      </c>
      <c r="AM385" s="132">
        <f>AH385+AK385</f>
        <v>0</v>
      </c>
      <c r="AN385" s="403">
        <f t="shared" si="597"/>
        <v>2.25</v>
      </c>
      <c r="AO385" s="128">
        <f t="shared" si="583"/>
        <v>1059058</v>
      </c>
      <c r="AP385" s="130">
        <f t="shared" si="584"/>
        <v>779498</v>
      </c>
      <c r="AQ385" s="130">
        <f t="shared" si="585"/>
        <v>0</v>
      </c>
      <c r="AR385" s="130">
        <f t="shared" si="586"/>
        <v>263470</v>
      </c>
      <c r="AS385" s="130">
        <f t="shared" si="587"/>
        <v>15590</v>
      </c>
      <c r="AT385" s="130">
        <f t="shared" si="588"/>
        <v>500</v>
      </c>
      <c r="AU385" s="132">
        <f t="shared" si="589"/>
        <v>2.25</v>
      </c>
      <c r="AV385" s="132">
        <f t="shared" si="590"/>
        <v>2.25</v>
      </c>
      <c r="AW385" s="133">
        <f t="shared" si="591"/>
        <v>0</v>
      </c>
    </row>
    <row r="386" spans="1:49" ht="14.1" customHeight="1" x14ac:dyDescent="0.2">
      <c r="A386" s="124">
        <v>78</v>
      </c>
      <c r="B386" s="121">
        <v>2324</v>
      </c>
      <c r="C386" s="122">
        <v>600074030</v>
      </c>
      <c r="D386" s="121">
        <v>71013083</v>
      </c>
      <c r="E386" s="123" t="s">
        <v>729</v>
      </c>
      <c r="F386" s="124">
        <v>3141</v>
      </c>
      <c r="G386" s="123" t="s">
        <v>321</v>
      </c>
      <c r="H386" s="125" t="s">
        <v>284</v>
      </c>
      <c r="I386" s="126">
        <f t="shared" si="579"/>
        <v>1094905</v>
      </c>
      <c r="J386" s="666">
        <v>801183</v>
      </c>
      <c r="K386" s="127">
        <f t="shared" si="592"/>
        <v>270800</v>
      </c>
      <c r="L386" s="477">
        <f t="shared" si="593"/>
        <v>16024</v>
      </c>
      <c r="M386" s="666">
        <v>6898</v>
      </c>
      <c r="N386" s="390">
        <f t="shared" si="580"/>
        <v>2.73</v>
      </c>
      <c r="O386" s="668">
        <v>0</v>
      </c>
      <c r="P386" s="674">
        <v>2.73</v>
      </c>
      <c r="Q386" s="129">
        <f t="shared" si="581"/>
        <v>0</v>
      </c>
      <c r="R386" s="130">
        <v>0</v>
      </c>
      <c r="S386" s="130">
        <v>0</v>
      </c>
      <c r="T386" s="130">
        <v>0</v>
      </c>
      <c r="U386" s="130">
        <f t="shared" si="582"/>
        <v>0</v>
      </c>
      <c r="V386" s="130">
        <v>0</v>
      </c>
      <c r="W386" s="130">
        <v>0</v>
      </c>
      <c r="X386" s="130">
        <v>0</v>
      </c>
      <c r="Y386" s="130">
        <f t="shared" si="651"/>
        <v>0</v>
      </c>
      <c r="Z386" s="130">
        <f t="shared" si="652"/>
        <v>0</v>
      </c>
      <c r="AA386" s="131">
        <f t="shared" si="653"/>
        <v>0</v>
      </c>
      <c r="AB386" s="131">
        <f t="shared" si="654"/>
        <v>0</v>
      </c>
      <c r="AC386" s="130">
        <v>0</v>
      </c>
      <c r="AD386" s="130">
        <v>0</v>
      </c>
      <c r="AE386" s="130">
        <f t="shared" si="594"/>
        <v>0</v>
      </c>
      <c r="AF386" s="130">
        <f t="shared" si="595"/>
        <v>0</v>
      </c>
      <c r="AG386" s="132">
        <v>0</v>
      </c>
      <c r="AH386" s="132">
        <v>0</v>
      </c>
      <c r="AI386" s="132">
        <v>0</v>
      </c>
      <c r="AJ386" s="132">
        <v>0</v>
      </c>
      <c r="AK386" s="132">
        <v>0</v>
      </c>
      <c r="AL386" s="132">
        <f t="shared" si="596"/>
        <v>0</v>
      </c>
      <c r="AM386" s="132">
        <f>AH386+AK386</f>
        <v>0</v>
      </c>
      <c r="AN386" s="403">
        <f t="shared" si="597"/>
        <v>0</v>
      </c>
      <c r="AO386" s="128">
        <f t="shared" si="583"/>
        <v>1094905</v>
      </c>
      <c r="AP386" s="130">
        <f t="shared" si="584"/>
        <v>801183</v>
      </c>
      <c r="AQ386" s="130">
        <f t="shared" si="585"/>
        <v>0</v>
      </c>
      <c r="AR386" s="130">
        <f t="shared" si="586"/>
        <v>270800</v>
      </c>
      <c r="AS386" s="130">
        <f t="shared" si="587"/>
        <v>16024</v>
      </c>
      <c r="AT386" s="130">
        <f t="shared" si="588"/>
        <v>6898</v>
      </c>
      <c r="AU386" s="132">
        <f t="shared" si="589"/>
        <v>2.73</v>
      </c>
      <c r="AV386" s="132">
        <f t="shared" si="590"/>
        <v>0</v>
      </c>
      <c r="AW386" s="133">
        <f t="shared" si="591"/>
        <v>2.73</v>
      </c>
    </row>
    <row r="387" spans="1:49" ht="14.1" customHeight="1" x14ac:dyDescent="0.2">
      <c r="A387" s="137">
        <v>78</v>
      </c>
      <c r="B387" s="134">
        <v>2324</v>
      </c>
      <c r="C387" s="135">
        <v>600074030</v>
      </c>
      <c r="D387" s="134">
        <v>71013083</v>
      </c>
      <c r="E387" s="136" t="s">
        <v>730</v>
      </c>
      <c r="F387" s="137"/>
      <c r="G387" s="136"/>
      <c r="H387" s="138"/>
      <c r="I387" s="139">
        <f t="shared" ref="I387:P387" si="655">SUM(I384:I386)</f>
        <v>12390490</v>
      </c>
      <c r="J387" s="140">
        <f t="shared" si="655"/>
        <v>9068956</v>
      </c>
      <c r="K387" s="140">
        <f t="shared" si="655"/>
        <v>3065307</v>
      </c>
      <c r="L387" s="140">
        <f t="shared" si="655"/>
        <v>181379</v>
      </c>
      <c r="M387" s="140">
        <f t="shared" si="655"/>
        <v>74848</v>
      </c>
      <c r="N387" s="141">
        <f t="shared" si="655"/>
        <v>21.965</v>
      </c>
      <c r="O387" s="141">
        <f t="shared" si="655"/>
        <v>14</v>
      </c>
      <c r="P387" s="142">
        <f t="shared" si="655"/>
        <v>7.9649999999999999</v>
      </c>
      <c r="Q387" s="342">
        <f t="shared" ref="Q387:AW387" si="656">SUM(Q384:Q386)</f>
        <v>-18800</v>
      </c>
      <c r="R387" s="140">
        <f t="shared" si="656"/>
        <v>779498</v>
      </c>
      <c r="S387" s="140">
        <f t="shared" si="656"/>
        <v>0</v>
      </c>
      <c r="T387" s="140">
        <f t="shared" si="656"/>
        <v>0</v>
      </c>
      <c r="U387" s="140">
        <f t="shared" si="656"/>
        <v>760698</v>
      </c>
      <c r="V387" s="140">
        <f t="shared" si="656"/>
        <v>18800</v>
      </c>
      <c r="W387" s="140">
        <f t="shared" si="656"/>
        <v>0</v>
      </c>
      <c r="X387" s="140">
        <f t="shared" si="656"/>
        <v>0</v>
      </c>
      <c r="Y387" s="140">
        <f t="shared" si="656"/>
        <v>18800</v>
      </c>
      <c r="Z387" s="140">
        <f t="shared" si="656"/>
        <v>779498</v>
      </c>
      <c r="AA387" s="140">
        <f t="shared" si="656"/>
        <v>263470</v>
      </c>
      <c r="AB387" s="140">
        <f t="shared" si="656"/>
        <v>15214</v>
      </c>
      <c r="AC387" s="140">
        <f t="shared" si="656"/>
        <v>500</v>
      </c>
      <c r="AD387" s="140">
        <f t="shared" si="656"/>
        <v>0</v>
      </c>
      <c r="AE387" s="140">
        <f t="shared" si="656"/>
        <v>500</v>
      </c>
      <c r="AF387" s="140">
        <f t="shared" si="656"/>
        <v>1058682</v>
      </c>
      <c r="AG387" s="141">
        <f t="shared" si="656"/>
        <v>0</v>
      </c>
      <c r="AH387" s="141">
        <f t="shared" si="656"/>
        <v>0</v>
      </c>
      <c r="AI387" s="141">
        <f t="shared" si="656"/>
        <v>2.25</v>
      </c>
      <c r="AJ387" s="141">
        <f t="shared" si="656"/>
        <v>0</v>
      </c>
      <c r="AK387" s="141">
        <f t="shared" si="656"/>
        <v>0</v>
      </c>
      <c r="AL387" s="141">
        <f t="shared" si="656"/>
        <v>2.25</v>
      </c>
      <c r="AM387" s="141">
        <f t="shared" si="656"/>
        <v>0</v>
      </c>
      <c r="AN387" s="635">
        <f t="shared" si="656"/>
        <v>2.25</v>
      </c>
      <c r="AO387" s="139">
        <f t="shared" si="656"/>
        <v>13449172</v>
      </c>
      <c r="AP387" s="140">
        <f t="shared" si="656"/>
        <v>9829654</v>
      </c>
      <c r="AQ387" s="140">
        <f t="shared" si="656"/>
        <v>18800</v>
      </c>
      <c r="AR387" s="140">
        <f t="shared" si="656"/>
        <v>3328777</v>
      </c>
      <c r="AS387" s="140">
        <f t="shared" si="656"/>
        <v>196593</v>
      </c>
      <c r="AT387" s="140">
        <f t="shared" si="656"/>
        <v>75348</v>
      </c>
      <c r="AU387" s="141">
        <f t="shared" si="656"/>
        <v>24.215</v>
      </c>
      <c r="AV387" s="141">
        <f t="shared" si="656"/>
        <v>16.25</v>
      </c>
      <c r="AW387" s="142">
        <f t="shared" si="656"/>
        <v>7.9649999999999999</v>
      </c>
    </row>
    <row r="388" spans="1:49" ht="14.1" customHeight="1" x14ac:dyDescent="0.2">
      <c r="A388" s="124">
        <v>79</v>
      </c>
      <c r="B388" s="121">
        <v>2325</v>
      </c>
      <c r="C388" s="144">
        <v>600074561</v>
      </c>
      <c r="D388" s="121">
        <v>46750321</v>
      </c>
      <c r="E388" s="123" t="s">
        <v>731</v>
      </c>
      <c r="F388" s="124">
        <v>3113</v>
      </c>
      <c r="G388" s="123" t="s">
        <v>320</v>
      </c>
      <c r="H388" s="125" t="s">
        <v>283</v>
      </c>
      <c r="I388" s="126">
        <f t="shared" si="579"/>
        <v>27351599</v>
      </c>
      <c r="J388" s="127">
        <v>19717687</v>
      </c>
      <c r="K388" s="127">
        <f t="shared" si="592"/>
        <v>6664578</v>
      </c>
      <c r="L388" s="477">
        <f t="shared" si="593"/>
        <v>394354</v>
      </c>
      <c r="M388" s="127">
        <v>574980</v>
      </c>
      <c r="N388" s="390">
        <f t="shared" si="580"/>
        <v>35.900800000000004</v>
      </c>
      <c r="O388" s="390">
        <v>28.318200000000001</v>
      </c>
      <c r="P388" s="439">
        <v>7.5826000000000002</v>
      </c>
      <c r="Q388" s="129">
        <f t="shared" si="581"/>
        <v>-40000</v>
      </c>
      <c r="R388" s="130">
        <v>0</v>
      </c>
      <c r="S388" s="130">
        <v>0</v>
      </c>
      <c r="T388" s="130">
        <v>0</v>
      </c>
      <c r="U388" s="130">
        <f t="shared" si="582"/>
        <v>-40000</v>
      </c>
      <c r="V388" s="130">
        <v>40000</v>
      </c>
      <c r="W388" s="130">
        <v>0</v>
      </c>
      <c r="X388" s="130">
        <v>0</v>
      </c>
      <c r="Y388" s="130">
        <f t="shared" ref="Y388:Y393" si="657">SUM(V388:X388)</f>
        <v>40000</v>
      </c>
      <c r="Z388" s="130">
        <f t="shared" ref="Z388:Z393" si="658">U388+Y388</f>
        <v>0</v>
      </c>
      <c r="AA388" s="131">
        <f t="shared" ref="AA388:AA393" si="659">ROUND((U388+V388+W388)*33.8%,0)</f>
        <v>0</v>
      </c>
      <c r="AB388" s="131">
        <f t="shared" ref="AB388:AB393" si="660">ROUND(U388*2%,0)</f>
        <v>-800</v>
      </c>
      <c r="AC388" s="130">
        <v>0</v>
      </c>
      <c r="AD388" s="130">
        <v>0</v>
      </c>
      <c r="AE388" s="130">
        <f t="shared" si="594"/>
        <v>0</v>
      </c>
      <c r="AF388" s="130">
        <f t="shared" si="595"/>
        <v>-800</v>
      </c>
      <c r="AG388" s="132">
        <v>-0.08</v>
      </c>
      <c r="AH388" s="132">
        <v>0</v>
      </c>
      <c r="AI388" s="132">
        <v>0</v>
      </c>
      <c r="AJ388" s="132">
        <v>0</v>
      </c>
      <c r="AK388" s="132">
        <v>0</v>
      </c>
      <c r="AL388" s="132">
        <f t="shared" si="596"/>
        <v>-0.08</v>
      </c>
      <c r="AM388" s="132">
        <f t="shared" ref="AM388:AM393" si="661">AH388+AK388</f>
        <v>0</v>
      </c>
      <c r="AN388" s="403">
        <f t="shared" si="597"/>
        <v>-0.08</v>
      </c>
      <c r="AO388" s="128">
        <f t="shared" si="583"/>
        <v>27350799</v>
      </c>
      <c r="AP388" s="130">
        <f t="shared" si="584"/>
        <v>19677687</v>
      </c>
      <c r="AQ388" s="130">
        <f t="shared" si="585"/>
        <v>40000</v>
      </c>
      <c r="AR388" s="130">
        <f t="shared" si="586"/>
        <v>6664578</v>
      </c>
      <c r="AS388" s="130">
        <f t="shared" si="587"/>
        <v>393554</v>
      </c>
      <c r="AT388" s="130">
        <f t="shared" si="588"/>
        <v>574980</v>
      </c>
      <c r="AU388" s="132">
        <f t="shared" si="589"/>
        <v>35.820800000000006</v>
      </c>
      <c r="AV388" s="132">
        <f t="shared" si="590"/>
        <v>28.238200000000003</v>
      </c>
      <c r="AW388" s="133">
        <f t="shared" si="591"/>
        <v>7.5826000000000002</v>
      </c>
    </row>
    <row r="389" spans="1:49" ht="14.1" customHeight="1" x14ac:dyDescent="0.2">
      <c r="A389" s="124">
        <v>79</v>
      </c>
      <c r="B389" s="121">
        <v>2325</v>
      </c>
      <c r="C389" s="144">
        <v>600074561</v>
      </c>
      <c r="D389" s="121">
        <v>46750321</v>
      </c>
      <c r="E389" s="123" t="s">
        <v>731</v>
      </c>
      <c r="F389" s="124">
        <v>3113</v>
      </c>
      <c r="G389" s="143" t="s">
        <v>318</v>
      </c>
      <c r="H389" s="125" t="s">
        <v>284</v>
      </c>
      <c r="I389" s="126">
        <f t="shared" si="579"/>
        <v>0</v>
      </c>
      <c r="J389" s="29">
        <v>0</v>
      </c>
      <c r="K389" s="127">
        <f t="shared" si="592"/>
        <v>0</v>
      </c>
      <c r="L389" s="477">
        <f t="shared" si="593"/>
        <v>0</v>
      </c>
      <c r="M389" s="29">
        <v>0</v>
      </c>
      <c r="N389" s="390">
        <f t="shared" si="580"/>
        <v>0</v>
      </c>
      <c r="O389" s="349">
        <v>0</v>
      </c>
      <c r="P389" s="639">
        <v>0</v>
      </c>
      <c r="Q389" s="129">
        <f t="shared" si="581"/>
        <v>0</v>
      </c>
      <c r="R389" s="130">
        <v>2157701</v>
      </c>
      <c r="S389" s="130">
        <v>0</v>
      </c>
      <c r="T389" s="130">
        <v>0</v>
      </c>
      <c r="U389" s="130">
        <f t="shared" si="582"/>
        <v>2157701</v>
      </c>
      <c r="V389" s="130">
        <v>0</v>
      </c>
      <c r="W389" s="130">
        <v>0</v>
      </c>
      <c r="X389" s="130">
        <v>0</v>
      </c>
      <c r="Y389" s="130">
        <f t="shared" si="657"/>
        <v>0</v>
      </c>
      <c r="Z389" s="130">
        <f t="shared" si="658"/>
        <v>2157701</v>
      </c>
      <c r="AA389" s="131">
        <f t="shared" si="659"/>
        <v>729303</v>
      </c>
      <c r="AB389" s="131">
        <f t="shared" si="660"/>
        <v>43154</v>
      </c>
      <c r="AC389" s="130">
        <f>5000+500</f>
        <v>5500</v>
      </c>
      <c r="AD389" s="130">
        <v>0</v>
      </c>
      <c r="AE389" s="130">
        <f t="shared" si="594"/>
        <v>5500</v>
      </c>
      <c r="AF389" s="130">
        <f t="shared" si="595"/>
        <v>2935658</v>
      </c>
      <c r="AG389" s="132">
        <v>0</v>
      </c>
      <c r="AH389" s="132">
        <v>0</v>
      </c>
      <c r="AI389" s="132">
        <v>6.18</v>
      </c>
      <c r="AJ389" s="132">
        <v>0</v>
      </c>
      <c r="AK389" s="132">
        <v>0</v>
      </c>
      <c r="AL389" s="132">
        <f t="shared" si="596"/>
        <v>6.18</v>
      </c>
      <c r="AM389" s="132">
        <f t="shared" si="661"/>
        <v>0</v>
      </c>
      <c r="AN389" s="403">
        <f t="shared" si="597"/>
        <v>6.18</v>
      </c>
      <c r="AO389" s="128">
        <f t="shared" si="583"/>
        <v>2935658</v>
      </c>
      <c r="AP389" s="130">
        <f t="shared" si="584"/>
        <v>2157701</v>
      </c>
      <c r="AQ389" s="130">
        <f t="shared" si="585"/>
        <v>0</v>
      </c>
      <c r="AR389" s="130">
        <f t="shared" si="586"/>
        <v>729303</v>
      </c>
      <c r="AS389" s="130">
        <f t="shared" si="587"/>
        <v>43154</v>
      </c>
      <c r="AT389" s="130">
        <f t="shared" si="588"/>
        <v>5500</v>
      </c>
      <c r="AU389" s="132">
        <f t="shared" si="589"/>
        <v>6.18</v>
      </c>
      <c r="AV389" s="132">
        <f t="shared" si="590"/>
        <v>6.18</v>
      </c>
      <c r="AW389" s="133">
        <f t="shared" si="591"/>
        <v>0</v>
      </c>
    </row>
    <row r="390" spans="1:49" ht="14.1" customHeight="1" x14ac:dyDescent="0.2">
      <c r="A390" s="124">
        <v>79</v>
      </c>
      <c r="B390" s="121">
        <v>2325</v>
      </c>
      <c r="C390" s="144">
        <v>600074561</v>
      </c>
      <c r="D390" s="121">
        <v>46750321</v>
      </c>
      <c r="E390" s="123" t="s">
        <v>731</v>
      </c>
      <c r="F390" s="124">
        <v>3141</v>
      </c>
      <c r="G390" s="123" t="s">
        <v>321</v>
      </c>
      <c r="H390" s="125" t="s">
        <v>284</v>
      </c>
      <c r="I390" s="126">
        <f t="shared" si="579"/>
        <v>2613395</v>
      </c>
      <c r="J390" s="666">
        <v>1908260</v>
      </c>
      <c r="K390" s="127">
        <f t="shared" si="592"/>
        <v>644992</v>
      </c>
      <c r="L390" s="477">
        <f t="shared" si="593"/>
        <v>38165</v>
      </c>
      <c r="M390" s="666">
        <v>21978</v>
      </c>
      <c r="N390" s="390">
        <f t="shared" si="580"/>
        <v>6.49</v>
      </c>
      <c r="O390" s="668">
        <v>0</v>
      </c>
      <c r="P390" s="667">
        <v>6.49</v>
      </c>
      <c r="Q390" s="129">
        <f t="shared" si="581"/>
        <v>0</v>
      </c>
      <c r="R390" s="130">
        <v>0</v>
      </c>
      <c r="S390" s="130">
        <v>0</v>
      </c>
      <c r="T390" s="130">
        <v>0</v>
      </c>
      <c r="U390" s="130">
        <f t="shared" si="582"/>
        <v>0</v>
      </c>
      <c r="V390" s="130">
        <v>0</v>
      </c>
      <c r="W390" s="130">
        <v>0</v>
      </c>
      <c r="X390" s="130">
        <v>0</v>
      </c>
      <c r="Y390" s="130">
        <f t="shared" si="657"/>
        <v>0</v>
      </c>
      <c r="Z390" s="130">
        <f t="shared" si="658"/>
        <v>0</v>
      </c>
      <c r="AA390" s="131">
        <f t="shared" si="659"/>
        <v>0</v>
      </c>
      <c r="AB390" s="131">
        <f t="shared" si="660"/>
        <v>0</v>
      </c>
      <c r="AC390" s="130">
        <v>0</v>
      </c>
      <c r="AD390" s="130">
        <v>0</v>
      </c>
      <c r="AE390" s="130">
        <f t="shared" si="594"/>
        <v>0</v>
      </c>
      <c r="AF390" s="130">
        <f t="shared" si="595"/>
        <v>0</v>
      </c>
      <c r="AG390" s="132">
        <v>0</v>
      </c>
      <c r="AH390" s="132">
        <v>0</v>
      </c>
      <c r="AI390" s="132">
        <v>0</v>
      </c>
      <c r="AJ390" s="132">
        <v>0</v>
      </c>
      <c r="AK390" s="132">
        <v>0</v>
      </c>
      <c r="AL390" s="132">
        <f t="shared" si="596"/>
        <v>0</v>
      </c>
      <c r="AM390" s="132">
        <f t="shared" si="661"/>
        <v>0</v>
      </c>
      <c r="AN390" s="403">
        <f t="shared" si="597"/>
        <v>0</v>
      </c>
      <c r="AO390" s="128">
        <f t="shared" si="583"/>
        <v>2613395</v>
      </c>
      <c r="AP390" s="130">
        <f t="shared" si="584"/>
        <v>1908260</v>
      </c>
      <c r="AQ390" s="130">
        <f t="shared" si="585"/>
        <v>0</v>
      </c>
      <c r="AR390" s="130">
        <f t="shared" si="586"/>
        <v>644992</v>
      </c>
      <c r="AS390" s="130">
        <f t="shared" si="587"/>
        <v>38165</v>
      </c>
      <c r="AT390" s="130">
        <f t="shared" si="588"/>
        <v>21978</v>
      </c>
      <c r="AU390" s="132">
        <f t="shared" si="589"/>
        <v>6.49</v>
      </c>
      <c r="AV390" s="132">
        <f t="shared" si="590"/>
        <v>0</v>
      </c>
      <c r="AW390" s="133">
        <f t="shared" si="591"/>
        <v>6.49</v>
      </c>
    </row>
    <row r="391" spans="1:49" ht="14.1" customHeight="1" x14ac:dyDescent="0.2">
      <c r="A391" s="124">
        <v>79</v>
      </c>
      <c r="B391" s="121">
        <v>2325</v>
      </c>
      <c r="C391" s="144">
        <v>600074561</v>
      </c>
      <c r="D391" s="121">
        <v>46750321</v>
      </c>
      <c r="E391" s="123" t="s">
        <v>731</v>
      </c>
      <c r="F391" s="124">
        <v>3143</v>
      </c>
      <c r="G391" s="145" t="s">
        <v>635</v>
      </c>
      <c r="H391" s="125" t="s">
        <v>283</v>
      </c>
      <c r="I391" s="126">
        <f t="shared" si="579"/>
        <v>2067757</v>
      </c>
      <c r="J391" s="631">
        <v>1522649</v>
      </c>
      <c r="K391" s="127">
        <f t="shared" si="592"/>
        <v>514655</v>
      </c>
      <c r="L391" s="477">
        <f t="shared" si="593"/>
        <v>30453</v>
      </c>
      <c r="M391" s="478">
        <v>0</v>
      </c>
      <c r="N391" s="390">
        <f t="shared" si="580"/>
        <v>3.5</v>
      </c>
      <c r="O391" s="644">
        <v>3.5</v>
      </c>
      <c r="P391" s="639">
        <v>0</v>
      </c>
      <c r="Q391" s="129">
        <f t="shared" si="581"/>
        <v>-16000</v>
      </c>
      <c r="R391" s="130">
        <v>0</v>
      </c>
      <c r="S391" s="130">
        <v>0</v>
      </c>
      <c r="T391" s="130">
        <v>0</v>
      </c>
      <c r="U391" s="130">
        <f t="shared" si="582"/>
        <v>-16000</v>
      </c>
      <c r="V391" s="130">
        <v>16000</v>
      </c>
      <c r="W391" s="130">
        <v>0</v>
      </c>
      <c r="X391" s="130">
        <v>0</v>
      </c>
      <c r="Y391" s="130">
        <f t="shared" si="657"/>
        <v>16000</v>
      </c>
      <c r="Z391" s="130">
        <f t="shared" si="658"/>
        <v>0</v>
      </c>
      <c r="AA391" s="131">
        <f t="shared" si="659"/>
        <v>0</v>
      </c>
      <c r="AB391" s="131">
        <f t="shared" si="660"/>
        <v>-320</v>
      </c>
      <c r="AC391" s="130">
        <v>0</v>
      </c>
      <c r="AD391" s="130">
        <v>0</v>
      </c>
      <c r="AE391" s="130">
        <f t="shared" si="594"/>
        <v>0</v>
      </c>
      <c r="AF391" s="130">
        <f t="shared" si="595"/>
        <v>-320</v>
      </c>
      <c r="AG391" s="132">
        <v>-0.04</v>
      </c>
      <c r="AH391" s="132">
        <v>0</v>
      </c>
      <c r="AI391" s="132">
        <v>0</v>
      </c>
      <c r="AJ391" s="132">
        <v>0</v>
      </c>
      <c r="AK391" s="132">
        <v>0</v>
      </c>
      <c r="AL391" s="132">
        <f t="shared" si="596"/>
        <v>-0.04</v>
      </c>
      <c r="AM391" s="132">
        <f t="shared" si="661"/>
        <v>0</v>
      </c>
      <c r="AN391" s="403">
        <f t="shared" si="597"/>
        <v>-0.04</v>
      </c>
      <c r="AO391" s="128">
        <f t="shared" si="583"/>
        <v>2067437</v>
      </c>
      <c r="AP391" s="130">
        <f t="shared" si="584"/>
        <v>1506649</v>
      </c>
      <c r="AQ391" s="130">
        <f t="shared" si="585"/>
        <v>16000</v>
      </c>
      <c r="AR391" s="130">
        <f t="shared" si="586"/>
        <v>514655</v>
      </c>
      <c r="AS391" s="130">
        <f t="shared" si="587"/>
        <v>30133</v>
      </c>
      <c r="AT391" s="130">
        <f t="shared" si="588"/>
        <v>0</v>
      </c>
      <c r="AU391" s="132">
        <f t="shared" si="589"/>
        <v>3.46</v>
      </c>
      <c r="AV391" s="132">
        <f t="shared" si="590"/>
        <v>3.46</v>
      </c>
      <c r="AW391" s="133">
        <f t="shared" si="591"/>
        <v>0</v>
      </c>
    </row>
    <row r="392" spans="1:49" ht="14.1" customHeight="1" x14ac:dyDescent="0.2">
      <c r="A392" s="124">
        <v>79</v>
      </c>
      <c r="B392" s="121">
        <v>2325</v>
      </c>
      <c r="C392" s="144">
        <v>600074561</v>
      </c>
      <c r="D392" s="121">
        <v>46750321</v>
      </c>
      <c r="E392" s="123" t="s">
        <v>731</v>
      </c>
      <c r="F392" s="124">
        <v>3143</v>
      </c>
      <c r="G392" s="145" t="s">
        <v>636</v>
      </c>
      <c r="H392" s="125" t="s">
        <v>284</v>
      </c>
      <c r="I392" s="126">
        <f t="shared" si="579"/>
        <v>80755</v>
      </c>
      <c r="J392" s="664">
        <v>56925</v>
      </c>
      <c r="K392" s="127">
        <f t="shared" si="592"/>
        <v>19241</v>
      </c>
      <c r="L392" s="477">
        <f t="shared" si="593"/>
        <v>1139</v>
      </c>
      <c r="M392" s="664">
        <v>3450</v>
      </c>
      <c r="N392" s="390">
        <f t="shared" si="580"/>
        <v>0.24</v>
      </c>
      <c r="O392" s="665">
        <v>0</v>
      </c>
      <c r="P392" s="667">
        <v>0.24</v>
      </c>
      <c r="Q392" s="129">
        <f t="shared" si="581"/>
        <v>0</v>
      </c>
      <c r="R392" s="130">
        <v>0</v>
      </c>
      <c r="S392" s="130">
        <v>0</v>
      </c>
      <c r="T392" s="130">
        <v>0</v>
      </c>
      <c r="U392" s="130">
        <f t="shared" si="582"/>
        <v>0</v>
      </c>
      <c r="V392" s="130">
        <v>0</v>
      </c>
      <c r="W392" s="130">
        <v>0</v>
      </c>
      <c r="X392" s="130">
        <v>0</v>
      </c>
      <c r="Y392" s="130">
        <f t="shared" si="657"/>
        <v>0</v>
      </c>
      <c r="Z392" s="130">
        <f t="shared" si="658"/>
        <v>0</v>
      </c>
      <c r="AA392" s="131">
        <f t="shared" si="659"/>
        <v>0</v>
      </c>
      <c r="AB392" s="131">
        <f t="shared" si="660"/>
        <v>0</v>
      </c>
      <c r="AC392" s="130">
        <v>0</v>
      </c>
      <c r="AD392" s="130">
        <v>0</v>
      </c>
      <c r="AE392" s="130">
        <f t="shared" si="594"/>
        <v>0</v>
      </c>
      <c r="AF392" s="130">
        <f t="shared" si="595"/>
        <v>0</v>
      </c>
      <c r="AG392" s="132">
        <v>0</v>
      </c>
      <c r="AH392" s="132">
        <v>0</v>
      </c>
      <c r="AI392" s="132">
        <v>0</v>
      </c>
      <c r="AJ392" s="132">
        <v>0</v>
      </c>
      <c r="AK392" s="132">
        <v>0</v>
      </c>
      <c r="AL392" s="132">
        <f t="shared" si="596"/>
        <v>0</v>
      </c>
      <c r="AM392" s="132">
        <f t="shared" si="661"/>
        <v>0</v>
      </c>
      <c r="AN392" s="403">
        <f t="shared" si="597"/>
        <v>0</v>
      </c>
      <c r="AO392" s="128">
        <f t="shared" si="583"/>
        <v>80755</v>
      </c>
      <c r="AP392" s="130">
        <f t="shared" si="584"/>
        <v>56925</v>
      </c>
      <c r="AQ392" s="130">
        <f t="shared" si="585"/>
        <v>0</v>
      </c>
      <c r="AR392" s="130">
        <f t="shared" si="586"/>
        <v>19241</v>
      </c>
      <c r="AS392" s="130">
        <f t="shared" si="587"/>
        <v>1139</v>
      </c>
      <c r="AT392" s="130">
        <f t="shared" si="588"/>
        <v>3450</v>
      </c>
      <c r="AU392" s="132">
        <f t="shared" si="589"/>
        <v>0.24</v>
      </c>
      <c r="AV392" s="132">
        <f t="shared" si="590"/>
        <v>0</v>
      </c>
      <c r="AW392" s="133">
        <f t="shared" si="591"/>
        <v>0.24</v>
      </c>
    </row>
    <row r="393" spans="1:49" ht="14.1" customHeight="1" x14ac:dyDescent="0.2">
      <c r="A393" s="124">
        <v>79</v>
      </c>
      <c r="B393" s="121">
        <v>2325</v>
      </c>
      <c r="C393" s="144">
        <v>600074561</v>
      </c>
      <c r="D393" s="121">
        <v>46750321</v>
      </c>
      <c r="E393" s="123" t="s">
        <v>731</v>
      </c>
      <c r="F393" s="124">
        <v>3231</v>
      </c>
      <c r="G393" s="123" t="s">
        <v>322</v>
      </c>
      <c r="H393" s="125" t="s">
        <v>283</v>
      </c>
      <c r="I393" s="126">
        <f t="shared" si="579"/>
        <v>3342495</v>
      </c>
      <c r="J393" s="478">
        <v>2453192</v>
      </c>
      <c r="K393" s="127">
        <f t="shared" si="592"/>
        <v>829179</v>
      </c>
      <c r="L393" s="477">
        <f t="shared" si="593"/>
        <v>49064</v>
      </c>
      <c r="M393" s="478">
        <v>11060</v>
      </c>
      <c r="N393" s="390">
        <f t="shared" si="580"/>
        <v>4.7482000000000006</v>
      </c>
      <c r="O393" s="349">
        <v>4.2259000000000002</v>
      </c>
      <c r="P393" s="639">
        <v>0.52229999999999999</v>
      </c>
      <c r="Q393" s="129">
        <f t="shared" si="581"/>
        <v>0</v>
      </c>
      <c r="R393" s="130">
        <v>0</v>
      </c>
      <c r="S393" s="130">
        <v>0</v>
      </c>
      <c r="T393" s="130">
        <v>0</v>
      </c>
      <c r="U393" s="130">
        <f t="shared" si="582"/>
        <v>0</v>
      </c>
      <c r="V393" s="130">
        <v>0</v>
      </c>
      <c r="W393" s="130">
        <v>0</v>
      </c>
      <c r="X393" s="130">
        <v>0</v>
      </c>
      <c r="Y393" s="130">
        <f t="shared" si="657"/>
        <v>0</v>
      </c>
      <c r="Z393" s="130">
        <f t="shared" si="658"/>
        <v>0</v>
      </c>
      <c r="AA393" s="131">
        <f t="shared" si="659"/>
        <v>0</v>
      </c>
      <c r="AB393" s="131">
        <f t="shared" si="660"/>
        <v>0</v>
      </c>
      <c r="AC393" s="130">
        <v>0</v>
      </c>
      <c r="AD393" s="130">
        <v>0</v>
      </c>
      <c r="AE393" s="130">
        <f t="shared" si="594"/>
        <v>0</v>
      </c>
      <c r="AF393" s="130">
        <f t="shared" si="595"/>
        <v>0</v>
      </c>
      <c r="AG393" s="132">
        <v>0</v>
      </c>
      <c r="AH393" s="132">
        <v>0</v>
      </c>
      <c r="AI393" s="132">
        <v>0</v>
      </c>
      <c r="AJ393" s="132">
        <v>0</v>
      </c>
      <c r="AK393" s="132">
        <v>0</v>
      </c>
      <c r="AL393" s="132">
        <f t="shared" si="596"/>
        <v>0</v>
      </c>
      <c r="AM393" s="132">
        <f t="shared" si="661"/>
        <v>0</v>
      </c>
      <c r="AN393" s="403">
        <f t="shared" si="597"/>
        <v>0</v>
      </c>
      <c r="AO393" s="128">
        <f t="shared" si="583"/>
        <v>3342495</v>
      </c>
      <c r="AP393" s="130">
        <f t="shared" si="584"/>
        <v>2453192</v>
      </c>
      <c r="AQ393" s="130">
        <f t="shared" si="585"/>
        <v>0</v>
      </c>
      <c r="AR393" s="130">
        <f t="shared" si="586"/>
        <v>829179</v>
      </c>
      <c r="AS393" s="130">
        <f t="shared" si="587"/>
        <v>49064</v>
      </c>
      <c r="AT393" s="130">
        <f t="shared" si="588"/>
        <v>11060</v>
      </c>
      <c r="AU393" s="132">
        <f t="shared" si="589"/>
        <v>4.7482000000000006</v>
      </c>
      <c r="AV393" s="132">
        <f t="shared" si="590"/>
        <v>4.2259000000000002</v>
      </c>
      <c r="AW393" s="133">
        <f t="shared" si="591"/>
        <v>0.52229999999999999</v>
      </c>
    </row>
    <row r="394" spans="1:49" ht="14.1" customHeight="1" x14ac:dyDescent="0.2">
      <c r="A394" s="137">
        <v>79</v>
      </c>
      <c r="B394" s="134">
        <v>2325</v>
      </c>
      <c r="C394" s="146">
        <v>600074561</v>
      </c>
      <c r="D394" s="134">
        <v>46750321</v>
      </c>
      <c r="E394" s="136" t="s">
        <v>732</v>
      </c>
      <c r="F394" s="137"/>
      <c r="G394" s="136"/>
      <c r="H394" s="138"/>
      <c r="I394" s="147">
        <f t="shared" ref="I394:P394" si="662">SUM(I388:I393)</f>
        <v>35456001</v>
      </c>
      <c r="J394" s="148">
        <f t="shared" si="662"/>
        <v>25658713</v>
      </c>
      <c r="K394" s="148">
        <f t="shared" si="662"/>
        <v>8672645</v>
      </c>
      <c r="L394" s="148">
        <f t="shared" si="662"/>
        <v>513175</v>
      </c>
      <c r="M394" s="148">
        <f t="shared" si="662"/>
        <v>611468</v>
      </c>
      <c r="N394" s="149">
        <f t="shared" si="662"/>
        <v>50.879000000000005</v>
      </c>
      <c r="O394" s="149">
        <f t="shared" si="662"/>
        <v>36.0441</v>
      </c>
      <c r="P394" s="150">
        <f t="shared" si="662"/>
        <v>14.834900000000001</v>
      </c>
      <c r="Q394" s="343">
        <f t="shared" ref="Q394:AW394" si="663">SUM(Q388:Q393)</f>
        <v>-56000</v>
      </c>
      <c r="R394" s="148">
        <f t="shared" si="663"/>
        <v>2157701</v>
      </c>
      <c r="S394" s="148">
        <f t="shared" si="663"/>
        <v>0</v>
      </c>
      <c r="T394" s="148">
        <f t="shared" si="663"/>
        <v>0</v>
      </c>
      <c r="U394" s="148">
        <f t="shared" si="663"/>
        <v>2101701</v>
      </c>
      <c r="V394" s="148">
        <f t="shared" si="663"/>
        <v>56000</v>
      </c>
      <c r="W394" s="148">
        <f t="shared" si="663"/>
        <v>0</v>
      </c>
      <c r="X394" s="148">
        <f t="shared" si="663"/>
        <v>0</v>
      </c>
      <c r="Y394" s="148">
        <f t="shared" si="663"/>
        <v>56000</v>
      </c>
      <c r="Z394" s="148">
        <f t="shared" si="663"/>
        <v>2157701</v>
      </c>
      <c r="AA394" s="148">
        <f t="shared" si="663"/>
        <v>729303</v>
      </c>
      <c r="AB394" s="148">
        <f t="shared" si="663"/>
        <v>42034</v>
      </c>
      <c r="AC394" s="148">
        <f t="shared" si="663"/>
        <v>5500</v>
      </c>
      <c r="AD394" s="148">
        <f t="shared" si="663"/>
        <v>0</v>
      </c>
      <c r="AE394" s="148">
        <f t="shared" si="663"/>
        <v>5500</v>
      </c>
      <c r="AF394" s="148">
        <f t="shared" si="663"/>
        <v>2934538</v>
      </c>
      <c r="AG394" s="149">
        <f t="shared" si="663"/>
        <v>-0.12</v>
      </c>
      <c r="AH394" s="149">
        <f t="shared" si="663"/>
        <v>0</v>
      </c>
      <c r="AI394" s="149">
        <f t="shared" si="663"/>
        <v>6.18</v>
      </c>
      <c r="AJ394" s="149">
        <f t="shared" si="663"/>
        <v>0</v>
      </c>
      <c r="AK394" s="149">
        <f t="shared" si="663"/>
        <v>0</v>
      </c>
      <c r="AL394" s="149">
        <f t="shared" si="663"/>
        <v>6.06</v>
      </c>
      <c r="AM394" s="149">
        <f t="shared" si="663"/>
        <v>0</v>
      </c>
      <c r="AN394" s="636">
        <f t="shared" si="663"/>
        <v>6.06</v>
      </c>
      <c r="AO394" s="147">
        <f t="shared" si="663"/>
        <v>38390539</v>
      </c>
      <c r="AP394" s="148">
        <f t="shared" si="663"/>
        <v>27760414</v>
      </c>
      <c r="AQ394" s="148">
        <f t="shared" si="663"/>
        <v>56000</v>
      </c>
      <c r="AR394" s="148">
        <f t="shared" si="663"/>
        <v>9401948</v>
      </c>
      <c r="AS394" s="148">
        <f t="shared" si="663"/>
        <v>555209</v>
      </c>
      <c r="AT394" s="148">
        <f t="shared" si="663"/>
        <v>616968</v>
      </c>
      <c r="AU394" s="149">
        <f t="shared" si="663"/>
        <v>56.939000000000007</v>
      </c>
      <c r="AV394" s="149">
        <f t="shared" si="663"/>
        <v>42.104100000000003</v>
      </c>
      <c r="AW394" s="150">
        <f t="shared" si="663"/>
        <v>14.834900000000001</v>
      </c>
    </row>
    <row r="395" spans="1:49" ht="14.1" customHeight="1" x14ac:dyDescent="0.2">
      <c r="A395" s="124">
        <v>80</v>
      </c>
      <c r="B395" s="121">
        <v>2329</v>
      </c>
      <c r="C395" s="144">
        <v>691007331</v>
      </c>
      <c r="D395" s="121">
        <v>71294171</v>
      </c>
      <c r="E395" s="123" t="s">
        <v>807</v>
      </c>
      <c r="F395" s="124">
        <v>3114</v>
      </c>
      <c r="G395" s="313" t="s">
        <v>565</v>
      </c>
      <c r="H395" s="125" t="s">
        <v>283</v>
      </c>
      <c r="I395" s="126">
        <f t="shared" si="579"/>
        <v>7220705</v>
      </c>
      <c r="J395" s="127">
        <v>5258759</v>
      </c>
      <c r="K395" s="127">
        <f t="shared" si="592"/>
        <v>1777461</v>
      </c>
      <c r="L395" s="477">
        <f t="shared" si="593"/>
        <v>105175</v>
      </c>
      <c r="M395" s="127">
        <v>79310</v>
      </c>
      <c r="N395" s="390">
        <f t="shared" si="580"/>
        <v>9.7866999999999997</v>
      </c>
      <c r="O395" s="390">
        <v>6.9089999999999998</v>
      </c>
      <c r="P395" s="439">
        <v>2.8776999999999999</v>
      </c>
      <c r="Q395" s="129">
        <f t="shared" si="581"/>
        <v>-33600</v>
      </c>
      <c r="R395" s="130">
        <v>0</v>
      </c>
      <c r="S395" s="130">
        <v>0</v>
      </c>
      <c r="T395" s="130">
        <v>0</v>
      </c>
      <c r="U395" s="130">
        <f t="shared" si="582"/>
        <v>-33600</v>
      </c>
      <c r="V395" s="130">
        <v>33600</v>
      </c>
      <c r="W395" s="130">
        <v>73088</v>
      </c>
      <c r="X395" s="130">
        <v>0</v>
      </c>
      <c r="Y395" s="130">
        <f t="shared" ref="Y395:Y400" si="664">SUM(V395:X395)</f>
        <v>106688</v>
      </c>
      <c r="Z395" s="130">
        <f t="shared" ref="Z395:Z400" si="665">U395+Y395</f>
        <v>73088</v>
      </c>
      <c r="AA395" s="131">
        <f t="shared" ref="AA395:AA400" si="666">ROUND((U395+V395+W395)*33.8%,0)</f>
        <v>24704</v>
      </c>
      <c r="AB395" s="131">
        <f t="shared" ref="AB395:AB400" si="667">ROUND(U395*2%,0)</f>
        <v>-672</v>
      </c>
      <c r="AC395" s="130">
        <v>0</v>
      </c>
      <c r="AD395" s="130">
        <v>0</v>
      </c>
      <c r="AE395" s="130">
        <f t="shared" si="594"/>
        <v>0</v>
      </c>
      <c r="AF395" s="130">
        <f t="shared" si="595"/>
        <v>97120</v>
      </c>
      <c r="AG395" s="132">
        <v>-7.0000000000000007E-2</v>
      </c>
      <c r="AH395" s="132">
        <v>0</v>
      </c>
      <c r="AI395" s="132">
        <v>0</v>
      </c>
      <c r="AJ395" s="132">
        <v>0</v>
      </c>
      <c r="AK395" s="132">
        <v>0</v>
      </c>
      <c r="AL395" s="132">
        <f t="shared" si="596"/>
        <v>-7.0000000000000007E-2</v>
      </c>
      <c r="AM395" s="132">
        <f t="shared" ref="AM395:AM400" si="668">AH395+AK395</f>
        <v>0</v>
      </c>
      <c r="AN395" s="403">
        <f t="shared" si="597"/>
        <v>-7.0000000000000007E-2</v>
      </c>
      <c r="AO395" s="128">
        <f t="shared" si="583"/>
        <v>7317825</v>
      </c>
      <c r="AP395" s="130">
        <f t="shared" si="584"/>
        <v>5225159</v>
      </c>
      <c r="AQ395" s="130">
        <f t="shared" si="585"/>
        <v>106688</v>
      </c>
      <c r="AR395" s="130">
        <f t="shared" si="586"/>
        <v>1802165</v>
      </c>
      <c r="AS395" s="130">
        <f t="shared" si="587"/>
        <v>104503</v>
      </c>
      <c r="AT395" s="130">
        <f t="shared" si="588"/>
        <v>79310</v>
      </c>
      <c r="AU395" s="132">
        <f t="shared" si="589"/>
        <v>9.7166999999999994</v>
      </c>
      <c r="AV395" s="132">
        <f t="shared" si="590"/>
        <v>6.8389999999999995</v>
      </c>
      <c r="AW395" s="133">
        <f t="shared" si="591"/>
        <v>2.8776999999999999</v>
      </c>
    </row>
    <row r="396" spans="1:49" ht="14.1" customHeight="1" x14ac:dyDescent="0.2">
      <c r="A396" s="124">
        <v>80</v>
      </c>
      <c r="B396" s="121">
        <v>2329</v>
      </c>
      <c r="C396" s="144">
        <v>691007331</v>
      </c>
      <c r="D396" s="121">
        <v>71294171</v>
      </c>
      <c r="E396" s="123" t="s">
        <v>807</v>
      </c>
      <c r="F396" s="124">
        <v>3114</v>
      </c>
      <c r="G396" s="98" t="s">
        <v>319</v>
      </c>
      <c r="H396" s="125" t="s">
        <v>283</v>
      </c>
      <c r="I396" s="126">
        <f t="shared" si="579"/>
        <v>1504448</v>
      </c>
      <c r="J396" s="631">
        <v>1107841</v>
      </c>
      <c r="K396" s="127">
        <f t="shared" si="592"/>
        <v>374450</v>
      </c>
      <c r="L396" s="477">
        <f t="shared" si="593"/>
        <v>22157</v>
      </c>
      <c r="M396" s="478">
        <v>0</v>
      </c>
      <c r="N396" s="390">
        <f t="shared" si="580"/>
        <v>3.0278</v>
      </c>
      <c r="O396" s="644">
        <v>3.0278</v>
      </c>
      <c r="P396" s="639">
        <v>0</v>
      </c>
      <c r="Q396" s="129">
        <f t="shared" si="581"/>
        <v>0</v>
      </c>
      <c r="R396" s="130">
        <v>0</v>
      </c>
      <c r="S396" s="130">
        <v>0</v>
      </c>
      <c r="T396" s="130">
        <v>0</v>
      </c>
      <c r="U396" s="130">
        <f t="shared" si="582"/>
        <v>0</v>
      </c>
      <c r="V396" s="130">
        <v>0</v>
      </c>
      <c r="W396" s="130">
        <v>0</v>
      </c>
      <c r="X396" s="130">
        <v>0</v>
      </c>
      <c r="Y396" s="130">
        <f t="shared" si="664"/>
        <v>0</v>
      </c>
      <c r="Z396" s="130">
        <f t="shared" si="665"/>
        <v>0</v>
      </c>
      <c r="AA396" s="131">
        <f t="shared" si="666"/>
        <v>0</v>
      </c>
      <c r="AB396" s="131">
        <f t="shared" si="667"/>
        <v>0</v>
      </c>
      <c r="AC396" s="130">
        <v>0</v>
      </c>
      <c r="AD396" s="130">
        <v>0</v>
      </c>
      <c r="AE396" s="130">
        <f t="shared" si="594"/>
        <v>0</v>
      </c>
      <c r="AF396" s="130">
        <f t="shared" si="595"/>
        <v>0</v>
      </c>
      <c r="AG396" s="132">
        <v>0</v>
      </c>
      <c r="AH396" s="132">
        <v>0</v>
      </c>
      <c r="AI396" s="132">
        <v>0</v>
      </c>
      <c r="AJ396" s="132">
        <v>0</v>
      </c>
      <c r="AK396" s="132">
        <v>0</v>
      </c>
      <c r="AL396" s="132">
        <f t="shared" si="596"/>
        <v>0</v>
      </c>
      <c r="AM396" s="132">
        <f t="shared" si="668"/>
        <v>0</v>
      </c>
      <c r="AN396" s="403">
        <f t="shared" si="597"/>
        <v>0</v>
      </c>
      <c r="AO396" s="128">
        <f t="shared" si="583"/>
        <v>1504448</v>
      </c>
      <c r="AP396" s="130">
        <f t="shared" si="584"/>
        <v>1107841</v>
      </c>
      <c r="AQ396" s="130">
        <f t="shared" si="585"/>
        <v>0</v>
      </c>
      <c r="AR396" s="130">
        <f t="shared" si="586"/>
        <v>374450</v>
      </c>
      <c r="AS396" s="130">
        <f t="shared" si="587"/>
        <v>22157</v>
      </c>
      <c r="AT396" s="130">
        <f t="shared" si="588"/>
        <v>0</v>
      </c>
      <c r="AU396" s="132">
        <f t="shared" si="589"/>
        <v>3.0278</v>
      </c>
      <c r="AV396" s="132">
        <f t="shared" si="590"/>
        <v>3.0278</v>
      </c>
      <c r="AW396" s="133">
        <f t="shared" si="591"/>
        <v>0</v>
      </c>
    </row>
    <row r="397" spans="1:49" ht="14.1" customHeight="1" x14ac:dyDescent="0.2">
      <c r="A397" s="124">
        <v>80</v>
      </c>
      <c r="B397" s="121">
        <v>2329</v>
      </c>
      <c r="C397" s="144">
        <v>691007331</v>
      </c>
      <c r="D397" s="121">
        <v>71294171</v>
      </c>
      <c r="E397" s="123" t="s">
        <v>807</v>
      </c>
      <c r="F397" s="124">
        <v>3114</v>
      </c>
      <c r="G397" s="143" t="s">
        <v>318</v>
      </c>
      <c r="H397" s="125" t="s">
        <v>284</v>
      </c>
      <c r="I397" s="126">
        <f t="shared" ref="I397:I457" si="669">SUM(J397:M397)</f>
        <v>0</v>
      </c>
      <c r="J397" s="29">
        <v>0</v>
      </c>
      <c r="K397" s="127">
        <f t="shared" si="592"/>
        <v>0</v>
      </c>
      <c r="L397" s="477">
        <f t="shared" si="593"/>
        <v>0</v>
      </c>
      <c r="M397" s="29">
        <v>0</v>
      </c>
      <c r="N397" s="390">
        <f t="shared" ref="N397:N457" si="670">O397+P397</f>
        <v>0</v>
      </c>
      <c r="O397" s="349">
        <v>0</v>
      </c>
      <c r="P397" s="639">
        <v>0</v>
      </c>
      <c r="Q397" s="129">
        <f t="shared" ref="Q397:Q457" si="671">V397*-1</f>
        <v>0</v>
      </c>
      <c r="R397" s="130">
        <v>0</v>
      </c>
      <c r="S397" s="130">
        <v>0</v>
      </c>
      <c r="T397" s="130">
        <v>0</v>
      </c>
      <c r="U397" s="130">
        <f t="shared" ref="U397:U457" si="672">SUM(Q397:T397)</f>
        <v>0</v>
      </c>
      <c r="V397" s="130">
        <v>0</v>
      </c>
      <c r="W397" s="130">
        <v>0</v>
      </c>
      <c r="X397" s="130">
        <v>0</v>
      </c>
      <c r="Y397" s="130">
        <f t="shared" si="664"/>
        <v>0</v>
      </c>
      <c r="Z397" s="130">
        <f t="shared" si="665"/>
        <v>0</v>
      </c>
      <c r="AA397" s="131">
        <f t="shared" si="666"/>
        <v>0</v>
      </c>
      <c r="AB397" s="131">
        <f t="shared" si="667"/>
        <v>0</v>
      </c>
      <c r="AC397" s="130">
        <v>0</v>
      </c>
      <c r="AD397" s="130">
        <v>0</v>
      </c>
      <c r="AE397" s="130">
        <f t="shared" si="594"/>
        <v>0</v>
      </c>
      <c r="AF397" s="130">
        <f t="shared" si="595"/>
        <v>0</v>
      </c>
      <c r="AG397" s="132">
        <v>0</v>
      </c>
      <c r="AH397" s="132">
        <v>0</v>
      </c>
      <c r="AI397" s="132">
        <v>0</v>
      </c>
      <c r="AJ397" s="132">
        <v>0</v>
      </c>
      <c r="AK397" s="132">
        <v>0</v>
      </c>
      <c r="AL397" s="132">
        <f t="shared" si="596"/>
        <v>0</v>
      </c>
      <c r="AM397" s="132">
        <f t="shared" si="668"/>
        <v>0</v>
      </c>
      <c r="AN397" s="403">
        <f t="shared" si="597"/>
        <v>0</v>
      </c>
      <c r="AO397" s="128">
        <f t="shared" ref="AO397:AO457" si="673">I397+AF397</f>
        <v>0</v>
      </c>
      <c r="AP397" s="130">
        <f t="shared" ref="AP397:AP457" si="674">J397+U397</f>
        <v>0</v>
      </c>
      <c r="AQ397" s="130">
        <f t="shared" ref="AQ397:AQ457" si="675">Y397</f>
        <v>0</v>
      </c>
      <c r="AR397" s="130">
        <f t="shared" ref="AR397:AR457" si="676">K397+AA397</f>
        <v>0</v>
      </c>
      <c r="AS397" s="130">
        <f t="shared" ref="AS397:AS457" si="677">L397+AB397</f>
        <v>0</v>
      </c>
      <c r="AT397" s="130">
        <f t="shared" ref="AT397:AT457" si="678">M397+AE397</f>
        <v>0</v>
      </c>
      <c r="AU397" s="132">
        <f t="shared" ref="AU397:AU457" si="679">N397+AN397</f>
        <v>0</v>
      </c>
      <c r="AV397" s="132">
        <f t="shared" ref="AV397:AV457" si="680">O397+AL397</f>
        <v>0</v>
      </c>
      <c r="AW397" s="133">
        <f t="shared" ref="AW397:AW457" si="681">P397+AM397</f>
        <v>0</v>
      </c>
    </row>
    <row r="398" spans="1:49" ht="14.1" customHeight="1" x14ac:dyDescent="0.2">
      <c r="A398" s="124">
        <v>80</v>
      </c>
      <c r="B398" s="121">
        <v>2329</v>
      </c>
      <c r="C398" s="144">
        <v>691007331</v>
      </c>
      <c r="D398" s="121">
        <v>71294171</v>
      </c>
      <c r="E398" s="123" t="s">
        <v>807</v>
      </c>
      <c r="F398" s="124">
        <v>3141</v>
      </c>
      <c r="G398" s="123" t="s">
        <v>321</v>
      </c>
      <c r="H398" s="125" t="s">
        <v>284</v>
      </c>
      <c r="I398" s="126">
        <f t="shared" si="669"/>
        <v>63013</v>
      </c>
      <c r="J398" s="666">
        <v>46010</v>
      </c>
      <c r="K398" s="127">
        <f t="shared" ref="K398" si="682">ROUND(J398*33.8%,0)</f>
        <v>15551</v>
      </c>
      <c r="L398" s="477">
        <f t="shared" ref="L398" si="683">ROUND(J398*2%,0)</f>
        <v>920</v>
      </c>
      <c r="M398" s="666">
        <v>532</v>
      </c>
      <c r="N398" s="390">
        <f t="shared" si="670"/>
        <v>0.16</v>
      </c>
      <c r="O398" s="668">
        <v>0</v>
      </c>
      <c r="P398" s="667">
        <v>0.16</v>
      </c>
      <c r="Q398" s="129">
        <f t="shared" si="671"/>
        <v>0</v>
      </c>
      <c r="R398" s="130">
        <v>0</v>
      </c>
      <c r="S398" s="130">
        <v>0</v>
      </c>
      <c r="T398" s="130">
        <v>0</v>
      </c>
      <c r="U398" s="130">
        <f t="shared" si="672"/>
        <v>0</v>
      </c>
      <c r="V398" s="130">
        <v>0</v>
      </c>
      <c r="W398" s="130">
        <v>0</v>
      </c>
      <c r="X398" s="130">
        <v>0</v>
      </c>
      <c r="Y398" s="130">
        <f t="shared" si="664"/>
        <v>0</v>
      </c>
      <c r="Z398" s="130">
        <f t="shared" si="665"/>
        <v>0</v>
      </c>
      <c r="AA398" s="131">
        <f t="shared" si="666"/>
        <v>0</v>
      </c>
      <c r="AB398" s="131">
        <f t="shared" si="667"/>
        <v>0</v>
      </c>
      <c r="AC398" s="130">
        <v>0</v>
      </c>
      <c r="AD398" s="130">
        <v>0</v>
      </c>
      <c r="AE398" s="130">
        <f t="shared" si="594"/>
        <v>0</v>
      </c>
      <c r="AF398" s="130">
        <f t="shared" si="595"/>
        <v>0</v>
      </c>
      <c r="AG398" s="132">
        <v>0</v>
      </c>
      <c r="AH398" s="132">
        <v>0</v>
      </c>
      <c r="AI398" s="132">
        <v>0</v>
      </c>
      <c r="AJ398" s="132">
        <v>0</v>
      </c>
      <c r="AK398" s="132">
        <v>0</v>
      </c>
      <c r="AL398" s="132">
        <f t="shared" si="596"/>
        <v>0</v>
      </c>
      <c r="AM398" s="132">
        <f t="shared" si="668"/>
        <v>0</v>
      </c>
      <c r="AN398" s="403">
        <f t="shared" si="597"/>
        <v>0</v>
      </c>
      <c r="AO398" s="128">
        <f t="shared" si="673"/>
        <v>63013</v>
      </c>
      <c r="AP398" s="130">
        <f t="shared" si="674"/>
        <v>46010</v>
      </c>
      <c r="AQ398" s="130">
        <f t="shared" si="675"/>
        <v>0</v>
      </c>
      <c r="AR398" s="130">
        <f t="shared" si="676"/>
        <v>15551</v>
      </c>
      <c r="AS398" s="130">
        <f t="shared" si="677"/>
        <v>920</v>
      </c>
      <c r="AT398" s="130">
        <f t="shared" si="678"/>
        <v>532</v>
      </c>
      <c r="AU398" s="132">
        <f t="shared" si="679"/>
        <v>0.16</v>
      </c>
      <c r="AV398" s="132">
        <f t="shared" si="680"/>
        <v>0</v>
      </c>
      <c r="AW398" s="133">
        <f t="shared" si="681"/>
        <v>0.16</v>
      </c>
    </row>
    <row r="399" spans="1:49" ht="14.1" customHeight="1" x14ac:dyDescent="0.2">
      <c r="A399" s="124">
        <v>80</v>
      </c>
      <c r="B399" s="121">
        <v>2329</v>
      </c>
      <c r="C399" s="144">
        <v>691007331</v>
      </c>
      <c r="D399" s="121">
        <v>71294171</v>
      </c>
      <c r="E399" s="123" t="s">
        <v>807</v>
      </c>
      <c r="F399" s="124">
        <v>3143</v>
      </c>
      <c r="G399" s="145" t="s">
        <v>635</v>
      </c>
      <c r="H399" s="125" t="s">
        <v>283</v>
      </c>
      <c r="I399" s="126">
        <f t="shared" si="669"/>
        <v>517479</v>
      </c>
      <c r="J399" s="631">
        <v>381060</v>
      </c>
      <c r="K399" s="127">
        <f t="shared" ref="K399:K457" si="684">ROUND(J399*33.8%,0)</f>
        <v>128798</v>
      </c>
      <c r="L399" s="477">
        <f t="shared" ref="L399:L457" si="685">ROUND(J399*2%,0)</f>
        <v>7621</v>
      </c>
      <c r="M399" s="478">
        <v>0</v>
      </c>
      <c r="N399" s="390">
        <f t="shared" si="670"/>
        <v>0.75</v>
      </c>
      <c r="O399" s="644">
        <v>0.75</v>
      </c>
      <c r="P399" s="639">
        <v>0</v>
      </c>
      <c r="Q399" s="129">
        <f t="shared" si="671"/>
        <v>0</v>
      </c>
      <c r="R399" s="130">
        <v>0</v>
      </c>
      <c r="S399" s="130">
        <v>0</v>
      </c>
      <c r="T399" s="130">
        <v>0</v>
      </c>
      <c r="U399" s="130">
        <f t="shared" si="672"/>
        <v>0</v>
      </c>
      <c r="V399" s="130">
        <v>0</v>
      </c>
      <c r="W399" s="130">
        <v>0</v>
      </c>
      <c r="X399" s="130">
        <v>0</v>
      </c>
      <c r="Y399" s="130">
        <f t="shared" si="664"/>
        <v>0</v>
      </c>
      <c r="Z399" s="130">
        <f t="shared" si="665"/>
        <v>0</v>
      </c>
      <c r="AA399" s="131">
        <f t="shared" si="666"/>
        <v>0</v>
      </c>
      <c r="AB399" s="131">
        <f t="shared" si="667"/>
        <v>0</v>
      </c>
      <c r="AC399" s="130">
        <v>0</v>
      </c>
      <c r="AD399" s="130">
        <v>0</v>
      </c>
      <c r="AE399" s="130">
        <f t="shared" si="594"/>
        <v>0</v>
      </c>
      <c r="AF399" s="130">
        <f t="shared" si="595"/>
        <v>0</v>
      </c>
      <c r="AG399" s="132">
        <v>0</v>
      </c>
      <c r="AH399" s="132">
        <v>0</v>
      </c>
      <c r="AI399" s="132">
        <v>0</v>
      </c>
      <c r="AJ399" s="132">
        <v>0</v>
      </c>
      <c r="AK399" s="132">
        <v>0</v>
      </c>
      <c r="AL399" s="132">
        <f t="shared" si="596"/>
        <v>0</v>
      </c>
      <c r="AM399" s="132">
        <f t="shared" si="668"/>
        <v>0</v>
      </c>
      <c r="AN399" s="403">
        <f t="shared" si="597"/>
        <v>0</v>
      </c>
      <c r="AO399" s="128">
        <f t="shared" si="673"/>
        <v>517479</v>
      </c>
      <c r="AP399" s="130">
        <f t="shared" si="674"/>
        <v>381060</v>
      </c>
      <c r="AQ399" s="130">
        <f t="shared" si="675"/>
        <v>0</v>
      </c>
      <c r="AR399" s="130">
        <f t="shared" si="676"/>
        <v>128798</v>
      </c>
      <c r="AS399" s="130">
        <f t="shared" si="677"/>
        <v>7621</v>
      </c>
      <c r="AT399" s="130">
        <f t="shared" si="678"/>
        <v>0</v>
      </c>
      <c r="AU399" s="132">
        <f t="shared" si="679"/>
        <v>0.75</v>
      </c>
      <c r="AV399" s="132">
        <f t="shared" si="680"/>
        <v>0.75</v>
      </c>
      <c r="AW399" s="133">
        <f t="shared" si="681"/>
        <v>0</v>
      </c>
    </row>
    <row r="400" spans="1:49" ht="14.1" customHeight="1" x14ac:dyDescent="0.2">
      <c r="A400" s="124">
        <v>80</v>
      </c>
      <c r="B400" s="121">
        <v>2329</v>
      </c>
      <c r="C400" s="144">
        <v>691007331</v>
      </c>
      <c r="D400" s="121">
        <v>71294171</v>
      </c>
      <c r="E400" s="123" t="s">
        <v>807</v>
      </c>
      <c r="F400" s="124">
        <v>3143</v>
      </c>
      <c r="G400" s="145" t="s">
        <v>636</v>
      </c>
      <c r="H400" s="125" t="s">
        <v>284</v>
      </c>
      <c r="I400" s="126">
        <f t="shared" si="669"/>
        <v>9831</v>
      </c>
      <c r="J400" s="664">
        <v>6930</v>
      </c>
      <c r="K400" s="127">
        <f t="shared" si="684"/>
        <v>2342</v>
      </c>
      <c r="L400" s="477">
        <f t="shared" si="685"/>
        <v>139</v>
      </c>
      <c r="M400" s="664">
        <v>420</v>
      </c>
      <c r="N400" s="390">
        <f t="shared" si="670"/>
        <v>0.03</v>
      </c>
      <c r="O400" s="665">
        <v>0</v>
      </c>
      <c r="P400" s="667">
        <v>0.03</v>
      </c>
      <c r="Q400" s="129">
        <f t="shared" si="671"/>
        <v>0</v>
      </c>
      <c r="R400" s="130">
        <v>0</v>
      </c>
      <c r="S400" s="130">
        <v>0</v>
      </c>
      <c r="T400" s="130">
        <v>0</v>
      </c>
      <c r="U400" s="130">
        <f t="shared" si="672"/>
        <v>0</v>
      </c>
      <c r="V400" s="130">
        <v>0</v>
      </c>
      <c r="W400" s="130">
        <v>0</v>
      </c>
      <c r="X400" s="130">
        <v>0</v>
      </c>
      <c r="Y400" s="130">
        <f t="shared" si="664"/>
        <v>0</v>
      </c>
      <c r="Z400" s="130">
        <f t="shared" si="665"/>
        <v>0</v>
      </c>
      <c r="AA400" s="131">
        <f t="shared" si="666"/>
        <v>0</v>
      </c>
      <c r="AB400" s="131">
        <f t="shared" si="667"/>
        <v>0</v>
      </c>
      <c r="AC400" s="130">
        <v>0</v>
      </c>
      <c r="AD400" s="130">
        <v>0</v>
      </c>
      <c r="AE400" s="130">
        <f t="shared" si="594"/>
        <v>0</v>
      </c>
      <c r="AF400" s="130">
        <f t="shared" si="595"/>
        <v>0</v>
      </c>
      <c r="AG400" s="132">
        <v>0</v>
      </c>
      <c r="AH400" s="132">
        <v>0</v>
      </c>
      <c r="AI400" s="132">
        <v>0</v>
      </c>
      <c r="AJ400" s="132">
        <v>0</v>
      </c>
      <c r="AK400" s="132">
        <v>0</v>
      </c>
      <c r="AL400" s="132">
        <f t="shared" si="596"/>
        <v>0</v>
      </c>
      <c r="AM400" s="132">
        <f t="shared" si="668"/>
        <v>0</v>
      </c>
      <c r="AN400" s="403">
        <f t="shared" si="597"/>
        <v>0</v>
      </c>
      <c r="AO400" s="128">
        <f t="shared" si="673"/>
        <v>9831</v>
      </c>
      <c r="AP400" s="130">
        <f t="shared" si="674"/>
        <v>6930</v>
      </c>
      <c r="AQ400" s="130">
        <f t="shared" si="675"/>
        <v>0</v>
      </c>
      <c r="AR400" s="130">
        <f t="shared" si="676"/>
        <v>2342</v>
      </c>
      <c r="AS400" s="130">
        <f t="shared" si="677"/>
        <v>139</v>
      </c>
      <c r="AT400" s="130">
        <f t="shared" si="678"/>
        <v>420</v>
      </c>
      <c r="AU400" s="132">
        <f t="shared" si="679"/>
        <v>0.03</v>
      </c>
      <c r="AV400" s="132">
        <f t="shared" si="680"/>
        <v>0</v>
      </c>
      <c r="AW400" s="133">
        <f t="shared" si="681"/>
        <v>0.03</v>
      </c>
    </row>
    <row r="401" spans="1:49" ht="14.1" customHeight="1" x14ac:dyDescent="0.2">
      <c r="A401" s="137">
        <v>80</v>
      </c>
      <c r="B401" s="134">
        <v>2329</v>
      </c>
      <c r="C401" s="146">
        <v>691007331</v>
      </c>
      <c r="D401" s="134">
        <v>71294171</v>
      </c>
      <c r="E401" s="136" t="s">
        <v>836</v>
      </c>
      <c r="F401" s="137"/>
      <c r="G401" s="136"/>
      <c r="H401" s="138"/>
      <c r="I401" s="153">
        <f t="shared" ref="I401:P401" si="686">SUM(I395:I400)</f>
        <v>9315476</v>
      </c>
      <c r="J401" s="154">
        <f t="shared" si="686"/>
        <v>6800600</v>
      </c>
      <c r="K401" s="154">
        <f t="shared" si="686"/>
        <v>2298602</v>
      </c>
      <c r="L401" s="154">
        <f t="shared" si="686"/>
        <v>136012</v>
      </c>
      <c r="M401" s="154">
        <f t="shared" si="686"/>
        <v>80262</v>
      </c>
      <c r="N401" s="155">
        <f t="shared" si="686"/>
        <v>13.754499999999998</v>
      </c>
      <c r="O401" s="155">
        <f t="shared" si="686"/>
        <v>10.6868</v>
      </c>
      <c r="P401" s="156">
        <f t="shared" si="686"/>
        <v>3.0676999999999999</v>
      </c>
      <c r="Q401" s="344">
        <f t="shared" ref="Q401:AW401" si="687">SUM(Q395:Q400)</f>
        <v>-33600</v>
      </c>
      <c r="R401" s="154">
        <f t="shared" si="687"/>
        <v>0</v>
      </c>
      <c r="S401" s="154">
        <f t="shared" si="687"/>
        <v>0</v>
      </c>
      <c r="T401" s="154">
        <f t="shared" si="687"/>
        <v>0</v>
      </c>
      <c r="U401" s="154">
        <f t="shared" si="687"/>
        <v>-33600</v>
      </c>
      <c r="V401" s="154">
        <f t="shared" si="687"/>
        <v>33600</v>
      </c>
      <c r="W401" s="154">
        <f t="shared" si="687"/>
        <v>73088</v>
      </c>
      <c r="X401" s="154">
        <f t="shared" si="687"/>
        <v>0</v>
      </c>
      <c r="Y401" s="154">
        <f t="shared" si="687"/>
        <v>106688</v>
      </c>
      <c r="Z401" s="154">
        <f t="shared" si="687"/>
        <v>73088</v>
      </c>
      <c r="AA401" s="154">
        <f t="shared" si="687"/>
        <v>24704</v>
      </c>
      <c r="AB401" s="154">
        <f t="shared" si="687"/>
        <v>-672</v>
      </c>
      <c r="AC401" s="154">
        <f t="shared" si="687"/>
        <v>0</v>
      </c>
      <c r="AD401" s="154">
        <f t="shared" si="687"/>
        <v>0</v>
      </c>
      <c r="AE401" s="154">
        <f t="shared" si="687"/>
        <v>0</v>
      </c>
      <c r="AF401" s="154">
        <f t="shared" si="687"/>
        <v>97120</v>
      </c>
      <c r="AG401" s="155">
        <f t="shared" si="687"/>
        <v>-7.0000000000000007E-2</v>
      </c>
      <c r="AH401" s="155">
        <f t="shared" si="687"/>
        <v>0</v>
      </c>
      <c r="AI401" s="155">
        <f t="shared" si="687"/>
        <v>0</v>
      </c>
      <c r="AJ401" s="155">
        <f t="shared" si="687"/>
        <v>0</v>
      </c>
      <c r="AK401" s="155">
        <f t="shared" si="687"/>
        <v>0</v>
      </c>
      <c r="AL401" s="155">
        <f t="shared" si="687"/>
        <v>-7.0000000000000007E-2</v>
      </c>
      <c r="AM401" s="155">
        <f t="shared" si="687"/>
        <v>0</v>
      </c>
      <c r="AN401" s="637">
        <f t="shared" si="687"/>
        <v>-7.0000000000000007E-2</v>
      </c>
      <c r="AO401" s="153">
        <f t="shared" si="687"/>
        <v>9412596</v>
      </c>
      <c r="AP401" s="154">
        <f t="shared" si="687"/>
        <v>6767000</v>
      </c>
      <c r="AQ401" s="154">
        <f t="shared" si="687"/>
        <v>106688</v>
      </c>
      <c r="AR401" s="154">
        <f t="shared" si="687"/>
        <v>2323306</v>
      </c>
      <c r="AS401" s="154">
        <f t="shared" si="687"/>
        <v>135340</v>
      </c>
      <c r="AT401" s="154">
        <f t="shared" si="687"/>
        <v>80262</v>
      </c>
      <c r="AU401" s="155">
        <f t="shared" si="687"/>
        <v>13.684499999999998</v>
      </c>
      <c r="AV401" s="155">
        <f t="shared" si="687"/>
        <v>10.6168</v>
      </c>
      <c r="AW401" s="156">
        <f t="shared" si="687"/>
        <v>3.0676999999999999</v>
      </c>
    </row>
    <row r="402" spans="1:49" ht="14.1" customHeight="1" x14ac:dyDescent="0.2">
      <c r="A402" s="124">
        <v>81</v>
      </c>
      <c r="B402" s="121">
        <v>2406</v>
      </c>
      <c r="C402" s="122">
        <v>600079031</v>
      </c>
      <c r="D402" s="121">
        <v>70695091</v>
      </c>
      <c r="E402" s="123" t="s">
        <v>733</v>
      </c>
      <c r="F402" s="124">
        <v>3111</v>
      </c>
      <c r="G402" s="123" t="s">
        <v>317</v>
      </c>
      <c r="H402" s="125" t="s">
        <v>283</v>
      </c>
      <c r="I402" s="126">
        <f t="shared" si="669"/>
        <v>3387697</v>
      </c>
      <c r="J402" s="127">
        <v>2479711</v>
      </c>
      <c r="K402" s="127">
        <f t="shared" si="684"/>
        <v>838142</v>
      </c>
      <c r="L402" s="477">
        <f t="shared" si="685"/>
        <v>49594</v>
      </c>
      <c r="M402" s="127">
        <v>20250</v>
      </c>
      <c r="N402" s="390">
        <f t="shared" si="670"/>
        <v>5.8898000000000001</v>
      </c>
      <c r="O402" s="390">
        <v>4</v>
      </c>
      <c r="P402" s="439">
        <v>1.8898000000000001</v>
      </c>
      <c r="Q402" s="129">
        <f t="shared" si="671"/>
        <v>0</v>
      </c>
      <c r="R402" s="130">
        <v>0</v>
      </c>
      <c r="S402" s="130">
        <v>0</v>
      </c>
      <c r="T402" s="130">
        <v>0</v>
      </c>
      <c r="U402" s="130">
        <f t="shared" si="672"/>
        <v>0</v>
      </c>
      <c r="V402" s="130">
        <v>0</v>
      </c>
      <c r="W402" s="130">
        <v>0</v>
      </c>
      <c r="X402" s="130">
        <v>0</v>
      </c>
      <c r="Y402" s="130">
        <f t="shared" ref="Y402:Y403" si="688">SUM(V402:X402)</f>
        <v>0</v>
      </c>
      <c r="Z402" s="130">
        <f t="shared" ref="Z402:Z403" si="689">U402+Y402</f>
        <v>0</v>
      </c>
      <c r="AA402" s="131">
        <f t="shared" ref="AA402:AA403" si="690">ROUND((U402+V402+W402)*33.8%,0)</f>
        <v>0</v>
      </c>
      <c r="AB402" s="131">
        <f t="shared" ref="AB402:AB403" si="691">ROUND(U402*2%,0)</f>
        <v>0</v>
      </c>
      <c r="AC402" s="130">
        <v>0</v>
      </c>
      <c r="AD402" s="130">
        <v>0</v>
      </c>
      <c r="AE402" s="130">
        <f t="shared" ref="AE402:AE454" si="692">SUM(AC402:AD402)</f>
        <v>0</v>
      </c>
      <c r="AF402" s="130">
        <f t="shared" ref="AF402:AF454" si="693">Z402+AA402+AB402+AE402</f>
        <v>0</v>
      </c>
      <c r="AG402" s="132">
        <v>0</v>
      </c>
      <c r="AH402" s="132">
        <v>0</v>
      </c>
      <c r="AI402" s="132">
        <v>0</v>
      </c>
      <c r="AJ402" s="132">
        <v>0</v>
      </c>
      <c r="AK402" s="132">
        <v>0</v>
      </c>
      <c r="AL402" s="132">
        <f t="shared" ref="AL402:AL454" si="694">AG402+AI402+AJ402</f>
        <v>0</v>
      </c>
      <c r="AM402" s="132">
        <f>AH402+AK402</f>
        <v>0</v>
      </c>
      <c r="AN402" s="403">
        <f t="shared" ref="AN402:AN454" si="695">SUM(AL402:AM402)</f>
        <v>0</v>
      </c>
      <c r="AO402" s="128">
        <f t="shared" si="673"/>
        <v>3387697</v>
      </c>
      <c r="AP402" s="130">
        <f t="shared" si="674"/>
        <v>2479711</v>
      </c>
      <c r="AQ402" s="130">
        <f t="shared" si="675"/>
        <v>0</v>
      </c>
      <c r="AR402" s="130">
        <f t="shared" si="676"/>
        <v>838142</v>
      </c>
      <c r="AS402" s="130">
        <f t="shared" si="677"/>
        <v>49594</v>
      </c>
      <c r="AT402" s="130">
        <f t="shared" si="678"/>
        <v>20250</v>
      </c>
      <c r="AU402" s="132">
        <f t="shared" si="679"/>
        <v>5.8898000000000001</v>
      </c>
      <c r="AV402" s="132">
        <f t="shared" si="680"/>
        <v>4</v>
      </c>
      <c r="AW402" s="133">
        <f t="shared" si="681"/>
        <v>1.8898000000000001</v>
      </c>
    </row>
    <row r="403" spans="1:49" ht="14.1" customHeight="1" x14ac:dyDescent="0.2">
      <c r="A403" s="124">
        <v>81</v>
      </c>
      <c r="B403" s="121">
        <v>2406</v>
      </c>
      <c r="C403" s="122">
        <v>600079031</v>
      </c>
      <c r="D403" s="121">
        <v>70695091</v>
      </c>
      <c r="E403" s="123" t="s">
        <v>733</v>
      </c>
      <c r="F403" s="124">
        <v>3141</v>
      </c>
      <c r="G403" s="123" t="s">
        <v>321</v>
      </c>
      <c r="H403" s="125" t="s">
        <v>284</v>
      </c>
      <c r="I403" s="126">
        <f t="shared" si="669"/>
        <v>421368</v>
      </c>
      <c r="J403" s="666">
        <v>309090</v>
      </c>
      <c r="K403" s="127">
        <f t="shared" si="684"/>
        <v>104472</v>
      </c>
      <c r="L403" s="477">
        <f t="shared" si="685"/>
        <v>6182</v>
      </c>
      <c r="M403" s="666">
        <v>1624</v>
      </c>
      <c r="N403" s="390">
        <f t="shared" si="670"/>
        <v>1.05</v>
      </c>
      <c r="O403" s="668">
        <v>0</v>
      </c>
      <c r="P403" s="667">
        <v>1.05</v>
      </c>
      <c r="Q403" s="129">
        <f t="shared" si="671"/>
        <v>0</v>
      </c>
      <c r="R403" s="130">
        <v>0</v>
      </c>
      <c r="S403" s="130">
        <v>0</v>
      </c>
      <c r="T403" s="130">
        <v>0</v>
      </c>
      <c r="U403" s="130">
        <f t="shared" si="672"/>
        <v>0</v>
      </c>
      <c r="V403" s="130">
        <v>0</v>
      </c>
      <c r="W403" s="130">
        <v>0</v>
      </c>
      <c r="X403" s="130">
        <v>0</v>
      </c>
      <c r="Y403" s="130">
        <f t="shared" si="688"/>
        <v>0</v>
      </c>
      <c r="Z403" s="130">
        <f t="shared" si="689"/>
        <v>0</v>
      </c>
      <c r="AA403" s="131">
        <f t="shared" si="690"/>
        <v>0</v>
      </c>
      <c r="AB403" s="131">
        <f t="shared" si="691"/>
        <v>0</v>
      </c>
      <c r="AC403" s="130">
        <v>0</v>
      </c>
      <c r="AD403" s="130">
        <v>0</v>
      </c>
      <c r="AE403" s="130">
        <f t="shared" si="692"/>
        <v>0</v>
      </c>
      <c r="AF403" s="130">
        <f t="shared" si="693"/>
        <v>0</v>
      </c>
      <c r="AG403" s="132">
        <v>0</v>
      </c>
      <c r="AH403" s="132">
        <v>0</v>
      </c>
      <c r="AI403" s="132">
        <v>0</v>
      </c>
      <c r="AJ403" s="132">
        <v>0</v>
      </c>
      <c r="AK403" s="132">
        <v>0</v>
      </c>
      <c r="AL403" s="132">
        <f t="shared" si="694"/>
        <v>0</v>
      </c>
      <c r="AM403" s="132">
        <f>AH403+AK403</f>
        <v>0</v>
      </c>
      <c r="AN403" s="403">
        <f t="shared" si="695"/>
        <v>0</v>
      </c>
      <c r="AO403" s="128">
        <f t="shared" si="673"/>
        <v>421368</v>
      </c>
      <c r="AP403" s="130">
        <f t="shared" si="674"/>
        <v>309090</v>
      </c>
      <c r="AQ403" s="130">
        <f t="shared" si="675"/>
        <v>0</v>
      </c>
      <c r="AR403" s="130">
        <f t="shared" si="676"/>
        <v>104472</v>
      </c>
      <c r="AS403" s="130">
        <f t="shared" si="677"/>
        <v>6182</v>
      </c>
      <c r="AT403" s="130">
        <f t="shared" si="678"/>
        <v>1624</v>
      </c>
      <c r="AU403" s="132">
        <f t="shared" si="679"/>
        <v>1.05</v>
      </c>
      <c r="AV403" s="132">
        <f t="shared" si="680"/>
        <v>0</v>
      </c>
      <c r="AW403" s="133">
        <f t="shared" si="681"/>
        <v>1.05</v>
      </c>
    </row>
    <row r="404" spans="1:49" ht="14.1" customHeight="1" x14ac:dyDescent="0.2">
      <c r="A404" s="137">
        <v>81</v>
      </c>
      <c r="B404" s="134">
        <v>2406</v>
      </c>
      <c r="C404" s="135">
        <v>600079031</v>
      </c>
      <c r="D404" s="134">
        <v>70695091</v>
      </c>
      <c r="E404" s="136" t="s">
        <v>734</v>
      </c>
      <c r="F404" s="137"/>
      <c r="G404" s="136"/>
      <c r="H404" s="138"/>
      <c r="I404" s="139">
        <f t="shared" ref="I404:P404" si="696">SUM(I402:I403)</f>
        <v>3809065</v>
      </c>
      <c r="J404" s="140">
        <f t="shared" si="696"/>
        <v>2788801</v>
      </c>
      <c r="K404" s="140">
        <f t="shared" si="696"/>
        <v>942614</v>
      </c>
      <c r="L404" s="140">
        <f t="shared" si="696"/>
        <v>55776</v>
      </c>
      <c r="M404" s="140">
        <f t="shared" si="696"/>
        <v>21874</v>
      </c>
      <c r="N404" s="141">
        <f t="shared" si="696"/>
        <v>6.9398</v>
      </c>
      <c r="O404" s="141">
        <f t="shared" si="696"/>
        <v>4</v>
      </c>
      <c r="P404" s="142">
        <f t="shared" si="696"/>
        <v>2.9398</v>
      </c>
      <c r="Q404" s="342">
        <f t="shared" ref="Q404:AW404" si="697">SUM(Q402:Q403)</f>
        <v>0</v>
      </c>
      <c r="R404" s="140">
        <f t="shared" si="697"/>
        <v>0</v>
      </c>
      <c r="S404" s="140">
        <f t="shared" si="697"/>
        <v>0</v>
      </c>
      <c r="T404" s="140">
        <f t="shared" si="697"/>
        <v>0</v>
      </c>
      <c r="U404" s="140">
        <f t="shared" si="697"/>
        <v>0</v>
      </c>
      <c r="V404" s="140">
        <f t="shared" si="697"/>
        <v>0</v>
      </c>
      <c r="W404" s="140">
        <f t="shared" si="697"/>
        <v>0</v>
      </c>
      <c r="X404" s="140">
        <f t="shared" si="697"/>
        <v>0</v>
      </c>
      <c r="Y404" s="140">
        <f t="shared" si="697"/>
        <v>0</v>
      </c>
      <c r="Z404" s="140">
        <f t="shared" si="697"/>
        <v>0</v>
      </c>
      <c r="AA404" s="140">
        <f t="shared" si="697"/>
        <v>0</v>
      </c>
      <c r="AB404" s="140">
        <f t="shared" si="697"/>
        <v>0</v>
      </c>
      <c r="AC404" s="140">
        <f t="shared" si="697"/>
        <v>0</v>
      </c>
      <c r="AD404" s="140">
        <f t="shared" si="697"/>
        <v>0</v>
      </c>
      <c r="AE404" s="140">
        <f t="shared" si="697"/>
        <v>0</v>
      </c>
      <c r="AF404" s="140">
        <f t="shared" si="697"/>
        <v>0</v>
      </c>
      <c r="AG404" s="141">
        <f t="shared" si="697"/>
        <v>0</v>
      </c>
      <c r="AH404" s="141">
        <f t="shared" si="697"/>
        <v>0</v>
      </c>
      <c r="AI404" s="141">
        <f t="shared" si="697"/>
        <v>0</v>
      </c>
      <c r="AJ404" s="141">
        <f t="shared" si="697"/>
        <v>0</v>
      </c>
      <c r="AK404" s="141">
        <f t="shared" si="697"/>
        <v>0</v>
      </c>
      <c r="AL404" s="141">
        <f t="shared" si="697"/>
        <v>0</v>
      </c>
      <c r="AM404" s="141">
        <f t="shared" si="697"/>
        <v>0</v>
      </c>
      <c r="AN404" s="635">
        <f t="shared" si="697"/>
        <v>0</v>
      </c>
      <c r="AO404" s="139">
        <f t="shared" si="697"/>
        <v>3809065</v>
      </c>
      <c r="AP404" s="140">
        <f t="shared" si="697"/>
        <v>2788801</v>
      </c>
      <c r="AQ404" s="140">
        <f t="shared" si="697"/>
        <v>0</v>
      </c>
      <c r="AR404" s="140">
        <f t="shared" si="697"/>
        <v>942614</v>
      </c>
      <c r="AS404" s="140">
        <f t="shared" si="697"/>
        <v>55776</v>
      </c>
      <c r="AT404" s="140">
        <f t="shared" si="697"/>
        <v>21874</v>
      </c>
      <c r="AU404" s="141">
        <f t="shared" si="697"/>
        <v>6.9398</v>
      </c>
      <c r="AV404" s="141">
        <f t="shared" si="697"/>
        <v>4</v>
      </c>
      <c r="AW404" s="142">
        <f t="shared" si="697"/>
        <v>2.9398</v>
      </c>
    </row>
    <row r="405" spans="1:49" ht="14.1" customHeight="1" x14ac:dyDescent="0.2">
      <c r="A405" s="124">
        <v>82</v>
      </c>
      <c r="B405" s="121">
        <v>2466</v>
      </c>
      <c r="C405" s="144">
        <v>600079821</v>
      </c>
      <c r="D405" s="121">
        <v>70695083</v>
      </c>
      <c r="E405" s="123" t="s">
        <v>735</v>
      </c>
      <c r="F405" s="124">
        <v>3113</v>
      </c>
      <c r="G405" s="123" t="s">
        <v>320</v>
      </c>
      <c r="H405" s="125" t="s">
        <v>283</v>
      </c>
      <c r="I405" s="126">
        <f t="shared" si="669"/>
        <v>7819461</v>
      </c>
      <c r="J405" s="127">
        <v>5674647</v>
      </c>
      <c r="K405" s="127">
        <f t="shared" si="684"/>
        <v>1918031</v>
      </c>
      <c r="L405" s="477">
        <f t="shared" si="685"/>
        <v>113493</v>
      </c>
      <c r="M405" s="127">
        <v>113290</v>
      </c>
      <c r="N405" s="390">
        <f t="shared" si="670"/>
        <v>11.979500000000002</v>
      </c>
      <c r="O405" s="390">
        <v>9.4090000000000007</v>
      </c>
      <c r="P405" s="439">
        <v>2.5705</v>
      </c>
      <c r="Q405" s="129">
        <f t="shared" si="671"/>
        <v>-40000</v>
      </c>
      <c r="R405" s="130">
        <v>0</v>
      </c>
      <c r="S405" s="130">
        <v>0</v>
      </c>
      <c r="T405" s="130">
        <v>0</v>
      </c>
      <c r="U405" s="130">
        <f t="shared" si="672"/>
        <v>-40000</v>
      </c>
      <c r="V405" s="130">
        <v>40000</v>
      </c>
      <c r="W405" s="130">
        <v>0</v>
      </c>
      <c r="X405" s="130">
        <v>0</v>
      </c>
      <c r="Y405" s="130">
        <f t="shared" ref="Y405:Y409" si="698">SUM(V405:X405)</f>
        <v>40000</v>
      </c>
      <c r="Z405" s="130">
        <f t="shared" ref="Z405:Z409" si="699">U405+Y405</f>
        <v>0</v>
      </c>
      <c r="AA405" s="131">
        <f t="shared" ref="AA405:AA409" si="700">ROUND((U405+V405+W405)*33.8%,0)</f>
        <v>0</v>
      </c>
      <c r="AB405" s="131">
        <f t="shared" ref="AB405:AB409" si="701">ROUND(U405*2%,0)</f>
        <v>-800</v>
      </c>
      <c r="AC405" s="130">
        <v>0</v>
      </c>
      <c r="AD405" s="130">
        <v>0</v>
      </c>
      <c r="AE405" s="130">
        <f t="shared" si="692"/>
        <v>0</v>
      </c>
      <c r="AF405" s="130">
        <f t="shared" si="693"/>
        <v>-800</v>
      </c>
      <c r="AG405" s="132">
        <v>0</v>
      </c>
      <c r="AH405" s="132">
        <v>0</v>
      </c>
      <c r="AI405" s="132">
        <v>0</v>
      </c>
      <c r="AJ405" s="132">
        <v>0</v>
      </c>
      <c r="AK405" s="132">
        <v>0</v>
      </c>
      <c r="AL405" s="132">
        <f t="shared" si="694"/>
        <v>0</v>
      </c>
      <c r="AM405" s="132">
        <f>AH405+AK405</f>
        <v>0</v>
      </c>
      <c r="AN405" s="403">
        <f t="shared" si="695"/>
        <v>0</v>
      </c>
      <c r="AO405" s="128">
        <f t="shared" si="673"/>
        <v>7818661</v>
      </c>
      <c r="AP405" s="130">
        <f t="shared" si="674"/>
        <v>5634647</v>
      </c>
      <c r="AQ405" s="130">
        <f t="shared" si="675"/>
        <v>40000</v>
      </c>
      <c r="AR405" s="130">
        <f t="shared" si="676"/>
        <v>1918031</v>
      </c>
      <c r="AS405" s="130">
        <f t="shared" si="677"/>
        <v>112693</v>
      </c>
      <c r="AT405" s="130">
        <f t="shared" si="678"/>
        <v>113290</v>
      </c>
      <c r="AU405" s="132">
        <f t="shared" si="679"/>
        <v>11.979500000000002</v>
      </c>
      <c r="AV405" s="132">
        <f t="shared" si="680"/>
        <v>9.4090000000000007</v>
      </c>
      <c r="AW405" s="133">
        <f t="shared" si="681"/>
        <v>2.5705</v>
      </c>
    </row>
    <row r="406" spans="1:49" ht="14.1" customHeight="1" x14ac:dyDescent="0.2">
      <c r="A406" s="124">
        <v>82</v>
      </c>
      <c r="B406" s="121">
        <v>2466</v>
      </c>
      <c r="C406" s="144">
        <v>600079821</v>
      </c>
      <c r="D406" s="121">
        <v>70695083</v>
      </c>
      <c r="E406" s="123" t="s">
        <v>735</v>
      </c>
      <c r="F406" s="124">
        <v>3113</v>
      </c>
      <c r="G406" s="143" t="s">
        <v>318</v>
      </c>
      <c r="H406" s="125" t="s">
        <v>284</v>
      </c>
      <c r="I406" s="126">
        <f t="shared" si="669"/>
        <v>0</v>
      </c>
      <c r="J406" s="29">
        <v>0</v>
      </c>
      <c r="K406" s="127">
        <f t="shared" si="684"/>
        <v>0</v>
      </c>
      <c r="L406" s="477">
        <f t="shared" si="685"/>
        <v>0</v>
      </c>
      <c r="M406" s="29">
        <v>0</v>
      </c>
      <c r="N406" s="390">
        <f t="shared" si="670"/>
        <v>0</v>
      </c>
      <c r="O406" s="349">
        <v>0</v>
      </c>
      <c r="P406" s="639">
        <v>0</v>
      </c>
      <c r="Q406" s="129">
        <f t="shared" si="671"/>
        <v>0</v>
      </c>
      <c r="R406" s="130">
        <f>975928+47633</f>
        <v>1023561</v>
      </c>
      <c r="S406" s="130">
        <v>0</v>
      </c>
      <c r="T406" s="130">
        <v>0</v>
      </c>
      <c r="U406" s="130">
        <f t="shared" si="672"/>
        <v>1023561</v>
      </c>
      <c r="V406" s="130">
        <v>0</v>
      </c>
      <c r="W406" s="130">
        <v>0</v>
      </c>
      <c r="X406" s="130">
        <v>0</v>
      </c>
      <c r="Y406" s="130">
        <f t="shared" si="698"/>
        <v>0</v>
      </c>
      <c r="Z406" s="130">
        <f t="shared" si="699"/>
        <v>1023561</v>
      </c>
      <c r="AA406" s="131">
        <f t="shared" si="700"/>
        <v>345964</v>
      </c>
      <c r="AB406" s="131">
        <f t="shared" si="701"/>
        <v>20471</v>
      </c>
      <c r="AC406" s="130">
        <v>0</v>
      </c>
      <c r="AD406" s="130">
        <v>0</v>
      </c>
      <c r="AE406" s="130">
        <f t="shared" si="692"/>
        <v>0</v>
      </c>
      <c r="AF406" s="130">
        <f t="shared" si="693"/>
        <v>1389996</v>
      </c>
      <c r="AG406" s="132">
        <v>0</v>
      </c>
      <c r="AH406" s="132">
        <v>0</v>
      </c>
      <c r="AI406" s="132">
        <f>2.9+0.18</f>
        <v>3.08</v>
      </c>
      <c r="AJ406" s="132">
        <v>0</v>
      </c>
      <c r="AK406" s="132">
        <v>0</v>
      </c>
      <c r="AL406" s="132">
        <f t="shared" si="694"/>
        <v>3.08</v>
      </c>
      <c r="AM406" s="132">
        <f>AH406+AK406</f>
        <v>0</v>
      </c>
      <c r="AN406" s="403">
        <f t="shared" si="695"/>
        <v>3.08</v>
      </c>
      <c r="AO406" s="128">
        <f t="shared" si="673"/>
        <v>1389996</v>
      </c>
      <c r="AP406" s="130">
        <f t="shared" si="674"/>
        <v>1023561</v>
      </c>
      <c r="AQ406" s="130">
        <f t="shared" si="675"/>
        <v>0</v>
      </c>
      <c r="AR406" s="130">
        <f t="shared" si="676"/>
        <v>345964</v>
      </c>
      <c r="AS406" s="130">
        <f t="shared" si="677"/>
        <v>20471</v>
      </c>
      <c r="AT406" s="130">
        <f t="shared" si="678"/>
        <v>0</v>
      </c>
      <c r="AU406" s="132">
        <f t="shared" si="679"/>
        <v>3.08</v>
      </c>
      <c r="AV406" s="132">
        <f t="shared" si="680"/>
        <v>3.08</v>
      </c>
      <c r="AW406" s="133">
        <f t="shared" si="681"/>
        <v>0</v>
      </c>
    </row>
    <row r="407" spans="1:49" ht="14.1" customHeight="1" x14ac:dyDescent="0.2">
      <c r="A407" s="124">
        <v>82</v>
      </c>
      <c r="B407" s="121">
        <v>2466</v>
      </c>
      <c r="C407" s="144">
        <v>600079821</v>
      </c>
      <c r="D407" s="121">
        <v>70695083</v>
      </c>
      <c r="E407" s="123" t="s">
        <v>735</v>
      </c>
      <c r="F407" s="124">
        <v>3141</v>
      </c>
      <c r="G407" s="123" t="s">
        <v>321</v>
      </c>
      <c r="H407" s="125" t="s">
        <v>284</v>
      </c>
      <c r="I407" s="126">
        <f t="shared" si="669"/>
        <v>849172</v>
      </c>
      <c r="J407" s="666">
        <v>621979</v>
      </c>
      <c r="K407" s="127">
        <f t="shared" si="684"/>
        <v>210229</v>
      </c>
      <c r="L407" s="477">
        <f t="shared" si="685"/>
        <v>12440</v>
      </c>
      <c r="M407" s="666">
        <v>4524</v>
      </c>
      <c r="N407" s="390">
        <f t="shared" si="670"/>
        <v>2.12</v>
      </c>
      <c r="O407" s="668">
        <v>0</v>
      </c>
      <c r="P407" s="667">
        <v>2.12</v>
      </c>
      <c r="Q407" s="129">
        <f t="shared" si="671"/>
        <v>0</v>
      </c>
      <c r="R407" s="130">
        <v>0</v>
      </c>
      <c r="S407" s="130">
        <v>0</v>
      </c>
      <c r="T407" s="130">
        <v>0</v>
      </c>
      <c r="U407" s="130">
        <f t="shared" si="672"/>
        <v>0</v>
      </c>
      <c r="V407" s="130">
        <v>0</v>
      </c>
      <c r="W407" s="130">
        <v>0</v>
      </c>
      <c r="X407" s="130">
        <v>0</v>
      </c>
      <c r="Y407" s="130">
        <f t="shared" si="698"/>
        <v>0</v>
      </c>
      <c r="Z407" s="130">
        <f t="shared" si="699"/>
        <v>0</v>
      </c>
      <c r="AA407" s="131">
        <f t="shared" si="700"/>
        <v>0</v>
      </c>
      <c r="AB407" s="131">
        <f t="shared" si="701"/>
        <v>0</v>
      </c>
      <c r="AC407" s="130">
        <v>0</v>
      </c>
      <c r="AD407" s="130">
        <v>0</v>
      </c>
      <c r="AE407" s="130">
        <f t="shared" si="692"/>
        <v>0</v>
      </c>
      <c r="AF407" s="130">
        <f t="shared" si="693"/>
        <v>0</v>
      </c>
      <c r="AG407" s="132">
        <v>0</v>
      </c>
      <c r="AH407" s="132">
        <v>0</v>
      </c>
      <c r="AI407" s="132">
        <v>0</v>
      </c>
      <c r="AJ407" s="132">
        <v>0</v>
      </c>
      <c r="AK407" s="132">
        <v>0</v>
      </c>
      <c r="AL407" s="132">
        <f t="shared" si="694"/>
        <v>0</v>
      </c>
      <c r="AM407" s="132">
        <f>AH407+AK407</f>
        <v>0</v>
      </c>
      <c r="AN407" s="403">
        <f t="shared" si="695"/>
        <v>0</v>
      </c>
      <c r="AO407" s="128">
        <f t="shared" si="673"/>
        <v>849172</v>
      </c>
      <c r="AP407" s="130">
        <f t="shared" si="674"/>
        <v>621979</v>
      </c>
      <c r="AQ407" s="130">
        <f t="shared" si="675"/>
        <v>0</v>
      </c>
      <c r="AR407" s="130">
        <f t="shared" si="676"/>
        <v>210229</v>
      </c>
      <c r="AS407" s="130">
        <f t="shared" si="677"/>
        <v>12440</v>
      </c>
      <c r="AT407" s="130">
        <f t="shared" si="678"/>
        <v>4524</v>
      </c>
      <c r="AU407" s="132">
        <f t="shared" si="679"/>
        <v>2.12</v>
      </c>
      <c r="AV407" s="132">
        <f t="shared" si="680"/>
        <v>0</v>
      </c>
      <c r="AW407" s="133">
        <f t="shared" si="681"/>
        <v>2.12</v>
      </c>
    </row>
    <row r="408" spans="1:49" ht="14.1" customHeight="1" x14ac:dyDescent="0.2">
      <c r="A408" s="124">
        <v>82</v>
      </c>
      <c r="B408" s="121">
        <v>2466</v>
      </c>
      <c r="C408" s="144">
        <v>600079821</v>
      </c>
      <c r="D408" s="121">
        <v>70695083</v>
      </c>
      <c r="E408" s="123" t="s">
        <v>735</v>
      </c>
      <c r="F408" s="124">
        <v>3143</v>
      </c>
      <c r="G408" s="145" t="s">
        <v>635</v>
      </c>
      <c r="H408" s="125" t="s">
        <v>283</v>
      </c>
      <c r="I408" s="126">
        <f t="shared" si="669"/>
        <v>741051</v>
      </c>
      <c r="J408" s="631">
        <v>545693</v>
      </c>
      <c r="K408" s="127">
        <f t="shared" si="684"/>
        <v>184444</v>
      </c>
      <c r="L408" s="477">
        <f t="shared" si="685"/>
        <v>10914</v>
      </c>
      <c r="M408" s="478">
        <v>0</v>
      </c>
      <c r="N408" s="390">
        <f t="shared" si="670"/>
        <v>1.1606000000000001</v>
      </c>
      <c r="O408" s="644">
        <v>1.1606000000000001</v>
      </c>
      <c r="P408" s="639">
        <v>0</v>
      </c>
      <c r="Q408" s="129">
        <f t="shared" si="671"/>
        <v>0</v>
      </c>
      <c r="R408" s="130">
        <v>0</v>
      </c>
      <c r="S408" s="130">
        <v>0</v>
      </c>
      <c r="T408" s="130">
        <v>0</v>
      </c>
      <c r="U408" s="130">
        <f t="shared" si="672"/>
        <v>0</v>
      </c>
      <c r="V408" s="130">
        <v>0</v>
      </c>
      <c r="W408" s="130">
        <v>0</v>
      </c>
      <c r="X408" s="130">
        <v>0</v>
      </c>
      <c r="Y408" s="130">
        <f t="shared" si="698"/>
        <v>0</v>
      </c>
      <c r="Z408" s="130">
        <f t="shared" si="699"/>
        <v>0</v>
      </c>
      <c r="AA408" s="131">
        <f t="shared" si="700"/>
        <v>0</v>
      </c>
      <c r="AB408" s="131">
        <f t="shared" si="701"/>
        <v>0</v>
      </c>
      <c r="AC408" s="130">
        <v>0</v>
      </c>
      <c r="AD408" s="130">
        <v>0</v>
      </c>
      <c r="AE408" s="130">
        <f t="shared" si="692"/>
        <v>0</v>
      </c>
      <c r="AF408" s="130">
        <f t="shared" si="693"/>
        <v>0</v>
      </c>
      <c r="AG408" s="132">
        <v>0</v>
      </c>
      <c r="AH408" s="132">
        <v>0</v>
      </c>
      <c r="AI408" s="132">
        <v>0</v>
      </c>
      <c r="AJ408" s="132">
        <v>0</v>
      </c>
      <c r="AK408" s="132">
        <v>0</v>
      </c>
      <c r="AL408" s="132">
        <f t="shared" si="694"/>
        <v>0</v>
      </c>
      <c r="AM408" s="132">
        <f>AH408+AK408</f>
        <v>0</v>
      </c>
      <c r="AN408" s="403">
        <f t="shared" si="695"/>
        <v>0</v>
      </c>
      <c r="AO408" s="128">
        <f t="shared" si="673"/>
        <v>741051</v>
      </c>
      <c r="AP408" s="130">
        <f t="shared" si="674"/>
        <v>545693</v>
      </c>
      <c r="AQ408" s="130">
        <f t="shared" si="675"/>
        <v>0</v>
      </c>
      <c r="AR408" s="130">
        <f t="shared" si="676"/>
        <v>184444</v>
      </c>
      <c r="AS408" s="130">
        <f t="shared" si="677"/>
        <v>10914</v>
      </c>
      <c r="AT408" s="130">
        <f t="shared" si="678"/>
        <v>0</v>
      </c>
      <c r="AU408" s="132">
        <f t="shared" si="679"/>
        <v>1.1606000000000001</v>
      </c>
      <c r="AV408" s="132">
        <f t="shared" si="680"/>
        <v>1.1606000000000001</v>
      </c>
      <c r="AW408" s="133">
        <f t="shared" si="681"/>
        <v>0</v>
      </c>
    </row>
    <row r="409" spans="1:49" ht="14.1" customHeight="1" x14ac:dyDescent="0.2">
      <c r="A409" s="124">
        <v>82</v>
      </c>
      <c r="B409" s="121">
        <v>2466</v>
      </c>
      <c r="C409" s="144">
        <v>600079821</v>
      </c>
      <c r="D409" s="121">
        <v>70695083</v>
      </c>
      <c r="E409" s="123" t="s">
        <v>735</v>
      </c>
      <c r="F409" s="124">
        <v>3143</v>
      </c>
      <c r="G409" s="145" t="s">
        <v>636</v>
      </c>
      <c r="H409" s="125" t="s">
        <v>284</v>
      </c>
      <c r="I409" s="126">
        <f t="shared" si="669"/>
        <v>22471</v>
      </c>
      <c r="J409" s="664">
        <v>15840</v>
      </c>
      <c r="K409" s="127">
        <f t="shared" si="684"/>
        <v>5354</v>
      </c>
      <c r="L409" s="477">
        <f t="shared" si="685"/>
        <v>317</v>
      </c>
      <c r="M409" s="664">
        <v>960</v>
      </c>
      <c r="N409" s="390">
        <f t="shared" si="670"/>
        <v>7.0000000000000007E-2</v>
      </c>
      <c r="O409" s="665">
        <v>0</v>
      </c>
      <c r="P409" s="667">
        <v>7.0000000000000007E-2</v>
      </c>
      <c r="Q409" s="129">
        <f t="shared" si="671"/>
        <v>0</v>
      </c>
      <c r="R409" s="130">
        <v>0</v>
      </c>
      <c r="S409" s="130">
        <v>0</v>
      </c>
      <c r="T409" s="130">
        <v>0</v>
      </c>
      <c r="U409" s="130">
        <f t="shared" si="672"/>
        <v>0</v>
      </c>
      <c r="V409" s="130">
        <v>0</v>
      </c>
      <c r="W409" s="130">
        <v>0</v>
      </c>
      <c r="X409" s="130">
        <v>0</v>
      </c>
      <c r="Y409" s="130">
        <f t="shared" si="698"/>
        <v>0</v>
      </c>
      <c r="Z409" s="130">
        <f t="shared" si="699"/>
        <v>0</v>
      </c>
      <c r="AA409" s="131">
        <f t="shared" si="700"/>
        <v>0</v>
      </c>
      <c r="AB409" s="131">
        <f t="shared" si="701"/>
        <v>0</v>
      </c>
      <c r="AC409" s="130">
        <v>0</v>
      </c>
      <c r="AD409" s="130">
        <v>0</v>
      </c>
      <c r="AE409" s="130">
        <f t="shared" si="692"/>
        <v>0</v>
      </c>
      <c r="AF409" s="130">
        <f t="shared" si="693"/>
        <v>0</v>
      </c>
      <c r="AG409" s="132">
        <v>0</v>
      </c>
      <c r="AH409" s="132">
        <v>0</v>
      </c>
      <c r="AI409" s="132">
        <v>0</v>
      </c>
      <c r="AJ409" s="132">
        <v>0</v>
      </c>
      <c r="AK409" s="132">
        <v>0</v>
      </c>
      <c r="AL409" s="132">
        <f t="shared" si="694"/>
        <v>0</v>
      </c>
      <c r="AM409" s="132">
        <f>AH409+AK409</f>
        <v>0</v>
      </c>
      <c r="AN409" s="403">
        <f t="shared" si="695"/>
        <v>0</v>
      </c>
      <c r="AO409" s="128">
        <f t="shared" si="673"/>
        <v>22471</v>
      </c>
      <c r="AP409" s="130">
        <f t="shared" si="674"/>
        <v>15840</v>
      </c>
      <c r="AQ409" s="130">
        <f t="shared" si="675"/>
        <v>0</v>
      </c>
      <c r="AR409" s="130">
        <f t="shared" si="676"/>
        <v>5354</v>
      </c>
      <c r="AS409" s="130">
        <f t="shared" si="677"/>
        <v>317</v>
      </c>
      <c r="AT409" s="130">
        <f t="shared" si="678"/>
        <v>960</v>
      </c>
      <c r="AU409" s="132">
        <f t="shared" si="679"/>
        <v>7.0000000000000007E-2</v>
      </c>
      <c r="AV409" s="132">
        <f t="shared" si="680"/>
        <v>0</v>
      </c>
      <c r="AW409" s="133">
        <f t="shared" si="681"/>
        <v>7.0000000000000007E-2</v>
      </c>
    </row>
    <row r="410" spans="1:49" ht="14.1" customHeight="1" x14ac:dyDescent="0.2">
      <c r="A410" s="137">
        <v>82</v>
      </c>
      <c r="B410" s="134">
        <v>2466</v>
      </c>
      <c r="C410" s="146">
        <v>600079821</v>
      </c>
      <c r="D410" s="134">
        <v>70695083</v>
      </c>
      <c r="E410" s="136" t="s">
        <v>736</v>
      </c>
      <c r="F410" s="137"/>
      <c r="G410" s="136"/>
      <c r="H410" s="138"/>
      <c r="I410" s="139">
        <f t="shared" ref="I410:P410" si="702">SUM(I405:I409)</f>
        <v>9432155</v>
      </c>
      <c r="J410" s="140">
        <f t="shared" si="702"/>
        <v>6858159</v>
      </c>
      <c r="K410" s="140">
        <f t="shared" si="702"/>
        <v>2318058</v>
      </c>
      <c r="L410" s="140">
        <f t="shared" si="702"/>
        <v>137164</v>
      </c>
      <c r="M410" s="140">
        <f t="shared" si="702"/>
        <v>118774</v>
      </c>
      <c r="N410" s="141">
        <f t="shared" si="702"/>
        <v>15.330100000000003</v>
      </c>
      <c r="O410" s="141">
        <f t="shared" si="702"/>
        <v>10.569600000000001</v>
      </c>
      <c r="P410" s="142">
        <f t="shared" si="702"/>
        <v>4.7605000000000004</v>
      </c>
      <c r="Q410" s="342">
        <f t="shared" ref="Q410:AW410" si="703">SUM(Q405:Q409)</f>
        <v>-40000</v>
      </c>
      <c r="R410" s="140">
        <f t="shared" si="703"/>
        <v>1023561</v>
      </c>
      <c r="S410" s="140">
        <f t="shared" si="703"/>
        <v>0</v>
      </c>
      <c r="T410" s="140">
        <f t="shared" si="703"/>
        <v>0</v>
      </c>
      <c r="U410" s="140">
        <f t="shared" si="703"/>
        <v>983561</v>
      </c>
      <c r="V410" s="140">
        <f t="shared" si="703"/>
        <v>40000</v>
      </c>
      <c r="W410" s="140">
        <f t="shared" si="703"/>
        <v>0</v>
      </c>
      <c r="X410" s="140">
        <f t="shared" si="703"/>
        <v>0</v>
      </c>
      <c r="Y410" s="140">
        <f t="shared" si="703"/>
        <v>40000</v>
      </c>
      <c r="Z410" s="140">
        <f t="shared" si="703"/>
        <v>1023561</v>
      </c>
      <c r="AA410" s="140">
        <f t="shared" si="703"/>
        <v>345964</v>
      </c>
      <c r="AB410" s="140">
        <f t="shared" si="703"/>
        <v>19671</v>
      </c>
      <c r="AC410" s="140">
        <f t="shared" si="703"/>
        <v>0</v>
      </c>
      <c r="AD410" s="140">
        <f t="shared" si="703"/>
        <v>0</v>
      </c>
      <c r="AE410" s="140">
        <f t="shared" si="703"/>
        <v>0</v>
      </c>
      <c r="AF410" s="140">
        <f t="shared" si="703"/>
        <v>1389196</v>
      </c>
      <c r="AG410" s="141">
        <f t="shared" si="703"/>
        <v>0</v>
      </c>
      <c r="AH410" s="141">
        <f t="shared" si="703"/>
        <v>0</v>
      </c>
      <c r="AI410" s="141">
        <f t="shared" si="703"/>
        <v>3.08</v>
      </c>
      <c r="AJ410" s="141">
        <f t="shared" si="703"/>
        <v>0</v>
      </c>
      <c r="AK410" s="141">
        <f t="shared" si="703"/>
        <v>0</v>
      </c>
      <c r="AL410" s="141">
        <f t="shared" si="703"/>
        <v>3.08</v>
      </c>
      <c r="AM410" s="141">
        <f t="shared" si="703"/>
        <v>0</v>
      </c>
      <c r="AN410" s="635">
        <f t="shared" si="703"/>
        <v>3.08</v>
      </c>
      <c r="AO410" s="139">
        <f t="shared" si="703"/>
        <v>10821351</v>
      </c>
      <c r="AP410" s="140">
        <f t="shared" si="703"/>
        <v>7841720</v>
      </c>
      <c r="AQ410" s="140">
        <f t="shared" si="703"/>
        <v>40000</v>
      </c>
      <c r="AR410" s="140">
        <f t="shared" si="703"/>
        <v>2664022</v>
      </c>
      <c r="AS410" s="140">
        <f t="shared" si="703"/>
        <v>156835</v>
      </c>
      <c r="AT410" s="140">
        <f t="shared" si="703"/>
        <v>118774</v>
      </c>
      <c r="AU410" s="141">
        <f t="shared" si="703"/>
        <v>18.4101</v>
      </c>
      <c r="AV410" s="141">
        <f t="shared" si="703"/>
        <v>13.649600000000001</v>
      </c>
      <c r="AW410" s="142">
        <f t="shared" si="703"/>
        <v>4.7605000000000004</v>
      </c>
    </row>
    <row r="411" spans="1:49" ht="14.1" customHeight="1" x14ac:dyDescent="0.2">
      <c r="A411" s="124">
        <v>83</v>
      </c>
      <c r="B411" s="121">
        <v>2493</v>
      </c>
      <c r="C411" s="144">
        <v>600080021</v>
      </c>
      <c r="D411" s="121">
        <v>72742399</v>
      </c>
      <c r="E411" s="123" t="s">
        <v>737</v>
      </c>
      <c r="F411" s="124">
        <v>3111</v>
      </c>
      <c r="G411" s="123" t="s">
        <v>317</v>
      </c>
      <c r="H411" s="125" t="s">
        <v>283</v>
      </c>
      <c r="I411" s="126">
        <f t="shared" si="669"/>
        <v>6720301</v>
      </c>
      <c r="J411" s="127">
        <v>4918189</v>
      </c>
      <c r="K411" s="127">
        <f t="shared" si="684"/>
        <v>1662348</v>
      </c>
      <c r="L411" s="477">
        <f t="shared" si="685"/>
        <v>98364</v>
      </c>
      <c r="M411" s="127">
        <v>41400</v>
      </c>
      <c r="N411" s="390">
        <f t="shared" si="670"/>
        <v>12.094900000000001</v>
      </c>
      <c r="O411" s="390">
        <v>9.7903000000000002</v>
      </c>
      <c r="P411" s="439">
        <v>2.3046000000000002</v>
      </c>
      <c r="Q411" s="129">
        <f>(V411+X411)*-1</f>
        <v>-78976</v>
      </c>
      <c r="R411" s="130">
        <v>0</v>
      </c>
      <c r="S411" s="130">
        <v>0</v>
      </c>
      <c r="T411" s="130">
        <v>-647005</v>
      </c>
      <c r="U411" s="130">
        <f t="shared" si="672"/>
        <v>-725981</v>
      </c>
      <c r="V411" s="130">
        <v>48000</v>
      </c>
      <c r="W411" s="130">
        <v>0</v>
      </c>
      <c r="X411" s="130">
        <v>30976</v>
      </c>
      <c r="Y411" s="130">
        <f t="shared" ref="Y411:Y416" si="704">SUM(V411:X411)</f>
        <v>78976</v>
      </c>
      <c r="Z411" s="130">
        <f t="shared" ref="Z411:Z416" si="705">U411+Y411</f>
        <v>-647005</v>
      </c>
      <c r="AA411" s="131">
        <f t="shared" ref="AA411:AA416" si="706">ROUND((U411+V411+W411)*33.8%,0)</f>
        <v>-229158</v>
      </c>
      <c r="AB411" s="131">
        <f t="shared" ref="AB411:AB416" si="707">ROUND(U411*2%,0)</f>
        <v>-14520</v>
      </c>
      <c r="AC411" s="130">
        <v>0</v>
      </c>
      <c r="AD411" s="130">
        <v>0</v>
      </c>
      <c r="AE411" s="130">
        <f t="shared" si="692"/>
        <v>0</v>
      </c>
      <c r="AF411" s="130">
        <f t="shared" si="693"/>
        <v>-890683</v>
      </c>
      <c r="AG411" s="132">
        <v>0</v>
      </c>
      <c r="AH411" s="132">
        <v>0</v>
      </c>
      <c r="AI411" s="132">
        <v>0</v>
      </c>
      <c r="AJ411" s="132">
        <v>-1.83</v>
      </c>
      <c r="AK411" s="132">
        <v>0</v>
      </c>
      <c r="AL411" s="132">
        <f t="shared" si="694"/>
        <v>-1.83</v>
      </c>
      <c r="AM411" s="132">
        <f t="shared" ref="AM411:AM416" si="708">AH411+AK411</f>
        <v>0</v>
      </c>
      <c r="AN411" s="403">
        <f t="shared" si="695"/>
        <v>-1.83</v>
      </c>
      <c r="AO411" s="128">
        <f t="shared" si="673"/>
        <v>5829618</v>
      </c>
      <c r="AP411" s="130">
        <f t="shared" si="674"/>
        <v>4192208</v>
      </c>
      <c r="AQ411" s="130">
        <f t="shared" si="675"/>
        <v>78976</v>
      </c>
      <c r="AR411" s="130">
        <f t="shared" si="676"/>
        <v>1433190</v>
      </c>
      <c r="AS411" s="130">
        <f t="shared" si="677"/>
        <v>83844</v>
      </c>
      <c r="AT411" s="130">
        <f t="shared" si="678"/>
        <v>41400</v>
      </c>
      <c r="AU411" s="132">
        <f t="shared" si="679"/>
        <v>10.264900000000001</v>
      </c>
      <c r="AV411" s="132">
        <f t="shared" si="680"/>
        <v>7.9603000000000002</v>
      </c>
      <c r="AW411" s="133">
        <f t="shared" si="681"/>
        <v>2.3046000000000002</v>
      </c>
    </row>
    <row r="412" spans="1:49" ht="14.1" customHeight="1" x14ac:dyDescent="0.2">
      <c r="A412" s="124">
        <v>83</v>
      </c>
      <c r="B412" s="121">
        <v>2493</v>
      </c>
      <c r="C412" s="144">
        <v>600080021</v>
      </c>
      <c r="D412" s="121">
        <v>72742399</v>
      </c>
      <c r="E412" s="123" t="s">
        <v>737</v>
      </c>
      <c r="F412" s="124">
        <v>3113</v>
      </c>
      <c r="G412" s="123" t="s">
        <v>320</v>
      </c>
      <c r="H412" s="125" t="s">
        <v>283</v>
      </c>
      <c r="I412" s="126">
        <f t="shared" si="669"/>
        <v>15915030</v>
      </c>
      <c r="J412" s="477">
        <v>11455486</v>
      </c>
      <c r="K412" s="127">
        <f t="shared" si="684"/>
        <v>3871954</v>
      </c>
      <c r="L412" s="477">
        <f t="shared" si="685"/>
        <v>229110</v>
      </c>
      <c r="M412" s="477">
        <v>358480</v>
      </c>
      <c r="N412" s="390">
        <f t="shared" si="670"/>
        <v>21.142199999999999</v>
      </c>
      <c r="O412" s="645">
        <v>15</v>
      </c>
      <c r="P412" s="646">
        <v>6.1421999999999999</v>
      </c>
      <c r="Q412" s="129">
        <f t="shared" si="671"/>
        <v>-77600</v>
      </c>
      <c r="R412" s="130">
        <v>0</v>
      </c>
      <c r="S412" s="130">
        <v>0</v>
      </c>
      <c r="T412" s="130">
        <v>0</v>
      </c>
      <c r="U412" s="130">
        <f t="shared" si="672"/>
        <v>-77600</v>
      </c>
      <c r="V412" s="130">
        <v>77600</v>
      </c>
      <c r="W412" s="130">
        <v>0</v>
      </c>
      <c r="X412" s="130">
        <v>0</v>
      </c>
      <c r="Y412" s="130">
        <f t="shared" si="704"/>
        <v>77600</v>
      </c>
      <c r="Z412" s="130">
        <f t="shared" si="705"/>
        <v>0</v>
      </c>
      <c r="AA412" s="131">
        <f t="shared" si="706"/>
        <v>0</v>
      </c>
      <c r="AB412" s="131">
        <f t="shared" si="707"/>
        <v>-1552</v>
      </c>
      <c r="AC412" s="130">
        <v>0</v>
      </c>
      <c r="AD412" s="130">
        <v>0</v>
      </c>
      <c r="AE412" s="130">
        <f t="shared" si="692"/>
        <v>0</v>
      </c>
      <c r="AF412" s="130">
        <f t="shared" si="693"/>
        <v>-1552</v>
      </c>
      <c r="AG412" s="132">
        <v>-0.05</v>
      </c>
      <c r="AH412" s="132">
        <v>-0.05</v>
      </c>
      <c r="AI412" s="132">
        <v>0</v>
      </c>
      <c r="AJ412" s="132">
        <v>0</v>
      </c>
      <c r="AK412" s="132">
        <v>0</v>
      </c>
      <c r="AL412" s="132">
        <f t="shared" si="694"/>
        <v>-0.05</v>
      </c>
      <c r="AM412" s="132">
        <f t="shared" si="708"/>
        <v>-0.05</v>
      </c>
      <c r="AN412" s="403">
        <f t="shared" si="695"/>
        <v>-0.1</v>
      </c>
      <c r="AO412" s="128">
        <f t="shared" si="673"/>
        <v>15913478</v>
      </c>
      <c r="AP412" s="130">
        <f t="shared" si="674"/>
        <v>11377886</v>
      </c>
      <c r="AQ412" s="130">
        <f t="shared" si="675"/>
        <v>77600</v>
      </c>
      <c r="AR412" s="130">
        <f t="shared" si="676"/>
        <v>3871954</v>
      </c>
      <c r="AS412" s="130">
        <f t="shared" si="677"/>
        <v>227558</v>
      </c>
      <c r="AT412" s="130">
        <f t="shared" si="678"/>
        <v>358480</v>
      </c>
      <c r="AU412" s="132">
        <f t="shared" si="679"/>
        <v>21.042199999999998</v>
      </c>
      <c r="AV412" s="132">
        <f t="shared" si="680"/>
        <v>14.95</v>
      </c>
      <c r="AW412" s="133">
        <f t="shared" si="681"/>
        <v>6.0922000000000001</v>
      </c>
    </row>
    <row r="413" spans="1:49" ht="14.1" customHeight="1" x14ac:dyDescent="0.2">
      <c r="A413" s="124">
        <v>83</v>
      </c>
      <c r="B413" s="121">
        <v>2493</v>
      </c>
      <c r="C413" s="144">
        <v>600080021</v>
      </c>
      <c r="D413" s="121">
        <v>72742399</v>
      </c>
      <c r="E413" s="123" t="s">
        <v>737</v>
      </c>
      <c r="F413" s="124">
        <v>3113</v>
      </c>
      <c r="G413" s="143" t="s">
        <v>318</v>
      </c>
      <c r="H413" s="125" t="s">
        <v>284</v>
      </c>
      <c r="I413" s="126">
        <f t="shared" si="669"/>
        <v>0</v>
      </c>
      <c r="J413" s="29">
        <v>0</v>
      </c>
      <c r="K413" s="127">
        <f t="shared" si="684"/>
        <v>0</v>
      </c>
      <c r="L413" s="477">
        <f t="shared" si="685"/>
        <v>0</v>
      </c>
      <c r="M413" s="29">
        <v>0</v>
      </c>
      <c r="N413" s="390">
        <f t="shared" si="670"/>
        <v>0</v>
      </c>
      <c r="O413" s="349">
        <v>0</v>
      </c>
      <c r="P413" s="639">
        <v>0</v>
      </c>
      <c r="Q413" s="129">
        <f t="shared" si="671"/>
        <v>0</v>
      </c>
      <c r="R413" s="130">
        <f>2367324+72176</f>
        <v>2439500</v>
      </c>
      <c r="S413" s="130">
        <v>0</v>
      </c>
      <c r="T413" s="130">
        <v>0</v>
      </c>
      <c r="U413" s="130">
        <f t="shared" si="672"/>
        <v>2439500</v>
      </c>
      <c r="V413" s="130">
        <v>0</v>
      </c>
      <c r="W413" s="130">
        <v>0</v>
      </c>
      <c r="X413" s="130">
        <v>0</v>
      </c>
      <c r="Y413" s="130">
        <f t="shared" si="704"/>
        <v>0</v>
      </c>
      <c r="Z413" s="130">
        <f t="shared" si="705"/>
        <v>2439500</v>
      </c>
      <c r="AA413" s="131">
        <f t="shared" si="706"/>
        <v>824551</v>
      </c>
      <c r="AB413" s="131">
        <f t="shared" si="707"/>
        <v>48790</v>
      </c>
      <c r="AC413" s="130">
        <v>0</v>
      </c>
      <c r="AD413" s="130">
        <v>0</v>
      </c>
      <c r="AE413" s="130">
        <f t="shared" si="692"/>
        <v>0</v>
      </c>
      <c r="AF413" s="130">
        <f t="shared" si="693"/>
        <v>3312841</v>
      </c>
      <c r="AG413" s="132">
        <v>0</v>
      </c>
      <c r="AH413" s="132">
        <v>0</v>
      </c>
      <c r="AI413" s="132">
        <v>7.71</v>
      </c>
      <c r="AJ413" s="132">
        <v>0</v>
      </c>
      <c r="AK413" s="132">
        <v>0</v>
      </c>
      <c r="AL413" s="132">
        <f t="shared" si="694"/>
        <v>7.71</v>
      </c>
      <c r="AM413" s="132">
        <f t="shared" si="708"/>
        <v>0</v>
      </c>
      <c r="AN413" s="403">
        <f t="shared" si="695"/>
        <v>7.71</v>
      </c>
      <c r="AO413" s="128">
        <f t="shared" si="673"/>
        <v>3312841</v>
      </c>
      <c r="AP413" s="130">
        <f t="shared" si="674"/>
        <v>2439500</v>
      </c>
      <c r="AQ413" s="130">
        <f t="shared" si="675"/>
        <v>0</v>
      </c>
      <c r="AR413" s="130">
        <f t="shared" si="676"/>
        <v>824551</v>
      </c>
      <c r="AS413" s="130">
        <f t="shared" si="677"/>
        <v>48790</v>
      </c>
      <c r="AT413" s="130">
        <f t="shared" si="678"/>
        <v>0</v>
      </c>
      <c r="AU413" s="132">
        <f t="shared" si="679"/>
        <v>7.71</v>
      </c>
      <c r="AV413" s="132">
        <f t="shared" si="680"/>
        <v>7.71</v>
      </c>
      <c r="AW413" s="133">
        <f t="shared" si="681"/>
        <v>0</v>
      </c>
    </row>
    <row r="414" spans="1:49" ht="14.1" customHeight="1" x14ac:dyDescent="0.2">
      <c r="A414" s="124">
        <v>83</v>
      </c>
      <c r="B414" s="121">
        <v>2493</v>
      </c>
      <c r="C414" s="144">
        <v>600080021</v>
      </c>
      <c r="D414" s="121">
        <v>72742399</v>
      </c>
      <c r="E414" s="123" t="s">
        <v>737</v>
      </c>
      <c r="F414" s="124">
        <v>3141</v>
      </c>
      <c r="G414" s="123" t="s">
        <v>321</v>
      </c>
      <c r="H414" s="125" t="s">
        <v>284</v>
      </c>
      <c r="I414" s="126">
        <f t="shared" si="669"/>
        <v>2494781</v>
      </c>
      <c r="J414" s="666">
        <v>1823646</v>
      </c>
      <c r="K414" s="127">
        <f t="shared" si="684"/>
        <v>616392</v>
      </c>
      <c r="L414" s="477">
        <f t="shared" si="685"/>
        <v>36473</v>
      </c>
      <c r="M414" s="666">
        <v>18270</v>
      </c>
      <c r="N414" s="390">
        <f t="shared" si="670"/>
        <v>6.1999999999999993</v>
      </c>
      <c r="O414" s="668">
        <v>0</v>
      </c>
      <c r="P414" s="674">
        <v>6.1999999999999993</v>
      </c>
      <c r="Q414" s="129">
        <f t="shared" si="671"/>
        <v>0</v>
      </c>
      <c r="R414" s="130">
        <v>0</v>
      </c>
      <c r="S414" s="130">
        <v>0</v>
      </c>
      <c r="T414" s="130">
        <v>0</v>
      </c>
      <c r="U414" s="130">
        <f t="shared" si="672"/>
        <v>0</v>
      </c>
      <c r="V414" s="130">
        <v>0</v>
      </c>
      <c r="W414" s="130">
        <v>0</v>
      </c>
      <c r="X414" s="130">
        <v>0</v>
      </c>
      <c r="Y414" s="130">
        <f t="shared" si="704"/>
        <v>0</v>
      </c>
      <c r="Z414" s="130">
        <f t="shared" si="705"/>
        <v>0</v>
      </c>
      <c r="AA414" s="131">
        <f t="shared" si="706"/>
        <v>0</v>
      </c>
      <c r="AB414" s="131">
        <f t="shared" si="707"/>
        <v>0</v>
      </c>
      <c r="AC414" s="130">
        <v>0</v>
      </c>
      <c r="AD414" s="130">
        <v>0</v>
      </c>
      <c r="AE414" s="130">
        <f t="shared" si="692"/>
        <v>0</v>
      </c>
      <c r="AF414" s="130">
        <f t="shared" si="693"/>
        <v>0</v>
      </c>
      <c r="AG414" s="132">
        <v>0</v>
      </c>
      <c r="AH414" s="132">
        <v>0</v>
      </c>
      <c r="AI414" s="132">
        <v>0</v>
      </c>
      <c r="AJ414" s="132">
        <v>0</v>
      </c>
      <c r="AK414" s="132">
        <v>0</v>
      </c>
      <c r="AL414" s="132">
        <f t="shared" si="694"/>
        <v>0</v>
      </c>
      <c r="AM414" s="132">
        <f t="shared" si="708"/>
        <v>0</v>
      </c>
      <c r="AN414" s="403">
        <f t="shared" si="695"/>
        <v>0</v>
      </c>
      <c r="AO414" s="128">
        <f t="shared" si="673"/>
        <v>2494781</v>
      </c>
      <c r="AP414" s="130">
        <f t="shared" si="674"/>
        <v>1823646</v>
      </c>
      <c r="AQ414" s="130">
        <f t="shared" si="675"/>
        <v>0</v>
      </c>
      <c r="AR414" s="130">
        <f t="shared" si="676"/>
        <v>616392</v>
      </c>
      <c r="AS414" s="130">
        <f t="shared" si="677"/>
        <v>36473</v>
      </c>
      <c r="AT414" s="130">
        <f t="shared" si="678"/>
        <v>18270</v>
      </c>
      <c r="AU414" s="132">
        <f t="shared" si="679"/>
        <v>6.1999999999999993</v>
      </c>
      <c r="AV414" s="132">
        <f t="shared" si="680"/>
        <v>0</v>
      </c>
      <c r="AW414" s="133">
        <f t="shared" si="681"/>
        <v>6.1999999999999993</v>
      </c>
    </row>
    <row r="415" spans="1:49" ht="14.1" customHeight="1" x14ac:dyDescent="0.2">
      <c r="A415" s="124">
        <v>83</v>
      </c>
      <c r="B415" s="121">
        <v>2493</v>
      </c>
      <c r="C415" s="144">
        <v>600080021</v>
      </c>
      <c r="D415" s="121">
        <v>72742399</v>
      </c>
      <c r="E415" s="123" t="s">
        <v>737</v>
      </c>
      <c r="F415" s="124">
        <v>3143</v>
      </c>
      <c r="G415" s="145" t="s">
        <v>635</v>
      </c>
      <c r="H415" s="125" t="s">
        <v>283</v>
      </c>
      <c r="I415" s="126">
        <f t="shared" si="669"/>
        <v>1917516</v>
      </c>
      <c r="J415" s="631">
        <v>1412015</v>
      </c>
      <c r="K415" s="127">
        <f t="shared" si="684"/>
        <v>477261</v>
      </c>
      <c r="L415" s="477">
        <f t="shared" si="685"/>
        <v>28240</v>
      </c>
      <c r="M415" s="478">
        <v>0</v>
      </c>
      <c r="N415" s="390">
        <f t="shared" si="670"/>
        <v>2.9641999999999999</v>
      </c>
      <c r="O415" s="644">
        <v>2.9641999999999999</v>
      </c>
      <c r="P415" s="639">
        <v>0</v>
      </c>
      <c r="Q415" s="129">
        <f t="shared" si="671"/>
        <v>0</v>
      </c>
      <c r="R415" s="130">
        <v>0</v>
      </c>
      <c r="S415" s="130">
        <v>0</v>
      </c>
      <c r="T415" s="130">
        <v>0</v>
      </c>
      <c r="U415" s="130">
        <f t="shared" si="672"/>
        <v>0</v>
      </c>
      <c r="V415" s="130">
        <v>0</v>
      </c>
      <c r="W415" s="130">
        <v>0</v>
      </c>
      <c r="X415" s="130">
        <v>0</v>
      </c>
      <c r="Y415" s="130">
        <f t="shared" si="704"/>
        <v>0</v>
      </c>
      <c r="Z415" s="130">
        <f t="shared" si="705"/>
        <v>0</v>
      </c>
      <c r="AA415" s="131">
        <f t="shared" si="706"/>
        <v>0</v>
      </c>
      <c r="AB415" s="131">
        <f t="shared" si="707"/>
        <v>0</v>
      </c>
      <c r="AC415" s="130">
        <v>0</v>
      </c>
      <c r="AD415" s="130">
        <v>0</v>
      </c>
      <c r="AE415" s="130">
        <f t="shared" si="692"/>
        <v>0</v>
      </c>
      <c r="AF415" s="130">
        <f t="shared" si="693"/>
        <v>0</v>
      </c>
      <c r="AG415" s="132">
        <v>0</v>
      </c>
      <c r="AH415" s="132">
        <v>0</v>
      </c>
      <c r="AI415" s="132">
        <v>0</v>
      </c>
      <c r="AJ415" s="132">
        <v>0</v>
      </c>
      <c r="AK415" s="132">
        <v>0</v>
      </c>
      <c r="AL415" s="132">
        <f t="shared" si="694"/>
        <v>0</v>
      </c>
      <c r="AM415" s="132">
        <f t="shared" si="708"/>
        <v>0</v>
      </c>
      <c r="AN415" s="403">
        <f t="shared" si="695"/>
        <v>0</v>
      </c>
      <c r="AO415" s="128">
        <f t="shared" si="673"/>
        <v>1917516</v>
      </c>
      <c r="AP415" s="130">
        <f t="shared" si="674"/>
        <v>1412015</v>
      </c>
      <c r="AQ415" s="130">
        <f t="shared" si="675"/>
        <v>0</v>
      </c>
      <c r="AR415" s="130">
        <f t="shared" si="676"/>
        <v>477261</v>
      </c>
      <c r="AS415" s="130">
        <f t="shared" si="677"/>
        <v>28240</v>
      </c>
      <c r="AT415" s="130">
        <f t="shared" si="678"/>
        <v>0</v>
      </c>
      <c r="AU415" s="132">
        <f t="shared" si="679"/>
        <v>2.9641999999999999</v>
      </c>
      <c r="AV415" s="132">
        <f t="shared" si="680"/>
        <v>2.9641999999999999</v>
      </c>
      <c r="AW415" s="133">
        <f t="shared" si="681"/>
        <v>0</v>
      </c>
    </row>
    <row r="416" spans="1:49" ht="14.1" customHeight="1" x14ac:dyDescent="0.2">
      <c r="A416" s="124">
        <v>83</v>
      </c>
      <c r="B416" s="121">
        <v>2493</v>
      </c>
      <c r="C416" s="144">
        <v>600080021</v>
      </c>
      <c r="D416" s="121">
        <v>72742399</v>
      </c>
      <c r="E416" s="123" t="s">
        <v>737</v>
      </c>
      <c r="F416" s="124">
        <v>3143</v>
      </c>
      <c r="G416" s="145" t="s">
        <v>636</v>
      </c>
      <c r="H416" s="125" t="s">
        <v>284</v>
      </c>
      <c r="I416" s="126">
        <f t="shared" si="669"/>
        <v>49155</v>
      </c>
      <c r="J416" s="664">
        <v>34650</v>
      </c>
      <c r="K416" s="127">
        <f t="shared" si="684"/>
        <v>11712</v>
      </c>
      <c r="L416" s="477">
        <f t="shared" si="685"/>
        <v>693</v>
      </c>
      <c r="M416" s="664">
        <v>2100</v>
      </c>
      <c r="N416" s="390">
        <f t="shared" si="670"/>
        <v>0.15</v>
      </c>
      <c r="O416" s="665">
        <v>0</v>
      </c>
      <c r="P416" s="667">
        <v>0.15</v>
      </c>
      <c r="Q416" s="129">
        <f t="shared" si="671"/>
        <v>0</v>
      </c>
      <c r="R416" s="130">
        <v>0</v>
      </c>
      <c r="S416" s="130">
        <v>0</v>
      </c>
      <c r="T416" s="130">
        <v>0</v>
      </c>
      <c r="U416" s="130">
        <f t="shared" si="672"/>
        <v>0</v>
      </c>
      <c r="V416" s="130">
        <v>0</v>
      </c>
      <c r="W416" s="130">
        <v>0</v>
      </c>
      <c r="X416" s="130">
        <v>0</v>
      </c>
      <c r="Y416" s="130">
        <f t="shared" si="704"/>
        <v>0</v>
      </c>
      <c r="Z416" s="130">
        <f t="shared" si="705"/>
        <v>0</v>
      </c>
      <c r="AA416" s="131">
        <f t="shared" si="706"/>
        <v>0</v>
      </c>
      <c r="AB416" s="131">
        <f t="shared" si="707"/>
        <v>0</v>
      </c>
      <c r="AC416" s="130">
        <v>0</v>
      </c>
      <c r="AD416" s="130">
        <v>0</v>
      </c>
      <c r="AE416" s="130">
        <f t="shared" si="692"/>
        <v>0</v>
      </c>
      <c r="AF416" s="130">
        <f t="shared" si="693"/>
        <v>0</v>
      </c>
      <c r="AG416" s="132">
        <v>0</v>
      </c>
      <c r="AH416" s="132">
        <v>0</v>
      </c>
      <c r="AI416" s="132">
        <v>0</v>
      </c>
      <c r="AJ416" s="132">
        <v>0</v>
      </c>
      <c r="AK416" s="132">
        <v>0</v>
      </c>
      <c r="AL416" s="132">
        <f t="shared" si="694"/>
        <v>0</v>
      </c>
      <c r="AM416" s="132">
        <f t="shared" si="708"/>
        <v>0</v>
      </c>
      <c r="AN416" s="403">
        <f t="shared" si="695"/>
        <v>0</v>
      </c>
      <c r="AO416" s="128">
        <f t="shared" si="673"/>
        <v>49155</v>
      </c>
      <c r="AP416" s="130">
        <f t="shared" si="674"/>
        <v>34650</v>
      </c>
      <c r="AQ416" s="130">
        <f t="shared" si="675"/>
        <v>0</v>
      </c>
      <c r="AR416" s="130">
        <f t="shared" si="676"/>
        <v>11712</v>
      </c>
      <c r="AS416" s="130">
        <f t="shared" si="677"/>
        <v>693</v>
      </c>
      <c r="AT416" s="130">
        <f t="shared" si="678"/>
        <v>2100</v>
      </c>
      <c r="AU416" s="132">
        <f t="shared" si="679"/>
        <v>0.15</v>
      </c>
      <c r="AV416" s="132">
        <f t="shared" si="680"/>
        <v>0</v>
      </c>
      <c r="AW416" s="133">
        <f t="shared" si="681"/>
        <v>0.15</v>
      </c>
    </row>
    <row r="417" spans="1:49" ht="14.1" customHeight="1" x14ac:dyDescent="0.2">
      <c r="A417" s="137">
        <v>83</v>
      </c>
      <c r="B417" s="134">
        <v>2493</v>
      </c>
      <c r="C417" s="146">
        <v>600080021</v>
      </c>
      <c r="D417" s="134">
        <v>72742399</v>
      </c>
      <c r="E417" s="136" t="s">
        <v>738</v>
      </c>
      <c r="F417" s="137"/>
      <c r="G417" s="136"/>
      <c r="H417" s="138"/>
      <c r="I417" s="139">
        <f t="shared" ref="I417:P417" si="709">SUM(I411:I416)</f>
        <v>27096783</v>
      </c>
      <c r="J417" s="140">
        <f t="shared" si="709"/>
        <v>19643986</v>
      </c>
      <c r="K417" s="140">
        <f t="shared" si="709"/>
        <v>6639667</v>
      </c>
      <c r="L417" s="140">
        <f t="shared" si="709"/>
        <v>392880</v>
      </c>
      <c r="M417" s="140">
        <f t="shared" si="709"/>
        <v>420250</v>
      </c>
      <c r="N417" s="141">
        <f t="shared" si="709"/>
        <v>42.551299999999998</v>
      </c>
      <c r="O417" s="141">
        <f t="shared" si="709"/>
        <v>27.7545</v>
      </c>
      <c r="P417" s="142">
        <f t="shared" si="709"/>
        <v>14.796799999999999</v>
      </c>
      <c r="Q417" s="342">
        <f t="shared" ref="Q417:AW417" si="710">SUM(Q411:Q416)</f>
        <v>-156576</v>
      </c>
      <c r="R417" s="140">
        <f t="shared" si="710"/>
        <v>2439500</v>
      </c>
      <c r="S417" s="140">
        <f t="shared" si="710"/>
        <v>0</v>
      </c>
      <c r="T417" s="140">
        <f t="shared" si="710"/>
        <v>-647005</v>
      </c>
      <c r="U417" s="140">
        <f t="shared" si="710"/>
        <v>1635919</v>
      </c>
      <c r="V417" s="140">
        <f t="shared" si="710"/>
        <v>125600</v>
      </c>
      <c r="W417" s="140">
        <f t="shared" si="710"/>
        <v>0</v>
      </c>
      <c r="X417" s="140">
        <f t="shared" si="710"/>
        <v>30976</v>
      </c>
      <c r="Y417" s="140">
        <f t="shared" si="710"/>
        <v>156576</v>
      </c>
      <c r="Z417" s="140">
        <f t="shared" si="710"/>
        <v>1792495</v>
      </c>
      <c r="AA417" s="140">
        <f t="shared" si="710"/>
        <v>595393</v>
      </c>
      <c r="AB417" s="140">
        <f t="shared" si="710"/>
        <v>32718</v>
      </c>
      <c r="AC417" s="140">
        <f t="shared" si="710"/>
        <v>0</v>
      </c>
      <c r="AD417" s="140">
        <f t="shared" si="710"/>
        <v>0</v>
      </c>
      <c r="AE417" s="140">
        <f t="shared" si="710"/>
        <v>0</v>
      </c>
      <c r="AF417" s="140">
        <f t="shared" si="710"/>
        <v>2420606</v>
      </c>
      <c r="AG417" s="141">
        <f t="shared" si="710"/>
        <v>-0.05</v>
      </c>
      <c r="AH417" s="141">
        <f t="shared" si="710"/>
        <v>-0.05</v>
      </c>
      <c r="AI417" s="141">
        <f t="shared" si="710"/>
        <v>7.71</v>
      </c>
      <c r="AJ417" s="141">
        <f t="shared" si="710"/>
        <v>-1.83</v>
      </c>
      <c r="AK417" s="141">
        <f t="shared" si="710"/>
        <v>0</v>
      </c>
      <c r="AL417" s="141">
        <f t="shared" si="710"/>
        <v>5.83</v>
      </c>
      <c r="AM417" s="141">
        <f t="shared" si="710"/>
        <v>-0.05</v>
      </c>
      <c r="AN417" s="635">
        <f t="shared" si="710"/>
        <v>5.7799999999999994</v>
      </c>
      <c r="AO417" s="139">
        <f t="shared" si="710"/>
        <v>29517389</v>
      </c>
      <c r="AP417" s="140">
        <f t="shared" si="710"/>
        <v>21279905</v>
      </c>
      <c r="AQ417" s="140">
        <f t="shared" si="710"/>
        <v>156576</v>
      </c>
      <c r="AR417" s="140">
        <f t="shared" si="710"/>
        <v>7235060</v>
      </c>
      <c r="AS417" s="140">
        <f t="shared" si="710"/>
        <v>425598</v>
      </c>
      <c r="AT417" s="140">
        <f t="shared" si="710"/>
        <v>420250</v>
      </c>
      <c r="AU417" s="141">
        <f t="shared" si="710"/>
        <v>48.331299999999999</v>
      </c>
      <c r="AV417" s="141">
        <f t="shared" si="710"/>
        <v>33.584499999999998</v>
      </c>
      <c r="AW417" s="142">
        <f t="shared" si="710"/>
        <v>14.7468</v>
      </c>
    </row>
    <row r="418" spans="1:49" ht="14.1" customHeight="1" x14ac:dyDescent="0.2">
      <c r="A418" s="124">
        <v>84</v>
      </c>
      <c r="B418" s="121">
        <v>2445</v>
      </c>
      <c r="C418" s="144">
        <v>600080030</v>
      </c>
      <c r="D418" s="121">
        <v>70695997</v>
      </c>
      <c r="E418" s="123" t="s">
        <v>739</v>
      </c>
      <c r="F418" s="124">
        <v>3111</v>
      </c>
      <c r="G418" s="123" t="s">
        <v>317</v>
      </c>
      <c r="H418" s="125" t="s">
        <v>283</v>
      </c>
      <c r="I418" s="126">
        <f t="shared" si="669"/>
        <v>2935592</v>
      </c>
      <c r="J418" s="127">
        <v>2147454</v>
      </c>
      <c r="K418" s="127">
        <f t="shared" si="684"/>
        <v>725839</v>
      </c>
      <c r="L418" s="477">
        <f t="shared" si="685"/>
        <v>42949</v>
      </c>
      <c r="M418" s="127">
        <v>19350</v>
      </c>
      <c r="N418" s="390">
        <f t="shared" si="670"/>
        <v>5.0217999999999998</v>
      </c>
      <c r="O418" s="390">
        <v>4</v>
      </c>
      <c r="P418" s="439">
        <v>1.0218</v>
      </c>
      <c r="Q418" s="129">
        <f t="shared" si="671"/>
        <v>0</v>
      </c>
      <c r="R418" s="130">
        <v>0</v>
      </c>
      <c r="S418" s="130">
        <v>0</v>
      </c>
      <c r="T418" s="130">
        <v>0</v>
      </c>
      <c r="U418" s="130">
        <f t="shared" si="672"/>
        <v>0</v>
      </c>
      <c r="V418" s="130">
        <v>0</v>
      </c>
      <c r="W418" s="130">
        <v>0</v>
      </c>
      <c r="X418" s="130">
        <v>0</v>
      </c>
      <c r="Y418" s="130">
        <f t="shared" ref="Y418:Y423" si="711">SUM(V418:X418)</f>
        <v>0</v>
      </c>
      <c r="Z418" s="130">
        <f t="shared" ref="Z418:Z423" si="712">U418+Y418</f>
        <v>0</v>
      </c>
      <c r="AA418" s="131">
        <f t="shared" ref="AA418:AA423" si="713">ROUND((U418+V418+W418)*33.8%,0)</f>
        <v>0</v>
      </c>
      <c r="AB418" s="131">
        <f t="shared" ref="AB418:AB423" si="714">ROUND(U418*2%,0)</f>
        <v>0</v>
      </c>
      <c r="AC418" s="130">
        <v>0</v>
      </c>
      <c r="AD418" s="130">
        <v>0</v>
      </c>
      <c r="AE418" s="130">
        <f t="shared" si="692"/>
        <v>0</v>
      </c>
      <c r="AF418" s="130">
        <f t="shared" si="693"/>
        <v>0</v>
      </c>
      <c r="AG418" s="132">
        <v>0</v>
      </c>
      <c r="AH418" s="132">
        <v>0</v>
      </c>
      <c r="AI418" s="132">
        <v>0</v>
      </c>
      <c r="AJ418" s="132">
        <v>0</v>
      </c>
      <c r="AK418" s="132">
        <v>0</v>
      </c>
      <c r="AL418" s="132">
        <f t="shared" si="694"/>
        <v>0</v>
      </c>
      <c r="AM418" s="132">
        <f t="shared" ref="AM418:AM423" si="715">AH418+AK418</f>
        <v>0</v>
      </c>
      <c r="AN418" s="403">
        <f t="shared" si="695"/>
        <v>0</v>
      </c>
      <c r="AO418" s="128">
        <f t="shared" si="673"/>
        <v>2935592</v>
      </c>
      <c r="AP418" s="130">
        <f t="shared" si="674"/>
        <v>2147454</v>
      </c>
      <c r="AQ418" s="130">
        <f t="shared" si="675"/>
        <v>0</v>
      </c>
      <c r="AR418" s="130">
        <f t="shared" si="676"/>
        <v>725839</v>
      </c>
      <c r="AS418" s="130">
        <f t="shared" si="677"/>
        <v>42949</v>
      </c>
      <c r="AT418" s="130">
        <f t="shared" si="678"/>
        <v>19350</v>
      </c>
      <c r="AU418" s="132">
        <f t="shared" si="679"/>
        <v>5.0217999999999998</v>
      </c>
      <c r="AV418" s="132">
        <f t="shared" si="680"/>
        <v>4</v>
      </c>
      <c r="AW418" s="133">
        <f t="shared" si="681"/>
        <v>1.0218</v>
      </c>
    </row>
    <row r="419" spans="1:49" ht="14.1" customHeight="1" x14ac:dyDescent="0.2">
      <c r="A419" s="124">
        <v>84</v>
      </c>
      <c r="B419" s="121">
        <v>2445</v>
      </c>
      <c r="C419" s="144">
        <v>600080030</v>
      </c>
      <c r="D419" s="121">
        <v>70695997</v>
      </c>
      <c r="E419" s="123" t="s">
        <v>739</v>
      </c>
      <c r="F419" s="124">
        <v>3117</v>
      </c>
      <c r="G419" s="123" t="s">
        <v>320</v>
      </c>
      <c r="H419" s="125" t="s">
        <v>283</v>
      </c>
      <c r="I419" s="126">
        <f t="shared" si="669"/>
        <v>3812463</v>
      </c>
      <c r="J419" s="477">
        <v>2753264</v>
      </c>
      <c r="K419" s="127">
        <v>930604</v>
      </c>
      <c r="L419" s="477">
        <f t="shared" si="685"/>
        <v>55065</v>
      </c>
      <c r="M419" s="477">
        <v>73530</v>
      </c>
      <c r="N419" s="390">
        <f t="shared" si="670"/>
        <v>5.8304999999999998</v>
      </c>
      <c r="O419" s="645">
        <v>4</v>
      </c>
      <c r="P419" s="646">
        <v>1.8304999999999998</v>
      </c>
      <c r="Q419" s="129">
        <f t="shared" si="671"/>
        <v>-88000</v>
      </c>
      <c r="R419" s="130">
        <v>0</v>
      </c>
      <c r="S419" s="130">
        <v>0</v>
      </c>
      <c r="T419" s="130">
        <v>0</v>
      </c>
      <c r="U419" s="130">
        <f t="shared" si="672"/>
        <v>-88000</v>
      </c>
      <c r="V419" s="130">
        <v>88000</v>
      </c>
      <c r="W419" s="130">
        <v>0</v>
      </c>
      <c r="X419" s="130">
        <v>0</v>
      </c>
      <c r="Y419" s="130">
        <f t="shared" si="711"/>
        <v>88000</v>
      </c>
      <c r="Z419" s="130">
        <f t="shared" si="712"/>
        <v>0</v>
      </c>
      <c r="AA419" s="131">
        <f t="shared" si="713"/>
        <v>0</v>
      </c>
      <c r="AB419" s="131">
        <f t="shared" si="714"/>
        <v>-1760</v>
      </c>
      <c r="AC419" s="130">
        <v>0</v>
      </c>
      <c r="AD419" s="130">
        <v>0</v>
      </c>
      <c r="AE419" s="130">
        <f t="shared" si="692"/>
        <v>0</v>
      </c>
      <c r="AF419" s="130">
        <f t="shared" si="693"/>
        <v>-1760</v>
      </c>
      <c r="AG419" s="132">
        <v>0</v>
      </c>
      <c r="AH419" s="132">
        <v>0</v>
      </c>
      <c r="AI419" s="132">
        <v>0</v>
      </c>
      <c r="AJ419" s="132">
        <v>0</v>
      </c>
      <c r="AK419" s="132">
        <v>0</v>
      </c>
      <c r="AL419" s="132">
        <f t="shared" si="694"/>
        <v>0</v>
      </c>
      <c r="AM419" s="132">
        <f t="shared" si="715"/>
        <v>0</v>
      </c>
      <c r="AN419" s="403">
        <f t="shared" si="695"/>
        <v>0</v>
      </c>
      <c r="AO419" s="128">
        <f t="shared" si="673"/>
        <v>3810703</v>
      </c>
      <c r="AP419" s="130">
        <f t="shared" si="674"/>
        <v>2665264</v>
      </c>
      <c r="AQ419" s="130">
        <f t="shared" si="675"/>
        <v>88000</v>
      </c>
      <c r="AR419" s="130">
        <f t="shared" si="676"/>
        <v>930604</v>
      </c>
      <c r="AS419" s="130">
        <f t="shared" si="677"/>
        <v>53305</v>
      </c>
      <c r="AT419" s="130">
        <f t="shared" si="678"/>
        <v>73530</v>
      </c>
      <c r="AU419" s="132">
        <f t="shared" si="679"/>
        <v>5.8304999999999998</v>
      </c>
      <c r="AV419" s="132">
        <f t="shared" si="680"/>
        <v>4</v>
      </c>
      <c r="AW419" s="133">
        <f t="shared" si="681"/>
        <v>1.8304999999999998</v>
      </c>
    </row>
    <row r="420" spans="1:49" ht="14.1" customHeight="1" x14ac:dyDescent="0.2">
      <c r="A420" s="124">
        <v>84</v>
      </c>
      <c r="B420" s="121">
        <v>2445</v>
      </c>
      <c r="C420" s="144">
        <v>600080030</v>
      </c>
      <c r="D420" s="121">
        <v>70695997</v>
      </c>
      <c r="E420" s="123" t="s">
        <v>739</v>
      </c>
      <c r="F420" s="124">
        <v>3117</v>
      </c>
      <c r="G420" s="143" t="s">
        <v>318</v>
      </c>
      <c r="H420" s="125" t="s">
        <v>284</v>
      </c>
      <c r="I420" s="126">
        <f t="shared" si="669"/>
        <v>0</v>
      </c>
      <c r="J420" s="29">
        <v>0</v>
      </c>
      <c r="K420" s="127">
        <f t="shared" si="684"/>
        <v>0</v>
      </c>
      <c r="L420" s="477">
        <f t="shared" si="685"/>
        <v>0</v>
      </c>
      <c r="M420" s="29">
        <v>0</v>
      </c>
      <c r="N420" s="390">
        <f t="shared" si="670"/>
        <v>0</v>
      </c>
      <c r="O420" s="349">
        <v>0</v>
      </c>
      <c r="P420" s="639">
        <v>0</v>
      </c>
      <c r="Q420" s="129">
        <f t="shared" si="671"/>
        <v>0</v>
      </c>
      <c r="R420" s="130">
        <f>735218+129917</f>
        <v>865135</v>
      </c>
      <c r="S420" s="130">
        <v>0</v>
      </c>
      <c r="T420" s="130">
        <v>0</v>
      </c>
      <c r="U420" s="130">
        <f t="shared" si="672"/>
        <v>865135</v>
      </c>
      <c r="V420" s="130">
        <v>0</v>
      </c>
      <c r="W420" s="130">
        <v>0</v>
      </c>
      <c r="X420" s="130">
        <v>0</v>
      </c>
      <c r="Y420" s="130">
        <f t="shared" si="711"/>
        <v>0</v>
      </c>
      <c r="Z420" s="130">
        <f t="shared" si="712"/>
        <v>865135</v>
      </c>
      <c r="AA420" s="131">
        <f t="shared" si="713"/>
        <v>292416</v>
      </c>
      <c r="AB420" s="131">
        <f t="shared" si="714"/>
        <v>17303</v>
      </c>
      <c r="AC420" s="130">
        <v>2000</v>
      </c>
      <c r="AD420" s="130">
        <v>0</v>
      </c>
      <c r="AE420" s="130">
        <f t="shared" si="692"/>
        <v>2000</v>
      </c>
      <c r="AF420" s="130">
        <f t="shared" si="693"/>
        <v>1176854</v>
      </c>
      <c r="AG420" s="132">
        <v>0</v>
      </c>
      <c r="AH420" s="132">
        <v>0</v>
      </c>
      <c r="AI420" s="132">
        <f>2.39+0.38</f>
        <v>2.77</v>
      </c>
      <c r="AJ420" s="132">
        <v>0</v>
      </c>
      <c r="AK420" s="132">
        <v>0</v>
      </c>
      <c r="AL420" s="132">
        <f t="shared" si="694"/>
        <v>2.77</v>
      </c>
      <c r="AM420" s="132">
        <f t="shared" si="715"/>
        <v>0</v>
      </c>
      <c r="AN420" s="403">
        <f t="shared" si="695"/>
        <v>2.77</v>
      </c>
      <c r="AO420" s="128">
        <f t="shared" si="673"/>
        <v>1176854</v>
      </c>
      <c r="AP420" s="130">
        <f t="shared" si="674"/>
        <v>865135</v>
      </c>
      <c r="AQ420" s="130">
        <f t="shared" si="675"/>
        <v>0</v>
      </c>
      <c r="AR420" s="130">
        <f t="shared" si="676"/>
        <v>292416</v>
      </c>
      <c r="AS420" s="130">
        <f t="shared" si="677"/>
        <v>17303</v>
      </c>
      <c r="AT420" s="130">
        <f t="shared" si="678"/>
        <v>2000</v>
      </c>
      <c r="AU420" s="132">
        <f t="shared" si="679"/>
        <v>2.77</v>
      </c>
      <c r="AV420" s="132">
        <f t="shared" si="680"/>
        <v>2.77</v>
      </c>
      <c r="AW420" s="133">
        <f t="shared" si="681"/>
        <v>0</v>
      </c>
    </row>
    <row r="421" spans="1:49" ht="14.1" customHeight="1" x14ac:dyDescent="0.2">
      <c r="A421" s="124">
        <v>84</v>
      </c>
      <c r="B421" s="121">
        <v>2445</v>
      </c>
      <c r="C421" s="144">
        <v>600080030</v>
      </c>
      <c r="D421" s="121">
        <v>70695997</v>
      </c>
      <c r="E421" s="123" t="s">
        <v>739</v>
      </c>
      <c r="F421" s="124">
        <v>3141</v>
      </c>
      <c r="G421" s="123" t="s">
        <v>321</v>
      </c>
      <c r="H421" s="125" t="s">
        <v>284</v>
      </c>
      <c r="I421" s="126">
        <f t="shared" si="669"/>
        <v>1011390</v>
      </c>
      <c r="J421" s="666">
        <v>741091</v>
      </c>
      <c r="K421" s="127">
        <f t="shared" si="684"/>
        <v>250489</v>
      </c>
      <c r="L421" s="477">
        <f t="shared" si="685"/>
        <v>14822</v>
      </c>
      <c r="M421" s="666">
        <v>4988</v>
      </c>
      <c r="N421" s="390">
        <f t="shared" si="670"/>
        <v>2.52</v>
      </c>
      <c r="O421" s="668">
        <v>0</v>
      </c>
      <c r="P421" s="667">
        <v>2.52</v>
      </c>
      <c r="Q421" s="129">
        <f t="shared" si="671"/>
        <v>0</v>
      </c>
      <c r="R421" s="130">
        <v>0</v>
      </c>
      <c r="S421" s="130">
        <v>0</v>
      </c>
      <c r="T421" s="130">
        <v>0</v>
      </c>
      <c r="U421" s="130">
        <f t="shared" si="672"/>
        <v>0</v>
      </c>
      <c r="V421" s="130">
        <v>0</v>
      </c>
      <c r="W421" s="130">
        <v>0</v>
      </c>
      <c r="X421" s="130">
        <v>0</v>
      </c>
      <c r="Y421" s="130">
        <f t="shared" si="711"/>
        <v>0</v>
      </c>
      <c r="Z421" s="130">
        <f t="shared" si="712"/>
        <v>0</v>
      </c>
      <c r="AA421" s="131">
        <f t="shared" si="713"/>
        <v>0</v>
      </c>
      <c r="AB421" s="131">
        <f t="shared" si="714"/>
        <v>0</v>
      </c>
      <c r="AC421" s="130">
        <v>0</v>
      </c>
      <c r="AD421" s="130">
        <v>0</v>
      </c>
      <c r="AE421" s="130">
        <f t="shared" si="692"/>
        <v>0</v>
      </c>
      <c r="AF421" s="130">
        <f t="shared" si="693"/>
        <v>0</v>
      </c>
      <c r="AG421" s="132">
        <v>0</v>
      </c>
      <c r="AH421" s="132">
        <v>0</v>
      </c>
      <c r="AI421" s="132">
        <v>0</v>
      </c>
      <c r="AJ421" s="132">
        <v>0</v>
      </c>
      <c r="AK421" s="132">
        <v>0</v>
      </c>
      <c r="AL421" s="132">
        <f t="shared" si="694"/>
        <v>0</v>
      </c>
      <c r="AM421" s="132">
        <f t="shared" si="715"/>
        <v>0</v>
      </c>
      <c r="AN421" s="403">
        <f t="shared" si="695"/>
        <v>0</v>
      </c>
      <c r="AO421" s="128">
        <f t="shared" si="673"/>
        <v>1011390</v>
      </c>
      <c r="AP421" s="130">
        <f t="shared" si="674"/>
        <v>741091</v>
      </c>
      <c r="AQ421" s="130">
        <f t="shared" si="675"/>
        <v>0</v>
      </c>
      <c r="AR421" s="130">
        <f t="shared" si="676"/>
        <v>250489</v>
      </c>
      <c r="AS421" s="130">
        <f t="shared" si="677"/>
        <v>14822</v>
      </c>
      <c r="AT421" s="130">
        <f t="shared" si="678"/>
        <v>4988</v>
      </c>
      <c r="AU421" s="132">
        <f t="shared" si="679"/>
        <v>2.52</v>
      </c>
      <c r="AV421" s="132">
        <f t="shared" si="680"/>
        <v>0</v>
      </c>
      <c r="AW421" s="133">
        <f t="shared" si="681"/>
        <v>2.52</v>
      </c>
    </row>
    <row r="422" spans="1:49" ht="14.1" customHeight="1" x14ac:dyDescent="0.2">
      <c r="A422" s="124">
        <v>84</v>
      </c>
      <c r="B422" s="121">
        <v>2445</v>
      </c>
      <c r="C422" s="144">
        <v>600080030</v>
      </c>
      <c r="D422" s="121">
        <v>70695997</v>
      </c>
      <c r="E422" s="123" t="s">
        <v>739</v>
      </c>
      <c r="F422" s="124">
        <v>3143</v>
      </c>
      <c r="G422" s="145" t="s">
        <v>635</v>
      </c>
      <c r="H422" s="125" t="s">
        <v>283</v>
      </c>
      <c r="I422" s="126">
        <f t="shared" si="669"/>
        <v>704662</v>
      </c>
      <c r="J422" s="631">
        <v>518897</v>
      </c>
      <c r="K422" s="127">
        <f t="shared" si="684"/>
        <v>175387</v>
      </c>
      <c r="L422" s="477">
        <f t="shared" si="685"/>
        <v>10378</v>
      </c>
      <c r="M422" s="478">
        <v>0</v>
      </c>
      <c r="N422" s="390">
        <f t="shared" si="670"/>
        <v>1.1432</v>
      </c>
      <c r="O422" s="644">
        <v>1.1432</v>
      </c>
      <c r="P422" s="639">
        <v>0</v>
      </c>
      <c r="Q422" s="129">
        <f t="shared" si="671"/>
        <v>0</v>
      </c>
      <c r="R422" s="130">
        <v>0</v>
      </c>
      <c r="S422" s="130">
        <v>0</v>
      </c>
      <c r="T422" s="130">
        <v>0</v>
      </c>
      <c r="U422" s="130">
        <f t="shared" si="672"/>
        <v>0</v>
      </c>
      <c r="V422" s="130">
        <v>0</v>
      </c>
      <c r="W422" s="130">
        <v>0</v>
      </c>
      <c r="X422" s="130">
        <v>0</v>
      </c>
      <c r="Y422" s="130">
        <f t="shared" si="711"/>
        <v>0</v>
      </c>
      <c r="Z422" s="130">
        <f t="shared" si="712"/>
        <v>0</v>
      </c>
      <c r="AA422" s="131">
        <f t="shared" si="713"/>
        <v>0</v>
      </c>
      <c r="AB422" s="131">
        <f t="shared" si="714"/>
        <v>0</v>
      </c>
      <c r="AC422" s="130">
        <v>0</v>
      </c>
      <c r="AD422" s="130">
        <v>0</v>
      </c>
      <c r="AE422" s="130">
        <f t="shared" si="692"/>
        <v>0</v>
      </c>
      <c r="AF422" s="130">
        <f t="shared" si="693"/>
        <v>0</v>
      </c>
      <c r="AG422" s="132">
        <v>0</v>
      </c>
      <c r="AH422" s="132">
        <v>0</v>
      </c>
      <c r="AI422" s="132">
        <v>0</v>
      </c>
      <c r="AJ422" s="132">
        <v>0</v>
      </c>
      <c r="AK422" s="132">
        <v>0</v>
      </c>
      <c r="AL422" s="132">
        <f t="shared" si="694"/>
        <v>0</v>
      </c>
      <c r="AM422" s="132">
        <f t="shared" si="715"/>
        <v>0</v>
      </c>
      <c r="AN422" s="403">
        <f t="shared" si="695"/>
        <v>0</v>
      </c>
      <c r="AO422" s="128">
        <f t="shared" si="673"/>
        <v>704662</v>
      </c>
      <c r="AP422" s="130">
        <f t="shared" si="674"/>
        <v>518897</v>
      </c>
      <c r="AQ422" s="130">
        <f t="shared" si="675"/>
        <v>0</v>
      </c>
      <c r="AR422" s="130">
        <f t="shared" si="676"/>
        <v>175387</v>
      </c>
      <c r="AS422" s="130">
        <f t="shared" si="677"/>
        <v>10378</v>
      </c>
      <c r="AT422" s="130">
        <f t="shared" si="678"/>
        <v>0</v>
      </c>
      <c r="AU422" s="132">
        <f t="shared" si="679"/>
        <v>1.1432</v>
      </c>
      <c r="AV422" s="132">
        <f t="shared" si="680"/>
        <v>1.1432</v>
      </c>
      <c r="AW422" s="133">
        <f t="shared" si="681"/>
        <v>0</v>
      </c>
    </row>
    <row r="423" spans="1:49" ht="14.1" customHeight="1" x14ac:dyDescent="0.2">
      <c r="A423" s="124">
        <v>84</v>
      </c>
      <c r="B423" s="121">
        <v>2445</v>
      </c>
      <c r="C423" s="144">
        <v>600080030</v>
      </c>
      <c r="D423" s="121">
        <v>70695997</v>
      </c>
      <c r="E423" s="123" t="s">
        <v>739</v>
      </c>
      <c r="F423" s="124">
        <v>3143</v>
      </c>
      <c r="G423" s="145" t="s">
        <v>636</v>
      </c>
      <c r="H423" s="125" t="s">
        <v>284</v>
      </c>
      <c r="I423" s="126">
        <f t="shared" si="669"/>
        <v>16853</v>
      </c>
      <c r="J423" s="664">
        <v>11880</v>
      </c>
      <c r="K423" s="127">
        <f t="shared" si="684"/>
        <v>4015</v>
      </c>
      <c r="L423" s="477">
        <f t="shared" si="685"/>
        <v>238</v>
      </c>
      <c r="M423" s="664">
        <v>720</v>
      </c>
      <c r="N423" s="390">
        <f t="shared" si="670"/>
        <v>0.05</v>
      </c>
      <c r="O423" s="665">
        <v>0</v>
      </c>
      <c r="P423" s="667">
        <v>0.05</v>
      </c>
      <c r="Q423" s="129">
        <f t="shared" si="671"/>
        <v>0</v>
      </c>
      <c r="R423" s="130">
        <v>0</v>
      </c>
      <c r="S423" s="130">
        <v>0</v>
      </c>
      <c r="T423" s="130">
        <v>0</v>
      </c>
      <c r="U423" s="130">
        <f t="shared" si="672"/>
        <v>0</v>
      </c>
      <c r="V423" s="130">
        <v>0</v>
      </c>
      <c r="W423" s="130">
        <v>0</v>
      </c>
      <c r="X423" s="130">
        <v>0</v>
      </c>
      <c r="Y423" s="130">
        <f t="shared" si="711"/>
        <v>0</v>
      </c>
      <c r="Z423" s="130">
        <f t="shared" si="712"/>
        <v>0</v>
      </c>
      <c r="AA423" s="131">
        <f t="shared" si="713"/>
        <v>0</v>
      </c>
      <c r="AB423" s="131">
        <f t="shared" si="714"/>
        <v>0</v>
      </c>
      <c r="AC423" s="130">
        <v>0</v>
      </c>
      <c r="AD423" s="130">
        <v>0</v>
      </c>
      <c r="AE423" s="130">
        <f t="shared" si="692"/>
        <v>0</v>
      </c>
      <c r="AF423" s="130">
        <f t="shared" si="693"/>
        <v>0</v>
      </c>
      <c r="AG423" s="132">
        <v>0</v>
      </c>
      <c r="AH423" s="132">
        <v>0</v>
      </c>
      <c r="AI423" s="132">
        <v>0</v>
      </c>
      <c r="AJ423" s="132">
        <v>0</v>
      </c>
      <c r="AK423" s="132">
        <v>0</v>
      </c>
      <c r="AL423" s="132">
        <f t="shared" si="694"/>
        <v>0</v>
      </c>
      <c r="AM423" s="132">
        <f t="shared" si="715"/>
        <v>0</v>
      </c>
      <c r="AN423" s="403">
        <f t="shared" si="695"/>
        <v>0</v>
      </c>
      <c r="AO423" s="128">
        <f t="shared" si="673"/>
        <v>16853</v>
      </c>
      <c r="AP423" s="130">
        <f t="shared" si="674"/>
        <v>11880</v>
      </c>
      <c r="AQ423" s="130">
        <f t="shared" si="675"/>
        <v>0</v>
      </c>
      <c r="AR423" s="130">
        <f t="shared" si="676"/>
        <v>4015</v>
      </c>
      <c r="AS423" s="130">
        <f t="shared" si="677"/>
        <v>238</v>
      </c>
      <c r="AT423" s="130">
        <f t="shared" si="678"/>
        <v>720</v>
      </c>
      <c r="AU423" s="132">
        <f t="shared" si="679"/>
        <v>0.05</v>
      </c>
      <c r="AV423" s="132">
        <f t="shared" si="680"/>
        <v>0</v>
      </c>
      <c r="AW423" s="133">
        <f t="shared" si="681"/>
        <v>0.05</v>
      </c>
    </row>
    <row r="424" spans="1:49" ht="14.1" customHeight="1" x14ac:dyDescent="0.2">
      <c r="A424" s="137">
        <v>84</v>
      </c>
      <c r="B424" s="134">
        <v>2445</v>
      </c>
      <c r="C424" s="146">
        <v>600080030</v>
      </c>
      <c r="D424" s="134">
        <v>70695997</v>
      </c>
      <c r="E424" s="136" t="s">
        <v>740</v>
      </c>
      <c r="F424" s="137"/>
      <c r="G424" s="136"/>
      <c r="H424" s="138"/>
      <c r="I424" s="139">
        <f t="shared" ref="I424:P424" si="716">SUM(I418:I423)</f>
        <v>8480960</v>
      </c>
      <c r="J424" s="140">
        <f t="shared" si="716"/>
        <v>6172586</v>
      </c>
      <c r="K424" s="140">
        <f t="shared" si="716"/>
        <v>2086334</v>
      </c>
      <c r="L424" s="140">
        <f t="shared" si="716"/>
        <v>123452</v>
      </c>
      <c r="M424" s="140">
        <f t="shared" si="716"/>
        <v>98588</v>
      </c>
      <c r="N424" s="141">
        <f t="shared" si="716"/>
        <v>14.5655</v>
      </c>
      <c r="O424" s="141">
        <f t="shared" si="716"/>
        <v>9.1432000000000002</v>
      </c>
      <c r="P424" s="142">
        <f t="shared" si="716"/>
        <v>5.422299999999999</v>
      </c>
      <c r="Q424" s="342">
        <f t="shared" ref="Q424:AW424" si="717">SUM(Q418:Q423)</f>
        <v>-88000</v>
      </c>
      <c r="R424" s="140">
        <f t="shared" si="717"/>
        <v>865135</v>
      </c>
      <c r="S424" s="140">
        <f t="shared" si="717"/>
        <v>0</v>
      </c>
      <c r="T424" s="140">
        <f t="shared" si="717"/>
        <v>0</v>
      </c>
      <c r="U424" s="140">
        <f t="shared" si="717"/>
        <v>777135</v>
      </c>
      <c r="V424" s="140">
        <f t="shared" si="717"/>
        <v>88000</v>
      </c>
      <c r="W424" s="140">
        <f t="shared" si="717"/>
        <v>0</v>
      </c>
      <c r="X424" s="140">
        <f t="shared" si="717"/>
        <v>0</v>
      </c>
      <c r="Y424" s="140">
        <f t="shared" si="717"/>
        <v>88000</v>
      </c>
      <c r="Z424" s="140">
        <f t="shared" si="717"/>
        <v>865135</v>
      </c>
      <c r="AA424" s="140">
        <f t="shared" si="717"/>
        <v>292416</v>
      </c>
      <c r="AB424" s="140">
        <f t="shared" si="717"/>
        <v>15543</v>
      </c>
      <c r="AC424" s="140">
        <f t="shared" si="717"/>
        <v>2000</v>
      </c>
      <c r="AD424" s="140">
        <f t="shared" si="717"/>
        <v>0</v>
      </c>
      <c r="AE424" s="140">
        <f t="shared" si="717"/>
        <v>2000</v>
      </c>
      <c r="AF424" s="140">
        <f t="shared" si="717"/>
        <v>1175094</v>
      </c>
      <c r="AG424" s="141">
        <f t="shared" si="717"/>
        <v>0</v>
      </c>
      <c r="AH424" s="141">
        <f t="shared" si="717"/>
        <v>0</v>
      </c>
      <c r="AI424" s="141">
        <f t="shared" si="717"/>
        <v>2.77</v>
      </c>
      <c r="AJ424" s="141">
        <f t="shared" si="717"/>
        <v>0</v>
      </c>
      <c r="AK424" s="141">
        <f t="shared" si="717"/>
        <v>0</v>
      </c>
      <c r="AL424" s="141">
        <f t="shared" si="717"/>
        <v>2.77</v>
      </c>
      <c r="AM424" s="141">
        <f t="shared" si="717"/>
        <v>0</v>
      </c>
      <c r="AN424" s="635">
        <f t="shared" si="717"/>
        <v>2.77</v>
      </c>
      <c r="AO424" s="139">
        <f t="shared" si="717"/>
        <v>9656054</v>
      </c>
      <c r="AP424" s="140">
        <f t="shared" si="717"/>
        <v>6949721</v>
      </c>
      <c r="AQ424" s="140">
        <f t="shared" si="717"/>
        <v>88000</v>
      </c>
      <c r="AR424" s="140">
        <f t="shared" si="717"/>
        <v>2378750</v>
      </c>
      <c r="AS424" s="140">
        <f t="shared" si="717"/>
        <v>138995</v>
      </c>
      <c r="AT424" s="140">
        <f t="shared" si="717"/>
        <v>100588</v>
      </c>
      <c r="AU424" s="141">
        <f t="shared" si="717"/>
        <v>17.3355</v>
      </c>
      <c r="AV424" s="141">
        <f t="shared" si="717"/>
        <v>11.9132</v>
      </c>
      <c r="AW424" s="142">
        <f t="shared" si="717"/>
        <v>5.422299999999999</v>
      </c>
    </row>
    <row r="425" spans="1:49" ht="14.1" customHeight="1" x14ac:dyDescent="0.2">
      <c r="A425" s="124">
        <v>85</v>
      </c>
      <c r="B425" s="121">
        <v>2495</v>
      </c>
      <c r="C425" s="144">
        <v>600080196</v>
      </c>
      <c r="D425" s="121">
        <v>70983810</v>
      </c>
      <c r="E425" s="123" t="s">
        <v>741</v>
      </c>
      <c r="F425" s="124">
        <v>3111</v>
      </c>
      <c r="G425" s="123" t="s">
        <v>317</v>
      </c>
      <c r="H425" s="125" t="s">
        <v>283</v>
      </c>
      <c r="I425" s="126">
        <f t="shared" si="669"/>
        <v>4175613</v>
      </c>
      <c r="J425" s="127">
        <v>3054943</v>
      </c>
      <c r="K425" s="127">
        <f t="shared" si="684"/>
        <v>1032571</v>
      </c>
      <c r="L425" s="477">
        <f t="shared" si="685"/>
        <v>61099</v>
      </c>
      <c r="M425" s="127">
        <v>27000</v>
      </c>
      <c r="N425" s="390">
        <f t="shared" si="670"/>
        <v>7.2127999999999997</v>
      </c>
      <c r="O425" s="390">
        <v>5.83</v>
      </c>
      <c r="P425" s="439">
        <v>1.3828</v>
      </c>
      <c r="Q425" s="129">
        <f t="shared" si="671"/>
        <v>0</v>
      </c>
      <c r="R425" s="130">
        <v>0</v>
      </c>
      <c r="S425" s="130">
        <v>0</v>
      </c>
      <c r="T425" s="130">
        <v>0</v>
      </c>
      <c r="U425" s="130">
        <f t="shared" si="672"/>
        <v>0</v>
      </c>
      <c r="V425" s="130">
        <v>0</v>
      </c>
      <c r="W425" s="130">
        <v>0</v>
      </c>
      <c r="X425" s="130">
        <v>0</v>
      </c>
      <c r="Y425" s="130">
        <f t="shared" ref="Y425:Y430" si="718">SUM(V425:X425)</f>
        <v>0</v>
      </c>
      <c r="Z425" s="130">
        <f t="shared" ref="Z425:Z430" si="719">U425+Y425</f>
        <v>0</v>
      </c>
      <c r="AA425" s="131">
        <f t="shared" ref="AA425:AA430" si="720">ROUND((U425+V425+W425)*33.8%,0)</f>
        <v>0</v>
      </c>
      <c r="AB425" s="131">
        <f t="shared" ref="AB425:AB430" si="721">ROUND(U425*2%,0)</f>
        <v>0</v>
      </c>
      <c r="AC425" s="130">
        <v>0</v>
      </c>
      <c r="AD425" s="130">
        <v>0</v>
      </c>
      <c r="AE425" s="130">
        <f t="shared" si="692"/>
        <v>0</v>
      </c>
      <c r="AF425" s="130">
        <f t="shared" si="693"/>
        <v>0</v>
      </c>
      <c r="AG425" s="132">
        <v>0</v>
      </c>
      <c r="AH425" s="132">
        <v>0</v>
      </c>
      <c r="AI425" s="132">
        <v>0</v>
      </c>
      <c r="AJ425" s="132">
        <v>0</v>
      </c>
      <c r="AK425" s="132">
        <v>0</v>
      </c>
      <c r="AL425" s="132">
        <f t="shared" si="694"/>
        <v>0</v>
      </c>
      <c r="AM425" s="132">
        <f t="shared" ref="AM425:AM430" si="722">AH425+AK425</f>
        <v>0</v>
      </c>
      <c r="AN425" s="403">
        <f t="shared" si="695"/>
        <v>0</v>
      </c>
      <c r="AO425" s="128">
        <f t="shared" si="673"/>
        <v>4175613</v>
      </c>
      <c r="AP425" s="130">
        <f t="shared" si="674"/>
        <v>3054943</v>
      </c>
      <c r="AQ425" s="130">
        <f t="shared" si="675"/>
        <v>0</v>
      </c>
      <c r="AR425" s="130">
        <f t="shared" si="676"/>
        <v>1032571</v>
      </c>
      <c r="AS425" s="130">
        <f t="shared" si="677"/>
        <v>61099</v>
      </c>
      <c r="AT425" s="130">
        <f t="shared" si="678"/>
        <v>27000</v>
      </c>
      <c r="AU425" s="132">
        <f t="shared" si="679"/>
        <v>7.2127999999999997</v>
      </c>
      <c r="AV425" s="132">
        <f t="shared" si="680"/>
        <v>5.83</v>
      </c>
      <c r="AW425" s="133">
        <f t="shared" si="681"/>
        <v>1.3828</v>
      </c>
    </row>
    <row r="426" spans="1:49" ht="14.1" customHeight="1" x14ac:dyDescent="0.2">
      <c r="A426" s="124">
        <v>85</v>
      </c>
      <c r="B426" s="121">
        <v>2495</v>
      </c>
      <c r="C426" s="144">
        <v>600080196</v>
      </c>
      <c r="D426" s="121">
        <v>70983810</v>
      </c>
      <c r="E426" s="123" t="s">
        <v>741</v>
      </c>
      <c r="F426" s="124">
        <v>3113</v>
      </c>
      <c r="G426" s="123" t="s">
        <v>320</v>
      </c>
      <c r="H426" s="125" t="s">
        <v>283</v>
      </c>
      <c r="I426" s="126">
        <f t="shared" si="669"/>
        <v>14258343</v>
      </c>
      <c r="J426" s="477">
        <v>10281777</v>
      </c>
      <c r="K426" s="127">
        <f t="shared" si="684"/>
        <v>3475241</v>
      </c>
      <c r="L426" s="477">
        <v>205635</v>
      </c>
      <c r="M426" s="477">
        <v>295690</v>
      </c>
      <c r="N426" s="390">
        <f t="shared" si="670"/>
        <v>18.8095</v>
      </c>
      <c r="O426" s="645">
        <v>13.6318</v>
      </c>
      <c r="P426" s="646">
        <v>5.1776999999999997</v>
      </c>
      <c r="Q426" s="129">
        <f t="shared" si="671"/>
        <v>0</v>
      </c>
      <c r="R426" s="130">
        <v>0</v>
      </c>
      <c r="S426" s="130">
        <v>0</v>
      </c>
      <c r="T426" s="130">
        <v>0</v>
      </c>
      <c r="U426" s="130">
        <f t="shared" si="672"/>
        <v>0</v>
      </c>
      <c r="V426" s="130">
        <v>0</v>
      </c>
      <c r="W426" s="130">
        <v>0</v>
      </c>
      <c r="X426" s="130">
        <v>0</v>
      </c>
      <c r="Y426" s="130">
        <f t="shared" si="718"/>
        <v>0</v>
      </c>
      <c r="Z426" s="130">
        <f t="shared" si="719"/>
        <v>0</v>
      </c>
      <c r="AA426" s="131">
        <f t="shared" si="720"/>
        <v>0</v>
      </c>
      <c r="AB426" s="131">
        <f t="shared" si="721"/>
        <v>0</v>
      </c>
      <c r="AC426" s="130">
        <v>0</v>
      </c>
      <c r="AD426" s="130">
        <v>0</v>
      </c>
      <c r="AE426" s="130">
        <f t="shared" si="692"/>
        <v>0</v>
      </c>
      <c r="AF426" s="130">
        <f t="shared" si="693"/>
        <v>0</v>
      </c>
      <c r="AG426" s="132">
        <v>0</v>
      </c>
      <c r="AH426" s="132">
        <v>0</v>
      </c>
      <c r="AI426" s="132">
        <v>0</v>
      </c>
      <c r="AJ426" s="132">
        <v>0</v>
      </c>
      <c r="AK426" s="132">
        <v>0</v>
      </c>
      <c r="AL426" s="132">
        <f t="shared" si="694"/>
        <v>0</v>
      </c>
      <c r="AM426" s="132">
        <f t="shared" si="722"/>
        <v>0</v>
      </c>
      <c r="AN426" s="403">
        <f t="shared" si="695"/>
        <v>0</v>
      </c>
      <c r="AO426" s="128">
        <f t="shared" si="673"/>
        <v>14258343</v>
      </c>
      <c r="AP426" s="130">
        <f t="shared" si="674"/>
        <v>10281777</v>
      </c>
      <c r="AQ426" s="130">
        <f t="shared" si="675"/>
        <v>0</v>
      </c>
      <c r="AR426" s="130">
        <f t="shared" si="676"/>
        <v>3475241</v>
      </c>
      <c r="AS426" s="130">
        <f t="shared" si="677"/>
        <v>205635</v>
      </c>
      <c r="AT426" s="130">
        <f t="shared" si="678"/>
        <v>295690</v>
      </c>
      <c r="AU426" s="132">
        <f t="shared" si="679"/>
        <v>18.8095</v>
      </c>
      <c r="AV426" s="132">
        <f t="shared" si="680"/>
        <v>13.6318</v>
      </c>
      <c r="AW426" s="133">
        <f t="shared" si="681"/>
        <v>5.1776999999999997</v>
      </c>
    </row>
    <row r="427" spans="1:49" ht="14.1" customHeight="1" x14ac:dyDescent="0.2">
      <c r="A427" s="124">
        <v>85</v>
      </c>
      <c r="B427" s="121">
        <v>2495</v>
      </c>
      <c r="C427" s="144">
        <v>600080196</v>
      </c>
      <c r="D427" s="121">
        <v>70983810</v>
      </c>
      <c r="E427" s="123" t="s">
        <v>741</v>
      </c>
      <c r="F427" s="124">
        <v>3113</v>
      </c>
      <c r="G427" s="143" t="s">
        <v>318</v>
      </c>
      <c r="H427" s="125" t="s">
        <v>284</v>
      </c>
      <c r="I427" s="126">
        <f t="shared" si="669"/>
        <v>0</v>
      </c>
      <c r="J427" s="29">
        <v>0</v>
      </c>
      <c r="K427" s="127">
        <f t="shared" si="684"/>
        <v>0</v>
      </c>
      <c r="L427" s="477">
        <f t="shared" si="685"/>
        <v>0</v>
      </c>
      <c r="M427" s="29">
        <v>0</v>
      </c>
      <c r="N427" s="390">
        <f t="shared" si="670"/>
        <v>0</v>
      </c>
      <c r="O427" s="349">
        <v>0</v>
      </c>
      <c r="P427" s="639">
        <v>0</v>
      </c>
      <c r="Q427" s="129">
        <f t="shared" si="671"/>
        <v>0</v>
      </c>
      <c r="R427" s="130">
        <v>1738153</v>
      </c>
      <c r="S427" s="130">
        <v>0</v>
      </c>
      <c r="T427" s="130">
        <v>0</v>
      </c>
      <c r="U427" s="130">
        <f t="shared" si="672"/>
        <v>1738153</v>
      </c>
      <c r="V427" s="130">
        <v>0</v>
      </c>
      <c r="W427" s="130">
        <v>0</v>
      </c>
      <c r="X427" s="130">
        <v>0</v>
      </c>
      <c r="Y427" s="130">
        <f t="shared" si="718"/>
        <v>0</v>
      </c>
      <c r="Z427" s="130">
        <f t="shared" si="719"/>
        <v>1738153</v>
      </c>
      <c r="AA427" s="131">
        <f t="shared" si="720"/>
        <v>587496</v>
      </c>
      <c r="AB427" s="131">
        <f t="shared" si="721"/>
        <v>34763</v>
      </c>
      <c r="AC427" s="130">
        <v>0</v>
      </c>
      <c r="AD427" s="130">
        <v>0</v>
      </c>
      <c r="AE427" s="130">
        <f t="shared" si="692"/>
        <v>0</v>
      </c>
      <c r="AF427" s="130">
        <f t="shared" si="693"/>
        <v>2360412</v>
      </c>
      <c r="AG427" s="132">
        <v>0</v>
      </c>
      <c r="AH427" s="132">
        <v>0</v>
      </c>
      <c r="AI427" s="132">
        <v>4.95</v>
      </c>
      <c r="AJ427" s="132">
        <v>0</v>
      </c>
      <c r="AK427" s="132">
        <v>0</v>
      </c>
      <c r="AL427" s="132">
        <f t="shared" si="694"/>
        <v>4.95</v>
      </c>
      <c r="AM427" s="132">
        <f t="shared" si="722"/>
        <v>0</v>
      </c>
      <c r="AN427" s="403">
        <f t="shared" si="695"/>
        <v>4.95</v>
      </c>
      <c r="AO427" s="128">
        <f t="shared" si="673"/>
        <v>2360412</v>
      </c>
      <c r="AP427" s="130">
        <f t="shared" si="674"/>
        <v>1738153</v>
      </c>
      <c r="AQ427" s="130">
        <f t="shared" si="675"/>
        <v>0</v>
      </c>
      <c r="AR427" s="130">
        <f t="shared" si="676"/>
        <v>587496</v>
      </c>
      <c r="AS427" s="130">
        <f t="shared" si="677"/>
        <v>34763</v>
      </c>
      <c r="AT427" s="130">
        <f t="shared" si="678"/>
        <v>0</v>
      </c>
      <c r="AU427" s="132">
        <f t="shared" si="679"/>
        <v>4.95</v>
      </c>
      <c r="AV427" s="132">
        <f t="shared" si="680"/>
        <v>4.95</v>
      </c>
      <c r="AW427" s="133">
        <f t="shared" si="681"/>
        <v>0</v>
      </c>
    </row>
    <row r="428" spans="1:49" ht="14.1" customHeight="1" x14ac:dyDescent="0.2">
      <c r="A428" s="124">
        <v>85</v>
      </c>
      <c r="B428" s="121">
        <v>2495</v>
      </c>
      <c r="C428" s="144">
        <v>600080196</v>
      </c>
      <c r="D428" s="121">
        <v>70983810</v>
      </c>
      <c r="E428" s="123" t="s">
        <v>741</v>
      </c>
      <c r="F428" s="124">
        <v>3141</v>
      </c>
      <c r="G428" s="123" t="s">
        <v>321</v>
      </c>
      <c r="H428" s="125" t="s">
        <v>284</v>
      </c>
      <c r="I428" s="126">
        <f t="shared" si="669"/>
        <v>2163911</v>
      </c>
      <c r="J428" s="666">
        <v>1582936</v>
      </c>
      <c r="K428" s="127">
        <f t="shared" si="684"/>
        <v>535032</v>
      </c>
      <c r="L428" s="477">
        <f t="shared" si="685"/>
        <v>31659</v>
      </c>
      <c r="M428" s="666">
        <v>14284</v>
      </c>
      <c r="N428" s="390">
        <f t="shared" si="670"/>
        <v>5.38</v>
      </c>
      <c r="O428" s="668">
        <v>0</v>
      </c>
      <c r="P428" s="674">
        <v>5.38</v>
      </c>
      <c r="Q428" s="129">
        <f t="shared" si="671"/>
        <v>0</v>
      </c>
      <c r="R428" s="130">
        <v>0</v>
      </c>
      <c r="S428" s="130">
        <v>0</v>
      </c>
      <c r="T428" s="130">
        <v>0</v>
      </c>
      <c r="U428" s="130">
        <f t="shared" si="672"/>
        <v>0</v>
      </c>
      <c r="V428" s="130">
        <v>0</v>
      </c>
      <c r="W428" s="130">
        <v>0</v>
      </c>
      <c r="X428" s="130">
        <v>0</v>
      </c>
      <c r="Y428" s="130">
        <f t="shared" si="718"/>
        <v>0</v>
      </c>
      <c r="Z428" s="130">
        <f t="shared" si="719"/>
        <v>0</v>
      </c>
      <c r="AA428" s="131">
        <f t="shared" si="720"/>
        <v>0</v>
      </c>
      <c r="AB428" s="131">
        <f t="shared" si="721"/>
        <v>0</v>
      </c>
      <c r="AC428" s="130">
        <v>0</v>
      </c>
      <c r="AD428" s="130">
        <v>0</v>
      </c>
      <c r="AE428" s="130">
        <f t="shared" si="692"/>
        <v>0</v>
      </c>
      <c r="AF428" s="130">
        <f t="shared" si="693"/>
        <v>0</v>
      </c>
      <c r="AG428" s="132">
        <v>0</v>
      </c>
      <c r="AH428" s="132">
        <v>0</v>
      </c>
      <c r="AI428" s="132">
        <v>0</v>
      </c>
      <c r="AJ428" s="132">
        <v>0</v>
      </c>
      <c r="AK428" s="132">
        <v>0</v>
      </c>
      <c r="AL428" s="132">
        <f t="shared" si="694"/>
        <v>0</v>
      </c>
      <c r="AM428" s="132">
        <f t="shared" si="722"/>
        <v>0</v>
      </c>
      <c r="AN428" s="403">
        <f t="shared" si="695"/>
        <v>0</v>
      </c>
      <c r="AO428" s="128">
        <f t="shared" si="673"/>
        <v>2163911</v>
      </c>
      <c r="AP428" s="130">
        <f t="shared" si="674"/>
        <v>1582936</v>
      </c>
      <c r="AQ428" s="130">
        <f t="shared" si="675"/>
        <v>0</v>
      </c>
      <c r="AR428" s="130">
        <f t="shared" si="676"/>
        <v>535032</v>
      </c>
      <c r="AS428" s="130">
        <f t="shared" si="677"/>
        <v>31659</v>
      </c>
      <c r="AT428" s="130">
        <f t="shared" si="678"/>
        <v>14284</v>
      </c>
      <c r="AU428" s="132">
        <f t="shared" si="679"/>
        <v>5.38</v>
      </c>
      <c r="AV428" s="132">
        <f t="shared" si="680"/>
        <v>0</v>
      </c>
      <c r="AW428" s="133">
        <f t="shared" si="681"/>
        <v>5.38</v>
      </c>
    </row>
    <row r="429" spans="1:49" ht="14.1" customHeight="1" x14ac:dyDescent="0.2">
      <c r="A429" s="124">
        <v>85</v>
      </c>
      <c r="B429" s="121">
        <v>2495</v>
      </c>
      <c r="C429" s="144">
        <v>600080196</v>
      </c>
      <c r="D429" s="121">
        <v>70983810</v>
      </c>
      <c r="E429" s="123" t="s">
        <v>741</v>
      </c>
      <c r="F429" s="124">
        <v>3143</v>
      </c>
      <c r="G429" s="145" t="s">
        <v>635</v>
      </c>
      <c r="H429" s="125" t="s">
        <v>283</v>
      </c>
      <c r="I429" s="126">
        <f t="shared" si="669"/>
        <v>2029468</v>
      </c>
      <c r="J429" s="631">
        <v>1494454</v>
      </c>
      <c r="K429" s="127">
        <f t="shared" si="684"/>
        <v>505125</v>
      </c>
      <c r="L429" s="477">
        <f t="shared" si="685"/>
        <v>29889</v>
      </c>
      <c r="M429" s="478">
        <v>0</v>
      </c>
      <c r="N429" s="390">
        <f t="shared" si="670"/>
        <v>2.9630000000000001</v>
      </c>
      <c r="O429" s="644">
        <v>2.9630000000000001</v>
      </c>
      <c r="P429" s="639">
        <v>0</v>
      </c>
      <c r="Q429" s="129">
        <f t="shared" si="671"/>
        <v>0</v>
      </c>
      <c r="R429" s="130">
        <v>0</v>
      </c>
      <c r="S429" s="130">
        <v>0</v>
      </c>
      <c r="T429" s="130">
        <v>0</v>
      </c>
      <c r="U429" s="130">
        <f t="shared" si="672"/>
        <v>0</v>
      </c>
      <c r="V429" s="130">
        <v>0</v>
      </c>
      <c r="W429" s="130">
        <v>0</v>
      </c>
      <c r="X429" s="130">
        <v>0</v>
      </c>
      <c r="Y429" s="130">
        <f t="shared" si="718"/>
        <v>0</v>
      </c>
      <c r="Z429" s="130">
        <f t="shared" si="719"/>
        <v>0</v>
      </c>
      <c r="AA429" s="131">
        <f t="shared" si="720"/>
        <v>0</v>
      </c>
      <c r="AB429" s="131">
        <f t="shared" si="721"/>
        <v>0</v>
      </c>
      <c r="AC429" s="130">
        <v>0</v>
      </c>
      <c r="AD429" s="130">
        <v>0</v>
      </c>
      <c r="AE429" s="130">
        <f t="shared" si="692"/>
        <v>0</v>
      </c>
      <c r="AF429" s="130">
        <f t="shared" si="693"/>
        <v>0</v>
      </c>
      <c r="AG429" s="132">
        <v>0</v>
      </c>
      <c r="AH429" s="132">
        <v>0</v>
      </c>
      <c r="AI429" s="132">
        <v>0</v>
      </c>
      <c r="AJ429" s="132">
        <v>0</v>
      </c>
      <c r="AK429" s="132">
        <v>0</v>
      </c>
      <c r="AL429" s="132">
        <f t="shared" si="694"/>
        <v>0</v>
      </c>
      <c r="AM429" s="132">
        <f t="shared" si="722"/>
        <v>0</v>
      </c>
      <c r="AN429" s="403">
        <f t="shared" si="695"/>
        <v>0</v>
      </c>
      <c r="AO429" s="128">
        <f t="shared" si="673"/>
        <v>2029468</v>
      </c>
      <c r="AP429" s="130">
        <f t="shared" si="674"/>
        <v>1494454</v>
      </c>
      <c r="AQ429" s="130">
        <f t="shared" si="675"/>
        <v>0</v>
      </c>
      <c r="AR429" s="130">
        <f t="shared" si="676"/>
        <v>505125</v>
      </c>
      <c r="AS429" s="130">
        <f t="shared" si="677"/>
        <v>29889</v>
      </c>
      <c r="AT429" s="130">
        <f t="shared" si="678"/>
        <v>0</v>
      </c>
      <c r="AU429" s="132">
        <f t="shared" si="679"/>
        <v>2.9630000000000001</v>
      </c>
      <c r="AV429" s="132">
        <f t="shared" si="680"/>
        <v>2.9630000000000001</v>
      </c>
      <c r="AW429" s="133">
        <f t="shared" si="681"/>
        <v>0</v>
      </c>
    </row>
    <row r="430" spans="1:49" ht="14.1" customHeight="1" x14ac:dyDescent="0.2">
      <c r="A430" s="124">
        <v>85</v>
      </c>
      <c r="B430" s="121">
        <v>2495</v>
      </c>
      <c r="C430" s="144">
        <v>600080196</v>
      </c>
      <c r="D430" s="121">
        <v>70983810</v>
      </c>
      <c r="E430" s="123" t="s">
        <v>741</v>
      </c>
      <c r="F430" s="124">
        <v>3143</v>
      </c>
      <c r="G430" s="145" t="s">
        <v>636</v>
      </c>
      <c r="H430" s="125" t="s">
        <v>284</v>
      </c>
      <c r="I430" s="126">
        <f t="shared" si="669"/>
        <v>64604</v>
      </c>
      <c r="J430" s="664">
        <v>45540</v>
      </c>
      <c r="K430" s="127">
        <f t="shared" si="684"/>
        <v>15393</v>
      </c>
      <c r="L430" s="477">
        <f t="shared" si="685"/>
        <v>911</v>
      </c>
      <c r="M430" s="664">
        <v>2760</v>
      </c>
      <c r="N430" s="390">
        <f t="shared" si="670"/>
        <v>0.19</v>
      </c>
      <c r="O430" s="665">
        <v>0</v>
      </c>
      <c r="P430" s="667">
        <v>0.19</v>
      </c>
      <c r="Q430" s="129">
        <f t="shared" si="671"/>
        <v>0</v>
      </c>
      <c r="R430" s="130">
        <v>0</v>
      </c>
      <c r="S430" s="130">
        <v>0</v>
      </c>
      <c r="T430" s="130">
        <v>0</v>
      </c>
      <c r="U430" s="130">
        <f t="shared" si="672"/>
        <v>0</v>
      </c>
      <c r="V430" s="130">
        <v>0</v>
      </c>
      <c r="W430" s="130">
        <v>0</v>
      </c>
      <c r="X430" s="130">
        <v>0</v>
      </c>
      <c r="Y430" s="130">
        <f t="shared" si="718"/>
        <v>0</v>
      </c>
      <c r="Z430" s="130">
        <f t="shared" si="719"/>
        <v>0</v>
      </c>
      <c r="AA430" s="131">
        <f t="shared" si="720"/>
        <v>0</v>
      </c>
      <c r="AB430" s="131">
        <f t="shared" si="721"/>
        <v>0</v>
      </c>
      <c r="AC430" s="130">
        <v>0</v>
      </c>
      <c r="AD430" s="130">
        <v>0</v>
      </c>
      <c r="AE430" s="130">
        <f t="shared" si="692"/>
        <v>0</v>
      </c>
      <c r="AF430" s="130">
        <f t="shared" si="693"/>
        <v>0</v>
      </c>
      <c r="AG430" s="132">
        <v>0</v>
      </c>
      <c r="AH430" s="132">
        <v>0</v>
      </c>
      <c r="AI430" s="132">
        <v>0</v>
      </c>
      <c r="AJ430" s="132">
        <v>0</v>
      </c>
      <c r="AK430" s="132">
        <v>0</v>
      </c>
      <c r="AL430" s="132">
        <f t="shared" si="694"/>
        <v>0</v>
      </c>
      <c r="AM430" s="132">
        <f t="shared" si="722"/>
        <v>0</v>
      </c>
      <c r="AN430" s="403">
        <f t="shared" si="695"/>
        <v>0</v>
      </c>
      <c r="AO430" s="128">
        <f t="shared" si="673"/>
        <v>64604</v>
      </c>
      <c r="AP430" s="130">
        <f t="shared" si="674"/>
        <v>45540</v>
      </c>
      <c r="AQ430" s="130">
        <f t="shared" si="675"/>
        <v>0</v>
      </c>
      <c r="AR430" s="130">
        <f t="shared" si="676"/>
        <v>15393</v>
      </c>
      <c r="AS430" s="130">
        <f t="shared" si="677"/>
        <v>911</v>
      </c>
      <c r="AT430" s="130">
        <f t="shared" si="678"/>
        <v>2760</v>
      </c>
      <c r="AU430" s="132">
        <f t="shared" si="679"/>
        <v>0.19</v>
      </c>
      <c r="AV430" s="132">
        <f t="shared" si="680"/>
        <v>0</v>
      </c>
      <c r="AW430" s="133">
        <f t="shared" si="681"/>
        <v>0.19</v>
      </c>
    </row>
    <row r="431" spans="1:49" ht="14.1" customHeight="1" x14ac:dyDescent="0.2">
      <c r="A431" s="137">
        <v>85</v>
      </c>
      <c r="B431" s="134">
        <v>2495</v>
      </c>
      <c r="C431" s="146">
        <v>600080196</v>
      </c>
      <c r="D431" s="134">
        <v>70983810</v>
      </c>
      <c r="E431" s="136" t="s">
        <v>742</v>
      </c>
      <c r="F431" s="137"/>
      <c r="G431" s="136"/>
      <c r="H431" s="138"/>
      <c r="I431" s="139">
        <f t="shared" ref="I431:P431" si="723">SUM(I425:I430)</f>
        <v>22691939</v>
      </c>
      <c r="J431" s="140">
        <f t="shared" si="723"/>
        <v>16459650</v>
      </c>
      <c r="K431" s="140">
        <f t="shared" si="723"/>
        <v>5563362</v>
      </c>
      <c r="L431" s="140">
        <f t="shared" si="723"/>
        <v>329193</v>
      </c>
      <c r="M431" s="140">
        <f t="shared" si="723"/>
        <v>339734</v>
      </c>
      <c r="N431" s="141">
        <f t="shared" si="723"/>
        <v>34.555299999999995</v>
      </c>
      <c r="O431" s="141">
        <f t="shared" si="723"/>
        <v>22.424800000000001</v>
      </c>
      <c r="P431" s="142">
        <f t="shared" si="723"/>
        <v>12.1305</v>
      </c>
      <c r="Q431" s="342">
        <f t="shared" ref="Q431:AW431" si="724">SUM(Q425:Q430)</f>
        <v>0</v>
      </c>
      <c r="R431" s="140">
        <f t="shared" si="724"/>
        <v>1738153</v>
      </c>
      <c r="S431" s="140">
        <f t="shared" si="724"/>
        <v>0</v>
      </c>
      <c r="T431" s="140">
        <f t="shared" si="724"/>
        <v>0</v>
      </c>
      <c r="U431" s="140">
        <f t="shared" si="724"/>
        <v>1738153</v>
      </c>
      <c r="V431" s="140">
        <f t="shared" si="724"/>
        <v>0</v>
      </c>
      <c r="W431" s="140">
        <f t="shared" si="724"/>
        <v>0</v>
      </c>
      <c r="X431" s="140">
        <f t="shared" si="724"/>
        <v>0</v>
      </c>
      <c r="Y431" s="140">
        <f t="shared" si="724"/>
        <v>0</v>
      </c>
      <c r="Z431" s="140">
        <f t="shared" si="724"/>
        <v>1738153</v>
      </c>
      <c r="AA431" s="140">
        <f t="shared" si="724"/>
        <v>587496</v>
      </c>
      <c r="AB431" s="140">
        <f t="shared" si="724"/>
        <v>34763</v>
      </c>
      <c r="AC431" s="140">
        <f t="shared" si="724"/>
        <v>0</v>
      </c>
      <c r="AD431" s="140">
        <f t="shared" si="724"/>
        <v>0</v>
      </c>
      <c r="AE431" s="140">
        <f t="shared" si="724"/>
        <v>0</v>
      </c>
      <c r="AF431" s="140">
        <f t="shared" si="724"/>
        <v>2360412</v>
      </c>
      <c r="AG431" s="141">
        <f t="shared" si="724"/>
        <v>0</v>
      </c>
      <c r="AH431" s="141">
        <f t="shared" si="724"/>
        <v>0</v>
      </c>
      <c r="AI431" s="141">
        <f t="shared" si="724"/>
        <v>4.95</v>
      </c>
      <c r="AJ431" s="141">
        <f t="shared" si="724"/>
        <v>0</v>
      </c>
      <c r="AK431" s="141">
        <f t="shared" si="724"/>
        <v>0</v>
      </c>
      <c r="AL431" s="141">
        <f t="shared" si="724"/>
        <v>4.95</v>
      </c>
      <c r="AM431" s="141">
        <f t="shared" si="724"/>
        <v>0</v>
      </c>
      <c r="AN431" s="635">
        <f t="shared" si="724"/>
        <v>4.95</v>
      </c>
      <c r="AO431" s="139">
        <f t="shared" si="724"/>
        <v>25052351</v>
      </c>
      <c r="AP431" s="140">
        <f t="shared" si="724"/>
        <v>18197803</v>
      </c>
      <c r="AQ431" s="140">
        <f t="shared" si="724"/>
        <v>0</v>
      </c>
      <c r="AR431" s="140">
        <f t="shared" si="724"/>
        <v>6150858</v>
      </c>
      <c r="AS431" s="140">
        <f t="shared" si="724"/>
        <v>363956</v>
      </c>
      <c r="AT431" s="140">
        <f t="shared" si="724"/>
        <v>339734</v>
      </c>
      <c r="AU431" s="141">
        <f t="shared" si="724"/>
        <v>39.505299999999998</v>
      </c>
      <c r="AV431" s="141">
        <f t="shared" si="724"/>
        <v>27.3748</v>
      </c>
      <c r="AW431" s="142">
        <f t="shared" si="724"/>
        <v>12.1305</v>
      </c>
    </row>
    <row r="432" spans="1:49" ht="14.1" customHeight="1" x14ac:dyDescent="0.2">
      <c r="A432" s="124">
        <v>86</v>
      </c>
      <c r="B432" s="121">
        <v>2305</v>
      </c>
      <c r="C432" s="144">
        <v>650026080</v>
      </c>
      <c r="D432" s="121">
        <v>72741686</v>
      </c>
      <c r="E432" s="123" t="s">
        <v>743</v>
      </c>
      <c r="F432" s="124">
        <v>3111</v>
      </c>
      <c r="G432" s="123" t="s">
        <v>317</v>
      </c>
      <c r="H432" s="125" t="s">
        <v>283</v>
      </c>
      <c r="I432" s="126">
        <f t="shared" si="669"/>
        <v>2722311</v>
      </c>
      <c r="J432" s="127">
        <v>1993712</v>
      </c>
      <c r="K432" s="127">
        <f t="shared" si="684"/>
        <v>673875</v>
      </c>
      <c r="L432" s="477">
        <f t="shared" si="685"/>
        <v>39874</v>
      </c>
      <c r="M432" s="127">
        <v>14850</v>
      </c>
      <c r="N432" s="390">
        <f t="shared" si="670"/>
        <v>4.7927999999999997</v>
      </c>
      <c r="O432" s="390">
        <v>3.871</v>
      </c>
      <c r="P432" s="439">
        <v>0.92179999999999995</v>
      </c>
      <c r="Q432" s="129">
        <f t="shared" si="671"/>
        <v>-8000</v>
      </c>
      <c r="R432" s="130">
        <v>0</v>
      </c>
      <c r="S432" s="130">
        <v>0</v>
      </c>
      <c r="T432" s="130">
        <v>0</v>
      </c>
      <c r="U432" s="130">
        <f t="shared" si="672"/>
        <v>-8000</v>
      </c>
      <c r="V432" s="130">
        <v>8000</v>
      </c>
      <c r="W432" s="130">
        <v>0</v>
      </c>
      <c r="X432" s="130">
        <v>0</v>
      </c>
      <c r="Y432" s="130">
        <f t="shared" ref="Y432:Y437" si="725">SUM(V432:X432)</f>
        <v>8000</v>
      </c>
      <c r="Z432" s="130">
        <f t="shared" ref="Z432:Z437" si="726">U432+Y432</f>
        <v>0</v>
      </c>
      <c r="AA432" s="131">
        <f t="shared" ref="AA432:AA437" si="727">ROUND((U432+V432+W432)*33.8%,0)</f>
        <v>0</v>
      </c>
      <c r="AB432" s="131">
        <f t="shared" ref="AB432:AB437" si="728">ROUND(U432*2%,0)</f>
        <v>-160</v>
      </c>
      <c r="AC432" s="130">
        <v>0</v>
      </c>
      <c r="AD432" s="130">
        <v>0</v>
      </c>
      <c r="AE432" s="130">
        <f t="shared" si="692"/>
        <v>0</v>
      </c>
      <c r="AF432" s="130">
        <f t="shared" si="693"/>
        <v>-160</v>
      </c>
      <c r="AG432" s="132">
        <v>0</v>
      </c>
      <c r="AH432" s="132">
        <v>0</v>
      </c>
      <c r="AI432" s="132">
        <v>0</v>
      </c>
      <c r="AJ432" s="132">
        <v>0</v>
      </c>
      <c r="AK432" s="132">
        <v>0</v>
      </c>
      <c r="AL432" s="132">
        <f t="shared" si="694"/>
        <v>0</v>
      </c>
      <c r="AM432" s="132">
        <f t="shared" ref="AM432:AM437" si="729">AH432+AK432</f>
        <v>0</v>
      </c>
      <c r="AN432" s="403">
        <f t="shared" si="695"/>
        <v>0</v>
      </c>
      <c r="AO432" s="128">
        <f t="shared" si="673"/>
        <v>2722151</v>
      </c>
      <c r="AP432" s="130">
        <f t="shared" si="674"/>
        <v>1985712</v>
      </c>
      <c r="AQ432" s="130">
        <f t="shared" si="675"/>
        <v>8000</v>
      </c>
      <c r="AR432" s="130">
        <f t="shared" si="676"/>
        <v>673875</v>
      </c>
      <c r="AS432" s="130">
        <f t="shared" si="677"/>
        <v>39714</v>
      </c>
      <c r="AT432" s="130">
        <f t="shared" si="678"/>
        <v>14850</v>
      </c>
      <c r="AU432" s="132">
        <f t="shared" si="679"/>
        <v>4.7927999999999997</v>
      </c>
      <c r="AV432" s="132">
        <f t="shared" si="680"/>
        <v>3.871</v>
      </c>
      <c r="AW432" s="133">
        <f t="shared" si="681"/>
        <v>0.92179999999999995</v>
      </c>
    </row>
    <row r="433" spans="1:49" ht="14.1" customHeight="1" x14ac:dyDescent="0.2">
      <c r="A433" s="124">
        <v>86</v>
      </c>
      <c r="B433" s="121">
        <v>2305</v>
      </c>
      <c r="C433" s="144">
        <v>650026080</v>
      </c>
      <c r="D433" s="121">
        <v>72741686</v>
      </c>
      <c r="E433" s="123" t="s">
        <v>743</v>
      </c>
      <c r="F433" s="124">
        <v>3117</v>
      </c>
      <c r="G433" s="123" t="s">
        <v>320</v>
      </c>
      <c r="H433" s="125" t="s">
        <v>283</v>
      </c>
      <c r="I433" s="126">
        <f t="shared" si="669"/>
        <v>4746465</v>
      </c>
      <c r="J433" s="477">
        <v>3438524</v>
      </c>
      <c r="K433" s="127">
        <f t="shared" si="684"/>
        <v>1162221</v>
      </c>
      <c r="L433" s="477">
        <f t="shared" si="685"/>
        <v>68770</v>
      </c>
      <c r="M433" s="477">
        <v>76950</v>
      </c>
      <c r="N433" s="390">
        <f t="shared" si="670"/>
        <v>7.0144000000000002</v>
      </c>
      <c r="O433" s="645">
        <v>4.6657000000000002</v>
      </c>
      <c r="P433" s="646">
        <v>2.3487</v>
      </c>
      <c r="Q433" s="129">
        <f t="shared" si="671"/>
        <v>-20000</v>
      </c>
      <c r="R433" s="130">
        <v>0</v>
      </c>
      <c r="S433" s="130">
        <v>0</v>
      </c>
      <c r="T433" s="130">
        <v>0</v>
      </c>
      <c r="U433" s="130">
        <f t="shared" si="672"/>
        <v>-20000</v>
      </c>
      <c r="V433" s="130">
        <v>20000</v>
      </c>
      <c r="W433" s="130">
        <v>0</v>
      </c>
      <c r="X433" s="130">
        <v>0</v>
      </c>
      <c r="Y433" s="130">
        <f t="shared" si="725"/>
        <v>20000</v>
      </c>
      <c r="Z433" s="130">
        <f t="shared" si="726"/>
        <v>0</v>
      </c>
      <c r="AA433" s="131">
        <f t="shared" si="727"/>
        <v>0</v>
      </c>
      <c r="AB433" s="131">
        <f t="shared" si="728"/>
        <v>-400</v>
      </c>
      <c r="AC433" s="130">
        <v>0</v>
      </c>
      <c r="AD433" s="130">
        <v>0</v>
      </c>
      <c r="AE433" s="130">
        <f t="shared" si="692"/>
        <v>0</v>
      </c>
      <c r="AF433" s="130">
        <f t="shared" si="693"/>
        <v>-400</v>
      </c>
      <c r="AG433" s="132">
        <v>-0.01</v>
      </c>
      <c r="AH433" s="132">
        <v>-0.02</v>
      </c>
      <c r="AI433" s="132">
        <v>0</v>
      </c>
      <c r="AJ433" s="132">
        <v>0</v>
      </c>
      <c r="AK433" s="132">
        <v>0</v>
      </c>
      <c r="AL433" s="132">
        <f t="shared" si="694"/>
        <v>-0.01</v>
      </c>
      <c r="AM433" s="132">
        <f t="shared" si="729"/>
        <v>-0.02</v>
      </c>
      <c r="AN433" s="403">
        <f t="shared" si="695"/>
        <v>-0.03</v>
      </c>
      <c r="AO433" s="128">
        <f t="shared" si="673"/>
        <v>4746065</v>
      </c>
      <c r="AP433" s="130">
        <f t="shared" si="674"/>
        <v>3418524</v>
      </c>
      <c r="AQ433" s="130">
        <f t="shared" si="675"/>
        <v>20000</v>
      </c>
      <c r="AR433" s="130">
        <f t="shared" si="676"/>
        <v>1162221</v>
      </c>
      <c r="AS433" s="130">
        <f t="shared" si="677"/>
        <v>68370</v>
      </c>
      <c r="AT433" s="130">
        <f t="shared" si="678"/>
        <v>76950</v>
      </c>
      <c r="AU433" s="132">
        <f t="shared" si="679"/>
        <v>6.9843999999999999</v>
      </c>
      <c r="AV433" s="132">
        <f t="shared" si="680"/>
        <v>4.6557000000000004</v>
      </c>
      <c r="AW433" s="133">
        <f t="shared" si="681"/>
        <v>2.3287</v>
      </c>
    </row>
    <row r="434" spans="1:49" ht="14.1" customHeight="1" x14ac:dyDescent="0.2">
      <c r="A434" s="124">
        <v>86</v>
      </c>
      <c r="B434" s="121">
        <v>2305</v>
      </c>
      <c r="C434" s="144">
        <v>650026080</v>
      </c>
      <c r="D434" s="121">
        <v>72741686</v>
      </c>
      <c r="E434" s="123" t="s">
        <v>743</v>
      </c>
      <c r="F434" s="124">
        <v>3117</v>
      </c>
      <c r="G434" s="143" t="s">
        <v>318</v>
      </c>
      <c r="H434" s="125" t="s">
        <v>284</v>
      </c>
      <c r="I434" s="126">
        <f t="shared" si="669"/>
        <v>0</v>
      </c>
      <c r="J434" s="29">
        <v>0</v>
      </c>
      <c r="K434" s="127">
        <f t="shared" si="684"/>
        <v>0</v>
      </c>
      <c r="L434" s="477">
        <f t="shared" si="685"/>
        <v>0</v>
      </c>
      <c r="M434" s="29">
        <v>0</v>
      </c>
      <c r="N434" s="390">
        <f t="shared" si="670"/>
        <v>0</v>
      </c>
      <c r="O434" s="349">
        <v>0</v>
      </c>
      <c r="P434" s="639">
        <v>0</v>
      </c>
      <c r="Q434" s="129">
        <f t="shared" si="671"/>
        <v>0</v>
      </c>
      <c r="R434" s="130">
        <v>535228</v>
      </c>
      <c r="S434" s="130">
        <v>0</v>
      </c>
      <c r="T434" s="130">
        <v>0</v>
      </c>
      <c r="U434" s="130">
        <f t="shared" si="672"/>
        <v>535228</v>
      </c>
      <c r="V434" s="130">
        <v>0</v>
      </c>
      <c r="W434" s="130">
        <v>0</v>
      </c>
      <c r="X434" s="130">
        <v>0</v>
      </c>
      <c r="Y434" s="130">
        <f t="shared" si="725"/>
        <v>0</v>
      </c>
      <c r="Z434" s="130">
        <f t="shared" si="726"/>
        <v>535228</v>
      </c>
      <c r="AA434" s="131">
        <f t="shared" si="727"/>
        <v>180907</v>
      </c>
      <c r="AB434" s="131">
        <f t="shared" si="728"/>
        <v>10705</v>
      </c>
      <c r="AC434" s="130">
        <v>0</v>
      </c>
      <c r="AD434" s="130">
        <v>0</v>
      </c>
      <c r="AE434" s="130">
        <f t="shared" si="692"/>
        <v>0</v>
      </c>
      <c r="AF434" s="130">
        <f t="shared" si="693"/>
        <v>726840</v>
      </c>
      <c r="AG434" s="132">
        <v>0</v>
      </c>
      <c r="AH434" s="132">
        <v>0</v>
      </c>
      <c r="AI434" s="132">
        <v>1.48</v>
      </c>
      <c r="AJ434" s="132">
        <v>0</v>
      </c>
      <c r="AK434" s="132">
        <v>0</v>
      </c>
      <c r="AL434" s="132">
        <f t="shared" si="694"/>
        <v>1.48</v>
      </c>
      <c r="AM434" s="132">
        <f t="shared" si="729"/>
        <v>0</v>
      </c>
      <c r="AN434" s="403">
        <f t="shared" si="695"/>
        <v>1.48</v>
      </c>
      <c r="AO434" s="128">
        <f t="shared" si="673"/>
        <v>726840</v>
      </c>
      <c r="AP434" s="130">
        <f t="shared" si="674"/>
        <v>535228</v>
      </c>
      <c r="AQ434" s="130">
        <f t="shared" si="675"/>
        <v>0</v>
      </c>
      <c r="AR434" s="130">
        <f t="shared" si="676"/>
        <v>180907</v>
      </c>
      <c r="AS434" s="130">
        <f t="shared" si="677"/>
        <v>10705</v>
      </c>
      <c r="AT434" s="130">
        <f t="shared" si="678"/>
        <v>0</v>
      </c>
      <c r="AU434" s="132">
        <f t="shared" si="679"/>
        <v>1.48</v>
      </c>
      <c r="AV434" s="132">
        <f t="shared" si="680"/>
        <v>1.48</v>
      </c>
      <c r="AW434" s="133">
        <f t="shared" si="681"/>
        <v>0</v>
      </c>
    </row>
    <row r="435" spans="1:49" ht="14.1" customHeight="1" x14ac:dyDescent="0.2">
      <c r="A435" s="124">
        <v>86</v>
      </c>
      <c r="B435" s="121">
        <v>2305</v>
      </c>
      <c r="C435" s="144">
        <v>650026080</v>
      </c>
      <c r="D435" s="121">
        <v>72741686</v>
      </c>
      <c r="E435" s="123" t="s">
        <v>743</v>
      </c>
      <c r="F435" s="124">
        <v>3141</v>
      </c>
      <c r="G435" s="123" t="s">
        <v>321</v>
      </c>
      <c r="H435" s="125" t="s">
        <v>284</v>
      </c>
      <c r="I435" s="126">
        <f t="shared" si="669"/>
        <v>928007</v>
      </c>
      <c r="J435" s="666">
        <v>679594</v>
      </c>
      <c r="K435" s="127">
        <f t="shared" si="684"/>
        <v>229703</v>
      </c>
      <c r="L435" s="477">
        <f t="shared" si="685"/>
        <v>13592</v>
      </c>
      <c r="M435" s="666">
        <v>5118</v>
      </c>
      <c r="N435" s="390">
        <f t="shared" si="670"/>
        <v>2.31</v>
      </c>
      <c r="O435" s="668">
        <v>0</v>
      </c>
      <c r="P435" s="674">
        <v>2.31</v>
      </c>
      <c r="Q435" s="129">
        <f t="shared" si="671"/>
        <v>-8000</v>
      </c>
      <c r="R435" s="130">
        <v>0</v>
      </c>
      <c r="S435" s="130">
        <v>0</v>
      </c>
      <c r="T435" s="130">
        <v>0</v>
      </c>
      <c r="U435" s="130">
        <f t="shared" si="672"/>
        <v>-8000</v>
      </c>
      <c r="V435" s="130">
        <v>8000</v>
      </c>
      <c r="W435" s="130">
        <v>0</v>
      </c>
      <c r="X435" s="130">
        <v>0</v>
      </c>
      <c r="Y435" s="130">
        <f t="shared" si="725"/>
        <v>8000</v>
      </c>
      <c r="Z435" s="130">
        <f t="shared" si="726"/>
        <v>0</v>
      </c>
      <c r="AA435" s="131">
        <f t="shared" si="727"/>
        <v>0</v>
      </c>
      <c r="AB435" s="131">
        <f t="shared" si="728"/>
        <v>-160</v>
      </c>
      <c r="AC435" s="130">
        <v>0</v>
      </c>
      <c r="AD435" s="130">
        <v>0</v>
      </c>
      <c r="AE435" s="130">
        <f t="shared" si="692"/>
        <v>0</v>
      </c>
      <c r="AF435" s="130">
        <f t="shared" si="693"/>
        <v>-160</v>
      </c>
      <c r="AG435" s="132">
        <v>0</v>
      </c>
      <c r="AH435" s="132">
        <v>-0.02</v>
      </c>
      <c r="AI435" s="132">
        <v>0</v>
      </c>
      <c r="AJ435" s="132">
        <v>0</v>
      </c>
      <c r="AK435" s="132">
        <v>0</v>
      </c>
      <c r="AL435" s="132">
        <f t="shared" si="694"/>
        <v>0</v>
      </c>
      <c r="AM435" s="132">
        <f t="shared" si="729"/>
        <v>-0.02</v>
      </c>
      <c r="AN435" s="403">
        <f t="shared" si="695"/>
        <v>-0.02</v>
      </c>
      <c r="AO435" s="128">
        <f t="shared" si="673"/>
        <v>927847</v>
      </c>
      <c r="AP435" s="130">
        <f t="shared" si="674"/>
        <v>671594</v>
      </c>
      <c r="AQ435" s="130">
        <f t="shared" si="675"/>
        <v>8000</v>
      </c>
      <c r="AR435" s="130">
        <f t="shared" si="676"/>
        <v>229703</v>
      </c>
      <c r="AS435" s="130">
        <f t="shared" si="677"/>
        <v>13432</v>
      </c>
      <c r="AT435" s="130">
        <f t="shared" si="678"/>
        <v>5118</v>
      </c>
      <c r="AU435" s="132">
        <f t="shared" si="679"/>
        <v>2.29</v>
      </c>
      <c r="AV435" s="132">
        <f t="shared" si="680"/>
        <v>0</v>
      </c>
      <c r="AW435" s="133">
        <f t="shared" si="681"/>
        <v>2.29</v>
      </c>
    </row>
    <row r="436" spans="1:49" ht="14.1" customHeight="1" x14ac:dyDescent="0.2">
      <c r="A436" s="124">
        <v>86</v>
      </c>
      <c r="B436" s="121">
        <v>2305</v>
      </c>
      <c r="C436" s="144">
        <v>650026080</v>
      </c>
      <c r="D436" s="121">
        <v>72741686</v>
      </c>
      <c r="E436" s="123" t="s">
        <v>743</v>
      </c>
      <c r="F436" s="124">
        <v>3143</v>
      </c>
      <c r="G436" s="145" t="s">
        <v>635</v>
      </c>
      <c r="H436" s="125" t="s">
        <v>283</v>
      </c>
      <c r="I436" s="126">
        <f t="shared" si="669"/>
        <v>691475</v>
      </c>
      <c r="J436" s="631">
        <v>509186</v>
      </c>
      <c r="K436" s="127">
        <f t="shared" si="684"/>
        <v>172105</v>
      </c>
      <c r="L436" s="477">
        <f t="shared" si="685"/>
        <v>10184</v>
      </c>
      <c r="M436" s="478">
        <v>0</v>
      </c>
      <c r="N436" s="390">
        <f t="shared" si="670"/>
        <v>1</v>
      </c>
      <c r="O436" s="644">
        <v>1</v>
      </c>
      <c r="P436" s="639">
        <v>0</v>
      </c>
      <c r="Q436" s="129">
        <f t="shared" si="671"/>
        <v>-4000</v>
      </c>
      <c r="R436" s="130">
        <v>0</v>
      </c>
      <c r="S436" s="130">
        <v>0</v>
      </c>
      <c r="T436" s="130">
        <v>0</v>
      </c>
      <c r="U436" s="130">
        <f t="shared" si="672"/>
        <v>-4000</v>
      </c>
      <c r="V436" s="130">
        <v>4000</v>
      </c>
      <c r="W436" s="130">
        <v>0</v>
      </c>
      <c r="X436" s="130">
        <v>0</v>
      </c>
      <c r="Y436" s="130">
        <f t="shared" si="725"/>
        <v>4000</v>
      </c>
      <c r="Z436" s="130">
        <f t="shared" si="726"/>
        <v>0</v>
      </c>
      <c r="AA436" s="131">
        <f t="shared" si="727"/>
        <v>0</v>
      </c>
      <c r="AB436" s="131">
        <f t="shared" si="728"/>
        <v>-80</v>
      </c>
      <c r="AC436" s="130">
        <v>0</v>
      </c>
      <c r="AD436" s="130">
        <v>0</v>
      </c>
      <c r="AE436" s="130">
        <f t="shared" si="692"/>
        <v>0</v>
      </c>
      <c r="AF436" s="130">
        <f t="shared" si="693"/>
        <v>-80</v>
      </c>
      <c r="AG436" s="132">
        <v>0</v>
      </c>
      <c r="AH436" s="132">
        <v>0</v>
      </c>
      <c r="AI436" s="132">
        <v>0</v>
      </c>
      <c r="AJ436" s="132">
        <v>0</v>
      </c>
      <c r="AK436" s="132">
        <v>0</v>
      </c>
      <c r="AL436" s="132">
        <f t="shared" si="694"/>
        <v>0</v>
      </c>
      <c r="AM436" s="132">
        <f t="shared" si="729"/>
        <v>0</v>
      </c>
      <c r="AN436" s="403">
        <f t="shared" si="695"/>
        <v>0</v>
      </c>
      <c r="AO436" s="128">
        <f t="shared" si="673"/>
        <v>691395</v>
      </c>
      <c r="AP436" s="130">
        <f t="shared" si="674"/>
        <v>505186</v>
      </c>
      <c r="AQ436" s="130">
        <f t="shared" si="675"/>
        <v>4000</v>
      </c>
      <c r="AR436" s="130">
        <f t="shared" si="676"/>
        <v>172105</v>
      </c>
      <c r="AS436" s="130">
        <f t="shared" si="677"/>
        <v>10104</v>
      </c>
      <c r="AT436" s="130">
        <f t="shared" si="678"/>
        <v>0</v>
      </c>
      <c r="AU436" s="132">
        <f t="shared" si="679"/>
        <v>1</v>
      </c>
      <c r="AV436" s="132">
        <f t="shared" si="680"/>
        <v>1</v>
      </c>
      <c r="AW436" s="133">
        <f t="shared" si="681"/>
        <v>0</v>
      </c>
    </row>
    <row r="437" spans="1:49" ht="14.1" customHeight="1" x14ac:dyDescent="0.2">
      <c r="A437" s="124">
        <v>86</v>
      </c>
      <c r="B437" s="121">
        <v>2305</v>
      </c>
      <c r="C437" s="144">
        <v>650026080</v>
      </c>
      <c r="D437" s="121">
        <v>72741686</v>
      </c>
      <c r="E437" s="123" t="s">
        <v>743</v>
      </c>
      <c r="F437" s="124">
        <v>3143</v>
      </c>
      <c r="G437" s="145" t="s">
        <v>636</v>
      </c>
      <c r="H437" s="125" t="s">
        <v>284</v>
      </c>
      <c r="I437" s="126">
        <f t="shared" si="669"/>
        <v>17556</v>
      </c>
      <c r="J437" s="664">
        <v>12375</v>
      </c>
      <c r="K437" s="127">
        <f t="shared" si="684"/>
        <v>4183</v>
      </c>
      <c r="L437" s="477">
        <f t="shared" si="685"/>
        <v>248</v>
      </c>
      <c r="M437" s="664">
        <v>750</v>
      </c>
      <c r="N437" s="390">
        <f t="shared" si="670"/>
        <v>0.05</v>
      </c>
      <c r="O437" s="665">
        <v>0</v>
      </c>
      <c r="P437" s="667">
        <v>0.05</v>
      </c>
      <c r="Q437" s="129">
        <f t="shared" si="671"/>
        <v>0</v>
      </c>
      <c r="R437" s="130">
        <v>0</v>
      </c>
      <c r="S437" s="130">
        <v>0</v>
      </c>
      <c r="T437" s="130">
        <v>0</v>
      </c>
      <c r="U437" s="130">
        <f t="shared" si="672"/>
        <v>0</v>
      </c>
      <c r="V437" s="130">
        <v>0</v>
      </c>
      <c r="W437" s="130">
        <v>0</v>
      </c>
      <c r="X437" s="130">
        <v>0</v>
      </c>
      <c r="Y437" s="130">
        <f t="shared" si="725"/>
        <v>0</v>
      </c>
      <c r="Z437" s="130">
        <f t="shared" si="726"/>
        <v>0</v>
      </c>
      <c r="AA437" s="131">
        <f t="shared" si="727"/>
        <v>0</v>
      </c>
      <c r="AB437" s="131">
        <f t="shared" si="728"/>
        <v>0</v>
      </c>
      <c r="AC437" s="130">
        <v>0</v>
      </c>
      <c r="AD437" s="130">
        <v>0</v>
      </c>
      <c r="AE437" s="130">
        <f t="shared" si="692"/>
        <v>0</v>
      </c>
      <c r="AF437" s="130">
        <f t="shared" si="693"/>
        <v>0</v>
      </c>
      <c r="AG437" s="132">
        <v>0</v>
      </c>
      <c r="AH437" s="132">
        <v>0</v>
      </c>
      <c r="AI437" s="132">
        <v>0</v>
      </c>
      <c r="AJ437" s="132">
        <v>0</v>
      </c>
      <c r="AK437" s="132">
        <v>0</v>
      </c>
      <c r="AL437" s="132">
        <f t="shared" si="694"/>
        <v>0</v>
      </c>
      <c r="AM437" s="132">
        <f t="shared" si="729"/>
        <v>0</v>
      </c>
      <c r="AN437" s="403">
        <f t="shared" si="695"/>
        <v>0</v>
      </c>
      <c r="AO437" s="128">
        <f t="shared" si="673"/>
        <v>17556</v>
      </c>
      <c r="AP437" s="130">
        <f t="shared" si="674"/>
        <v>12375</v>
      </c>
      <c r="AQ437" s="130">
        <f t="shared" si="675"/>
        <v>0</v>
      </c>
      <c r="AR437" s="130">
        <f t="shared" si="676"/>
        <v>4183</v>
      </c>
      <c r="AS437" s="130">
        <f t="shared" si="677"/>
        <v>248</v>
      </c>
      <c r="AT437" s="130">
        <f t="shared" si="678"/>
        <v>750</v>
      </c>
      <c r="AU437" s="132">
        <f t="shared" si="679"/>
        <v>0.05</v>
      </c>
      <c r="AV437" s="132">
        <f t="shared" si="680"/>
        <v>0</v>
      </c>
      <c r="AW437" s="133">
        <f t="shared" si="681"/>
        <v>0.05</v>
      </c>
    </row>
    <row r="438" spans="1:49" ht="14.1" customHeight="1" x14ac:dyDescent="0.2">
      <c r="A438" s="137">
        <v>86</v>
      </c>
      <c r="B438" s="134">
        <v>2305</v>
      </c>
      <c r="C438" s="146">
        <v>650026080</v>
      </c>
      <c r="D438" s="134">
        <v>72741686</v>
      </c>
      <c r="E438" s="136" t="s">
        <v>744</v>
      </c>
      <c r="F438" s="137"/>
      <c r="G438" s="136"/>
      <c r="H438" s="138"/>
      <c r="I438" s="139">
        <f t="shared" ref="I438:P438" si="730">SUM(I432:I437)</f>
        <v>9105814</v>
      </c>
      <c r="J438" s="140">
        <f t="shared" si="730"/>
        <v>6633391</v>
      </c>
      <c r="K438" s="140">
        <f t="shared" si="730"/>
        <v>2242087</v>
      </c>
      <c r="L438" s="140">
        <f t="shared" si="730"/>
        <v>132668</v>
      </c>
      <c r="M438" s="140">
        <f t="shared" si="730"/>
        <v>97668</v>
      </c>
      <c r="N438" s="141">
        <f t="shared" si="730"/>
        <v>15.167200000000001</v>
      </c>
      <c r="O438" s="141">
        <f t="shared" si="730"/>
        <v>9.5366999999999997</v>
      </c>
      <c r="P438" s="142">
        <f t="shared" si="730"/>
        <v>5.6305000000000005</v>
      </c>
      <c r="Q438" s="342">
        <f t="shared" ref="Q438:AW438" si="731">SUM(Q432:Q437)</f>
        <v>-40000</v>
      </c>
      <c r="R438" s="140">
        <f t="shared" si="731"/>
        <v>535228</v>
      </c>
      <c r="S438" s="140">
        <f t="shared" si="731"/>
        <v>0</v>
      </c>
      <c r="T438" s="140">
        <f t="shared" si="731"/>
        <v>0</v>
      </c>
      <c r="U438" s="140">
        <f t="shared" si="731"/>
        <v>495228</v>
      </c>
      <c r="V438" s="140">
        <f t="shared" si="731"/>
        <v>40000</v>
      </c>
      <c r="W438" s="140">
        <f t="shared" si="731"/>
        <v>0</v>
      </c>
      <c r="X438" s="140">
        <f t="shared" si="731"/>
        <v>0</v>
      </c>
      <c r="Y438" s="140">
        <f t="shared" si="731"/>
        <v>40000</v>
      </c>
      <c r="Z438" s="140">
        <f t="shared" si="731"/>
        <v>535228</v>
      </c>
      <c r="AA438" s="140">
        <f t="shared" si="731"/>
        <v>180907</v>
      </c>
      <c r="AB438" s="140">
        <f t="shared" si="731"/>
        <v>9905</v>
      </c>
      <c r="AC438" s="140">
        <f t="shared" si="731"/>
        <v>0</v>
      </c>
      <c r="AD438" s="140">
        <f t="shared" si="731"/>
        <v>0</v>
      </c>
      <c r="AE438" s="140">
        <f t="shared" si="731"/>
        <v>0</v>
      </c>
      <c r="AF438" s="140">
        <f t="shared" si="731"/>
        <v>726040</v>
      </c>
      <c r="AG438" s="141">
        <f t="shared" si="731"/>
        <v>-0.01</v>
      </c>
      <c r="AH438" s="141">
        <f t="shared" si="731"/>
        <v>-0.04</v>
      </c>
      <c r="AI438" s="141">
        <f t="shared" si="731"/>
        <v>1.48</v>
      </c>
      <c r="AJ438" s="141">
        <f t="shared" si="731"/>
        <v>0</v>
      </c>
      <c r="AK438" s="141">
        <f t="shared" si="731"/>
        <v>0</v>
      </c>
      <c r="AL438" s="141">
        <f t="shared" si="731"/>
        <v>1.47</v>
      </c>
      <c r="AM438" s="141">
        <f t="shared" si="731"/>
        <v>-0.04</v>
      </c>
      <c r="AN438" s="635">
        <f t="shared" si="731"/>
        <v>1.43</v>
      </c>
      <c r="AO438" s="139">
        <f t="shared" si="731"/>
        <v>9831854</v>
      </c>
      <c r="AP438" s="140">
        <f t="shared" si="731"/>
        <v>7128619</v>
      </c>
      <c r="AQ438" s="140">
        <f t="shared" si="731"/>
        <v>40000</v>
      </c>
      <c r="AR438" s="140">
        <f t="shared" si="731"/>
        <v>2422994</v>
      </c>
      <c r="AS438" s="140">
        <f t="shared" si="731"/>
        <v>142573</v>
      </c>
      <c r="AT438" s="140">
        <f t="shared" si="731"/>
        <v>97668</v>
      </c>
      <c r="AU438" s="141">
        <f t="shared" si="731"/>
        <v>16.597200000000001</v>
      </c>
      <c r="AV438" s="141">
        <f t="shared" si="731"/>
        <v>11.0067</v>
      </c>
      <c r="AW438" s="142">
        <f t="shared" si="731"/>
        <v>5.5904999999999996</v>
      </c>
    </row>
    <row r="439" spans="1:49" ht="14.1" customHeight="1" x14ac:dyDescent="0.2">
      <c r="A439" s="124">
        <v>87</v>
      </c>
      <c r="B439" s="121">
        <v>2498</v>
      </c>
      <c r="C439" s="144">
        <v>650021576</v>
      </c>
      <c r="D439" s="121">
        <v>70695539</v>
      </c>
      <c r="E439" s="123" t="s">
        <v>745</v>
      </c>
      <c r="F439" s="124">
        <v>3111</v>
      </c>
      <c r="G439" s="123" t="s">
        <v>317</v>
      </c>
      <c r="H439" s="125" t="s">
        <v>283</v>
      </c>
      <c r="I439" s="126">
        <f t="shared" si="669"/>
        <v>4464241</v>
      </c>
      <c r="J439" s="127">
        <v>3265163</v>
      </c>
      <c r="K439" s="127">
        <f t="shared" si="684"/>
        <v>1103625</v>
      </c>
      <c r="L439" s="477">
        <f t="shared" si="685"/>
        <v>65303</v>
      </c>
      <c r="M439" s="127">
        <v>30150</v>
      </c>
      <c r="N439" s="390">
        <f t="shared" si="670"/>
        <v>7.3327999999999998</v>
      </c>
      <c r="O439" s="390">
        <v>5.8</v>
      </c>
      <c r="P439" s="439">
        <v>1.5327999999999999</v>
      </c>
      <c r="Q439" s="129">
        <f t="shared" si="671"/>
        <v>-8000</v>
      </c>
      <c r="R439" s="130">
        <v>0</v>
      </c>
      <c r="S439" s="130">
        <v>0</v>
      </c>
      <c r="T439" s="130">
        <v>0</v>
      </c>
      <c r="U439" s="130">
        <f t="shared" si="672"/>
        <v>-8000</v>
      </c>
      <c r="V439" s="130">
        <v>8000</v>
      </c>
      <c r="W439" s="130">
        <v>0</v>
      </c>
      <c r="X439" s="130">
        <v>0</v>
      </c>
      <c r="Y439" s="130">
        <f t="shared" ref="Y439:Y444" si="732">SUM(V439:X439)</f>
        <v>8000</v>
      </c>
      <c r="Z439" s="130">
        <f t="shared" ref="Z439:Z444" si="733">U439+Y439</f>
        <v>0</v>
      </c>
      <c r="AA439" s="131">
        <f t="shared" ref="AA439:AA444" si="734">ROUND((U439+V439+W439)*33.8%,0)</f>
        <v>0</v>
      </c>
      <c r="AB439" s="131">
        <f t="shared" ref="AB439:AB444" si="735">ROUND(U439*2%,0)</f>
        <v>-160</v>
      </c>
      <c r="AC439" s="130">
        <v>0</v>
      </c>
      <c r="AD439" s="130">
        <v>0</v>
      </c>
      <c r="AE439" s="130">
        <f t="shared" si="692"/>
        <v>0</v>
      </c>
      <c r="AF439" s="130">
        <f t="shared" si="693"/>
        <v>-160</v>
      </c>
      <c r="AG439" s="132">
        <v>0</v>
      </c>
      <c r="AH439" s="132">
        <v>0</v>
      </c>
      <c r="AI439" s="132">
        <v>0</v>
      </c>
      <c r="AJ439" s="132">
        <v>0</v>
      </c>
      <c r="AK439" s="132">
        <v>0</v>
      </c>
      <c r="AL439" s="132">
        <f t="shared" si="694"/>
        <v>0</v>
      </c>
      <c r="AM439" s="132">
        <f t="shared" ref="AM439:AM444" si="736">AH439+AK439</f>
        <v>0</v>
      </c>
      <c r="AN439" s="403">
        <f t="shared" si="695"/>
        <v>0</v>
      </c>
      <c r="AO439" s="128">
        <f t="shared" si="673"/>
        <v>4464081</v>
      </c>
      <c r="AP439" s="130">
        <f t="shared" si="674"/>
        <v>3257163</v>
      </c>
      <c r="AQ439" s="130">
        <f t="shared" si="675"/>
        <v>8000</v>
      </c>
      <c r="AR439" s="130">
        <f t="shared" si="676"/>
        <v>1103625</v>
      </c>
      <c r="AS439" s="130">
        <f t="shared" si="677"/>
        <v>65143</v>
      </c>
      <c r="AT439" s="130">
        <f t="shared" si="678"/>
        <v>30150</v>
      </c>
      <c r="AU439" s="132">
        <f t="shared" si="679"/>
        <v>7.3327999999999998</v>
      </c>
      <c r="AV439" s="132">
        <f t="shared" si="680"/>
        <v>5.8</v>
      </c>
      <c r="AW439" s="133">
        <f t="shared" si="681"/>
        <v>1.5327999999999999</v>
      </c>
    </row>
    <row r="440" spans="1:49" ht="14.1" customHeight="1" x14ac:dyDescent="0.2">
      <c r="A440" s="124">
        <v>87</v>
      </c>
      <c r="B440" s="121">
        <v>2498</v>
      </c>
      <c r="C440" s="144">
        <v>650021576</v>
      </c>
      <c r="D440" s="121">
        <v>70695539</v>
      </c>
      <c r="E440" s="123" t="s">
        <v>745</v>
      </c>
      <c r="F440" s="124">
        <v>3113</v>
      </c>
      <c r="G440" s="123" t="s">
        <v>320</v>
      </c>
      <c r="H440" s="125" t="s">
        <v>283</v>
      </c>
      <c r="I440" s="126">
        <f t="shared" si="669"/>
        <v>17120077</v>
      </c>
      <c r="J440" s="477">
        <v>12327030</v>
      </c>
      <c r="K440" s="127">
        <f t="shared" si="684"/>
        <v>4166536</v>
      </c>
      <c r="L440" s="477">
        <f t="shared" si="685"/>
        <v>246541</v>
      </c>
      <c r="M440" s="477">
        <v>379970</v>
      </c>
      <c r="N440" s="390">
        <f t="shared" si="670"/>
        <v>22.7621</v>
      </c>
      <c r="O440" s="645">
        <v>16.487300000000001</v>
      </c>
      <c r="P440" s="646">
        <v>6.2747999999999999</v>
      </c>
      <c r="Q440" s="129">
        <f t="shared" si="671"/>
        <v>-48000</v>
      </c>
      <c r="R440" s="130">
        <v>0</v>
      </c>
      <c r="S440" s="130">
        <v>0</v>
      </c>
      <c r="T440" s="130">
        <v>0</v>
      </c>
      <c r="U440" s="130">
        <f t="shared" si="672"/>
        <v>-48000</v>
      </c>
      <c r="V440" s="130">
        <v>48000</v>
      </c>
      <c r="W440" s="130">
        <v>0</v>
      </c>
      <c r="X440" s="130">
        <v>0</v>
      </c>
      <c r="Y440" s="130">
        <f t="shared" si="732"/>
        <v>48000</v>
      </c>
      <c r="Z440" s="130">
        <f t="shared" si="733"/>
        <v>0</v>
      </c>
      <c r="AA440" s="131">
        <f t="shared" si="734"/>
        <v>0</v>
      </c>
      <c r="AB440" s="131">
        <f t="shared" si="735"/>
        <v>-960</v>
      </c>
      <c r="AC440" s="130">
        <v>0</v>
      </c>
      <c r="AD440" s="130">
        <v>0</v>
      </c>
      <c r="AE440" s="130">
        <f t="shared" si="692"/>
        <v>0</v>
      </c>
      <c r="AF440" s="130">
        <f t="shared" si="693"/>
        <v>-960</v>
      </c>
      <c r="AG440" s="132">
        <v>-0.06</v>
      </c>
      <c r="AH440" s="132">
        <v>-0.08</v>
      </c>
      <c r="AI440" s="132">
        <v>0</v>
      </c>
      <c r="AJ440" s="132">
        <v>0</v>
      </c>
      <c r="AK440" s="132">
        <v>0</v>
      </c>
      <c r="AL440" s="132">
        <f t="shared" si="694"/>
        <v>-0.06</v>
      </c>
      <c r="AM440" s="132">
        <f t="shared" si="736"/>
        <v>-0.08</v>
      </c>
      <c r="AN440" s="403">
        <f t="shared" si="695"/>
        <v>-0.14000000000000001</v>
      </c>
      <c r="AO440" s="128">
        <f t="shared" si="673"/>
        <v>17119117</v>
      </c>
      <c r="AP440" s="130">
        <f t="shared" si="674"/>
        <v>12279030</v>
      </c>
      <c r="AQ440" s="130">
        <f t="shared" si="675"/>
        <v>48000</v>
      </c>
      <c r="AR440" s="130">
        <f t="shared" si="676"/>
        <v>4166536</v>
      </c>
      <c r="AS440" s="130">
        <f t="shared" si="677"/>
        <v>245581</v>
      </c>
      <c r="AT440" s="130">
        <f t="shared" si="678"/>
        <v>379970</v>
      </c>
      <c r="AU440" s="132">
        <f t="shared" si="679"/>
        <v>22.6221</v>
      </c>
      <c r="AV440" s="132">
        <f t="shared" si="680"/>
        <v>16.427300000000002</v>
      </c>
      <c r="AW440" s="133">
        <f t="shared" si="681"/>
        <v>6.1947999999999999</v>
      </c>
    </row>
    <row r="441" spans="1:49" ht="14.1" customHeight="1" x14ac:dyDescent="0.2">
      <c r="A441" s="124">
        <v>87</v>
      </c>
      <c r="B441" s="121">
        <v>2498</v>
      </c>
      <c r="C441" s="144">
        <v>650021576</v>
      </c>
      <c r="D441" s="121">
        <v>70695539</v>
      </c>
      <c r="E441" s="123" t="s">
        <v>745</v>
      </c>
      <c r="F441" s="124">
        <v>3113</v>
      </c>
      <c r="G441" s="143" t="s">
        <v>318</v>
      </c>
      <c r="H441" s="125" t="s">
        <v>284</v>
      </c>
      <c r="I441" s="126">
        <f t="shared" si="669"/>
        <v>0</v>
      </c>
      <c r="J441" s="29">
        <v>0</v>
      </c>
      <c r="K441" s="127">
        <f t="shared" si="684"/>
        <v>0</v>
      </c>
      <c r="L441" s="477">
        <f t="shared" si="685"/>
        <v>0</v>
      </c>
      <c r="M441" s="29">
        <v>0</v>
      </c>
      <c r="N441" s="390">
        <f t="shared" si="670"/>
        <v>0</v>
      </c>
      <c r="O441" s="349">
        <v>0</v>
      </c>
      <c r="P441" s="639">
        <v>0</v>
      </c>
      <c r="Q441" s="129">
        <f t="shared" si="671"/>
        <v>0</v>
      </c>
      <c r="R441" s="130">
        <v>2079171</v>
      </c>
      <c r="S441" s="130">
        <v>0</v>
      </c>
      <c r="T441" s="130">
        <v>0</v>
      </c>
      <c r="U441" s="130">
        <f t="shared" si="672"/>
        <v>2079171</v>
      </c>
      <c r="V441" s="130">
        <v>0</v>
      </c>
      <c r="W441" s="130">
        <v>0</v>
      </c>
      <c r="X441" s="130">
        <v>0</v>
      </c>
      <c r="Y441" s="130">
        <f t="shared" si="732"/>
        <v>0</v>
      </c>
      <c r="Z441" s="130">
        <f t="shared" si="733"/>
        <v>2079171</v>
      </c>
      <c r="AA441" s="131">
        <f t="shared" si="734"/>
        <v>702760</v>
      </c>
      <c r="AB441" s="131">
        <f t="shared" si="735"/>
        <v>41583</v>
      </c>
      <c r="AC441" s="130">
        <f>6750+1000</f>
        <v>7750</v>
      </c>
      <c r="AD441" s="130">
        <v>0</v>
      </c>
      <c r="AE441" s="130">
        <f t="shared" si="692"/>
        <v>7750</v>
      </c>
      <c r="AF441" s="130">
        <f t="shared" si="693"/>
        <v>2831264</v>
      </c>
      <c r="AG441" s="132">
        <v>0</v>
      </c>
      <c r="AH441" s="132">
        <v>0</v>
      </c>
      <c r="AI441" s="132">
        <v>5.92</v>
      </c>
      <c r="AJ441" s="132">
        <v>0</v>
      </c>
      <c r="AK441" s="132">
        <v>0</v>
      </c>
      <c r="AL441" s="132">
        <f t="shared" si="694"/>
        <v>5.92</v>
      </c>
      <c r="AM441" s="132">
        <f t="shared" si="736"/>
        <v>0</v>
      </c>
      <c r="AN441" s="403">
        <f t="shared" si="695"/>
        <v>5.92</v>
      </c>
      <c r="AO441" s="128">
        <f t="shared" si="673"/>
        <v>2831264</v>
      </c>
      <c r="AP441" s="130">
        <f t="shared" si="674"/>
        <v>2079171</v>
      </c>
      <c r="AQ441" s="130">
        <f t="shared" si="675"/>
        <v>0</v>
      </c>
      <c r="AR441" s="130">
        <f t="shared" si="676"/>
        <v>702760</v>
      </c>
      <c r="AS441" s="130">
        <f t="shared" si="677"/>
        <v>41583</v>
      </c>
      <c r="AT441" s="130">
        <f t="shared" si="678"/>
        <v>7750</v>
      </c>
      <c r="AU441" s="132">
        <f t="shared" si="679"/>
        <v>5.92</v>
      </c>
      <c r="AV441" s="132">
        <f t="shared" si="680"/>
        <v>5.92</v>
      </c>
      <c r="AW441" s="133">
        <f t="shared" si="681"/>
        <v>0</v>
      </c>
    </row>
    <row r="442" spans="1:49" ht="14.1" customHeight="1" x14ac:dyDescent="0.2">
      <c r="A442" s="124">
        <v>87</v>
      </c>
      <c r="B442" s="121">
        <v>2498</v>
      </c>
      <c r="C442" s="144">
        <v>650021576</v>
      </c>
      <c r="D442" s="121">
        <v>70695539</v>
      </c>
      <c r="E442" s="123" t="s">
        <v>745</v>
      </c>
      <c r="F442" s="124">
        <v>3141</v>
      </c>
      <c r="G442" s="123" t="s">
        <v>321</v>
      </c>
      <c r="H442" s="125" t="s">
        <v>284</v>
      </c>
      <c r="I442" s="126">
        <f t="shared" si="669"/>
        <v>2584378</v>
      </c>
      <c r="J442" s="666">
        <v>1889486</v>
      </c>
      <c r="K442" s="127">
        <f t="shared" si="684"/>
        <v>638646</v>
      </c>
      <c r="L442" s="477">
        <f t="shared" si="685"/>
        <v>37790</v>
      </c>
      <c r="M442" s="666">
        <v>18456</v>
      </c>
      <c r="N442" s="390">
        <f t="shared" si="670"/>
        <v>6.42</v>
      </c>
      <c r="O442" s="668">
        <v>0</v>
      </c>
      <c r="P442" s="674">
        <v>6.42</v>
      </c>
      <c r="Q442" s="129">
        <f t="shared" si="671"/>
        <v>0</v>
      </c>
      <c r="R442" s="130">
        <v>0</v>
      </c>
      <c r="S442" s="130">
        <v>0</v>
      </c>
      <c r="T442" s="130">
        <v>0</v>
      </c>
      <c r="U442" s="130">
        <f t="shared" si="672"/>
        <v>0</v>
      </c>
      <c r="V442" s="130">
        <v>0</v>
      </c>
      <c r="W442" s="130">
        <v>0</v>
      </c>
      <c r="X442" s="130">
        <v>0</v>
      </c>
      <c r="Y442" s="130">
        <f t="shared" si="732"/>
        <v>0</v>
      </c>
      <c r="Z442" s="130">
        <f t="shared" si="733"/>
        <v>0</v>
      </c>
      <c r="AA442" s="131">
        <f t="shared" si="734"/>
        <v>0</v>
      </c>
      <c r="AB442" s="131">
        <f t="shared" si="735"/>
        <v>0</v>
      </c>
      <c r="AC442" s="130">
        <v>0</v>
      </c>
      <c r="AD442" s="130">
        <v>0</v>
      </c>
      <c r="AE442" s="130">
        <f t="shared" si="692"/>
        <v>0</v>
      </c>
      <c r="AF442" s="130">
        <f t="shared" si="693"/>
        <v>0</v>
      </c>
      <c r="AG442" s="132">
        <v>0</v>
      </c>
      <c r="AH442" s="132">
        <v>0</v>
      </c>
      <c r="AI442" s="132">
        <v>0</v>
      </c>
      <c r="AJ442" s="132">
        <v>0</v>
      </c>
      <c r="AK442" s="132">
        <v>0</v>
      </c>
      <c r="AL442" s="132">
        <f t="shared" si="694"/>
        <v>0</v>
      </c>
      <c r="AM442" s="132">
        <f t="shared" si="736"/>
        <v>0</v>
      </c>
      <c r="AN442" s="403">
        <f t="shared" si="695"/>
        <v>0</v>
      </c>
      <c r="AO442" s="128">
        <f t="shared" si="673"/>
        <v>2584378</v>
      </c>
      <c r="AP442" s="130">
        <f t="shared" si="674"/>
        <v>1889486</v>
      </c>
      <c r="AQ442" s="130">
        <f t="shared" si="675"/>
        <v>0</v>
      </c>
      <c r="AR442" s="130">
        <f t="shared" si="676"/>
        <v>638646</v>
      </c>
      <c r="AS442" s="130">
        <f t="shared" si="677"/>
        <v>37790</v>
      </c>
      <c r="AT442" s="130">
        <f t="shared" si="678"/>
        <v>18456</v>
      </c>
      <c r="AU442" s="132">
        <f t="shared" si="679"/>
        <v>6.42</v>
      </c>
      <c r="AV442" s="132">
        <f t="shared" si="680"/>
        <v>0</v>
      </c>
      <c r="AW442" s="133">
        <f t="shared" si="681"/>
        <v>6.42</v>
      </c>
    </row>
    <row r="443" spans="1:49" ht="14.1" customHeight="1" x14ac:dyDescent="0.2">
      <c r="A443" s="124">
        <v>87</v>
      </c>
      <c r="B443" s="121">
        <v>2498</v>
      </c>
      <c r="C443" s="144">
        <v>650021576</v>
      </c>
      <c r="D443" s="121">
        <v>70695539</v>
      </c>
      <c r="E443" s="123" t="s">
        <v>745</v>
      </c>
      <c r="F443" s="124">
        <v>3143</v>
      </c>
      <c r="G443" s="145" t="s">
        <v>635</v>
      </c>
      <c r="H443" s="125" t="s">
        <v>283</v>
      </c>
      <c r="I443" s="126">
        <f t="shared" si="669"/>
        <v>1535652</v>
      </c>
      <c r="J443" s="631">
        <v>1130819</v>
      </c>
      <c r="K443" s="127">
        <f t="shared" si="684"/>
        <v>382217</v>
      </c>
      <c r="L443" s="477">
        <f t="shared" si="685"/>
        <v>22616</v>
      </c>
      <c r="M443" s="478">
        <v>0</v>
      </c>
      <c r="N443" s="390">
        <f t="shared" si="670"/>
        <v>2.5</v>
      </c>
      <c r="O443" s="644">
        <v>2.5</v>
      </c>
      <c r="P443" s="639">
        <v>0</v>
      </c>
      <c r="Q443" s="129">
        <f t="shared" si="671"/>
        <v>0</v>
      </c>
      <c r="R443" s="130">
        <v>0</v>
      </c>
      <c r="S443" s="130">
        <v>0</v>
      </c>
      <c r="T443" s="130">
        <v>0</v>
      </c>
      <c r="U443" s="130">
        <f t="shared" si="672"/>
        <v>0</v>
      </c>
      <c r="V443" s="130">
        <v>0</v>
      </c>
      <c r="W443" s="130">
        <v>0</v>
      </c>
      <c r="X443" s="130">
        <v>0</v>
      </c>
      <c r="Y443" s="130">
        <f t="shared" si="732"/>
        <v>0</v>
      </c>
      <c r="Z443" s="130">
        <f t="shared" si="733"/>
        <v>0</v>
      </c>
      <c r="AA443" s="131">
        <f t="shared" si="734"/>
        <v>0</v>
      </c>
      <c r="AB443" s="131">
        <f t="shared" si="735"/>
        <v>0</v>
      </c>
      <c r="AC443" s="130">
        <v>0</v>
      </c>
      <c r="AD443" s="130">
        <v>0</v>
      </c>
      <c r="AE443" s="130">
        <f t="shared" si="692"/>
        <v>0</v>
      </c>
      <c r="AF443" s="130">
        <f t="shared" si="693"/>
        <v>0</v>
      </c>
      <c r="AG443" s="132">
        <v>0</v>
      </c>
      <c r="AH443" s="132">
        <v>0</v>
      </c>
      <c r="AI443" s="132">
        <v>0</v>
      </c>
      <c r="AJ443" s="132">
        <v>0</v>
      </c>
      <c r="AK443" s="132">
        <v>0</v>
      </c>
      <c r="AL443" s="132">
        <f t="shared" si="694"/>
        <v>0</v>
      </c>
      <c r="AM443" s="132">
        <f t="shared" si="736"/>
        <v>0</v>
      </c>
      <c r="AN443" s="403">
        <f t="shared" si="695"/>
        <v>0</v>
      </c>
      <c r="AO443" s="128">
        <f t="shared" si="673"/>
        <v>1535652</v>
      </c>
      <c r="AP443" s="130">
        <f t="shared" si="674"/>
        <v>1130819</v>
      </c>
      <c r="AQ443" s="130">
        <f t="shared" si="675"/>
        <v>0</v>
      </c>
      <c r="AR443" s="130">
        <f t="shared" si="676"/>
        <v>382217</v>
      </c>
      <c r="AS443" s="130">
        <f t="shared" si="677"/>
        <v>22616</v>
      </c>
      <c r="AT443" s="130">
        <f t="shared" si="678"/>
        <v>0</v>
      </c>
      <c r="AU443" s="132">
        <f t="shared" si="679"/>
        <v>2.5</v>
      </c>
      <c r="AV443" s="132">
        <f t="shared" si="680"/>
        <v>2.5</v>
      </c>
      <c r="AW443" s="133">
        <f t="shared" si="681"/>
        <v>0</v>
      </c>
    </row>
    <row r="444" spans="1:49" ht="14.1" customHeight="1" x14ac:dyDescent="0.2">
      <c r="A444" s="124">
        <v>87</v>
      </c>
      <c r="B444" s="121">
        <v>2498</v>
      </c>
      <c r="C444" s="144">
        <v>650021576</v>
      </c>
      <c r="D444" s="121">
        <v>70695539</v>
      </c>
      <c r="E444" s="123" t="s">
        <v>745</v>
      </c>
      <c r="F444" s="124">
        <v>3143</v>
      </c>
      <c r="G444" s="145" t="s">
        <v>636</v>
      </c>
      <c r="H444" s="125" t="s">
        <v>284</v>
      </c>
      <c r="I444" s="126">
        <f t="shared" si="669"/>
        <v>47750</v>
      </c>
      <c r="J444" s="664">
        <v>33660</v>
      </c>
      <c r="K444" s="127">
        <f t="shared" si="684"/>
        <v>11377</v>
      </c>
      <c r="L444" s="477">
        <f t="shared" si="685"/>
        <v>673</v>
      </c>
      <c r="M444" s="664">
        <v>2040</v>
      </c>
      <c r="N444" s="390">
        <f t="shared" si="670"/>
        <v>0.14000000000000001</v>
      </c>
      <c r="O444" s="665">
        <v>0</v>
      </c>
      <c r="P444" s="667">
        <v>0.14000000000000001</v>
      </c>
      <c r="Q444" s="129">
        <f t="shared" si="671"/>
        <v>0</v>
      </c>
      <c r="R444" s="130">
        <v>0</v>
      </c>
      <c r="S444" s="130">
        <v>0</v>
      </c>
      <c r="T444" s="130">
        <v>0</v>
      </c>
      <c r="U444" s="130">
        <f t="shared" si="672"/>
        <v>0</v>
      </c>
      <c r="V444" s="130">
        <v>0</v>
      </c>
      <c r="W444" s="130">
        <v>0</v>
      </c>
      <c r="X444" s="130">
        <v>0</v>
      </c>
      <c r="Y444" s="130">
        <f t="shared" si="732"/>
        <v>0</v>
      </c>
      <c r="Z444" s="130">
        <f t="shared" si="733"/>
        <v>0</v>
      </c>
      <c r="AA444" s="131">
        <f t="shared" si="734"/>
        <v>0</v>
      </c>
      <c r="AB444" s="131">
        <f t="shared" si="735"/>
        <v>0</v>
      </c>
      <c r="AC444" s="130">
        <v>0</v>
      </c>
      <c r="AD444" s="130">
        <v>0</v>
      </c>
      <c r="AE444" s="130">
        <f t="shared" si="692"/>
        <v>0</v>
      </c>
      <c r="AF444" s="130">
        <f t="shared" si="693"/>
        <v>0</v>
      </c>
      <c r="AG444" s="132">
        <v>0</v>
      </c>
      <c r="AH444" s="132">
        <v>0</v>
      </c>
      <c r="AI444" s="132">
        <v>0</v>
      </c>
      <c r="AJ444" s="132">
        <v>0</v>
      </c>
      <c r="AK444" s="132">
        <v>0</v>
      </c>
      <c r="AL444" s="132">
        <f t="shared" si="694"/>
        <v>0</v>
      </c>
      <c r="AM444" s="132">
        <f t="shared" si="736"/>
        <v>0</v>
      </c>
      <c r="AN444" s="403">
        <f t="shared" si="695"/>
        <v>0</v>
      </c>
      <c r="AO444" s="128">
        <f t="shared" si="673"/>
        <v>47750</v>
      </c>
      <c r="AP444" s="130">
        <f t="shared" si="674"/>
        <v>33660</v>
      </c>
      <c r="AQ444" s="130">
        <f t="shared" si="675"/>
        <v>0</v>
      </c>
      <c r="AR444" s="130">
        <f t="shared" si="676"/>
        <v>11377</v>
      </c>
      <c r="AS444" s="130">
        <f t="shared" si="677"/>
        <v>673</v>
      </c>
      <c r="AT444" s="130">
        <f t="shared" si="678"/>
        <v>2040</v>
      </c>
      <c r="AU444" s="132">
        <f t="shared" si="679"/>
        <v>0.14000000000000001</v>
      </c>
      <c r="AV444" s="132">
        <f t="shared" si="680"/>
        <v>0</v>
      </c>
      <c r="AW444" s="133">
        <f t="shared" si="681"/>
        <v>0.14000000000000001</v>
      </c>
    </row>
    <row r="445" spans="1:49" ht="14.1" customHeight="1" x14ac:dyDescent="0.2">
      <c r="A445" s="137">
        <v>87</v>
      </c>
      <c r="B445" s="134">
        <v>2498</v>
      </c>
      <c r="C445" s="146">
        <v>650021576</v>
      </c>
      <c r="D445" s="134">
        <v>70695539</v>
      </c>
      <c r="E445" s="136" t="s">
        <v>746</v>
      </c>
      <c r="F445" s="137"/>
      <c r="G445" s="136"/>
      <c r="H445" s="138"/>
      <c r="I445" s="139">
        <f t="shared" ref="I445:P445" si="737">SUM(I439:I444)</f>
        <v>25752098</v>
      </c>
      <c r="J445" s="140">
        <f t="shared" si="737"/>
        <v>18646158</v>
      </c>
      <c r="K445" s="140">
        <f t="shared" si="737"/>
        <v>6302401</v>
      </c>
      <c r="L445" s="140">
        <f t="shared" si="737"/>
        <v>372923</v>
      </c>
      <c r="M445" s="140">
        <f t="shared" si="737"/>
        <v>430616</v>
      </c>
      <c r="N445" s="141">
        <f t="shared" si="737"/>
        <v>39.154899999999998</v>
      </c>
      <c r="O445" s="141">
        <f t="shared" si="737"/>
        <v>24.787300000000002</v>
      </c>
      <c r="P445" s="142">
        <f t="shared" si="737"/>
        <v>14.367599999999999</v>
      </c>
      <c r="Q445" s="342">
        <f t="shared" ref="Q445:AW445" si="738">SUM(Q439:Q444)</f>
        <v>-56000</v>
      </c>
      <c r="R445" s="140">
        <f t="shared" si="738"/>
        <v>2079171</v>
      </c>
      <c r="S445" s="140">
        <f t="shared" si="738"/>
        <v>0</v>
      </c>
      <c r="T445" s="140">
        <f t="shared" si="738"/>
        <v>0</v>
      </c>
      <c r="U445" s="140">
        <f t="shared" si="738"/>
        <v>2023171</v>
      </c>
      <c r="V445" s="140">
        <f t="shared" si="738"/>
        <v>56000</v>
      </c>
      <c r="W445" s="140">
        <f t="shared" si="738"/>
        <v>0</v>
      </c>
      <c r="X445" s="140">
        <f t="shared" si="738"/>
        <v>0</v>
      </c>
      <c r="Y445" s="140">
        <f t="shared" si="738"/>
        <v>56000</v>
      </c>
      <c r="Z445" s="140">
        <f t="shared" si="738"/>
        <v>2079171</v>
      </c>
      <c r="AA445" s="140">
        <f t="shared" si="738"/>
        <v>702760</v>
      </c>
      <c r="AB445" s="140">
        <f t="shared" si="738"/>
        <v>40463</v>
      </c>
      <c r="AC445" s="140">
        <f t="shared" si="738"/>
        <v>7750</v>
      </c>
      <c r="AD445" s="140">
        <f t="shared" si="738"/>
        <v>0</v>
      </c>
      <c r="AE445" s="140">
        <f t="shared" si="738"/>
        <v>7750</v>
      </c>
      <c r="AF445" s="140">
        <f t="shared" si="738"/>
        <v>2830144</v>
      </c>
      <c r="AG445" s="141">
        <f t="shared" si="738"/>
        <v>-0.06</v>
      </c>
      <c r="AH445" s="141">
        <f t="shared" si="738"/>
        <v>-0.08</v>
      </c>
      <c r="AI445" s="141">
        <f t="shared" si="738"/>
        <v>5.92</v>
      </c>
      <c r="AJ445" s="141">
        <f t="shared" si="738"/>
        <v>0</v>
      </c>
      <c r="AK445" s="141">
        <f t="shared" si="738"/>
        <v>0</v>
      </c>
      <c r="AL445" s="141">
        <f t="shared" si="738"/>
        <v>5.86</v>
      </c>
      <c r="AM445" s="141">
        <f t="shared" si="738"/>
        <v>-0.08</v>
      </c>
      <c r="AN445" s="635">
        <f t="shared" si="738"/>
        <v>5.78</v>
      </c>
      <c r="AO445" s="139">
        <f t="shared" si="738"/>
        <v>28582242</v>
      </c>
      <c r="AP445" s="140">
        <f t="shared" si="738"/>
        <v>20669329</v>
      </c>
      <c r="AQ445" s="140">
        <f t="shared" si="738"/>
        <v>56000</v>
      </c>
      <c r="AR445" s="140">
        <f t="shared" si="738"/>
        <v>7005161</v>
      </c>
      <c r="AS445" s="140">
        <f t="shared" si="738"/>
        <v>413386</v>
      </c>
      <c r="AT445" s="140">
        <f t="shared" si="738"/>
        <v>438366</v>
      </c>
      <c r="AU445" s="141">
        <f t="shared" si="738"/>
        <v>44.934899999999999</v>
      </c>
      <c r="AV445" s="141">
        <f t="shared" si="738"/>
        <v>30.647300000000001</v>
      </c>
      <c r="AW445" s="142">
        <f t="shared" si="738"/>
        <v>14.287600000000001</v>
      </c>
    </row>
    <row r="446" spans="1:49" ht="14.1" customHeight="1" x14ac:dyDescent="0.2">
      <c r="A446" s="124">
        <v>88</v>
      </c>
      <c r="B446" s="121">
        <v>2499</v>
      </c>
      <c r="C446" s="144">
        <v>650025288</v>
      </c>
      <c r="D446" s="121">
        <v>70983283</v>
      </c>
      <c r="E446" s="123" t="s">
        <v>747</v>
      </c>
      <c r="F446" s="124">
        <v>3111</v>
      </c>
      <c r="G446" s="123" t="s">
        <v>317</v>
      </c>
      <c r="H446" s="125" t="s">
        <v>283</v>
      </c>
      <c r="I446" s="126">
        <f t="shared" si="669"/>
        <v>2844473</v>
      </c>
      <c r="J446" s="127">
        <v>2083338</v>
      </c>
      <c r="K446" s="127">
        <f t="shared" si="684"/>
        <v>704168</v>
      </c>
      <c r="L446" s="477">
        <f t="shared" si="685"/>
        <v>41667</v>
      </c>
      <c r="M446" s="127">
        <v>15300</v>
      </c>
      <c r="N446" s="390">
        <f t="shared" si="670"/>
        <v>4.8091999999999997</v>
      </c>
      <c r="O446" s="390">
        <v>3.8874</v>
      </c>
      <c r="P446" s="439">
        <v>0.92179999999999995</v>
      </c>
      <c r="Q446" s="129">
        <f t="shared" si="671"/>
        <v>0</v>
      </c>
      <c r="R446" s="130">
        <v>0</v>
      </c>
      <c r="S446" s="130">
        <v>0</v>
      </c>
      <c r="T446" s="130">
        <v>0</v>
      </c>
      <c r="U446" s="130">
        <f t="shared" si="672"/>
        <v>0</v>
      </c>
      <c r="V446" s="130">
        <v>0</v>
      </c>
      <c r="W446" s="130">
        <v>0</v>
      </c>
      <c r="X446" s="130">
        <v>0</v>
      </c>
      <c r="Y446" s="130">
        <f t="shared" ref="Y446:Y451" si="739">SUM(V446:X446)</f>
        <v>0</v>
      </c>
      <c r="Z446" s="130">
        <f t="shared" ref="Z446:Z451" si="740">U446+Y446</f>
        <v>0</v>
      </c>
      <c r="AA446" s="131">
        <f t="shared" ref="AA446:AA451" si="741">ROUND((U446+V446+W446)*33.8%,0)</f>
        <v>0</v>
      </c>
      <c r="AB446" s="131">
        <f t="shared" ref="AB446:AB451" si="742">ROUND(U446*2%,0)</f>
        <v>0</v>
      </c>
      <c r="AC446" s="130">
        <v>0</v>
      </c>
      <c r="AD446" s="130">
        <v>0</v>
      </c>
      <c r="AE446" s="130">
        <f t="shared" si="692"/>
        <v>0</v>
      </c>
      <c r="AF446" s="130">
        <f t="shared" si="693"/>
        <v>0</v>
      </c>
      <c r="AG446" s="132">
        <v>0</v>
      </c>
      <c r="AH446" s="132">
        <v>0</v>
      </c>
      <c r="AI446" s="132">
        <v>0</v>
      </c>
      <c r="AJ446" s="132">
        <v>0</v>
      </c>
      <c r="AK446" s="132">
        <v>0</v>
      </c>
      <c r="AL446" s="132">
        <f t="shared" si="694"/>
        <v>0</v>
      </c>
      <c r="AM446" s="132">
        <f t="shared" ref="AM446:AM451" si="743">AH446+AK446</f>
        <v>0</v>
      </c>
      <c r="AN446" s="403">
        <f t="shared" si="695"/>
        <v>0</v>
      </c>
      <c r="AO446" s="128">
        <f t="shared" si="673"/>
        <v>2844473</v>
      </c>
      <c r="AP446" s="130">
        <f t="shared" si="674"/>
        <v>2083338</v>
      </c>
      <c r="AQ446" s="130">
        <f t="shared" si="675"/>
        <v>0</v>
      </c>
      <c r="AR446" s="130">
        <f t="shared" si="676"/>
        <v>704168</v>
      </c>
      <c r="AS446" s="130">
        <f t="shared" si="677"/>
        <v>41667</v>
      </c>
      <c r="AT446" s="130">
        <f t="shared" si="678"/>
        <v>15300</v>
      </c>
      <c r="AU446" s="132">
        <f t="shared" si="679"/>
        <v>4.8091999999999997</v>
      </c>
      <c r="AV446" s="132">
        <f t="shared" si="680"/>
        <v>3.8874</v>
      </c>
      <c r="AW446" s="133">
        <f t="shared" si="681"/>
        <v>0.92179999999999995</v>
      </c>
    </row>
    <row r="447" spans="1:49" ht="14.1" customHeight="1" x14ac:dyDescent="0.2">
      <c r="A447" s="124">
        <v>88</v>
      </c>
      <c r="B447" s="121">
        <v>2499</v>
      </c>
      <c r="C447" s="144">
        <v>650025288</v>
      </c>
      <c r="D447" s="121">
        <v>70983283</v>
      </c>
      <c r="E447" s="123" t="s">
        <v>747</v>
      </c>
      <c r="F447" s="124">
        <v>3117</v>
      </c>
      <c r="G447" s="123" t="s">
        <v>320</v>
      </c>
      <c r="H447" s="125" t="s">
        <v>283</v>
      </c>
      <c r="I447" s="126">
        <f t="shared" si="669"/>
        <v>4402650</v>
      </c>
      <c r="J447" s="477">
        <v>3177791</v>
      </c>
      <c r="K447" s="127">
        <v>1074094</v>
      </c>
      <c r="L447" s="477">
        <v>63555</v>
      </c>
      <c r="M447" s="477">
        <v>87210</v>
      </c>
      <c r="N447" s="390">
        <f t="shared" si="670"/>
        <v>6.6282999999999994</v>
      </c>
      <c r="O447" s="645">
        <v>4.1368</v>
      </c>
      <c r="P447" s="646">
        <v>2.4914999999999998</v>
      </c>
      <c r="Q447" s="129">
        <f t="shared" si="671"/>
        <v>0</v>
      </c>
      <c r="R447" s="130">
        <v>0</v>
      </c>
      <c r="S447" s="130">
        <v>0</v>
      </c>
      <c r="T447" s="130">
        <v>0</v>
      </c>
      <c r="U447" s="130">
        <f t="shared" si="672"/>
        <v>0</v>
      </c>
      <c r="V447" s="130">
        <v>0</v>
      </c>
      <c r="W447" s="130">
        <v>0</v>
      </c>
      <c r="X447" s="130">
        <v>0</v>
      </c>
      <c r="Y447" s="130">
        <f t="shared" si="739"/>
        <v>0</v>
      </c>
      <c r="Z447" s="130">
        <f t="shared" si="740"/>
        <v>0</v>
      </c>
      <c r="AA447" s="131">
        <f t="shared" si="741"/>
        <v>0</v>
      </c>
      <c r="AB447" s="131">
        <f t="shared" si="742"/>
        <v>0</v>
      </c>
      <c r="AC447" s="130">
        <v>0</v>
      </c>
      <c r="AD447" s="130">
        <v>0</v>
      </c>
      <c r="AE447" s="130">
        <f t="shared" si="692"/>
        <v>0</v>
      </c>
      <c r="AF447" s="130">
        <f t="shared" si="693"/>
        <v>0</v>
      </c>
      <c r="AG447" s="132">
        <v>0</v>
      </c>
      <c r="AH447" s="132">
        <v>0</v>
      </c>
      <c r="AI447" s="132">
        <v>0</v>
      </c>
      <c r="AJ447" s="132">
        <v>0</v>
      </c>
      <c r="AK447" s="132">
        <v>0</v>
      </c>
      <c r="AL447" s="132">
        <f t="shared" si="694"/>
        <v>0</v>
      </c>
      <c r="AM447" s="132">
        <f t="shared" si="743"/>
        <v>0</v>
      </c>
      <c r="AN447" s="403">
        <f t="shared" si="695"/>
        <v>0</v>
      </c>
      <c r="AO447" s="128">
        <f t="shared" si="673"/>
        <v>4402650</v>
      </c>
      <c r="AP447" s="130">
        <f t="shared" si="674"/>
        <v>3177791</v>
      </c>
      <c r="AQ447" s="130">
        <f t="shared" si="675"/>
        <v>0</v>
      </c>
      <c r="AR447" s="130">
        <f t="shared" si="676"/>
        <v>1074094</v>
      </c>
      <c r="AS447" s="130">
        <f t="shared" si="677"/>
        <v>63555</v>
      </c>
      <c r="AT447" s="130">
        <f t="shared" si="678"/>
        <v>87210</v>
      </c>
      <c r="AU447" s="132">
        <f t="shared" si="679"/>
        <v>6.6282999999999994</v>
      </c>
      <c r="AV447" s="132">
        <f t="shared" si="680"/>
        <v>4.1368</v>
      </c>
      <c r="AW447" s="133">
        <f t="shared" si="681"/>
        <v>2.4914999999999998</v>
      </c>
    </row>
    <row r="448" spans="1:49" ht="14.1" customHeight="1" x14ac:dyDescent="0.2">
      <c r="A448" s="124">
        <v>88</v>
      </c>
      <c r="B448" s="121">
        <v>2499</v>
      </c>
      <c r="C448" s="144">
        <v>650025288</v>
      </c>
      <c r="D448" s="121">
        <v>70983283</v>
      </c>
      <c r="E448" s="123" t="s">
        <v>747</v>
      </c>
      <c r="F448" s="124">
        <v>3117</v>
      </c>
      <c r="G448" s="123" t="s">
        <v>318</v>
      </c>
      <c r="H448" s="125" t="s">
        <v>284</v>
      </c>
      <c r="I448" s="126">
        <f t="shared" si="669"/>
        <v>0</v>
      </c>
      <c r="J448" s="29">
        <v>0</v>
      </c>
      <c r="K448" s="127">
        <f t="shared" si="684"/>
        <v>0</v>
      </c>
      <c r="L448" s="477">
        <f t="shared" si="685"/>
        <v>0</v>
      </c>
      <c r="M448" s="29">
        <v>0</v>
      </c>
      <c r="N448" s="390">
        <f t="shared" si="670"/>
        <v>0</v>
      </c>
      <c r="O448" s="349">
        <v>0</v>
      </c>
      <c r="P448" s="639">
        <v>0</v>
      </c>
      <c r="Q448" s="129">
        <f t="shared" si="671"/>
        <v>0</v>
      </c>
      <c r="R448" s="130">
        <v>221342</v>
      </c>
      <c r="S448" s="130">
        <v>0</v>
      </c>
      <c r="T448" s="130">
        <v>0</v>
      </c>
      <c r="U448" s="130">
        <f t="shared" si="672"/>
        <v>221342</v>
      </c>
      <c r="V448" s="130">
        <v>0</v>
      </c>
      <c r="W448" s="130">
        <v>0</v>
      </c>
      <c r="X448" s="130">
        <v>0</v>
      </c>
      <c r="Y448" s="130">
        <f t="shared" ref="Y448" si="744">SUM(V448:X448)</f>
        <v>0</v>
      </c>
      <c r="Z448" s="130">
        <f t="shared" ref="Z448" si="745">U448+Y448</f>
        <v>221342</v>
      </c>
      <c r="AA448" s="131">
        <f t="shared" ref="AA448" si="746">ROUND((U448+V448+W448)*33.8%,0)</f>
        <v>74814</v>
      </c>
      <c r="AB448" s="131">
        <f t="shared" ref="AB448" si="747">ROUND(U448*2%,0)</f>
        <v>4427</v>
      </c>
      <c r="AC448" s="130">
        <v>0</v>
      </c>
      <c r="AD448" s="130">
        <v>0</v>
      </c>
      <c r="AE448" s="130">
        <f t="shared" ref="AE448" si="748">SUM(AC448:AD448)</f>
        <v>0</v>
      </c>
      <c r="AF448" s="130">
        <f t="shared" ref="AF448" si="749">Z448+AA448+AB448+AE448</f>
        <v>300583</v>
      </c>
      <c r="AG448" s="132">
        <v>0</v>
      </c>
      <c r="AH448" s="132">
        <v>0</v>
      </c>
      <c r="AI448" s="132">
        <v>0.64</v>
      </c>
      <c r="AJ448" s="132">
        <v>0</v>
      </c>
      <c r="AK448" s="132">
        <v>0</v>
      </c>
      <c r="AL448" s="132">
        <f t="shared" ref="AL448" si="750">AG448+AI448+AJ448</f>
        <v>0.64</v>
      </c>
      <c r="AM448" s="132">
        <f t="shared" si="743"/>
        <v>0</v>
      </c>
      <c r="AN448" s="403">
        <f t="shared" ref="AN448" si="751">SUM(AL448:AM448)</f>
        <v>0.64</v>
      </c>
      <c r="AO448" s="128">
        <f t="shared" si="673"/>
        <v>300583</v>
      </c>
      <c r="AP448" s="130">
        <f t="shared" si="674"/>
        <v>221342</v>
      </c>
      <c r="AQ448" s="130">
        <f t="shared" si="675"/>
        <v>0</v>
      </c>
      <c r="AR448" s="130">
        <f t="shared" si="676"/>
        <v>74814</v>
      </c>
      <c r="AS448" s="130">
        <f t="shared" si="677"/>
        <v>4427</v>
      </c>
      <c r="AT448" s="130">
        <f t="shared" si="678"/>
        <v>0</v>
      </c>
      <c r="AU448" s="132">
        <f t="shared" si="679"/>
        <v>0.64</v>
      </c>
      <c r="AV448" s="132">
        <f t="shared" si="680"/>
        <v>0.64</v>
      </c>
      <c r="AW448" s="133">
        <f t="shared" si="681"/>
        <v>0</v>
      </c>
    </row>
    <row r="449" spans="1:49" ht="14.1" customHeight="1" x14ac:dyDescent="0.2">
      <c r="A449" s="124">
        <v>88</v>
      </c>
      <c r="B449" s="121">
        <v>2499</v>
      </c>
      <c r="C449" s="144">
        <v>650025288</v>
      </c>
      <c r="D449" s="121">
        <v>70983283</v>
      </c>
      <c r="E449" s="123" t="s">
        <v>747</v>
      </c>
      <c r="F449" s="124">
        <v>3141</v>
      </c>
      <c r="G449" s="123" t="s">
        <v>321</v>
      </c>
      <c r="H449" s="125" t="s">
        <v>284</v>
      </c>
      <c r="I449" s="126">
        <f t="shared" si="669"/>
        <v>980574</v>
      </c>
      <c r="J449" s="666">
        <v>718442</v>
      </c>
      <c r="K449" s="127">
        <f t="shared" si="684"/>
        <v>242833</v>
      </c>
      <c r="L449" s="477">
        <f t="shared" si="685"/>
        <v>14369</v>
      </c>
      <c r="M449" s="666">
        <v>4930</v>
      </c>
      <c r="N449" s="390">
        <f t="shared" si="670"/>
        <v>2.44</v>
      </c>
      <c r="O449" s="668">
        <v>0</v>
      </c>
      <c r="P449" s="674">
        <v>2.44</v>
      </c>
      <c r="Q449" s="129">
        <f t="shared" si="671"/>
        <v>0</v>
      </c>
      <c r="R449" s="130">
        <v>0</v>
      </c>
      <c r="S449" s="130">
        <v>0</v>
      </c>
      <c r="T449" s="130">
        <v>0</v>
      </c>
      <c r="U449" s="130">
        <f t="shared" si="672"/>
        <v>0</v>
      </c>
      <c r="V449" s="130">
        <v>0</v>
      </c>
      <c r="W449" s="130">
        <v>0</v>
      </c>
      <c r="X449" s="130">
        <v>0</v>
      </c>
      <c r="Y449" s="130">
        <f t="shared" si="739"/>
        <v>0</v>
      </c>
      <c r="Z449" s="130">
        <f t="shared" si="740"/>
        <v>0</v>
      </c>
      <c r="AA449" s="131">
        <f t="shared" si="741"/>
        <v>0</v>
      </c>
      <c r="AB449" s="131">
        <f t="shared" si="742"/>
        <v>0</v>
      </c>
      <c r="AC449" s="130">
        <v>0</v>
      </c>
      <c r="AD449" s="130">
        <v>0</v>
      </c>
      <c r="AE449" s="130">
        <f t="shared" si="692"/>
        <v>0</v>
      </c>
      <c r="AF449" s="130">
        <f t="shared" si="693"/>
        <v>0</v>
      </c>
      <c r="AG449" s="132">
        <v>0</v>
      </c>
      <c r="AH449" s="132">
        <v>0</v>
      </c>
      <c r="AI449" s="132">
        <v>0</v>
      </c>
      <c r="AJ449" s="132">
        <v>0</v>
      </c>
      <c r="AK449" s="132">
        <v>0</v>
      </c>
      <c r="AL449" s="132">
        <f t="shared" si="694"/>
        <v>0</v>
      </c>
      <c r="AM449" s="132">
        <f t="shared" si="743"/>
        <v>0</v>
      </c>
      <c r="AN449" s="403">
        <f t="shared" si="695"/>
        <v>0</v>
      </c>
      <c r="AO449" s="128">
        <f t="shared" si="673"/>
        <v>980574</v>
      </c>
      <c r="AP449" s="130">
        <f t="shared" si="674"/>
        <v>718442</v>
      </c>
      <c r="AQ449" s="130">
        <f t="shared" si="675"/>
        <v>0</v>
      </c>
      <c r="AR449" s="130">
        <f t="shared" si="676"/>
        <v>242833</v>
      </c>
      <c r="AS449" s="130">
        <f t="shared" si="677"/>
        <v>14369</v>
      </c>
      <c r="AT449" s="130">
        <f t="shared" si="678"/>
        <v>4930</v>
      </c>
      <c r="AU449" s="132">
        <f t="shared" si="679"/>
        <v>2.44</v>
      </c>
      <c r="AV449" s="132">
        <f t="shared" si="680"/>
        <v>0</v>
      </c>
      <c r="AW449" s="133">
        <f t="shared" si="681"/>
        <v>2.44</v>
      </c>
    </row>
    <row r="450" spans="1:49" ht="14.1" customHeight="1" x14ac:dyDescent="0.2">
      <c r="A450" s="124">
        <v>88</v>
      </c>
      <c r="B450" s="121">
        <v>2499</v>
      </c>
      <c r="C450" s="144">
        <v>650025288</v>
      </c>
      <c r="D450" s="121">
        <v>70983283</v>
      </c>
      <c r="E450" s="123" t="s">
        <v>747</v>
      </c>
      <c r="F450" s="124">
        <v>3143</v>
      </c>
      <c r="G450" s="145" t="s">
        <v>635</v>
      </c>
      <c r="H450" s="125" t="s">
        <v>283</v>
      </c>
      <c r="I450" s="126">
        <f t="shared" si="669"/>
        <v>1013584</v>
      </c>
      <c r="J450" s="631">
        <v>746380</v>
      </c>
      <c r="K450" s="127">
        <f t="shared" si="684"/>
        <v>252276</v>
      </c>
      <c r="L450" s="477">
        <f t="shared" si="685"/>
        <v>14928</v>
      </c>
      <c r="M450" s="478">
        <v>0</v>
      </c>
      <c r="N450" s="390">
        <f t="shared" si="670"/>
        <v>1.6073999999999999</v>
      </c>
      <c r="O450" s="644">
        <v>1.6073999999999999</v>
      </c>
      <c r="P450" s="639">
        <v>0</v>
      </c>
      <c r="Q450" s="129">
        <f t="shared" si="671"/>
        <v>0</v>
      </c>
      <c r="R450" s="130">
        <v>0</v>
      </c>
      <c r="S450" s="130">
        <v>0</v>
      </c>
      <c r="T450" s="130">
        <v>0</v>
      </c>
      <c r="U450" s="130">
        <f t="shared" si="672"/>
        <v>0</v>
      </c>
      <c r="V450" s="130">
        <v>0</v>
      </c>
      <c r="W450" s="130">
        <v>0</v>
      </c>
      <c r="X450" s="130">
        <v>0</v>
      </c>
      <c r="Y450" s="130">
        <f t="shared" si="739"/>
        <v>0</v>
      </c>
      <c r="Z450" s="130">
        <f t="shared" si="740"/>
        <v>0</v>
      </c>
      <c r="AA450" s="131">
        <f t="shared" si="741"/>
        <v>0</v>
      </c>
      <c r="AB450" s="131">
        <f t="shared" si="742"/>
        <v>0</v>
      </c>
      <c r="AC450" s="130">
        <v>0</v>
      </c>
      <c r="AD450" s="130">
        <v>0</v>
      </c>
      <c r="AE450" s="130">
        <f t="shared" si="692"/>
        <v>0</v>
      </c>
      <c r="AF450" s="130">
        <f t="shared" si="693"/>
        <v>0</v>
      </c>
      <c r="AG450" s="132">
        <v>0</v>
      </c>
      <c r="AH450" s="132">
        <v>0</v>
      </c>
      <c r="AI450" s="132">
        <v>0</v>
      </c>
      <c r="AJ450" s="132">
        <v>0</v>
      </c>
      <c r="AK450" s="132">
        <v>0</v>
      </c>
      <c r="AL450" s="132">
        <f t="shared" si="694"/>
        <v>0</v>
      </c>
      <c r="AM450" s="132">
        <f t="shared" si="743"/>
        <v>0</v>
      </c>
      <c r="AN450" s="403">
        <f t="shared" si="695"/>
        <v>0</v>
      </c>
      <c r="AO450" s="128">
        <f t="shared" si="673"/>
        <v>1013584</v>
      </c>
      <c r="AP450" s="130">
        <f t="shared" si="674"/>
        <v>746380</v>
      </c>
      <c r="AQ450" s="130">
        <f t="shared" si="675"/>
        <v>0</v>
      </c>
      <c r="AR450" s="130">
        <f t="shared" si="676"/>
        <v>252276</v>
      </c>
      <c r="AS450" s="130">
        <f t="shared" si="677"/>
        <v>14928</v>
      </c>
      <c r="AT450" s="130">
        <f t="shared" si="678"/>
        <v>0</v>
      </c>
      <c r="AU450" s="132">
        <f t="shared" si="679"/>
        <v>1.6073999999999999</v>
      </c>
      <c r="AV450" s="132">
        <f t="shared" si="680"/>
        <v>1.6073999999999999</v>
      </c>
      <c r="AW450" s="133">
        <f t="shared" si="681"/>
        <v>0</v>
      </c>
    </row>
    <row r="451" spans="1:49" ht="14.1" customHeight="1" x14ac:dyDescent="0.2">
      <c r="A451" s="124">
        <v>88</v>
      </c>
      <c r="B451" s="121">
        <v>2499</v>
      </c>
      <c r="C451" s="144">
        <v>650025288</v>
      </c>
      <c r="D451" s="121">
        <v>70983283</v>
      </c>
      <c r="E451" s="123" t="s">
        <v>747</v>
      </c>
      <c r="F451" s="124">
        <v>3143</v>
      </c>
      <c r="G451" s="145" t="s">
        <v>636</v>
      </c>
      <c r="H451" s="125" t="s">
        <v>284</v>
      </c>
      <c r="I451" s="126">
        <f t="shared" si="669"/>
        <v>28088</v>
      </c>
      <c r="J451" s="664">
        <v>19800</v>
      </c>
      <c r="K451" s="127">
        <f t="shared" si="684"/>
        <v>6692</v>
      </c>
      <c r="L451" s="477">
        <f t="shared" si="685"/>
        <v>396</v>
      </c>
      <c r="M451" s="664">
        <v>1200</v>
      </c>
      <c r="N451" s="390">
        <f t="shared" si="670"/>
        <v>0.08</v>
      </c>
      <c r="O451" s="665">
        <v>0</v>
      </c>
      <c r="P451" s="667">
        <v>0.08</v>
      </c>
      <c r="Q451" s="129">
        <f t="shared" si="671"/>
        <v>0</v>
      </c>
      <c r="R451" s="130">
        <v>0</v>
      </c>
      <c r="S451" s="130">
        <v>0</v>
      </c>
      <c r="T451" s="130">
        <v>0</v>
      </c>
      <c r="U451" s="130">
        <f t="shared" si="672"/>
        <v>0</v>
      </c>
      <c r="V451" s="130">
        <v>0</v>
      </c>
      <c r="W451" s="130">
        <v>0</v>
      </c>
      <c r="X451" s="130">
        <v>0</v>
      </c>
      <c r="Y451" s="130">
        <f t="shared" si="739"/>
        <v>0</v>
      </c>
      <c r="Z451" s="130">
        <f t="shared" si="740"/>
        <v>0</v>
      </c>
      <c r="AA451" s="131">
        <f t="shared" si="741"/>
        <v>0</v>
      </c>
      <c r="AB451" s="131">
        <f t="shared" si="742"/>
        <v>0</v>
      </c>
      <c r="AC451" s="130">
        <v>0</v>
      </c>
      <c r="AD451" s="130">
        <v>0</v>
      </c>
      <c r="AE451" s="130">
        <f t="shared" si="692"/>
        <v>0</v>
      </c>
      <c r="AF451" s="130">
        <f t="shared" si="693"/>
        <v>0</v>
      </c>
      <c r="AG451" s="132">
        <v>0</v>
      </c>
      <c r="AH451" s="132">
        <v>0</v>
      </c>
      <c r="AI451" s="132">
        <v>0</v>
      </c>
      <c r="AJ451" s="132">
        <v>0</v>
      </c>
      <c r="AK451" s="132">
        <v>0</v>
      </c>
      <c r="AL451" s="132">
        <f t="shared" si="694"/>
        <v>0</v>
      </c>
      <c r="AM451" s="132">
        <f t="shared" si="743"/>
        <v>0</v>
      </c>
      <c r="AN451" s="403">
        <f t="shared" si="695"/>
        <v>0</v>
      </c>
      <c r="AO451" s="128">
        <f t="shared" si="673"/>
        <v>28088</v>
      </c>
      <c r="AP451" s="130">
        <f t="shared" si="674"/>
        <v>19800</v>
      </c>
      <c r="AQ451" s="130">
        <f t="shared" si="675"/>
        <v>0</v>
      </c>
      <c r="AR451" s="130">
        <f t="shared" si="676"/>
        <v>6692</v>
      </c>
      <c r="AS451" s="130">
        <f t="shared" si="677"/>
        <v>396</v>
      </c>
      <c r="AT451" s="130">
        <f t="shared" si="678"/>
        <v>1200</v>
      </c>
      <c r="AU451" s="132">
        <f t="shared" si="679"/>
        <v>0.08</v>
      </c>
      <c r="AV451" s="132">
        <f t="shared" si="680"/>
        <v>0</v>
      </c>
      <c r="AW451" s="133">
        <f t="shared" si="681"/>
        <v>0.08</v>
      </c>
    </row>
    <row r="452" spans="1:49" ht="14.1" customHeight="1" x14ac:dyDescent="0.2">
      <c r="A452" s="137">
        <v>88</v>
      </c>
      <c r="B452" s="134">
        <v>2499</v>
      </c>
      <c r="C452" s="146">
        <v>650025288</v>
      </c>
      <c r="D452" s="134">
        <v>70983283</v>
      </c>
      <c r="E452" s="136" t="s">
        <v>748</v>
      </c>
      <c r="F452" s="137"/>
      <c r="G452" s="136"/>
      <c r="H452" s="138"/>
      <c r="I452" s="139">
        <f t="shared" ref="I452:P452" si="752">SUM(I446:I451)</f>
        <v>9269369</v>
      </c>
      <c r="J452" s="140">
        <f t="shared" si="752"/>
        <v>6745751</v>
      </c>
      <c r="K452" s="140">
        <f t="shared" si="752"/>
        <v>2280063</v>
      </c>
      <c r="L452" s="140">
        <f t="shared" si="752"/>
        <v>134915</v>
      </c>
      <c r="M452" s="140">
        <f t="shared" si="752"/>
        <v>108640</v>
      </c>
      <c r="N452" s="141">
        <f t="shared" si="752"/>
        <v>15.5649</v>
      </c>
      <c r="O452" s="141">
        <f t="shared" si="752"/>
        <v>9.6316000000000006</v>
      </c>
      <c r="P452" s="142">
        <f t="shared" si="752"/>
        <v>5.9332999999999991</v>
      </c>
      <c r="Q452" s="342">
        <f t="shared" ref="Q452:AW452" si="753">SUM(Q446:Q451)</f>
        <v>0</v>
      </c>
      <c r="R452" s="140">
        <f t="shared" si="753"/>
        <v>221342</v>
      </c>
      <c r="S452" s="140">
        <f t="shared" si="753"/>
        <v>0</v>
      </c>
      <c r="T452" s="140">
        <f t="shared" si="753"/>
        <v>0</v>
      </c>
      <c r="U452" s="140">
        <f t="shared" si="753"/>
        <v>221342</v>
      </c>
      <c r="V452" s="140">
        <f t="shared" si="753"/>
        <v>0</v>
      </c>
      <c r="W452" s="140">
        <f t="shared" si="753"/>
        <v>0</v>
      </c>
      <c r="X452" s="140">
        <f t="shared" si="753"/>
        <v>0</v>
      </c>
      <c r="Y452" s="140">
        <f t="shared" si="753"/>
        <v>0</v>
      </c>
      <c r="Z452" s="140">
        <f t="shared" si="753"/>
        <v>221342</v>
      </c>
      <c r="AA452" s="140">
        <f t="shared" si="753"/>
        <v>74814</v>
      </c>
      <c r="AB452" s="140">
        <f t="shared" si="753"/>
        <v>4427</v>
      </c>
      <c r="AC452" s="140">
        <f t="shared" si="753"/>
        <v>0</v>
      </c>
      <c r="AD452" s="140">
        <f t="shared" si="753"/>
        <v>0</v>
      </c>
      <c r="AE452" s="140">
        <f t="shared" si="753"/>
        <v>0</v>
      </c>
      <c r="AF452" s="140">
        <f t="shared" si="753"/>
        <v>300583</v>
      </c>
      <c r="AG452" s="141">
        <f t="shared" si="753"/>
        <v>0</v>
      </c>
      <c r="AH452" s="141">
        <f t="shared" si="753"/>
        <v>0</v>
      </c>
      <c r="AI452" s="141">
        <f t="shared" si="753"/>
        <v>0.64</v>
      </c>
      <c r="AJ452" s="141">
        <f t="shared" si="753"/>
        <v>0</v>
      </c>
      <c r="AK452" s="141">
        <f t="shared" si="753"/>
        <v>0</v>
      </c>
      <c r="AL452" s="141">
        <f t="shared" si="753"/>
        <v>0.64</v>
      </c>
      <c r="AM452" s="141">
        <f t="shared" si="753"/>
        <v>0</v>
      </c>
      <c r="AN452" s="635">
        <f t="shared" si="753"/>
        <v>0.64</v>
      </c>
      <c r="AO452" s="139">
        <f t="shared" si="753"/>
        <v>9569952</v>
      </c>
      <c r="AP452" s="140">
        <f t="shared" si="753"/>
        <v>6967093</v>
      </c>
      <c r="AQ452" s="140">
        <f t="shared" si="753"/>
        <v>0</v>
      </c>
      <c r="AR452" s="140">
        <f t="shared" si="753"/>
        <v>2354877</v>
      </c>
      <c r="AS452" s="140">
        <f t="shared" si="753"/>
        <v>139342</v>
      </c>
      <c r="AT452" s="140">
        <f t="shared" si="753"/>
        <v>108640</v>
      </c>
      <c r="AU452" s="141">
        <f t="shared" si="753"/>
        <v>16.204899999999999</v>
      </c>
      <c r="AV452" s="141">
        <f t="shared" si="753"/>
        <v>10.271600000000001</v>
      </c>
      <c r="AW452" s="142">
        <f t="shared" si="753"/>
        <v>5.9332999999999991</v>
      </c>
    </row>
    <row r="453" spans="1:49" s="151" customFormat="1" ht="14.1" customHeight="1" x14ac:dyDescent="0.2">
      <c r="A453" s="124">
        <v>89</v>
      </c>
      <c r="B453" s="121">
        <v>2331</v>
      </c>
      <c r="C453" s="144">
        <v>691014302</v>
      </c>
      <c r="D453" s="121" t="s">
        <v>808</v>
      </c>
      <c r="E453" s="123" t="s">
        <v>816</v>
      </c>
      <c r="F453" s="124">
        <v>3111</v>
      </c>
      <c r="G453" s="123" t="s">
        <v>317</v>
      </c>
      <c r="H453" s="125" t="s">
        <v>283</v>
      </c>
      <c r="I453" s="126">
        <f t="shared" si="669"/>
        <v>1979196</v>
      </c>
      <c r="J453" s="127">
        <v>1450144</v>
      </c>
      <c r="K453" s="127">
        <f t="shared" si="684"/>
        <v>490149</v>
      </c>
      <c r="L453" s="477">
        <f t="shared" si="685"/>
        <v>29003</v>
      </c>
      <c r="M453" s="127">
        <v>9900</v>
      </c>
      <c r="N453" s="390">
        <f t="shared" si="670"/>
        <v>3.2049000000000003</v>
      </c>
      <c r="O453" s="390">
        <v>2.37</v>
      </c>
      <c r="P453" s="439">
        <v>0.83489999999999998</v>
      </c>
      <c r="Q453" s="129">
        <f t="shared" si="671"/>
        <v>0</v>
      </c>
      <c r="R453" s="130">
        <v>0</v>
      </c>
      <c r="S453" s="130">
        <v>0</v>
      </c>
      <c r="T453" s="130">
        <v>0</v>
      </c>
      <c r="U453" s="130">
        <f t="shared" si="672"/>
        <v>0</v>
      </c>
      <c r="V453" s="130">
        <v>0</v>
      </c>
      <c r="W453" s="130">
        <v>0</v>
      </c>
      <c r="X453" s="130">
        <v>0</v>
      </c>
      <c r="Y453" s="130">
        <f t="shared" ref="Y453:Y454" si="754">SUM(V453:X453)</f>
        <v>0</v>
      </c>
      <c r="Z453" s="130">
        <f t="shared" ref="Z453:Z454" si="755">U453+Y453</f>
        <v>0</v>
      </c>
      <c r="AA453" s="131">
        <f t="shared" ref="AA453:AA454" si="756">ROUND((U453+V453+W453)*33.8%,0)</f>
        <v>0</v>
      </c>
      <c r="AB453" s="131">
        <f t="shared" ref="AB453:AB454" si="757">ROUND(U453*2%,0)</f>
        <v>0</v>
      </c>
      <c r="AC453" s="130">
        <v>0</v>
      </c>
      <c r="AD453" s="130">
        <v>0</v>
      </c>
      <c r="AE453" s="130">
        <f t="shared" si="692"/>
        <v>0</v>
      </c>
      <c r="AF453" s="130">
        <f t="shared" si="693"/>
        <v>0</v>
      </c>
      <c r="AG453" s="132">
        <v>0</v>
      </c>
      <c r="AH453" s="132">
        <v>0</v>
      </c>
      <c r="AI453" s="132">
        <v>0</v>
      </c>
      <c r="AJ453" s="132">
        <v>0</v>
      </c>
      <c r="AK453" s="132">
        <v>0</v>
      </c>
      <c r="AL453" s="132">
        <f t="shared" si="694"/>
        <v>0</v>
      </c>
      <c r="AM453" s="132">
        <f>AH453+AK453</f>
        <v>0</v>
      </c>
      <c r="AN453" s="403">
        <f t="shared" si="695"/>
        <v>0</v>
      </c>
      <c r="AO453" s="128">
        <f t="shared" si="673"/>
        <v>1979196</v>
      </c>
      <c r="AP453" s="130">
        <f t="shared" si="674"/>
        <v>1450144</v>
      </c>
      <c r="AQ453" s="130">
        <f t="shared" si="675"/>
        <v>0</v>
      </c>
      <c r="AR453" s="130">
        <f t="shared" si="676"/>
        <v>490149</v>
      </c>
      <c r="AS453" s="130">
        <f t="shared" si="677"/>
        <v>29003</v>
      </c>
      <c r="AT453" s="130">
        <f t="shared" si="678"/>
        <v>9900</v>
      </c>
      <c r="AU453" s="132">
        <f t="shared" si="679"/>
        <v>3.2049000000000003</v>
      </c>
      <c r="AV453" s="132">
        <f t="shared" si="680"/>
        <v>2.37</v>
      </c>
      <c r="AW453" s="133">
        <f t="shared" si="681"/>
        <v>0.83489999999999998</v>
      </c>
    </row>
    <row r="454" spans="1:49" s="151" customFormat="1" ht="14.1" customHeight="1" x14ac:dyDescent="0.2">
      <c r="A454" s="124">
        <v>89</v>
      </c>
      <c r="B454" s="121">
        <v>2331</v>
      </c>
      <c r="C454" s="144">
        <v>691014302</v>
      </c>
      <c r="D454" s="121" t="s">
        <v>808</v>
      </c>
      <c r="E454" s="123" t="s">
        <v>816</v>
      </c>
      <c r="F454" s="124">
        <v>3141</v>
      </c>
      <c r="G454" s="123" t="s">
        <v>321</v>
      </c>
      <c r="H454" s="125" t="s">
        <v>284</v>
      </c>
      <c r="I454" s="126">
        <f t="shared" si="669"/>
        <v>350435</v>
      </c>
      <c r="J454" s="666">
        <v>257113</v>
      </c>
      <c r="K454" s="127">
        <f t="shared" si="684"/>
        <v>86904</v>
      </c>
      <c r="L454" s="477">
        <f t="shared" si="685"/>
        <v>5142</v>
      </c>
      <c r="M454" s="666">
        <v>1276</v>
      </c>
      <c r="N454" s="390">
        <f t="shared" si="670"/>
        <v>0.87</v>
      </c>
      <c r="O454" s="668">
        <v>0</v>
      </c>
      <c r="P454" s="667">
        <v>0.87</v>
      </c>
      <c r="Q454" s="129">
        <f t="shared" si="671"/>
        <v>0</v>
      </c>
      <c r="R454" s="130">
        <v>0</v>
      </c>
      <c r="S454" s="130">
        <v>0</v>
      </c>
      <c r="T454" s="130">
        <v>0</v>
      </c>
      <c r="U454" s="130">
        <f t="shared" si="672"/>
        <v>0</v>
      </c>
      <c r="V454" s="130">
        <v>0</v>
      </c>
      <c r="W454" s="130">
        <v>0</v>
      </c>
      <c r="X454" s="130">
        <v>0</v>
      </c>
      <c r="Y454" s="130">
        <f t="shared" si="754"/>
        <v>0</v>
      </c>
      <c r="Z454" s="130">
        <f t="shared" si="755"/>
        <v>0</v>
      </c>
      <c r="AA454" s="131">
        <f t="shared" si="756"/>
        <v>0</v>
      </c>
      <c r="AB454" s="131">
        <f t="shared" si="757"/>
        <v>0</v>
      </c>
      <c r="AC454" s="130">
        <v>0</v>
      </c>
      <c r="AD454" s="130">
        <v>0</v>
      </c>
      <c r="AE454" s="130">
        <f t="shared" si="692"/>
        <v>0</v>
      </c>
      <c r="AF454" s="130">
        <f t="shared" si="693"/>
        <v>0</v>
      </c>
      <c r="AG454" s="132">
        <v>0</v>
      </c>
      <c r="AH454" s="132">
        <v>0</v>
      </c>
      <c r="AI454" s="132">
        <v>0</v>
      </c>
      <c r="AJ454" s="132">
        <v>0</v>
      </c>
      <c r="AK454" s="132">
        <v>0</v>
      </c>
      <c r="AL454" s="132">
        <f t="shared" si="694"/>
        <v>0</v>
      </c>
      <c r="AM454" s="132">
        <f>AH454+AK454</f>
        <v>0</v>
      </c>
      <c r="AN454" s="403">
        <f t="shared" si="695"/>
        <v>0</v>
      </c>
      <c r="AO454" s="128">
        <f t="shared" si="673"/>
        <v>350435</v>
      </c>
      <c r="AP454" s="130">
        <f t="shared" si="674"/>
        <v>257113</v>
      </c>
      <c r="AQ454" s="130">
        <f t="shared" si="675"/>
        <v>0</v>
      </c>
      <c r="AR454" s="130">
        <f t="shared" si="676"/>
        <v>86904</v>
      </c>
      <c r="AS454" s="130">
        <f t="shared" si="677"/>
        <v>5142</v>
      </c>
      <c r="AT454" s="130">
        <f t="shared" si="678"/>
        <v>1276</v>
      </c>
      <c r="AU454" s="132">
        <f t="shared" si="679"/>
        <v>0.87</v>
      </c>
      <c r="AV454" s="132">
        <f t="shared" si="680"/>
        <v>0</v>
      </c>
      <c r="AW454" s="133">
        <f t="shared" si="681"/>
        <v>0.87</v>
      </c>
    </row>
    <row r="455" spans="1:49" ht="14.1" customHeight="1" x14ac:dyDescent="0.2">
      <c r="A455" s="137">
        <v>89</v>
      </c>
      <c r="B455" s="134">
        <v>2331</v>
      </c>
      <c r="C455" s="146">
        <v>691014302</v>
      </c>
      <c r="D455" s="134" t="s">
        <v>808</v>
      </c>
      <c r="E455" s="136" t="s">
        <v>817</v>
      </c>
      <c r="F455" s="517"/>
      <c r="G455" s="136"/>
      <c r="H455" s="138"/>
      <c r="I455" s="139">
        <f t="shared" ref="I455:P455" si="758">SUM(I453:I454)</f>
        <v>2329631</v>
      </c>
      <c r="J455" s="140">
        <f t="shared" si="758"/>
        <v>1707257</v>
      </c>
      <c r="K455" s="140">
        <f t="shared" si="758"/>
        <v>577053</v>
      </c>
      <c r="L455" s="140">
        <f t="shared" si="758"/>
        <v>34145</v>
      </c>
      <c r="M455" s="140">
        <f t="shared" si="758"/>
        <v>11176</v>
      </c>
      <c r="N455" s="141">
        <f t="shared" si="758"/>
        <v>4.0749000000000004</v>
      </c>
      <c r="O455" s="141">
        <f t="shared" si="758"/>
        <v>2.37</v>
      </c>
      <c r="P455" s="142">
        <f t="shared" si="758"/>
        <v>1.7048999999999999</v>
      </c>
      <c r="Q455" s="342">
        <f t="shared" ref="Q455:AW455" si="759">SUM(Q453:Q454)</f>
        <v>0</v>
      </c>
      <c r="R455" s="140">
        <f t="shared" si="759"/>
        <v>0</v>
      </c>
      <c r="S455" s="140">
        <f t="shared" si="759"/>
        <v>0</v>
      </c>
      <c r="T455" s="140">
        <f t="shared" si="759"/>
        <v>0</v>
      </c>
      <c r="U455" s="140">
        <f t="shared" si="759"/>
        <v>0</v>
      </c>
      <c r="V455" s="140">
        <f t="shared" si="759"/>
        <v>0</v>
      </c>
      <c r="W455" s="140">
        <f t="shared" si="759"/>
        <v>0</v>
      </c>
      <c r="X455" s="140">
        <f t="shared" si="759"/>
        <v>0</v>
      </c>
      <c r="Y455" s="140">
        <f t="shared" si="759"/>
        <v>0</v>
      </c>
      <c r="Z455" s="140">
        <f t="shared" si="759"/>
        <v>0</v>
      </c>
      <c r="AA455" s="140">
        <f t="shared" si="759"/>
        <v>0</v>
      </c>
      <c r="AB455" s="140">
        <f t="shared" si="759"/>
        <v>0</v>
      </c>
      <c r="AC455" s="140">
        <f t="shared" si="759"/>
        <v>0</v>
      </c>
      <c r="AD455" s="140">
        <f t="shared" si="759"/>
        <v>0</v>
      </c>
      <c r="AE455" s="140">
        <f t="shared" si="759"/>
        <v>0</v>
      </c>
      <c r="AF455" s="140">
        <f t="shared" si="759"/>
        <v>0</v>
      </c>
      <c r="AG455" s="141">
        <f t="shared" si="759"/>
        <v>0</v>
      </c>
      <c r="AH455" s="141">
        <f t="shared" si="759"/>
        <v>0</v>
      </c>
      <c r="AI455" s="141">
        <f t="shared" si="759"/>
        <v>0</v>
      </c>
      <c r="AJ455" s="141">
        <f t="shared" si="759"/>
        <v>0</v>
      </c>
      <c r="AK455" s="141">
        <f t="shared" si="759"/>
        <v>0</v>
      </c>
      <c r="AL455" s="141">
        <f t="shared" si="759"/>
        <v>0</v>
      </c>
      <c r="AM455" s="141">
        <f t="shared" si="759"/>
        <v>0</v>
      </c>
      <c r="AN455" s="635">
        <f t="shared" si="759"/>
        <v>0</v>
      </c>
      <c r="AO455" s="139">
        <f t="shared" si="759"/>
        <v>2329631</v>
      </c>
      <c r="AP455" s="140">
        <f t="shared" si="759"/>
        <v>1707257</v>
      </c>
      <c r="AQ455" s="140">
        <f t="shared" si="759"/>
        <v>0</v>
      </c>
      <c r="AR455" s="140">
        <f t="shared" si="759"/>
        <v>577053</v>
      </c>
      <c r="AS455" s="140">
        <f t="shared" si="759"/>
        <v>34145</v>
      </c>
      <c r="AT455" s="140">
        <f t="shared" si="759"/>
        <v>11176</v>
      </c>
      <c r="AU455" s="141">
        <f t="shared" si="759"/>
        <v>4.0749000000000004</v>
      </c>
      <c r="AV455" s="141">
        <f t="shared" si="759"/>
        <v>2.37</v>
      </c>
      <c r="AW455" s="142">
        <f t="shared" si="759"/>
        <v>1.7048999999999999</v>
      </c>
    </row>
    <row r="456" spans="1:49" ht="14.1" customHeight="1" x14ac:dyDescent="0.2">
      <c r="A456" s="490">
        <v>90</v>
      </c>
      <c r="B456" s="504">
        <v>2332</v>
      </c>
      <c r="C456" s="504">
        <v>691015295</v>
      </c>
      <c r="D456" s="505">
        <v>10988122</v>
      </c>
      <c r="E456" s="501" t="s">
        <v>834</v>
      </c>
      <c r="F456" s="518">
        <v>3111</v>
      </c>
      <c r="G456" s="519" t="s">
        <v>317</v>
      </c>
      <c r="H456" s="494" t="s">
        <v>283</v>
      </c>
      <c r="I456" s="126">
        <f t="shared" si="669"/>
        <v>4698712</v>
      </c>
      <c r="J456" s="127">
        <v>3443786</v>
      </c>
      <c r="K456" s="127">
        <f t="shared" si="684"/>
        <v>1164000</v>
      </c>
      <c r="L456" s="477">
        <f t="shared" si="685"/>
        <v>68876</v>
      </c>
      <c r="M456" s="127">
        <v>22050</v>
      </c>
      <c r="N456" s="390">
        <f t="shared" si="670"/>
        <v>8.4680999999999997</v>
      </c>
      <c r="O456" s="390">
        <v>6.4839000000000002</v>
      </c>
      <c r="P456" s="439">
        <v>1.9842</v>
      </c>
      <c r="Q456" s="129">
        <f t="shared" si="671"/>
        <v>0</v>
      </c>
      <c r="R456" s="130">
        <v>0</v>
      </c>
      <c r="S456" s="130">
        <v>0</v>
      </c>
      <c r="T456" s="130">
        <v>0</v>
      </c>
      <c r="U456" s="130">
        <f t="shared" si="672"/>
        <v>0</v>
      </c>
      <c r="V456" s="130">
        <v>0</v>
      </c>
      <c r="W456" s="498">
        <v>0</v>
      </c>
      <c r="X456" s="130">
        <v>0</v>
      </c>
      <c r="Y456" s="130">
        <f t="shared" ref="Y456:Y457" si="760">SUM(V456:X456)</f>
        <v>0</v>
      </c>
      <c r="Z456" s="130">
        <f t="shared" ref="Z456:Z457" si="761">U456+Y456</f>
        <v>0</v>
      </c>
      <c r="AA456" s="131">
        <f t="shared" ref="AA456:AA457" si="762">ROUND((U456+V456+W456)*33.8%,0)</f>
        <v>0</v>
      </c>
      <c r="AB456" s="131">
        <f t="shared" ref="AB456:AB457" si="763">ROUND(U456*2%,0)</f>
        <v>0</v>
      </c>
      <c r="AC456" s="130">
        <v>0</v>
      </c>
      <c r="AD456" s="130">
        <v>0</v>
      </c>
      <c r="AE456" s="498">
        <f t="shared" ref="AE456:AE457" si="764">SUM(AC456:AD456)</f>
        <v>0</v>
      </c>
      <c r="AF456" s="498">
        <f t="shared" ref="AF456:AF457" si="765">Z456+AA456+AB456+AE456</f>
        <v>0</v>
      </c>
      <c r="AG456" s="132">
        <v>0</v>
      </c>
      <c r="AH456" s="132">
        <v>0</v>
      </c>
      <c r="AI456" s="132">
        <v>0</v>
      </c>
      <c r="AJ456" s="132">
        <v>0</v>
      </c>
      <c r="AK456" s="132">
        <v>0</v>
      </c>
      <c r="AL456" s="499">
        <f t="shared" ref="AL456:AL457" si="766">AG456+AI456+AJ456</f>
        <v>0</v>
      </c>
      <c r="AM456" s="499">
        <f t="shared" ref="AM456:AM457" si="767">AH456+AK456</f>
        <v>0</v>
      </c>
      <c r="AN456" s="529">
        <f t="shared" ref="AN456:AN457" si="768">SUM(AL456:AM456)</f>
        <v>0</v>
      </c>
      <c r="AO456" s="128">
        <f t="shared" si="673"/>
        <v>4698712</v>
      </c>
      <c r="AP456" s="130">
        <f t="shared" si="674"/>
        <v>3443786</v>
      </c>
      <c r="AQ456" s="130">
        <f t="shared" si="675"/>
        <v>0</v>
      </c>
      <c r="AR456" s="130">
        <f t="shared" si="676"/>
        <v>1164000</v>
      </c>
      <c r="AS456" s="130">
        <f t="shared" si="677"/>
        <v>68876</v>
      </c>
      <c r="AT456" s="130">
        <f t="shared" si="678"/>
        <v>22050</v>
      </c>
      <c r="AU456" s="132">
        <f t="shared" si="679"/>
        <v>8.4680999999999997</v>
      </c>
      <c r="AV456" s="132">
        <f t="shared" si="680"/>
        <v>6.4839000000000002</v>
      </c>
      <c r="AW456" s="133">
        <f t="shared" si="681"/>
        <v>1.9842</v>
      </c>
    </row>
    <row r="457" spans="1:49" ht="14.1" customHeight="1" x14ac:dyDescent="0.2">
      <c r="A457" s="506">
        <v>90</v>
      </c>
      <c r="B457" s="507">
        <v>2332</v>
      </c>
      <c r="C457" s="504">
        <v>691015295</v>
      </c>
      <c r="D457" s="505">
        <v>10988122</v>
      </c>
      <c r="E457" s="501" t="s">
        <v>834</v>
      </c>
      <c r="F457" s="508">
        <v>3141</v>
      </c>
      <c r="G457" s="509" t="s">
        <v>321</v>
      </c>
      <c r="H457" s="494" t="s">
        <v>284</v>
      </c>
      <c r="I457" s="126">
        <f t="shared" si="669"/>
        <v>255536</v>
      </c>
      <c r="J457" s="666">
        <v>186772</v>
      </c>
      <c r="K457" s="127">
        <f t="shared" si="684"/>
        <v>63129</v>
      </c>
      <c r="L457" s="477">
        <f t="shared" si="685"/>
        <v>3735</v>
      </c>
      <c r="M457" s="666">
        <v>1900</v>
      </c>
      <c r="N457" s="390">
        <f t="shared" si="670"/>
        <v>0.64</v>
      </c>
      <c r="O457" s="668">
        <v>0</v>
      </c>
      <c r="P457" s="667">
        <v>0.64</v>
      </c>
      <c r="Q457" s="129">
        <f t="shared" si="671"/>
        <v>0</v>
      </c>
      <c r="R457" s="130">
        <v>0</v>
      </c>
      <c r="S457" s="130">
        <v>0</v>
      </c>
      <c r="T457" s="130">
        <v>0</v>
      </c>
      <c r="U457" s="130">
        <f t="shared" si="672"/>
        <v>0</v>
      </c>
      <c r="V457" s="130">
        <v>0</v>
      </c>
      <c r="W457" s="498">
        <v>0</v>
      </c>
      <c r="X457" s="130">
        <v>0</v>
      </c>
      <c r="Y457" s="130">
        <f t="shared" si="760"/>
        <v>0</v>
      </c>
      <c r="Z457" s="130">
        <f t="shared" si="761"/>
        <v>0</v>
      </c>
      <c r="AA457" s="131">
        <f t="shared" si="762"/>
        <v>0</v>
      </c>
      <c r="AB457" s="131">
        <f t="shared" si="763"/>
        <v>0</v>
      </c>
      <c r="AC457" s="130">
        <v>0</v>
      </c>
      <c r="AD457" s="130">
        <v>0</v>
      </c>
      <c r="AE457" s="498">
        <f t="shared" si="764"/>
        <v>0</v>
      </c>
      <c r="AF457" s="498">
        <f t="shared" si="765"/>
        <v>0</v>
      </c>
      <c r="AG457" s="132">
        <v>0</v>
      </c>
      <c r="AH457" s="132">
        <v>0</v>
      </c>
      <c r="AI457" s="132">
        <v>0</v>
      </c>
      <c r="AJ457" s="132">
        <v>0</v>
      </c>
      <c r="AK457" s="132">
        <v>0</v>
      </c>
      <c r="AL457" s="499">
        <f t="shared" si="766"/>
        <v>0</v>
      </c>
      <c r="AM457" s="499">
        <f t="shared" si="767"/>
        <v>0</v>
      </c>
      <c r="AN457" s="529">
        <f t="shared" si="768"/>
        <v>0</v>
      </c>
      <c r="AO457" s="128">
        <f t="shared" si="673"/>
        <v>255536</v>
      </c>
      <c r="AP457" s="130">
        <f t="shared" si="674"/>
        <v>186772</v>
      </c>
      <c r="AQ457" s="130">
        <f t="shared" si="675"/>
        <v>0</v>
      </c>
      <c r="AR457" s="130">
        <f t="shared" si="676"/>
        <v>63129</v>
      </c>
      <c r="AS457" s="130">
        <f t="shared" si="677"/>
        <v>3735</v>
      </c>
      <c r="AT457" s="130">
        <f t="shared" si="678"/>
        <v>1900</v>
      </c>
      <c r="AU457" s="132">
        <f t="shared" si="679"/>
        <v>0.64</v>
      </c>
      <c r="AV457" s="132">
        <f t="shared" si="680"/>
        <v>0</v>
      </c>
      <c r="AW457" s="133">
        <f t="shared" si="681"/>
        <v>0.64</v>
      </c>
    </row>
    <row r="458" spans="1:49" ht="14.1" customHeight="1" thickBot="1" x14ac:dyDescent="0.25">
      <c r="A458" s="510">
        <v>90</v>
      </c>
      <c r="B458" s="511">
        <v>2332</v>
      </c>
      <c r="C458" s="511">
        <v>691015295</v>
      </c>
      <c r="D458" s="512">
        <v>10988122</v>
      </c>
      <c r="E458" s="502" t="s">
        <v>835</v>
      </c>
      <c r="F458" s="513"/>
      <c r="G458" s="514"/>
      <c r="H458" s="514"/>
      <c r="I458" s="696">
        <f t="shared" ref="I458:P458" si="769">SUM(I456:I457)</f>
        <v>4954248</v>
      </c>
      <c r="J458" s="697">
        <f t="shared" si="769"/>
        <v>3630558</v>
      </c>
      <c r="K458" s="697">
        <f t="shared" si="769"/>
        <v>1227129</v>
      </c>
      <c r="L458" s="697">
        <f t="shared" si="769"/>
        <v>72611</v>
      </c>
      <c r="M458" s="697">
        <f t="shared" si="769"/>
        <v>23950</v>
      </c>
      <c r="N458" s="698">
        <f t="shared" si="769"/>
        <v>9.1081000000000003</v>
      </c>
      <c r="O458" s="698">
        <f t="shared" si="769"/>
        <v>6.4839000000000002</v>
      </c>
      <c r="P458" s="699">
        <f t="shared" si="769"/>
        <v>2.6242000000000001</v>
      </c>
      <c r="Q458" s="632">
        <f t="shared" ref="Q458:T458" si="770">SUM(Q456:Q457)</f>
        <v>0</v>
      </c>
      <c r="R458" s="515">
        <f t="shared" si="770"/>
        <v>0</v>
      </c>
      <c r="S458" s="515">
        <f t="shared" si="770"/>
        <v>0</v>
      </c>
      <c r="T458" s="515">
        <f t="shared" si="770"/>
        <v>0</v>
      </c>
      <c r="U458" s="515">
        <f t="shared" ref="U458:AW458" si="771">SUM(U456:U457)</f>
        <v>0</v>
      </c>
      <c r="V458" s="515">
        <f t="shared" si="771"/>
        <v>0</v>
      </c>
      <c r="W458" s="515">
        <f t="shared" si="771"/>
        <v>0</v>
      </c>
      <c r="X458" s="515">
        <f t="shared" si="771"/>
        <v>0</v>
      </c>
      <c r="Y458" s="515">
        <f t="shared" si="771"/>
        <v>0</v>
      </c>
      <c r="Z458" s="515">
        <f t="shared" si="771"/>
        <v>0</v>
      </c>
      <c r="AA458" s="515">
        <f t="shared" si="771"/>
        <v>0</v>
      </c>
      <c r="AB458" s="515">
        <f t="shared" si="771"/>
        <v>0</v>
      </c>
      <c r="AC458" s="515">
        <f t="shared" si="771"/>
        <v>0</v>
      </c>
      <c r="AD458" s="515">
        <f t="shared" si="771"/>
        <v>0</v>
      </c>
      <c r="AE458" s="515">
        <f t="shared" si="771"/>
        <v>0</v>
      </c>
      <c r="AF458" s="515">
        <f t="shared" si="771"/>
        <v>0</v>
      </c>
      <c r="AG458" s="516">
        <f t="shared" si="771"/>
        <v>0</v>
      </c>
      <c r="AH458" s="516">
        <f t="shared" si="771"/>
        <v>0</v>
      </c>
      <c r="AI458" s="516">
        <f t="shared" si="771"/>
        <v>0</v>
      </c>
      <c r="AJ458" s="516">
        <f t="shared" si="771"/>
        <v>0</v>
      </c>
      <c r="AK458" s="516">
        <f t="shared" si="771"/>
        <v>0</v>
      </c>
      <c r="AL458" s="516">
        <f t="shared" si="771"/>
        <v>0</v>
      </c>
      <c r="AM458" s="516">
        <f t="shared" si="771"/>
        <v>0</v>
      </c>
      <c r="AN458" s="638">
        <f t="shared" si="771"/>
        <v>0</v>
      </c>
      <c r="AO458" s="696">
        <f t="shared" si="771"/>
        <v>4954248</v>
      </c>
      <c r="AP458" s="697">
        <f t="shared" si="771"/>
        <v>3630558</v>
      </c>
      <c r="AQ458" s="697">
        <f t="shared" si="771"/>
        <v>0</v>
      </c>
      <c r="AR458" s="697">
        <f t="shared" si="771"/>
        <v>1227129</v>
      </c>
      <c r="AS458" s="697">
        <f t="shared" si="771"/>
        <v>72611</v>
      </c>
      <c r="AT458" s="697">
        <f t="shared" si="771"/>
        <v>23950</v>
      </c>
      <c r="AU458" s="698">
        <f t="shared" si="771"/>
        <v>9.1081000000000003</v>
      </c>
      <c r="AV458" s="698">
        <f t="shared" si="771"/>
        <v>6.4839000000000002</v>
      </c>
      <c r="AW458" s="699">
        <f t="shared" si="771"/>
        <v>2.6242000000000001</v>
      </c>
    </row>
    <row r="459" spans="1:49" ht="14.1" customHeight="1" thickBot="1" x14ac:dyDescent="0.25">
      <c r="A459" s="724"/>
      <c r="B459" s="725"/>
      <c r="C459" s="725"/>
      <c r="D459" s="725"/>
      <c r="E459" s="726" t="s">
        <v>749</v>
      </c>
      <c r="F459" s="725"/>
      <c r="G459" s="725"/>
      <c r="H459" s="725"/>
      <c r="I459" s="700">
        <f>I458+I455+I452+I445+I438+I431+I424+I417+I410+I404+I401+I394+I387+I383+I377+I370+I368+I364+I357+I352+I345+I339+I331+I328+I324+I321+I319+I313+I309+I302+I295+I293+I285+I280+I273+I269+I263+I259+I255+I253+I246+I240+I234+I228+I222+I216+I210+I203+I197+I191+I184+I177+I171+I165+I159+I154+I148+I142+I136+I129+I122+I117+I114+I111+I107+I103+I100+I96+I92+I89+I85+I81+I78+I74+I69+I66+I62+I58+I54+I51+I48+I45+I41+I38+I34+I30+I27+I22+I18+I13</f>
        <v>1576587347</v>
      </c>
      <c r="J459" s="701">
        <f t="shared" ref="J459:P459" si="772">J458+J455+J452+J445+J438+J431+J424+J417+J410+J404+J401+J394+J387+J383+J377+J370+J368+J364+J357+J352+J345+J339+J331+J328+J324+J321+J319+J313+J309+J302+J295+J293+J285+J280+J273+J269+J263+J259+J255+J253+J246+J240+J234+J228+J222+J216+J210+J203+J197+J191+J184+J177+J171+J165+J159+J154+J148+J142+J136+J129+J122+J117+J114+J111+J107+J103+J100+J96+J92+J89+J85+J81+J78+J74+J69+J66+J62+J58+J54+J51+J48+J45+J41+J38+J34+J30+J27+J22+J18+J13</f>
        <v>1143313334</v>
      </c>
      <c r="K459" s="701">
        <f t="shared" si="772"/>
        <v>386439901</v>
      </c>
      <c r="L459" s="701">
        <f t="shared" si="772"/>
        <v>22866275</v>
      </c>
      <c r="M459" s="701">
        <f t="shared" si="772"/>
        <v>23967837</v>
      </c>
      <c r="N459" s="702">
        <f t="shared" si="772"/>
        <v>2420.4033999999997</v>
      </c>
      <c r="O459" s="703">
        <f t="shared" si="772"/>
        <v>1675.9028000000003</v>
      </c>
      <c r="P459" s="704">
        <f t="shared" si="772"/>
        <v>744.50060000000042</v>
      </c>
      <c r="Q459" s="520">
        <f t="shared" ref="Q459:R459" si="773">Q458+Q455+Q452+Q445+Q438+Q431+Q424+Q417+Q410+Q404+Q401+Q394+Q387+Q383+Q377+Q370+Q368+Q364+Q357+Q352+Q345+Q339+Q331+Q328+Q324+Q321+Q319+Q313+Q309+Q302+Q295+Q293+Q285+Q280+Q273+Q269+Q263+Q259+Q255+Q253+Q246+Q240+Q234+Q228+Q222+Q216+Q210+Q203+Q197+Q191+Q184+Q177+Q171+Q165+Q159+Q154+Q148+Q142+Q136+Q129+Q122+Q117+Q114+Q111+Q107+Q103+Q100+Q96+Q92+Q89+Q85+Q81+Q78+Q74+Q69+Q66+Q62+Q58+Q54+Q51+Q48+Q45+Q41+Q38+Q34+Q30+Q27+Q22+Q18+Q13</f>
        <v>-5234337</v>
      </c>
      <c r="R459" s="520">
        <f t="shared" si="773"/>
        <v>77010359</v>
      </c>
      <c r="S459" s="520">
        <f t="shared" ref="S459:AW459" si="774">S458+S455+S452+S445+S438+S431+S424+S417+S410+S404+S401+S394+S387+S383+S377+S370+S368+S364+S357+S352+S345+S339+S331+S328+S324+S321+S319+S313+S309+S302+S295+S293+S285+S280+S273+S269+S263+S259+S255+S253+S246+S240+S234+S228+S222+S216+S210+S203+S197+S191+S184+S177+S171+S165+S159+S154+S148+S142+S136+S129+S122+S117+S114+S111+S107+S103+S100+S96+S92+S89+S85+S81+S78+S74+S69+S66+S62+S58+S54+S51+S48+S45+S41+S38+S34+S30+S27+S22+S18+S13</f>
        <v>0</v>
      </c>
      <c r="T459" s="521">
        <f t="shared" si="774"/>
        <v>524140</v>
      </c>
      <c r="U459" s="521">
        <f t="shared" si="774"/>
        <v>72300162</v>
      </c>
      <c r="V459" s="520">
        <f t="shared" si="774"/>
        <v>5203361</v>
      </c>
      <c r="W459" s="521">
        <f t="shared" si="774"/>
        <v>274080</v>
      </c>
      <c r="X459" s="521">
        <f t="shared" si="774"/>
        <v>30976</v>
      </c>
      <c r="Y459" s="521">
        <f t="shared" si="774"/>
        <v>5508417</v>
      </c>
      <c r="Z459" s="520">
        <f t="shared" si="774"/>
        <v>77808579</v>
      </c>
      <c r="AA459" s="520">
        <f t="shared" si="774"/>
        <v>26288834</v>
      </c>
      <c r="AB459" s="520">
        <f t="shared" si="774"/>
        <v>1446005</v>
      </c>
      <c r="AC459" s="521">
        <f t="shared" si="774"/>
        <v>95750</v>
      </c>
      <c r="AD459" s="521">
        <f t="shared" si="774"/>
        <v>5104</v>
      </c>
      <c r="AE459" s="521">
        <f t="shared" si="774"/>
        <v>100854</v>
      </c>
      <c r="AF459" s="521">
        <f t="shared" si="774"/>
        <v>105644272</v>
      </c>
      <c r="AG459" s="522">
        <f t="shared" si="774"/>
        <v>-4.25</v>
      </c>
      <c r="AH459" s="522">
        <f t="shared" si="774"/>
        <v>-7.669999999999999</v>
      </c>
      <c r="AI459" s="522">
        <f t="shared" si="774"/>
        <v>220.55000000000004</v>
      </c>
      <c r="AJ459" s="522">
        <f t="shared" si="774"/>
        <v>-0.93000000000000016</v>
      </c>
      <c r="AK459" s="522">
        <f t="shared" si="774"/>
        <v>2.12</v>
      </c>
      <c r="AL459" s="522">
        <f t="shared" si="774"/>
        <v>215.37000000000003</v>
      </c>
      <c r="AM459" s="522">
        <f t="shared" si="774"/>
        <v>-5.5499999999999989</v>
      </c>
      <c r="AN459" s="523">
        <f t="shared" si="774"/>
        <v>209.82000000000008</v>
      </c>
      <c r="AO459" s="705">
        <f t="shared" si="774"/>
        <v>1682231619</v>
      </c>
      <c r="AP459" s="706">
        <f t="shared" si="774"/>
        <v>1215613496</v>
      </c>
      <c r="AQ459" s="706">
        <f t="shared" si="774"/>
        <v>5508417</v>
      </c>
      <c r="AR459" s="706">
        <f t="shared" si="774"/>
        <v>412728735</v>
      </c>
      <c r="AS459" s="706">
        <f t="shared" si="774"/>
        <v>24312280</v>
      </c>
      <c r="AT459" s="706">
        <f t="shared" si="774"/>
        <v>24068691</v>
      </c>
      <c r="AU459" s="703">
        <f t="shared" si="774"/>
        <v>2630.2233999999999</v>
      </c>
      <c r="AV459" s="703">
        <f t="shared" si="774"/>
        <v>1891.2728000000009</v>
      </c>
      <c r="AW459" s="704">
        <f t="shared" si="774"/>
        <v>738.95060000000024</v>
      </c>
    </row>
    <row r="460" spans="1:49" ht="14.1" customHeight="1" x14ac:dyDescent="0.2">
      <c r="I460" s="110">
        <f>SUM(J459:M459)</f>
        <v>1576587347</v>
      </c>
      <c r="N460" s="111">
        <f>SUM(O459:P459)</f>
        <v>2420.4034000000006</v>
      </c>
      <c r="Q460" s="176"/>
      <c r="R460" s="407"/>
      <c r="S460" s="407"/>
      <c r="T460" s="407"/>
      <c r="U460" s="408">
        <f>SUM(Q459:T459)</f>
        <v>72300162</v>
      </c>
      <c r="V460" s="409">
        <f>Q459+V459</f>
        <v>-30976</v>
      </c>
      <c r="W460" s="409"/>
      <c r="X460" s="409"/>
      <c r="Y460" s="408">
        <f>SUM(V459:X459)</f>
        <v>5508417</v>
      </c>
      <c r="Z460" s="408">
        <f>U459+Y459</f>
        <v>77808579</v>
      </c>
      <c r="AA460" s="410"/>
      <c r="AB460" s="410"/>
      <c r="AC460" s="409"/>
      <c r="AD460" s="409"/>
      <c r="AE460" s="408">
        <f>SUM(AC459:AD459)</f>
        <v>100854</v>
      </c>
      <c r="AF460" s="408">
        <f>Z459+AA459+AB459+AE459</f>
        <v>105644272</v>
      </c>
      <c r="AG460" s="411"/>
      <c r="AH460" s="411"/>
      <c r="AI460" s="411"/>
      <c r="AJ460" s="411"/>
      <c r="AK460" s="411"/>
      <c r="AL460" s="412">
        <f>AG459+AI459+AJ459</f>
        <v>215.37000000000003</v>
      </c>
      <c r="AM460" s="412">
        <f>AH459+AK459</f>
        <v>-5.5499999999999989</v>
      </c>
      <c r="AN460" s="412">
        <f>SUM(AL459:AM459)</f>
        <v>209.82000000000002</v>
      </c>
      <c r="AO460" s="315">
        <f>SUM(AP459:AT459)</f>
        <v>1682231619</v>
      </c>
      <c r="AP460" s="172"/>
      <c r="AQ460" s="172"/>
      <c r="AR460" s="172"/>
      <c r="AS460" s="172"/>
      <c r="AT460" s="172"/>
      <c r="AU460" s="161">
        <f>SUM(AV459:AW459)</f>
        <v>2630.2234000000012</v>
      </c>
      <c r="AV460" s="173"/>
      <c r="AW460" s="173"/>
    </row>
    <row r="461" spans="1:49" ht="14.1" customHeight="1" thickBot="1" x14ac:dyDescent="0.25">
      <c r="H461" s="107"/>
      <c r="I461" s="162">
        <f ca="1">SUM(J462:M462)</f>
        <v>1576587347</v>
      </c>
      <c r="J461" s="163"/>
      <c r="K461" s="634"/>
      <c r="L461" s="634"/>
      <c r="M461" s="163"/>
      <c r="N461" s="164">
        <f ca="1">SUM(O462:P462)</f>
        <v>2420.4034000000001</v>
      </c>
      <c r="O461" s="336"/>
      <c r="P461" s="336"/>
      <c r="Q461" s="431"/>
      <c r="R461" s="431"/>
      <c r="S461" s="431"/>
      <c r="T461" s="431"/>
      <c r="U461" s="415">
        <f ca="1">SUM(Q462:T462)</f>
        <v>72300162</v>
      </c>
      <c r="V461" s="416"/>
      <c r="W461" s="416"/>
      <c r="X461" s="416"/>
      <c r="Y461" s="415">
        <f ca="1">SUM(V462:X462)</f>
        <v>5508417</v>
      </c>
      <c r="Z461" s="415">
        <f ca="1">U462+Y462</f>
        <v>77808579</v>
      </c>
      <c r="AA461" s="417"/>
      <c r="AB461" s="417"/>
      <c r="AC461" s="416"/>
      <c r="AD461" s="416"/>
      <c r="AE461" s="415">
        <f ca="1">SUM(AC462:AD462)</f>
        <v>100854</v>
      </c>
      <c r="AF461" s="415">
        <f ca="1">Z462+AA462+AB462+AE462</f>
        <v>105644272</v>
      </c>
      <c r="AG461" s="418"/>
      <c r="AH461" s="418"/>
      <c r="AI461" s="418"/>
      <c r="AJ461" s="418"/>
      <c r="AK461" s="418"/>
      <c r="AL461" s="419">
        <f ca="1">AG462+AI462+AJ462</f>
        <v>215.37</v>
      </c>
      <c r="AM461" s="419">
        <f ca="1">AH462+AK462</f>
        <v>-5.55</v>
      </c>
      <c r="AN461" s="419">
        <f ca="1">SUM(AL462:AM462)</f>
        <v>209.82</v>
      </c>
      <c r="AO461" s="432">
        <f ca="1">SUM(AP462:AT462)</f>
        <v>1682231619</v>
      </c>
      <c r="AP461" s="690"/>
      <c r="AQ461" s="690"/>
      <c r="AR461" s="690"/>
      <c r="AS461" s="690"/>
      <c r="AT461" s="690"/>
      <c r="AU461" s="420">
        <f ca="1">SUM(AV462:AW462)</f>
        <v>2630.2233999999999</v>
      </c>
      <c r="AV461" s="623"/>
      <c r="AW461" s="623"/>
    </row>
    <row r="462" spans="1:49" customFormat="1" ht="13.5" thickBot="1" x14ac:dyDescent="0.25">
      <c r="D462" s="49"/>
      <c r="E462" s="50"/>
      <c r="F462" s="49"/>
      <c r="G462" s="96"/>
      <c r="H462" s="51" t="s">
        <v>0</v>
      </c>
      <c r="I462" s="271">
        <f t="shared" ref="I462:AV462" ca="1" si="775">SUM(I463:I472)</f>
        <v>1576587347</v>
      </c>
      <c r="J462" s="63">
        <f t="shared" ca="1" si="775"/>
        <v>1143313334</v>
      </c>
      <c r="K462" s="63">
        <f t="shared" ca="1" si="775"/>
        <v>386439901</v>
      </c>
      <c r="L462" s="63">
        <f t="shared" ca="1" si="775"/>
        <v>22866275</v>
      </c>
      <c r="M462" s="63">
        <f t="shared" ca="1" si="775"/>
        <v>23967837</v>
      </c>
      <c r="N462" s="64">
        <f t="shared" ca="1" si="775"/>
        <v>2420.4034000000006</v>
      </c>
      <c r="O462" s="64">
        <f t="shared" ca="1" si="775"/>
        <v>1675.9028000000001</v>
      </c>
      <c r="P462" s="65">
        <f t="shared" ca="1" si="775"/>
        <v>744.50059999999996</v>
      </c>
      <c r="Q462" s="424">
        <f t="shared" ca="1" si="775"/>
        <v>-5234337</v>
      </c>
      <c r="R462" s="425">
        <f t="shared" ref="R462" ca="1" si="776">SUM(R463:R472)</f>
        <v>77010359</v>
      </c>
      <c r="S462" s="425">
        <f t="shared" ca="1" si="775"/>
        <v>0</v>
      </c>
      <c r="T462" s="425">
        <f t="shared" ca="1" si="775"/>
        <v>524140</v>
      </c>
      <c r="U462" s="425">
        <f t="shared" ca="1" si="775"/>
        <v>72300162</v>
      </c>
      <c r="V462" s="425">
        <f t="shared" ca="1" si="775"/>
        <v>5203361</v>
      </c>
      <c r="W462" s="425">
        <f t="shared" ref="W462" ca="1" si="777">SUM(W463:W472)</f>
        <v>274080</v>
      </c>
      <c r="X462" s="425">
        <f t="shared" ca="1" si="775"/>
        <v>30976</v>
      </c>
      <c r="Y462" s="425">
        <f t="shared" ca="1" si="775"/>
        <v>5508417</v>
      </c>
      <c r="Z462" s="425">
        <f t="shared" ca="1" si="775"/>
        <v>77808579</v>
      </c>
      <c r="AA462" s="425">
        <f t="shared" ca="1" si="775"/>
        <v>26288834</v>
      </c>
      <c r="AB462" s="425">
        <f t="shared" ca="1" si="775"/>
        <v>1446005</v>
      </c>
      <c r="AC462" s="425">
        <f t="shared" ca="1" si="775"/>
        <v>95750</v>
      </c>
      <c r="AD462" s="425">
        <f t="shared" ca="1" si="775"/>
        <v>5104</v>
      </c>
      <c r="AE462" s="425">
        <f t="shared" ca="1" si="775"/>
        <v>100854</v>
      </c>
      <c r="AF462" s="425">
        <f t="shared" ca="1" si="775"/>
        <v>105644272</v>
      </c>
      <c r="AG462" s="426">
        <f t="shared" ca="1" si="775"/>
        <v>-4.25</v>
      </c>
      <c r="AH462" s="426">
        <f t="shared" ca="1" si="775"/>
        <v>-7.67</v>
      </c>
      <c r="AI462" s="426">
        <f t="shared" ref="AI462" ca="1" si="778">SUM(AI463:AI472)</f>
        <v>220.55</v>
      </c>
      <c r="AJ462" s="426">
        <f t="shared" ca="1" si="775"/>
        <v>-0.93</v>
      </c>
      <c r="AK462" s="426">
        <f t="shared" ca="1" si="775"/>
        <v>2.12</v>
      </c>
      <c r="AL462" s="426">
        <f t="shared" ca="1" si="775"/>
        <v>215.37</v>
      </c>
      <c r="AM462" s="426">
        <f t="shared" ca="1" si="775"/>
        <v>-5.55</v>
      </c>
      <c r="AN462" s="427">
        <f t="shared" ca="1" si="775"/>
        <v>209.82000000000002</v>
      </c>
      <c r="AO462" s="428">
        <f t="shared" ca="1" si="775"/>
        <v>1682231619</v>
      </c>
      <c r="AP462" s="425">
        <f t="shared" ca="1" si="775"/>
        <v>1215613496</v>
      </c>
      <c r="AQ462" s="425">
        <f t="shared" ca="1" si="775"/>
        <v>5508417</v>
      </c>
      <c r="AR462" s="425">
        <f t="shared" ca="1" si="775"/>
        <v>412728735</v>
      </c>
      <c r="AS462" s="425">
        <f t="shared" ca="1" si="775"/>
        <v>24312280</v>
      </c>
      <c r="AT462" s="425">
        <f t="shared" ca="1" si="775"/>
        <v>24068691</v>
      </c>
      <c r="AU462" s="426">
        <f t="shared" ca="1" si="775"/>
        <v>2630.2234000000003</v>
      </c>
      <c r="AV462" s="426">
        <f t="shared" ca="1" si="775"/>
        <v>1891.2728</v>
      </c>
      <c r="AW462" s="429">
        <f t="shared" ref="AW462" ca="1" si="779">SUM(AW463:AW472)</f>
        <v>738.95059999999989</v>
      </c>
    </row>
    <row r="463" spans="1:49" customFormat="1" ht="12.75" x14ac:dyDescent="0.2">
      <c r="D463" s="49"/>
      <c r="E463" s="50"/>
      <c r="F463" s="49"/>
      <c r="G463" s="96"/>
      <c r="H463" s="287">
        <v>3111</v>
      </c>
      <c r="I463" s="60">
        <f t="shared" ref="I463:AW463" ca="1" si="780">SUMIF($F$12:$F$459,"=3111",I$12:I$408)</f>
        <v>343710409</v>
      </c>
      <c r="J463" s="285">
        <f ca="1">SUMIF($F$12:$F$459,"=3111",J$12:J$408)</f>
        <v>251534134</v>
      </c>
      <c r="K463" s="285">
        <f t="shared" ca="1" si="780"/>
        <v>85018539</v>
      </c>
      <c r="L463" s="285">
        <f t="shared" ca="1" si="780"/>
        <v>5030686</v>
      </c>
      <c r="M463" s="285">
        <f t="shared" ca="1" si="780"/>
        <v>2127050</v>
      </c>
      <c r="N463" s="286">
        <f t="shared" ca="1" si="780"/>
        <v>586.08160000000021</v>
      </c>
      <c r="O463" s="286">
        <f ca="1">SUMIF($F$12:$F$459,"=3111",O$12:O$408)</f>
        <v>441.6108999999999</v>
      </c>
      <c r="P463" s="656">
        <f t="shared" ca="1" si="780"/>
        <v>144.47069999999999</v>
      </c>
      <c r="Q463" s="61">
        <f t="shared" ca="1" si="780"/>
        <v>-480881</v>
      </c>
      <c r="R463" s="285">
        <f t="shared" ca="1" si="780"/>
        <v>7689754</v>
      </c>
      <c r="S463" s="285">
        <f t="shared" ca="1" si="780"/>
        <v>0</v>
      </c>
      <c r="T463" s="285">
        <f t="shared" ca="1" si="780"/>
        <v>-647005</v>
      </c>
      <c r="U463" s="285">
        <f t="shared" ca="1" si="780"/>
        <v>6561868</v>
      </c>
      <c r="V463" s="285">
        <f t="shared" ca="1" si="780"/>
        <v>449905</v>
      </c>
      <c r="W463" s="285">
        <f t="shared" ca="1" si="780"/>
        <v>0</v>
      </c>
      <c r="X463" s="285">
        <f t="shared" ca="1" si="780"/>
        <v>30976</v>
      </c>
      <c r="Y463" s="285">
        <f t="shared" ca="1" si="780"/>
        <v>480881</v>
      </c>
      <c r="Z463" s="285">
        <f t="shared" ca="1" si="780"/>
        <v>7042749</v>
      </c>
      <c r="AA463" s="285">
        <f t="shared" ca="1" si="780"/>
        <v>2369982</v>
      </c>
      <c r="AB463" s="285">
        <f t="shared" ca="1" si="780"/>
        <v>131238</v>
      </c>
      <c r="AC463" s="285">
        <f t="shared" ca="1" si="780"/>
        <v>3500</v>
      </c>
      <c r="AD463" s="285">
        <f t="shared" ca="1" si="780"/>
        <v>0</v>
      </c>
      <c r="AE463" s="285">
        <f t="shared" ca="1" si="780"/>
        <v>3500</v>
      </c>
      <c r="AF463" s="285">
        <f t="shared" ca="1" si="780"/>
        <v>9547469</v>
      </c>
      <c r="AG463" s="286">
        <f t="shared" ca="1" si="780"/>
        <v>-0.15</v>
      </c>
      <c r="AH463" s="286">
        <f t="shared" ca="1" si="780"/>
        <v>-0.91999999999999993</v>
      </c>
      <c r="AI463" s="286">
        <f t="shared" ca="1" si="780"/>
        <v>22.87</v>
      </c>
      <c r="AJ463" s="286">
        <f t="shared" ca="1" si="780"/>
        <v>-1.83</v>
      </c>
      <c r="AK463" s="286">
        <f t="shared" ca="1" si="780"/>
        <v>0</v>
      </c>
      <c r="AL463" s="286">
        <f t="shared" ca="1" si="780"/>
        <v>20.89</v>
      </c>
      <c r="AM463" s="286">
        <f t="shared" ca="1" si="780"/>
        <v>-0.91999999999999993</v>
      </c>
      <c r="AN463" s="421">
        <f t="shared" ca="1" si="780"/>
        <v>19.97</v>
      </c>
      <c r="AO463" s="60">
        <f t="shared" ca="1" si="780"/>
        <v>353257878</v>
      </c>
      <c r="AP463" s="285">
        <f t="shared" ca="1" si="780"/>
        <v>258096002</v>
      </c>
      <c r="AQ463" s="285">
        <f t="shared" ca="1" si="780"/>
        <v>480881</v>
      </c>
      <c r="AR463" s="285">
        <f t="shared" ca="1" si="780"/>
        <v>87388521</v>
      </c>
      <c r="AS463" s="285">
        <f t="shared" ca="1" si="780"/>
        <v>5161924</v>
      </c>
      <c r="AT463" s="285">
        <f t="shared" ca="1" si="780"/>
        <v>2130550</v>
      </c>
      <c r="AU463" s="286">
        <f t="shared" ca="1" si="780"/>
        <v>606.05160000000001</v>
      </c>
      <c r="AV463" s="286">
        <f t="shared" ca="1" si="780"/>
        <v>462.50089999999989</v>
      </c>
      <c r="AW463" s="404">
        <f t="shared" ca="1" si="780"/>
        <v>143.55069999999998</v>
      </c>
    </row>
    <row r="464" spans="1:49" customFormat="1" ht="12.75" x14ac:dyDescent="0.2">
      <c r="D464" s="49"/>
      <c r="E464" s="50"/>
      <c r="F464" s="49"/>
      <c r="G464" s="96"/>
      <c r="H464" s="33">
        <v>3113</v>
      </c>
      <c r="I464" s="52">
        <f t="shared" ref="I464:AW464" si="781">SUMIF($F$12:$F$459,"=3113",I$12:I$459)</f>
        <v>842173616</v>
      </c>
      <c r="J464" s="53">
        <f t="shared" si="781"/>
        <v>606007737</v>
      </c>
      <c r="K464" s="53">
        <f t="shared" si="781"/>
        <v>204830614</v>
      </c>
      <c r="L464" s="53">
        <f t="shared" si="781"/>
        <v>12120155</v>
      </c>
      <c r="M464" s="53">
        <f t="shared" si="781"/>
        <v>19215110</v>
      </c>
      <c r="N464" s="54">
        <f t="shared" si="781"/>
        <v>1132.9289000000001</v>
      </c>
      <c r="O464" s="54">
        <f t="shared" si="781"/>
        <v>877.06730000000016</v>
      </c>
      <c r="P464" s="657">
        <f t="shared" si="781"/>
        <v>255.86160000000004</v>
      </c>
      <c r="Q464" s="88">
        <f t="shared" si="781"/>
        <v>-1970880</v>
      </c>
      <c r="R464" s="53">
        <f t="shared" si="781"/>
        <v>63024702</v>
      </c>
      <c r="S464" s="53">
        <f t="shared" si="781"/>
        <v>0</v>
      </c>
      <c r="T464" s="53">
        <f t="shared" si="781"/>
        <v>547950</v>
      </c>
      <c r="U464" s="53">
        <f t="shared" si="781"/>
        <v>61601772</v>
      </c>
      <c r="V464" s="53">
        <f t="shared" si="781"/>
        <v>1970880</v>
      </c>
      <c r="W464" s="53">
        <f t="shared" si="781"/>
        <v>200992</v>
      </c>
      <c r="X464" s="53">
        <f t="shared" si="781"/>
        <v>0</v>
      </c>
      <c r="Y464" s="53">
        <f t="shared" si="781"/>
        <v>2171872</v>
      </c>
      <c r="Z464" s="53">
        <f t="shared" si="781"/>
        <v>63773644</v>
      </c>
      <c r="AA464" s="53">
        <f t="shared" si="781"/>
        <v>21555491</v>
      </c>
      <c r="AB464" s="53">
        <f t="shared" si="781"/>
        <v>1232034</v>
      </c>
      <c r="AC464" s="53">
        <f t="shared" si="781"/>
        <v>84250</v>
      </c>
      <c r="AD464" s="53">
        <f t="shared" si="781"/>
        <v>0</v>
      </c>
      <c r="AE464" s="53">
        <f t="shared" si="781"/>
        <v>84250</v>
      </c>
      <c r="AF464" s="53">
        <f t="shared" si="781"/>
        <v>86645419</v>
      </c>
      <c r="AG464" s="54">
        <f t="shared" si="781"/>
        <v>-1.2700000000000002</v>
      </c>
      <c r="AH464" s="54">
        <f t="shared" si="781"/>
        <v>-2.8800000000000003</v>
      </c>
      <c r="AI464" s="54">
        <f t="shared" si="781"/>
        <v>179.33</v>
      </c>
      <c r="AJ464" s="54">
        <f t="shared" si="781"/>
        <v>0.9</v>
      </c>
      <c r="AK464" s="54">
        <f t="shared" si="781"/>
        <v>0</v>
      </c>
      <c r="AL464" s="54">
        <f t="shared" si="781"/>
        <v>178.96</v>
      </c>
      <c r="AM464" s="54">
        <f t="shared" si="781"/>
        <v>-2.8800000000000003</v>
      </c>
      <c r="AN464" s="422">
        <f t="shared" si="781"/>
        <v>176.08</v>
      </c>
      <c r="AO464" s="52">
        <f t="shared" si="781"/>
        <v>928819035</v>
      </c>
      <c r="AP464" s="53">
        <f t="shared" si="781"/>
        <v>667609509</v>
      </c>
      <c r="AQ464" s="53">
        <f t="shared" si="781"/>
        <v>2171872</v>
      </c>
      <c r="AR464" s="53">
        <f t="shared" si="781"/>
        <v>226386105</v>
      </c>
      <c r="AS464" s="53">
        <f t="shared" si="781"/>
        <v>13352189</v>
      </c>
      <c r="AT464" s="53">
        <f t="shared" si="781"/>
        <v>19299360</v>
      </c>
      <c r="AU464" s="54">
        <f t="shared" si="781"/>
        <v>1309.0089000000003</v>
      </c>
      <c r="AV464" s="54">
        <f t="shared" si="781"/>
        <v>1056.0273000000004</v>
      </c>
      <c r="AW464" s="405">
        <f t="shared" si="781"/>
        <v>252.98160000000004</v>
      </c>
    </row>
    <row r="465" spans="2:49" customFormat="1" ht="12.75" x14ac:dyDescent="0.2">
      <c r="D465" s="49"/>
      <c r="E465" s="50"/>
      <c r="F465" s="49"/>
      <c r="G465" s="96"/>
      <c r="H465" s="33">
        <v>3114</v>
      </c>
      <c r="I465" s="52">
        <f t="shared" ref="I465:AW465" si="782">SUMIF($F$12:$F$459,"=3114",I$12:I$459)</f>
        <v>53537306</v>
      </c>
      <c r="J465" s="53">
        <f t="shared" si="782"/>
        <v>39067890</v>
      </c>
      <c r="K465" s="53">
        <f t="shared" si="782"/>
        <v>13204948</v>
      </c>
      <c r="L465" s="53">
        <f t="shared" si="782"/>
        <v>781358</v>
      </c>
      <c r="M465" s="53">
        <f t="shared" si="782"/>
        <v>483110</v>
      </c>
      <c r="N465" s="54">
        <f t="shared" si="782"/>
        <v>77.622699999999995</v>
      </c>
      <c r="O465" s="54">
        <f t="shared" si="782"/>
        <v>62.598700000000001</v>
      </c>
      <c r="P465" s="657">
        <f t="shared" si="782"/>
        <v>15.024000000000001</v>
      </c>
      <c r="Q465" s="88">
        <f t="shared" si="782"/>
        <v>-113600</v>
      </c>
      <c r="R465" s="53">
        <f t="shared" si="782"/>
        <v>1797688</v>
      </c>
      <c r="S465" s="53">
        <f t="shared" si="782"/>
        <v>0</v>
      </c>
      <c r="T465" s="53">
        <f t="shared" si="782"/>
        <v>0</v>
      </c>
      <c r="U465" s="53">
        <f t="shared" si="782"/>
        <v>1684088</v>
      </c>
      <c r="V465" s="53">
        <f t="shared" si="782"/>
        <v>113600</v>
      </c>
      <c r="W465" s="53">
        <f t="shared" si="782"/>
        <v>73088</v>
      </c>
      <c r="X465" s="53">
        <f t="shared" si="782"/>
        <v>0</v>
      </c>
      <c r="Y465" s="53">
        <f t="shared" si="782"/>
        <v>186688</v>
      </c>
      <c r="Z465" s="53">
        <f t="shared" si="782"/>
        <v>1870776</v>
      </c>
      <c r="AA465" s="53">
        <f t="shared" si="782"/>
        <v>632323</v>
      </c>
      <c r="AB465" s="53">
        <f t="shared" si="782"/>
        <v>33682</v>
      </c>
      <c r="AC465" s="53">
        <f t="shared" si="782"/>
        <v>3000</v>
      </c>
      <c r="AD465" s="53">
        <f t="shared" si="782"/>
        <v>0</v>
      </c>
      <c r="AE465" s="53">
        <f t="shared" si="782"/>
        <v>3000</v>
      </c>
      <c r="AF465" s="53">
        <f t="shared" si="782"/>
        <v>2539781</v>
      </c>
      <c r="AG465" s="54">
        <f t="shared" si="782"/>
        <v>-7.0000000000000007E-2</v>
      </c>
      <c r="AH465" s="54">
        <f t="shared" si="782"/>
        <v>-0.4</v>
      </c>
      <c r="AI465" s="54">
        <f t="shared" si="782"/>
        <v>5.18</v>
      </c>
      <c r="AJ465" s="54">
        <f t="shared" si="782"/>
        <v>0</v>
      </c>
      <c r="AK465" s="54">
        <f t="shared" si="782"/>
        <v>0</v>
      </c>
      <c r="AL465" s="54">
        <f t="shared" si="782"/>
        <v>5.1099999999999994</v>
      </c>
      <c r="AM465" s="54">
        <f t="shared" si="782"/>
        <v>-0.4</v>
      </c>
      <c r="AN465" s="422">
        <f t="shared" si="782"/>
        <v>4.7099999999999991</v>
      </c>
      <c r="AO465" s="52">
        <f t="shared" si="782"/>
        <v>56077087</v>
      </c>
      <c r="AP465" s="53">
        <f t="shared" si="782"/>
        <v>40751978</v>
      </c>
      <c r="AQ465" s="53">
        <f t="shared" si="782"/>
        <v>186688</v>
      </c>
      <c r="AR465" s="53">
        <f t="shared" si="782"/>
        <v>13837271</v>
      </c>
      <c r="AS465" s="53">
        <f t="shared" si="782"/>
        <v>815040</v>
      </c>
      <c r="AT465" s="53">
        <f t="shared" si="782"/>
        <v>486110</v>
      </c>
      <c r="AU465" s="54">
        <f t="shared" si="782"/>
        <v>82.332700000000003</v>
      </c>
      <c r="AV465" s="54">
        <f t="shared" si="782"/>
        <v>67.708700000000007</v>
      </c>
      <c r="AW465" s="405">
        <f t="shared" si="782"/>
        <v>14.623999999999999</v>
      </c>
    </row>
    <row r="466" spans="2:49" customFormat="1" ht="12.75" x14ac:dyDescent="0.2">
      <c r="D466" s="49"/>
      <c r="E466" s="50"/>
      <c r="F466" s="49"/>
      <c r="G466" s="96"/>
      <c r="H466" s="33">
        <v>3117</v>
      </c>
      <c r="I466" s="52">
        <f t="shared" ref="I466:AW466" si="783">SUMIF($F$12:$F$459,"=3117",I$12:I$459)</f>
        <v>37568340</v>
      </c>
      <c r="J466" s="53">
        <f t="shared" si="783"/>
        <v>27146930</v>
      </c>
      <c r="K466" s="53">
        <f t="shared" si="783"/>
        <v>9175663</v>
      </c>
      <c r="L466" s="53">
        <f t="shared" si="783"/>
        <v>542937</v>
      </c>
      <c r="M466" s="53">
        <f t="shared" si="783"/>
        <v>702810</v>
      </c>
      <c r="N466" s="54">
        <f t="shared" si="783"/>
        <v>54.834900000000005</v>
      </c>
      <c r="O466" s="54">
        <f t="shared" si="783"/>
        <v>36.345399999999998</v>
      </c>
      <c r="P466" s="657">
        <f t="shared" si="783"/>
        <v>18.4895</v>
      </c>
      <c r="Q466" s="88">
        <f t="shared" si="783"/>
        <v>-300800</v>
      </c>
      <c r="R466" s="53">
        <f t="shared" si="783"/>
        <v>4498215</v>
      </c>
      <c r="S466" s="53">
        <f t="shared" si="783"/>
        <v>0</v>
      </c>
      <c r="T466" s="53">
        <f t="shared" si="783"/>
        <v>0</v>
      </c>
      <c r="U466" s="53">
        <f t="shared" si="783"/>
        <v>4197415</v>
      </c>
      <c r="V466" s="53">
        <f t="shared" si="783"/>
        <v>300800</v>
      </c>
      <c r="W466" s="53">
        <f t="shared" si="783"/>
        <v>0</v>
      </c>
      <c r="X466" s="53">
        <f t="shared" si="783"/>
        <v>0</v>
      </c>
      <c r="Y466" s="53">
        <f t="shared" si="783"/>
        <v>300800</v>
      </c>
      <c r="Z466" s="53">
        <f t="shared" si="783"/>
        <v>4498215</v>
      </c>
      <c r="AA466" s="53">
        <f t="shared" si="783"/>
        <v>1520398</v>
      </c>
      <c r="AB466" s="53">
        <f t="shared" si="783"/>
        <v>83950</v>
      </c>
      <c r="AC466" s="53">
        <f t="shared" si="783"/>
        <v>5000</v>
      </c>
      <c r="AD466" s="53">
        <f t="shared" si="783"/>
        <v>0</v>
      </c>
      <c r="AE466" s="53">
        <f t="shared" si="783"/>
        <v>5000</v>
      </c>
      <c r="AF466" s="53">
        <f t="shared" si="783"/>
        <v>6107563</v>
      </c>
      <c r="AG466" s="54">
        <f t="shared" si="783"/>
        <v>-0.23</v>
      </c>
      <c r="AH466" s="54">
        <f t="shared" si="783"/>
        <v>-0.30000000000000004</v>
      </c>
      <c r="AI466" s="54">
        <f t="shared" si="783"/>
        <v>13.170000000000002</v>
      </c>
      <c r="AJ466" s="54">
        <f t="shared" si="783"/>
        <v>0</v>
      </c>
      <c r="AK466" s="54">
        <f t="shared" si="783"/>
        <v>0</v>
      </c>
      <c r="AL466" s="54">
        <f t="shared" si="783"/>
        <v>12.94</v>
      </c>
      <c r="AM466" s="54">
        <f t="shared" si="783"/>
        <v>-0.30000000000000004</v>
      </c>
      <c r="AN466" s="422">
        <f t="shared" si="783"/>
        <v>12.640000000000002</v>
      </c>
      <c r="AO466" s="52">
        <f t="shared" si="783"/>
        <v>43675903</v>
      </c>
      <c r="AP466" s="53">
        <f t="shared" si="783"/>
        <v>31344345</v>
      </c>
      <c r="AQ466" s="53">
        <f t="shared" si="783"/>
        <v>300800</v>
      </c>
      <c r="AR466" s="53">
        <f t="shared" si="783"/>
        <v>10696061</v>
      </c>
      <c r="AS466" s="53">
        <f t="shared" si="783"/>
        <v>626887</v>
      </c>
      <c r="AT466" s="53">
        <f t="shared" si="783"/>
        <v>707810</v>
      </c>
      <c r="AU466" s="54">
        <f t="shared" si="783"/>
        <v>67.474900000000005</v>
      </c>
      <c r="AV466" s="54">
        <f t="shared" si="783"/>
        <v>49.28540000000001</v>
      </c>
      <c r="AW466" s="405">
        <f t="shared" si="783"/>
        <v>18.189499999999999</v>
      </c>
    </row>
    <row r="467" spans="2:49" customFormat="1" ht="12.75" x14ac:dyDescent="0.2">
      <c r="D467" s="49"/>
      <c r="E467" s="50"/>
      <c r="F467" s="49"/>
      <c r="G467" s="96"/>
      <c r="H467" s="33">
        <v>3122</v>
      </c>
      <c r="I467" s="52">
        <f t="shared" ref="I467:AW467" si="784">SUMIF($F$12:$F$408,"=3122",I$12:I$408)</f>
        <v>0</v>
      </c>
      <c r="J467" s="53">
        <f>SUMIF($F$12:$F$408,"=3122",J$12:J$408)</f>
        <v>0</v>
      </c>
      <c r="K467" s="53">
        <f t="shared" si="784"/>
        <v>0</v>
      </c>
      <c r="L467" s="53">
        <f t="shared" si="784"/>
        <v>0</v>
      </c>
      <c r="M467" s="53">
        <f t="shared" si="784"/>
        <v>0</v>
      </c>
      <c r="N467" s="54">
        <f t="shared" si="784"/>
        <v>0</v>
      </c>
      <c r="O467" s="54">
        <f>SUMIF($F$12:$F$408,"=3122",O$12:O$408)</f>
        <v>0</v>
      </c>
      <c r="P467" s="657">
        <f t="shared" si="784"/>
        <v>0</v>
      </c>
      <c r="Q467" s="88">
        <f t="shared" si="784"/>
        <v>0</v>
      </c>
      <c r="R467" s="53">
        <f t="shared" si="784"/>
        <v>0</v>
      </c>
      <c r="S467" s="53">
        <f t="shared" si="784"/>
        <v>0</v>
      </c>
      <c r="T467" s="53">
        <f t="shared" si="784"/>
        <v>0</v>
      </c>
      <c r="U467" s="53">
        <f t="shared" si="784"/>
        <v>0</v>
      </c>
      <c r="V467" s="53">
        <f t="shared" si="784"/>
        <v>0</v>
      </c>
      <c r="W467" s="53">
        <f t="shared" si="784"/>
        <v>0</v>
      </c>
      <c r="X467" s="53">
        <f t="shared" si="784"/>
        <v>0</v>
      </c>
      <c r="Y467" s="53">
        <f t="shared" si="784"/>
        <v>0</v>
      </c>
      <c r="Z467" s="53">
        <f t="shared" si="784"/>
        <v>0</v>
      </c>
      <c r="AA467" s="53">
        <f t="shared" si="784"/>
        <v>0</v>
      </c>
      <c r="AB467" s="53">
        <f t="shared" si="784"/>
        <v>0</v>
      </c>
      <c r="AC467" s="53">
        <f t="shared" si="784"/>
        <v>0</v>
      </c>
      <c r="AD467" s="53">
        <f t="shared" si="784"/>
        <v>0</v>
      </c>
      <c r="AE467" s="53">
        <f t="shared" si="784"/>
        <v>0</v>
      </c>
      <c r="AF467" s="53">
        <f t="shared" si="784"/>
        <v>0</v>
      </c>
      <c r="AG467" s="54">
        <f t="shared" si="784"/>
        <v>0</v>
      </c>
      <c r="AH467" s="54">
        <f t="shared" si="784"/>
        <v>0</v>
      </c>
      <c r="AI467" s="54">
        <f t="shared" si="784"/>
        <v>0</v>
      </c>
      <c r="AJ467" s="54">
        <f t="shared" si="784"/>
        <v>0</v>
      </c>
      <c r="AK467" s="54">
        <f t="shared" si="784"/>
        <v>0</v>
      </c>
      <c r="AL467" s="54">
        <f t="shared" si="784"/>
        <v>0</v>
      </c>
      <c r="AM467" s="54">
        <f t="shared" si="784"/>
        <v>0</v>
      </c>
      <c r="AN467" s="422">
        <f t="shared" si="784"/>
        <v>0</v>
      </c>
      <c r="AO467" s="52">
        <f t="shared" si="784"/>
        <v>0</v>
      </c>
      <c r="AP467" s="53">
        <f t="shared" si="784"/>
        <v>0</v>
      </c>
      <c r="AQ467" s="53">
        <f t="shared" si="784"/>
        <v>0</v>
      </c>
      <c r="AR467" s="53">
        <f t="shared" si="784"/>
        <v>0</v>
      </c>
      <c r="AS467" s="53">
        <f t="shared" si="784"/>
        <v>0</v>
      </c>
      <c r="AT467" s="53">
        <f t="shared" si="784"/>
        <v>0</v>
      </c>
      <c r="AU467" s="54">
        <f t="shared" si="784"/>
        <v>0</v>
      </c>
      <c r="AV467" s="54">
        <f t="shared" si="784"/>
        <v>0</v>
      </c>
      <c r="AW467" s="405">
        <f t="shared" si="784"/>
        <v>0</v>
      </c>
    </row>
    <row r="468" spans="2:49" customFormat="1" ht="12.75" x14ac:dyDescent="0.2">
      <c r="D468" s="49"/>
      <c r="E468" s="50"/>
      <c r="F468" s="49"/>
      <c r="G468" s="96"/>
      <c r="H468" s="33">
        <v>3124</v>
      </c>
      <c r="I468" s="52">
        <f t="shared" ref="I468:AW468" si="785">SUMIF($F$12:$F$408,"=3124",I$12:I$408)</f>
        <v>0</v>
      </c>
      <c r="J468" s="53">
        <f>SUMIF($F$12:$F$408,"=3124",J$12:J$408)</f>
        <v>0</v>
      </c>
      <c r="K468" s="53">
        <f t="shared" si="785"/>
        <v>0</v>
      </c>
      <c r="L468" s="53">
        <f t="shared" si="785"/>
        <v>0</v>
      </c>
      <c r="M468" s="53">
        <f t="shared" si="785"/>
        <v>0</v>
      </c>
      <c r="N468" s="54">
        <f t="shared" si="785"/>
        <v>0</v>
      </c>
      <c r="O468" s="54">
        <f>SUMIF($F$12:$F$408,"=3124",O$12:O$408)</f>
        <v>0</v>
      </c>
      <c r="P468" s="657">
        <f t="shared" si="785"/>
        <v>0</v>
      </c>
      <c r="Q468" s="88">
        <f t="shared" si="785"/>
        <v>0</v>
      </c>
      <c r="R468" s="53">
        <f t="shared" si="785"/>
        <v>0</v>
      </c>
      <c r="S468" s="53">
        <f t="shared" si="785"/>
        <v>0</v>
      </c>
      <c r="T468" s="53">
        <f t="shared" si="785"/>
        <v>0</v>
      </c>
      <c r="U468" s="53">
        <f t="shared" si="785"/>
        <v>0</v>
      </c>
      <c r="V468" s="53">
        <f t="shared" si="785"/>
        <v>0</v>
      </c>
      <c r="W468" s="53">
        <f t="shared" si="785"/>
        <v>0</v>
      </c>
      <c r="X468" s="53">
        <f t="shared" si="785"/>
        <v>0</v>
      </c>
      <c r="Y468" s="53">
        <f t="shared" si="785"/>
        <v>0</v>
      </c>
      <c r="Z468" s="53">
        <f t="shared" si="785"/>
        <v>0</v>
      </c>
      <c r="AA468" s="53">
        <f t="shared" si="785"/>
        <v>0</v>
      </c>
      <c r="AB468" s="53">
        <f t="shared" si="785"/>
        <v>0</v>
      </c>
      <c r="AC468" s="53">
        <f t="shared" si="785"/>
        <v>0</v>
      </c>
      <c r="AD468" s="53">
        <f t="shared" si="785"/>
        <v>0</v>
      </c>
      <c r="AE468" s="53">
        <f t="shared" si="785"/>
        <v>0</v>
      </c>
      <c r="AF468" s="53">
        <f t="shared" si="785"/>
        <v>0</v>
      </c>
      <c r="AG468" s="54">
        <f t="shared" si="785"/>
        <v>0</v>
      </c>
      <c r="AH468" s="54">
        <f t="shared" si="785"/>
        <v>0</v>
      </c>
      <c r="AI468" s="54">
        <f t="shared" si="785"/>
        <v>0</v>
      </c>
      <c r="AJ468" s="54">
        <f t="shared" si="785"/>
        <v>0</v>
      </c>
      <c r="AK468" s="54">
        <f t="shared" si="785"/>
        <v>0</v>
      </c>
      <c r="AL468" s="54">
        <f t="shared" si="785"/>
        <v>0</v>
      </c>
      <c r="AM468" s="54">
        <f t="shared" si="785"/>
        <v>0</v>
      </c>
      <c r="AN468" s="422">
        <f t="shared" si="785"/>
        <v>0</v>
      </c>
      <c r="AO468" s="52">
        <f t="shared" si="785"/>
        <v>0</v>
      </c>
      <c r="AP468" s="53">
        <f t="shared" si="785"/>
        <v>0</v>
      </c>
      <c r="AQ468" s="53">
        <f t="shared" si="785"/>
        <v>0</v>
      </c>
      <c r="AR468" s="53">
        <f t="shared" si="785"/>
        <v>0</v>
      </c>
      <c r="AS468" s="53">
        <f t="shared" si="785"/>
        <v>0</v>
      </c>
      <c r="AT468" s="53">
        <f t="shared" si="785"/>
        <v>0</v>
      </c>
      <c r="AU468" s="54">
        <f t="shared" si="785"/>
        <v>0</v>
      </c>
      <c r="AV468" s="54">
        <f t="shared" si="785"/>
        <v>0</v>
      </c>
      <c r="AW468" s="405">
        <f t="shared" si="785"/>
        <v>0</v>
      </c>
    </row>
    <row r="469" spans="2:49" customFormat="1" ht="12.75" x14ac:dyDescent="0.2">
      <c r="D469" s="49"/>
      <c r="E469" s="50"/>
      <c r="F469" s="49"/>
      <c r="G469" s="96"/>
      <c r="H469" s="33">
        <v>3141</v>
      </c>
      <c r="I469" s="52">
        <f t="shared" ref="I469:AW469" si="786">SUMIF($F$12:$F$459,"=3141",I$12:I$459)</f>
        <v>111212409</v>
      </c>
      <c r="J469" s="53">
        <f t="shared" si="786"/>
        <v>81265827</v>
      </c>
      <c r="K469" s="53">
        <f t="shared" si="786"/>
        <v>27467844</v>
      </c>
      <c r="L469" s="53">
        <f t="shared" si="786"/>
        <v>1625318</v>
      </c>
      <c r="M469" s="53">
        <f t="shared" si="786"/>
        <v>853420</v>
      </c>
      <c r="N469" s="54">
        <f t="shared" si="786"/>
        <v>276.38999999999993</v>
      </c>
      <c r="O469" s="54">
        <f t="shared" si="786"/>
        <v>0</v>
      </c>
      <c r="P469" s="657">
        <f t="shared" si="786"/>
        <v>276.38999999999993</v>
      </c>
      <c r="Q469" s="88">
        <f t="shared" si="786"/>
        <v>-416176</v>
      </c>
      <c r="R469" s="53">
        <f t="shared" si="786"/>
        <v>0</v>
      </c>
      <c r="S469" s="53">
        <f t="shared" si="786"/>
        <v>0</v>
      </c>
      <c r="T469" s="53">
        <f t="shared" si="786"/>
        <v>623195</v>
      </c>
      <c r="U469" s="53">
        <f t="shared" si="786"/>
        <v>207019</v>
      </c>
      <c r="V469" s="53">
        <f t="shared" si="786"/>
        <v>416176</v>
      </c>
      <c r="W469" s="53">
        <f t="shared" si="786"/>
        <v>0</v>
      </c>
      <c r="X469" s="53">
        <f t="shared" si="786"/>
        <v>0</v>
      </c>
      <c r="Y469" s="53">
        <f t="shared" si="786"/>
        <v>416176</v>
      </c>
      <c r="Z469" s="53">
        <f t="shared" si="786"/>
        <v>623195</v>
      </c>
      <c r="AA469" s="53">
        <f t="shared" si="786"/>
        <v>210640</v>
      </c>
      <c r="AB469" s="53">
        <f t="shared" si="786"/>
        <v>4141</v>
      </c>
      <c r="AC469" s="53">
        <f t="shared" si="786"/>
        <v>0</v>
      </c>
      <c r="AD469" s="53">
        <f t="shared" si="786"/>
        <v>5104</v>
      </c>
      <c r="AE469" s="53">
        <f t="shared" si="786"/>
        <v>5104</v>
      </c>
      <c r="AF469" s="53">
        <f t="shared" si="786"/>
        <v>843080</v>
      </c>
      <c r="AG469" s="54">
        <f t="shared" si="786"/>
        <v>0</v>
      </c>
      <c r="AH469" s="54">
        <f t="shared" si="786"/>
        <v>-1.1300000000000001</v>
      </c>
      <c r="AI469" s="54">
        <f t="shared" si="786"/>
        <v>0</v>
      </c>
      <c r="AJ469" s="54">
        <f t="shared" si="786"/>
        <v>0</v>
      </c>
      <c r="AK469" s="54">
        <f t="shared" si="786"/>
        <v>2.12</v>
      </c>
      <c r="AL469" s="54">
        <f t="shared" si="786"/>
        <v>0</v>
      </c>
      <c r="AM469" s="54">
        <f t="shared" si="786"/>
        <v>0.98999999999999977</v>
      </c>
      <c r="AN469" s="422">
        <f t="shared" si="786"/>
        <v>0.98999999999999977</v>
      </c>
      <c r="AO469" s="52">
        <f t="shared" si="786"/>
        <v>112055489</v>
      </c>
      <c r="AP469" s="53">
        <f t="shared" si="786"/>
        <v>81472846</v>
      </c>
      <c r="AQ469" s="53">
        <f t="shared" si="786"/>
        <v>416176</v>
      </c>
      <c r="AR469" s="53">
        <f t="shared" si="786"/>
        <v>27678484</v>
      </c>
      <c r="AS469" s="53">
        <f t="shared" si="786"/>
        <v>1629459</v>
      </c>
      <c r="AT469" s="53">
        <f t="shared" si="786"/>
        <v>858524</v>
      </c>
      <c r="AU469" s="54">
        <f t="shared" si="786"/>
        <v>277.37999999999994</v>
      </c>
      <c r="AV469" s="54">
        <f t="shared" si="786"/>
        <v>0</v>
      </c>
      <c r="AW469" s="405">
        <f t="shared" si="786"/>
        <v>277.37999999999994</v>
      </c>
    </row>
    <row r="470" spans="2:49" customFormat="1" ht="12.75" x14ac:dyDescent="0.2">
      <c r="D470" s="49"/>
      <c r="E470" s="50"/>
      <c r="F470" s="49"/>
      <c r="G470" s="96"/>
      <c r="H470" s="33">
        <v>3143</v>
      </c>
      <c r="I470" s="52">
        <f t="shared" ref="I470:AW470" si="787">SUMIF($F$12:$F$459,"=3143",I$12:I$459)</f>
        <v>95644574</v>
      </c>
      <c r="J470" s="53">
        <f t="shared" si="787"/>
        <v>70331386</v>
      </c>
      <c r="K470" s="53">
        <f t="shared" si="787"/>
        <v>23772006</v>
      </c>
      <c r="L470" s="53">
        <f t="shared" si="787"/>
        <v>1406632</v>
      </c>
      <c r="M470" s="53">
        <f t="shared" si="787"/>
        <v>134550</v>
      </c>
      <c r="N470" s="54">
        <f t="shared" si="787"/>
        <v>155.02570000000009</v>
      </c>
      <c r="O470" s="54">
        <f t="shared" si="787"/>
        <v>145.66569999999999</v>
      </c>
      <c r="P470" s="657">
        <f t="shared" si="787"/>
        <v>9.36</v>
      </c>
      <c r="Q470" s="88">
        <f t="shared" si="787"/>
        <v>-192000</v>
      </c>
      <c r="R470" s="53">
        <f t="shared" si="787"/>
        <v>0</v>
      </c>
      <c r="S470" s="53">
        <f t="shared" si="787"/>
        <v>0</v>
      </c>
      <c r="T470" s="53">
        <f t="shared" si="787"/>
        <v>0</v>
      </c>
      <c r="U470" s="53">
        <f t="shared" si="787"/>
        <v>-192000</v>
      </c>
      <c r="V470" s="53">
        <f t="shared" si="787"/>
        <v>192000</v>
      </c>
      <c r="W470" s="53">
        <f t="shared" si="787"/>
        <v>0</v>
      </c>
      <c r="X470" s="53">
        <f t="shared" si="787"/>
        <v>0</v>
      </c>
      <c r="Y470" s="53">
        <f t="shared" si="787"/>
        <v>192000</v>
      </c>
      <c r="Z470" s="53">
        <f t="shared" si="787"/>
        <v>0</v>
      </c>
      <c r="AA470" s="53">
        <f t="shared" si="787"/>
        <v>0</v>
      </c>
      <c r="AB470" s="53">
        <f t="shared" si="787"/>
        <v>-3840</v>
      </c>
      <c r="AC470" s="53">
        <f t="shared" si="787"/>
        <v>0</v>
      </c>
      <c r="AD470" s="53">
        <f t="shared" si="787"/>
        <v>0</v>
      </c>
      <c r="AE470" s="53">
        <f t="shared" si="787"/>
        <v>0</v>
      </c>
      <c r="AF470" s="53">
        <f t="shared" si="787"/>
        <v>-3840</v>
      </c>
      <c r="AG470" s="54">
        <f t="shared" si="787"/>
        <v>-0.18000000000000002</v>
      </c>
      <c r="AH470" s="54">
        <f t="shared" si="787"/>
        <v>0</v>
      </c>
      <c r="AI470" s="54">
        <f t="shared" si="787"/>
        <v>0</v>
      </c>
      <c r="AJ470" s="54">
        <f t="shared" si="787"/>
        <v>0</v>
      </c>
      <c r="AK470" s="54">
        <f t="shared" si="787"/>
        <v>0</v>
      </c>
      <c r="AL470" s="54">
        <f t="shared" si="787"/>
        <v>-0.18000000000000002</v>
      </c>
      <c r="AM470" s="54">
        <f t="shared" si="787"/>
        <v>0</v>
      </c>
      <c r="AN470" s="422">
        <f t="shared" si="787"/>
        <v>-0.18000000000000002</v>
      </c>
      <c r="AO470" s="52">
        <f t="shared" si="787"/>
        <v>95640734</v>
      </c>
      <c r="AP470" s="53">
        <f t="shared" si="787"/>
        <v>70139386</v>
      </c>
      <c r="AQ470" s="53">
        <f t="shared" si="787"/>
        <v>192000</v>
      </c>
      <c r="AR470" s="53">
        <f t="shared" si="787"/>
        <v>23772006</v>
      </c>
      <c r="AS470" s="53">
        <f t="shared" si="787"/>
        <v>1402792</v>
      </c>
      <c r="AT470" s="53">
        <f t="shared" si="787"/>
        <v>134550</v>
      </c>
      <c r="AU470" s="54">
        <f t="shared" si="787"/>
        <v>154.84570000000008</v>
      </c>
      <c r="AV470" s="54">
        <f t="shared" si="787"/>
        <v>145.48569999999998</v>
      </c>
      <c r="AW470" s="405">
        <f t="shared" si="787"/>
        <v>9.36</v>
      </c>
    </row>
    <row r="471" spans="2:49" customFormat="1" ht="12.75" x14ac:dyDescent="0.2">
      <c r="D471" s="49"/>
      <c r="E471" s="50"/>
      <c r="F471" s="49"/>
      <c r="G471" s="96"/>
      <c r="H471" s="33">
        <v>3231</v>
      </c>
      <c r="I471" s="52">
        <f t="shared" ref="I471:AW471" si="788">SUMIF($F$12:$F$459,"=3231",I$12:I$459)</f>
        <v>76185448</v>
      </c>
      <c r="J471" s="53">
        <f t="shared" si="788"/>
        <v>55919273</v>
      </c>
      <c r="K471" s="53">
        <f t="shared" si="788"/>
        <v>18900714</v>
      </c>
      <c r="L471" s="53">
        <f t="shared" si="788"/>
        <v>1118386</v>
      </c>
      <c r="M471" s="53">
        <f t="shared" si="788"/>
        <v>247075</v>
      </c>
      <c r="N471" s="54">
        <f t="shared" si="788"/>
        <v>108.1996</v>
      </c>
      <c r="O471" s="54">
        <f t="shared" si="788"/>
        <v>96.374799999999993</v>
      </c>
      <c r="P471" s="657">
        <f t="shared" si="788"/>
        <v>11.8248</v>
      </c>
      <c r="Q471" s="88">
        <f t="shared" si="788"/>
        <v>-288000</v>
      </c>
      <c r="R471" s="53">
        <f t="shared" si="788"/>
        <v>0</v>
      </c>
      <c r="S471" s="53">
        <f t="shared" si="788"/>
        <v>0</v>
      </c>
      <c r="T471" s="53">
        <f t="shared" si="788"/>
        <v>0</v>
      </c>
      <c r="U471" s="53">
        <f t="shared" si="788"/>
        <v>-288000</v>
      </c>
      <c r="V471" s="53">
        <f t="shared" si="788"/>
        <v>288000</v>
      </c>
      <c r="W471" s="53">
        <f t="shared" si="788"/>
        <v>0</v>
      </c>
      <c r="X471" s="53">
        <f t="shared" si="788"/>
        <v>0</v>
      </c>
      <c r="Y471" s="53">
        <f t="shared" si="788"/>
        <v>288000</v>
      </c>
      <c r="Z471" s="53">
        <f t="shared" si="788"/>
        <v>0</v>
      </c>
      <c r="AA471" s="53">
        <f t="shared" si="788"/>
        <v>0</v>
      </c>
      <c r="AB471" s="53">
        <f t="shared" si="788"/>
        <v>-5760</v>
      </c>
      <c r="AC471" s="53">
        <f t="shared" si="788"/>
        <v>0</v>
      </c>
      <c r="AD471" s="53">
        <f t="shared" si="788"/>
        <v>0</v>
      </c>
      <c r="AE471" s="53">
        <f t="shared" si="788"/>
        <v>0</v>
      </c>
      <c r="AF471" s="53">
        <f t="shared" si="788"/>
        <v>-5760</v>
      </c>
      <c r="AG471" s="54">
        <f t="shared" si="788"/>
        <v>-0.61</v>
      </c>
      <c r="AH471" s="54">
        <f t="shared" si="788"/>
        <v>0</v>
      </c>
      <c r="AI471" s="54">
        <f t="shared" si="788"/>
        <v>0</v>
      </c>
      <c r="AJ471" s="54">
        <f t="shared" si="788"/>
        <v>0</v>
      </c>
      <c r="AK471" s="54">
        <f t="shared" si="788"/>
        <v>0</v>
      </c>
      <c r="AL471" s="54">
        <f t="shared" si="788"/>
        <v>-0.61</v>
      </c>
      <c r="AM471" s="54">
        <f t="shared" si="788"/>
        <v>0</v>
      </c>
      <c r="AN471" s="422">
        <f t="shared" si="788"/>
        <v>-0.61</v>
      </c>
      <c r="AO471" s="52">
        <f t="shared" si="788"/>
        <v>76179688</v>
      </c>
      <c r="AP471" s="53">
        <f t="shared" si="788"/>
        <v>55631273</v>
      </c>
      <c r="AQ471" s="53">
        <f t="shared" si="788"/>
        <v>288000</v>
      </c>
      <c r="AR471" s="53">
        <f t="shared" si="788"/>
        <v>18900714</v>
      </c>
      <c r="AS471" s="53">
        <f t="shared" si="788"/>
        <v>1112626</v>
      </c>
      <c r="AT471" s="53">
        <f t="shared" si="788"/>
        <v>247075</v>
      </c>
      <c r="AU471" s="54">
        <f t="shared" si="788"/>
        <v>107.58959999999999</v>
      </c>
      <c r="AV471" s="54">
        <f t="shared" si="788"/>
        <v>95.764799999999994</v>
      </c>
      <c r="AW471" s="405">
        <f t="shared" si="788"/>
        <v>11.8248</v>
      </c>
    </row>
    <row r="472" spans="2:49" customFormat="1" ht="13.5" thickBot="1" x14ac:dyDescent="0.25">
      <c r="D472" s="49"/>
      <c r="E472" s="50"/>
      <c r="F472" s="49"/>
      <c r="G472" s="96"/>
      <c r="H472" s="270">
        <v>3233</v>
      </c>
      <c r="I472" s="55">
        <f t="shared" ref="I472:AW472" si="789">SUMIF($F$12:$F$459,"=3233",I$12:I$459)</f>
        <v>16555245</v>
      </c>
      <c r="J472" s="56">
        <f t="shared" si="789"/>
        <v>12040157</v>
      </c>
      <c r="K472" s="56">
        <f t="shared" si="789"/>
        <v>4069573</v>
      </c>
      <c r="L472" s="56">
        <f t="shared" si="789"/>
        <v>240803</v>
      </c>
      <c r="M472" s="56">
        <f t="shared" si="789"/>
        <v>204712</v>
      </c>
      <c r="N472" s="284">
        <f t="shared" si="789"/>
        <v>29.32</v>
      </c>
      <c r="O472" s="284">
        <f t="shared" si="789"/>
        <v>16.239999999999998</v>
      </c>
      <c r="P472" s="658">
        <f t="shared" si="789"/>
        <v>13.08</v>
      </c>
      <c r="Q472" s="290">
        <f t="shared" si="789"/>
        <v>-1472000</v>
      </c>
      <c r="R472" s="56">
        <f t="shared" si="789"/>
        <v>0</v>
      </c>
      <c r="S472" s="56">
        <f t="shared" si="789"/>
        <v>0</v>
      </c>
      <c r="T472" s="56">
        <f t="shared" si="789"/>
        <v>0</v>
      </c>
      <c r="U472" s="56">
        <f t="shared" si="789"/>
        <v>-1472000</v>
      </c>
      <c r="V472" s="56">
        <f t="shared" si="789"/>
        <v>1472000</v>
      </c>
      <c r="W472" s="56">
        <f t="shared" si="789"/>
        <v>0</v>
      </c>
      <c r="X472" s="56">
        <f t="shared" si="789"/>
        <v>0</v>
      </c>
      <c r="Y472" s="56">
        <f t="shared" si="789"/>
        <v>1472000</v>
      </c>
      <c r="Z472" s="56">
        <f t="shared" si="789"/>
        <v>0</v>
      </c>
      <c r="AA472" s="56">
        <f t="shared" si="789"/>
        <v>0</v>
      </c>
      <c r="AB472" s="56">
        <f t="shared" si="789"/>
        <v>-29440</v>
      </c>
      <c r="AC472" s="56">
        <f t="shared" si="789"/>
        <v>0</v>
      </c>
      <c r="AD472" s="56">
        <f t="shared" si="789"/>
        <v>0</v>
      </c>
      <c r="AE472" s="56">
        <f t="shared" si="789"/>
        <v>0</v>
      </c>
      <c r="AF472" s="56">
        <f t="shared" si="789"/>
        <v>-29440</v>
      </c>
      <c r="AG472" s="284">
        <f t="shared" si="789"/>
        <v>-1.74</v>
      </c>
      <c r="AH472" s="284">
        <f t="shared" si="789"/>
        <v>-2.0399999999999996</v>
      </c>
      <c r="AI472" s="284">
        <f t="shared" si="789"/>
        <v>0</v>
      </c>
      <c r="AJ472" s="284">
        <f t="shared" si="789"/>
        <v>0</v>
      </c>
      <c r="AK472" s="284">
        <f t="shared" si="789"/>
        <v>0</v>
      </c>
      <c r="AL472" s="284">
        <f t="shared" si="789"/>
        <v>-1.74</v>
      </c>
      <c r="AM472" s="284">
        <f t="shared" si="789"/>
        <v>-2.0399999999999996</v>
      </c>
      <c r="AN472" s="423">
        <f t="shared" si="789"/>
        <v>-3.78</v>
      </c>
      <c r="AO472" s="55">
        <f t="shared" si="789"/>
        <v>16525805</v>
      </c>
      <c r="AP472" s="56">
        <f t="shared" si="789"/>
        <v>10568157</v>
      </c>
      <c r="AQ472" s="56">
        <f t="shared" si="789"/>
        <v>1472000</v>
      </c>
      <c r="AR472" s="56">
        <f t="shared" si="789"/>
        <v>4069573</v>
      </c>
      <c r="AS472" s="56">
        <f t="shared" si="789"/>
        <v>211363</v>
      </c>
      <c r="AT472" s="56">
        <f t="shared" si="789"/>
        <v>204712</v>
      </c>
      <c r="AU472" s="284">
        <f t="shared" si="789"/>
        <v>25.539999999999996</v>
      </c>
      <c r="AV472" s="284">
        <f t="shared" si="789"/>
        <v>14.499999999999998</v>
      </c>
      <c r="AW472" s="406">
        <f t="shared" si="789"/>
        <v>11.04</v>
      </c>
    </row>
    <row r="475" spans="2:49" x14ac:dyDescent="0.2">
      <c r="E475" s="107"/>
      <c r="I475" s="108"/>
      <c r="J475" s="108"/>
      <c r="K475" s="108"/>
      <c r="L475" s="108"/>
      <c r="M475" s="108"/>
      <c r="N475" s="388"/>
      <c r="O475" s="388"/>
      <c r="P475" s="388"/>
    </row>
    <row r="476" spans="2:49" x14ac:dyDescent="0.2">
      <c r="E476" s="107"/>
      <c r="I476" s="108"/>
      <c r="J476" s="108"/>
      <c r="K476" s="108"/>
      <c r="L476" s="108"/>
      <c r="M476" s="108"/>
      <c r="N476" s="388"/>
      <c r="O476" s="388"/>
      <c r="P476" s="388"/>
      <c r="T476" s="166"/>
    </row>
    <row r="477" spans="2:49" x14ac:dyDescent="0.2">
      <c r="E477" s="107"/>
      <c r="J477" s="629"/>
      <c r="M477" s="629"/>
      <c r="O477" s="659"/>
      <c r="P477" s="659"/>
    </row>
    <row r="478" spans="2:49" s="108" customFormat="1" x14ac:dyDescent="0.2">
      <c r="B478" s="107"/>
      <c r="C478" s="107"/>
      <c r="D478" s="107"/>
      <c r="E478" s="107"/>
      <c r="I478" s="109"/>
      <c r="J478" s="629"/>
      <c r="K478" s="110"/>
      <c r="L478" s="110"/>
      <c r="M478" s="629"/>
      <c r="N478" s="655"/>
      <c r="O478" s="659"/>
      <c r="P478" s="659"/>
      <c r="Q478" s="165"/>
      <c r="R478" s="165"/>
      <c r="S478" s="165"/>
      <c r="T478" s="165"/>
      <c r="U478" s="165"/>
      <c r="V478" s="165"/>
      <c r="W478" s="165"/>
      <c r="X478" s="165"/>
      <c r="Y478" s="165"/>
      <c r="Z478" s="165"/>
      <c r="AA478" s="165"/>
      <c r="AB478" s="165"/>
      <c r="AC478" s="165"/>
      <c r="AD478" s="165"/>
      <c r="AE478" s="165"/>
      <c r="AF478" s="165"/>
      <c r="AG478" s="166"/>
      <c r="AH478" s="166"/>
      <c r="AI478" s="166"/>
      <c r="AJ478" s="166"/>
      <c r="AK478" s="166"/>
      <c r="AL478" s="166"/>
      <c r="AM478" s="166"/>
      <c r="AN478" s="166"/>
      <c r="AO478" s="165"/>
      <c r="AP478" s="165"/>
      <c r="AQ478" s="165"/>
      <c r="AR478" s="165"/>
      <c r="AS478" s="165"/>
      <c r="AT478" s="165"/>
      <c r="AU478" s="166"/>
      <c r="AV478" s="166"/>
      <c r="AW478" s="388"/>
    </row>
    <row r="479" spans="2:49" x14ac:dyDescent="0.2">
      <c r="E479" s="107"/>
      <c r="J479" s="629"/>
      <c r="M479" s="629"/>
      <c r="O479" s="659"/>
      <c r="P479" s="659"/>
    </row>
    <row r="480" spans="2:49" s="108" customFormat="1" x14ac:dyDescent="0.2">
      <c r="B480" s="107"/>
      <c r="C480" s="107"/>
      <c r="D480" s="107"/>
      <c r="E480" s="107"/>
      <c r="I480" s="109"/>
      <c r="J480" s="629"/>
      <c r="K480" s="110"/>
      <c r="L480" s="110"/>
      <c r="M480" s="629"/>
      <c r="N480" s="655"/>
      <c r="O480" s="659"/>
      <c r="P480" s="659"/>
      <c r="Q480" s="165"/>
      <c r="R480" s="165"/>
      <c r="S480" s="165"/>
      <c r="T480" s="165"/>
      <c r="U480" s="165"/>
      <c r="V480" s="165"/>
      <c r="W480" s="165"/>
      <c r="X480" s="165"/>
      <c r="Y480" s="165"/>
      <c r="Z480" s="165"/>
      <c r="AA480" s="165"/>
      <c r="AB480" s="165"/>
      <c r="AC480" s="165"/>
      <c r="AD480" s="165"/>
      <c r="AE480" s="165"/>
      <c r="AF480" s="165"/>
      <c r="AG480" s="166"/>
      <c r="AH480" s="166"/>
      <c r="AI480" s="166"/>
      <c r="AJ480" s="166"/>
      <c r="AK480" s="166"/>
      <c r="AL480" s="166"/>
      <c r="AM480" s="166"/>
      <c r="AN480" s="166"/>
      <c r="AO480" s="165"/>
      <c r="AP480" s="165"/>
      <c r="AQ480" s="165"/>
      <c r="AR480" s="165"/>
      <c r="AS480" s="165"/>
      <c r="AT480" s="165"/>
      <c r="AU480" s="166"/>
      <c r="AV480" s="166"/>
      <c r="AW480" s="388"/>
    </row>
    <row r="481" spans="1:49" s="108" customFormat="1" x14ac:dyDescent="0.2">
      <c r="B481" s="107"/>
      <c r="C481" s="107"/>
      <c r="D481" s="107"/>
      <c r="E481" s="107"/>
      <c r="I481" s="109"/>
      <c r="J481" s="629"/>
      <c r="K481" s="110"/>
      <c r="L481" s="110"/>
      <c r="M481" s="629"/>
      <c r="N481" s="655"/>
      <c r="O481" s="659"/>
      <c r="P481" s="659"/>
      <c r="Q481" s="165"/>
      <c r="R481" s="165"/>
      <c r="S481" s="165"/>
      <c r="T481" s="165"/>
      <c r="U481" s="165"/>
      <c r="V481" s="165"/>
      <c r="W481" s="165"/>
      <c r="X481" s="165"/>
      <c r="Y481" s="165"/>
      <c r="Z481" s="165"/>
      <c r="AA481" s="165"/>
      <c r="AB481" s="165"/>
      <c r="AC481" s="165"/>
      <c r="AD481" s="165"/>
      <c r="AE481" s="165"/>
      <c r="AF481" s="165"/>
      <c r="AG481" s="166"/>
      <c r="AH481" s="166"/>
      <c r="AI481" s="166"/>
      <c r="AJ481" s="166"/>
      <c r="AK481" s="166"/>
      <c r="AL481" s="166"/>
      <c r="AM481" s="166"/>
      <c r="AN481" s="166"/>
      <c r="AO481" s="165"/>
      <c r="AP481" s="165"/>
      <c r="AQ481" s="165"/>
      <c r="AR481" s="165"/>
      <c r="AS481" s="165"/>
      <c r="AT481" s="165"/>
      <c r="AU481" s="166"/>
      <c r="AV481" s="166"/>
      <c r="AW481" s="388"/>
    </row>
    <row r="482" spans="1:49" s="165" customFormat="1" x14ac:dyDescent="0.2">
      <c r="A482" s="108"/>
      <c r="B482" s="107"/>
      <c r="C482" s="107"/>
      <c r="D482" s="107"/>
      <c r="E482" s="107"/>
      <c r="F482" s="108"/>
      <c r="G482" s="108"/>
      <c r="H482" s="108"/>
      <c r="I482" s="109"/>
      <c r="J482" s="629"/>
      <c r="K482" s="110"/>
      <c r="L482" s="110"/>
      <c r="M482" s="629"/>
      <c r="N482" s="655"/>
      <c r="O482" s="659"/>
      <c r="P482" s="659"/>
      <c r="AG482" s="166"/>
      <c r="AH482" s="166"/>
      <c r="AI482" s="166"/>
      <c r="AJ482" s="166"/>
      <c r="AK482" s="166"/>
      <c r="AL482" s="166"/>
      <c r="AM482" s="166"/>
      <c r="AN482" s="166"/>
      <c r="AU482" s="166"/>
      <c r="AV482" s="166"/>
      <c r="AW482" s="166"/>
    </row>
    <row r="483" spans="1:49" s="165" customFormat="1" x14ac:dyDescent="0.2">
      <c r="A483" s="108"/>
      <c r="B483" s="107"/>
      <c r="C483" s="107"/>
      <c r="D483" s="107"/>
      <c r="E483" s="107"/>
      <c r="F483" s="108"/>
      <c r="G483" s="108"/>
      <c r="H483" s="108"/>
      <c r="I483" s="109"/>
      <c r="J483" s="629"/>
      <c r="K483" s="110"/>
      <c r="L483" s="110"/>
      <c r="M483" s="629"/>
      <c r="N483" s="655"/>
      <c r="O483" s="659"/>
      <c r="P483" s="659"/>
      <c r="AG483" s="166"/>
      <c r="AH483" s="166"/>
      <c r="AI483" s="166"/>
      <c r="AJ483" s="166"/>
      <c r="AK483" s="166"/>
      <c r="AL483" s="166"/>
      <c r="AM483" s="166"/>
      <c r="AN483" s="166"/>
      <c r="AU483" s="166"/>
      <c r="AV483" s="166"/>
      <c r="AW483" s="166"/>
    </row>
    <row r="484" spans="1:49" s="165" customFormat="1" x14ac:dyDescent="0.2">
      <c r="A484" s="108"/>
      <c r="B484" s="107"/>
      <c r="C484" s="107"/>
      <c r="D484" s="107"/>
      <c r="E484" s="107"/>
      <c r="F484" s="108"/>
      <c r="G484" s="108"/>
      <c r="H484" s="108"/>
      <c r="I484" s="109"/>
      <c r="J484" s="629"/>
      <c r="K484" s="110"/>
      <c r="L484" s="110"/>
      <c r="M484" s="629"/>
      <c r="N484" s="655"/>
      <c r="O484" s="659"/>
      <c r="P484" s="659"/>
      <c r="AG484" s="166"/>
      <c r="AH484" s="166"/>
      <c r="AI484" s="166"/>
      <c r="AJ484" s="166"/>
      <c r="AK484" s="166"/>
      <c r="AL484" s="166"/>
      <c r="AM484" s="166"/>
      <c r="AN484" s="166"/>
      <c r="AU484" s="166"/>
      <c r="AV484" s="166"/>
      <c r="AW484" s="166"/>
    </row>
    <row r="485" spans="1:49" s="165" customFormat="1" x14ac:dyDescent="0.2">
      <c r="A485" s="108"/>
      <c r="B485" s="107"/>
      <c r="C485" s="107"/>
      <c r="D485" s="107"/>
      <c r="E485" s="107"/>
      <c r="F485" s="108"/>
      <c r="G485" s="108"/>
      <c r="H485" s="108"/>
      <c r="I485" s="109"/>
      <c r="J485" s="629"/>
      <c r="K485" s="110"/>
      <c r="L485" s="110"/>
      <c r="M485" s="629"/>
      <c r="N485" s="655"/>
      <c r="O485" s="659"/>
      <c r="P485" s="659"/>
      <c r="AG485" s="166"/>
      <c r="AH485" s="166"/>
      <c r="AI485" s="166"/>
      <c r="AJ485" s="166"/>
      <c r="AK485" s="166"/>
      <c r="AL485" s="166"/>
      <c r="AM485" s="166"/>
      <c r="AN485" s="166"/>
      <c r="AU485" s="166"/>
      <c r="AV485" s="166"/>
      <c r="AW485" s="166"/>
    </row>
    <row r="486" spans="1:49" x14ac:dyDescent="0.2">
      <c r="E486" s="107"/>
      <c r="J486" s="629"/>
      <c r="M486" s="629"/>
      <c r="O486" s="659"/>
      <c r="P486" s="659"/>
    </row>
    <row r="488" spans="1:49" s="165" customFormat="1" ht="15" customHeight="1" x14ac:dyDescent="0.2">
      <c r="A488" s="108"/>
      <c r="B488" s="107"/>
      <c r="C488" s="107"/>
      <c r="D488" s="107"/>
      <c r="E488" s="108"/>
      <c r="F488" s="108"/>
      <c r="G488" s="108"/>
      <c r="H488" s="108"/>
      <c r="I488" s="109"/>
      <c r="J488" s="110"/>
      <c r="K488" s="110"/>
      <c r="L488" s="110"/>
      <c r="M488" s="110"/>
      <c r="N488" s="655"/>
      <c r="O488" s="111"/>
      <c r="P488" s="111"/>
      <c r="AG488" s="166"/>
      <c r="AH488" s="166"/>
      <c r="AI488" s="166"/>
      <c r="AJ488" s="166"/>
      <c r="AK488" s="166"/>
      <c r="AL488" s="166"/>
      <c r="AM488" s="166"/>
      <c r="AN488" s="166"/>
      <c r="AU488" s="166"/>
      <c r="AV488" s="166"/>
      <c r="AW488" s="166"/>
    </row>
    <row r="489" spans="1:49" s="165" customFormat="1" ht="15" customHeight="1" x14ac:dyDescent="0.2">
      <c r="A489" s="108"/>
      <c r="B489" s="107"/>
      <c r="C489" s="107"/>
      <c r="D489" s="107"/>
      <c r="E489" s="108"/>
      <c r="F489" s="108"/>
      <c r="G489" s="108"/>
      <c r="H489" s="108"/>
      <c r="I489" s="109"/>
      <c r="J489" s="110"/>
      <c r="K489" s="110"/>
      <c r="L489" s="110"/>
      <c r="M489" s="110"/>
      <c r="N489" s="655"/>
      <c r="O489" s="111"/>
      <c r="P489" s="111"/>
      <c r="AG489" s="166"/>
      <c r="AH489" s="166"/>
      <c r="AI489" s="166"/>
      <c r="AJ489" s="166"/>
      <c r="AK489" s="166"/>
      <c r="AL489" s="166"/>
      <c r="AM489" s="166"/>
      <c r="AN489" s="166"/>
      <c r="AU489" s="166"/>
      <c r="AV489" s="166"/>
      <c r="AW489" s="166"/>
    </row>
    <row r="490" spans="1:49" s="165" customFormat="1" ht="15" customHeight="1" x14ac:dyDescent="0.2">
      <c r="A490" s="108"/>
      <c r="B490" s="107"/>
      <c r="C490" s="107"/>
      <c r="D490" s="107"/>
      <c r="E490" s="108"/>
      <c r="F490" s="108"/>
      <c r="G490" s="108"/>
      <c r="H490" s="108"/>
      <c r="I490" s="109"/>
      <c r="J490" s="110"/>
      <c r="K490" s="110"/>
      <c r="L490" s="110"/>
      <c r="M490" s="110"/>
      <c r="N490" s="655"/>
      <c r="O490" s="111"/>
      <c r="P490" s="111"/>
      <c r="AG490" s="166"/>
      <c r="AH490" s="166"/>
      <c r="AI490" s="166"/>
      <c r="AJ490" s="166"/>
      <c r="AK490" s="166"/>
      <c r="AL490" s="166"/>
      <c r="AM490" s="166"/>
      <c r="AN490" s="166"/>
      <c r="AU490" s="166"/>
      <c r="AV490" s="166"/>
      <c r="AW490" s="166"/>
    </row>
    <row r="491" spans="1:49" s="165" customFormat="1" ht="15" customHeight="1" x14ac:dyDescent="0.2">
      <c r="A491" s="108"/>
      <c r="B491" s="107"/>
      <c r="C491" s="107"/>
      <c r="D491" s="107"/>
      <c r="E491" s="108"/>
      <c r="F491" s="108"/>
      <c r="G491" s="108"/>
      <c r="H491" s="108"/>
      <c r="I491" s="109"/>
      <c r="J491" s="110"/>
      <c r="K491" s="110"/>
      <c r="L491" s="110"/>
      <c r="M491" s="110"/>
      <c r="N491" s="655"/>
      <c r="O491" s="111"/>
      <c r="P491" s="111"/>
      <c r="AG491" s="166"/>
      <c r="AH491" s="166"/>
      <c r="AI491" s="166"/>
      <c r="AJ491" s="166"/>
      <c r="AK491" s="166"/>
      <c r="AL491" s="166"/>
      <c r="AM491" s="166"/>
      <c r="AN491" s="166"/>
      <c r="AU491" s="166"/>
      <c r="AV491" s="166"/>
      <c r="AW491" s="166"/>
    </row>
    <row r="492" spans="1:49" s="165" customFormat="1" ht="15" customHeight="1" x14ac:dyDescent="0.2">
      <c r="A492" s="108"/>
      <c r="B492" s="107"/>
      <c r="C492" s="107"/>
      <c r="D492" s="107"/>
      <c r="E492" s="108"/>
      <c r="F492" s="108"/>
      <c r="G492" s="108"/>
      <c r="H492" s="108"/>
      <c r="I492" s="109"/>
      <c r="J492" s="110"/>
      <c r="K492" s="110"/>
      <c r="L492" s="110"/>
      <c r="M492" s="110"/>
      <c r="N492" s="655"/>
      <c r="O492" s="111"/>
      <c r="P492" s="111"/>
      <c r="AG492" s="166"/>
      <c r="AH492" s="166"/>
      <c r="AI492" s="166"/>
      <c r="AJ492" s="166"/>
      <c r="AK492" s="166"/>
      <c r="AL492" s="166"/>
      <c r="AM492" s="166"/>
      <c r="AN492" s="166"/>
      <c r="AU492" s="166"/>
      <c r="AV492" s="166"/>
      <c r="AW492" s="166"/>
    </row>
    <row r="493" spans="1:49" s="165" customFormat="1" ht="15" customHeight="1" x14ac:dyDescent="0.2">
      <c r="A493" s="108"/>
      <c r="B493" s="107"/>
      <c r="C493" s="107"/>
      <c r="D493" s="107"/>
      <c r="E493" s="108"/>
      <c r="F493" s="108"/>
      <c r="G493" s="108"/>
      <c r="H493" s="108"/>
      <c r="I493" s="109"/>
      <c r="J493" s="110"/>
      <c r="K493" s="110"/>
      <c r="L493" s="110"/>
      <c r="M493" s="110"/>
      <c r="N493" s="655"/>
      <c r="O493" s="111"/>
      <c r="P493" s="111"/>
      <c r="AG493" s="166"/>
      <c r="AH493" s="166"/>
      <c r="AI493" s="166"/>
      <c r="AJ493" s="166"/>
      <c r="AK493" s="166"/>
      <c r="AL493" s="166"/>
      <c r="AM493" s="166"/>
      <c r="AN493" s="166"/>
      <c r="AU493" s="166"/>
      <c r="AV493" s="166"/>
      <c r="AW493" s="166"/>
    </row>
    <row r="494" spans="1:49" s="165" customFormat="1" ht="15" customHeight="1" x14ac:dyDescent="0.2">
      <c r="A494" s="108"/>
      <c r="B494" s="107"/>
      <c r="C494" s="107"/>
      <c r="D494" s="107"/>
      <c r="E494" s="108"/>
      <c r="F494" s="108"/>
      <c r="G494" s="108"/>
      <c r="H494" s="108"/>
      <c r="I494" s="109"/>
      <c r="J494" s="110"/>
      <c r="K494" s="110"/>
      <c r="L494" s="110"/>
      <c r="M494" s="110"/>
      <c r="N494" s="655"/>
      <c r="O494" s="111"/>
      <c r="P494" s="111"/>
      <c r="AG494" s="166"/>
      <c r="AH494" s="166"/>
      <c r="AI494" s="166"/>
      <c r="AJ494" s="166"/>
      <c r="AK494" s="166"/>
      <c r="AL494" s="166"/>
      <c r="AM494" s="166"/>
      <c r="AN494" s="166"/>
      <c r="AU494" s="166"/>
      <c r="AV494" s="166"/>
      <c r="AW494" s="166"/>
    </row>
    <row r="495" spans="1:49" s="165" customFormat="1" ht="15" customHeight="1" x14ac:dyDescent="0.2">
      <c r="A495" s="108"/>
      <c r="B495" s="107"/>
      <c r="C495" s="107"/>
      <c r="D495" s="107"/>
      <c r="E495" s="108"/>
      <c r="F495" s="108"/>
      <c r="G495" s="108"/>
      <c r="H495" s="108"/>
      <c r="I495" s="109"/>
      <c r="J495" s="110"/>
      <c r="K495" s="110"/>
      <c r="L495" s="110"/>
      <c r="M495" s="110"/>
      <c r="N495" s="655"/>
      <c r="O495" s="111"/>
      <c r="P495" s="111"/>
      <c r="AG495" s="166"/>
      <c r="AH495" s="166"/>
      <c r="AI495" s="166"/>
      <c r="AJ495" s="166"/>
      <c r="AK495" s="166"/>
      <c r="AL495" s="166"/>
      <c r="AM495" s="166"/>
      <c r="AN495" s="166"/>
      <c r="AU495" s="166"/>
      <c r="AV495" s="166"/>
      <c r="AW495" s="166"/>
    </row>
    <row r="496" spans="1:49" s="165" customFormat="1" ht="15" customHeight="1" x14ac:dyDescent="0.2">
      <c r="A496" s="108"/>
      <c r="B496" s="107"/>
      <c r="C496" s="107"/>
      <c r="D496" s="107"/>
      <c r="E496" s="108"/>
      <c r="F496" s="108"/>
      <c r="G496" s="108"/>
      <c r="H496" s="108"/>
      <c r="I496" s="109"/>
      <c r="J496" s="110"/>
      <c r="K496" s="110"/>
      <c r="L496" s="110"/>
      <c r="M496" s="110"/>
      <c r="N496" s="655"/>
      <c r="O496" s="111"/>
      <c r="P496" s="111"/>
      <c r="AG496" s="166"/>
      <c r="AH496" s="166"/>
      <c r="AI496" s="166"/>
      <c r="AJ496" s="166"/>
      <c r="AK496" s="166"/>
      <c r="AL496" s="166"/>
      <c r="AM496" s="166"/>
      <c r="AN496" s="166"/>
      <c r="AU496" s="166"/>
      <c r="AV496" s="166"/>
      <c r="AW496" s="166"/>
    </row>
    <row r="497" spans="1:49" s="165" customFormat="1" ht="15" customHeight="1" x14ac:dyDescent="0.2">
      <c r="A497" s="108"/>
      <c r="B497" s="107"/>
      <c r="C497" s="107"/>
      <c r="D497" s="107"/>
      <c r="E497" s="108"/>
      <c r="F497" s="108"/>
      <c r="G497" s="108"/>
      <c r="H497" s="108"/>
      <c r="I497" s="109"/>
      <c r="J497" s="110"/>
      <c r="K497" s="110"/>
      <c r="L497" s="110"/>
      <c r="M497" s="110"/>
      <c r="N497" s="655"/>
      <c r="O497" s="111"/>
      <c r="P497" s="111"/>
      <c r="AG497" s="166"/>
      <c r="AH497" s="166"/>
      <c r="AI497" s="166"/>
      <c r="AJ497" s="166"/>
      <c r="AK497" s="166"/>
      <c r="AL497" s="166"/>
      <c r="AM497" s="166"/>
      <c r="AN497" s="166"/>
      <c r="AU497" s="166"/>
      <c r="AV497" s="166"/>
      <c r="AW497" s="166"/>
    </row>
    <row r="498" spans="1:49" s="165" customFormat="1" ht="15" customHeight="1" x14ac:dyDescent="0.2">
      <c r="A498" s="108"/>
      <c r="B498" s="107"/>
      <c r="C498" s="107"/>
      <c r="D498" s="107"/>
      <c r="E498" s="108"/>
      <c r="F498" s="108"/>
      <c r="G498" s="108"/>
      <c r="H498" s="108"/>
      <c r="I498" s="109"/>
      <c r="J498" s="110"/>
      <c r="K498" s="110"/>
      <c r="L498" s="110"/>
      <c r="M498" s="110"/>
      <c r="N498" s="655"/>
      <c r="O498" s="111"/>
      <c r="P498" s="111"/>
      <c r="AG498" s="166"/>
      <c r="AH498" s="166"/>
      <c r="AI498" s="166"/>
      <c r="AJ498" s="166"/>
      <c r="AK498" s="166"/>
      <c r="AL498" s="166"/>
      <c r="AM498" s="166"/>
      <c r="AN498" s="166"/>
      <c r="AU498" s="166"/>
      <c r="AV498" s="166"/>
      <c r="AW498" s="166"/>
    </row>
    <row r="499" spans="1:49" s="165" customFormat="1" ht="15" customHeight="1" x14ac:dyDescent="0.2">
      <c r="A499" s="108"/>
      <c r="B499" s="107"/>
      <c r="C499" s="107"/>
      <c r="D499" s="107"/>
      <c r="E499" s="108"/>
      <c r="F499" s="167"/>
      <c r="G499" s="108"/>
      <c r="H499" s="108"/>
      <c r="I499" s="109"/>
      <c r="J499" s="109"/>
      <c r="K499" s="109"/>
      <c r="L499" s="109"/>
      <c r="M499" s="109"/>
      <c r="N499" s="655"/>
      <c r="O499" s="655"/>
      <c r="P499" s="655"/>
      <c r="AG499" s="166"/>
      <c r="AH499" s="166"/>
      <c r="AI499" s="166"/>
      <c r="AJ499" s="166"/>
      <c r="AK499" s="166"/>
      <c r="AL499" s="166"/>
      <c r="AM499" s="166"/>
      <c r="AN499" s="166"/>
      <c r="AU499" s="166"/>
      <c r="AV499" s="166"/>
      <c r="AW499" s="166"/>
    </row>
    <row r="500" spans="1:49" s="165" customFormat="1" ht="15" customHeight="1" x14ac:dyDescent="0.2">
      <c r="A500" s="108"/>
      <c r="B500" s="107"/>
      <c r="C500" s="107"/>
      <c r="D500" s="107"/>
      <c r="E500" s="108"/>
      <c r="F500" s="167"/>
      <c r="G500" s="108"/>
      <c r="H500" s="108"/>
      <c r="I500" s="109"/>
      <c r="J500" s="109"/>
      <c r="K500" s="109"/>
      <c r="L500" s="109"/>
      <c r="M500" s="109"/>
      <c r="N500" s="655"/>
      <c r="O500" s="655"/>
      <c r="P500" s="655"/>
      <c r="AG500" s="166"/>
      <c r="AH500" s="166"/>
      <c r="AI500" s="166"/>
      <c r="AJ500" s="166"/>
      <c r="AK500" s="166"/>
      <c r="AL500" s="166"/>
      <c r="AM500" s="166"/>
      <c r="AN500" s="166"/>
      <c r="AU500" s="166"/>
      <c r="AV500" s="166"/>
      <c r="AW500" s="166"/>
    </row>
    <row r="501" spans="1:49" s="165" customFormat="1" ht="15" customHeight="1" x14ac:dyDescent="0.2">
      <c r="A501" s="108"/>
      <c r="B501" s="107"/>
      <c r="C501" s="107"/>
      <c r="D501" s="107"/>
      <c r="E501" s="108"/>
      <c r="F501" s="167"/>
      <c r="G501" s="108"/>
      <c r="H501" s="108"/>
      <c r="I501" s="109"/>
      <c r="J501" s="109"/>
      <c r="K501" s="109"/>
      <c r="L501" s="109"/>
      <c r="M501" s="109"/>
      <c r="N501" s="655"/>
      <c r="O501" s="655"/>
      <c r="P501" s="655"/>
      <c r="AG501" s="166"/>
      <c r="AH501" s="166"/>
      <c r="AI501" s="166"/>
      <c r="AJ501" s="166"/>
      <c r="AK501" s="166"/>
      <c r="AL501" s="166"/>
      <c r="AM501" s="166"/>
      <c r="AN501" s="166"/>
      <c r="AU501" s="166"/>
      <c r="AV501" s="166"/>
      <c r="AW501" s="166"/>
    </row>
    <row r="502" spans="1:49" s="165" customFormat="1" ht="15" customHeight="1" x14ac:dyDescent="0.2">
      <c r="A502" s="108"/>
      <c r="B502" s="107"/>
      <c r="C502" s="107"/>
      <c r="D502" s="107"/>
      <c r="E502" s="108"/>
      <c r="F502" s="167"/>
      <c r="G502" s="108"/>
      <c r="H502" s="108"/>
      <c r="I502" s="109"/>
      <c r="J502" s="109"/>
      <c r="K502" s="109"/>
      <c r="L502" s="109"/>
      <c r="M502" s="109"/>
      <c r="N502" s="655"/>
      <c r="O502" s="655"/>
      <c r="P502" s="655"/>
      <c r="AG502" s="166"/>
      <c r="AH502" s="166"/>
      <c r="AI502" s="166"/>
      <c r="AJ502" s="166"/>
      <c r="AK502" s="166"/>
      <c r="AL502" s="166"/>
      <c r="AM502" s="166"/>
      <c r="AN502" s="166"/>
      <c r="AU502" s="166"/>
      <c r="AV502" s="166"/>
      <c r="AW502" s="166"/>
    </row>
    <row r="503" spans="1:49" s="165" customFormat="1" ht="15" customHeight="1" x14ac:dyDescent="0.2">
      <c r="A503" s="108"/>
      <c r="B503" s="107"/>
      <c r="C503" s="107"/>
      <c r="D503" s="107"/>
      <c r="E503" s="108"/>
      <c r="F503" s="167"/>
      <c r="G503" s="108"/>
      <c r="H503" s="108"/>
      <c r="I503" s="109"/>
      <c r="J503" s="109"/>
      <c r="K503" s="109"/>
      <c r="L503" s="109"/>
      <c r="M503" s="109"/>
      <c r="N503" s="655"/>
      <c r="O503" s="655"/>
      <c r="P503" s="655"/>
      <c r="AG503" s="166"/>
      <c r="AH503" s="166"/>
      <c r="AI503" s="166"/>
      <c r="AJ503" s="166"/>
      <c r="AK503" s="166"/>
      <c r="AL503" s="166"/>
      <c r="AM503" s="166"/>
      <c r="AN503" s="166"/>
      <c r="AU503" s="166"/>
      <c r="AV503" s="166"/>
      <c r="AW503" s="166"/>
    </row>
    <row r="529" spans="1:49" s="165" customFormat="1" ht="15" customHeight="1" x14ac:dyDescent="0.2">
      <c r="A529" s="108"/>
      <c r="B529" s="107"/>
      <c r="C529" s="107"/>
      <c r="D529" s="107"/>
      <c r="E529" s="108"/>
      <c r="F529" s="167"/>
      <c r="G529" s="108"/>
      <c r="H529" s="108"/>
      <c r="I529" s="109"/>
      <c r="J529" s="109"/>
      <c r="K529" s="109"/>
      <c r="L529" s="109"/>
      <c r="M529" s="109"/>
      <c r="N529" s="655"/>
      <c r="O529" s="655"/>
      <c r="P529" s="655"/>
      <c r="AG529" s="166"/>
      <c r="AH529" s="166"/>
      <c r="AI529" s="166"/>
      <c r="AJ529" s="166"/>
      <c r="AK529" s="166"/>
      <c r="AL529" s="166"/>
      <c r="AM529" s="166"/>
      <c r="AN529" s="166"/>
      <c r="AU529" s="166"/>
      <c r="AV529" s="166"/>
      <c r="AW529" s="166"/>
    </row>
    <row r="530" spans="1:49" s="165" customFormat="1" ht="15" customHeight="1" x14ac:dyDescent="0.2">
      <c r="A530" s="108"/>
      <c r="B530" s="107"/>
      <c r="C530" s="107"/>
      <c r="D530" s="107"/>
      <c r="E530" s="108"/>
      <c r="F530" s="167"/>
      <c r="G530" s="108"/>
      <c r="H530" s="108"/>
      <c r="I530" s="109"/>
      <c r="J530" s="109"/>
      <c r="K530" s="109"/>
      <c r="L530" s="109"/>
      <c r="M530" s="109"/>
      <c r="N530" s="655"/>
      <c r="O530" s="655"/>
      <c r="P530" s="655"/>
      <c r="AG530" s="166"/>
      <c r="AH530" s="166"/>
      <c r="AI530" s="166"/>
      <c r="AJ530" s="166"/>
      <c r="AK530" s="166"/>
      <c r="AL530" s="166"/>
      <c r="AM530" s="166"/>
      <c r="AN530" s="166"/>
      <c r="AU530" s="166"/>
      <c r="AV530" s="166"/>
      <c r="AW530" s="166"/>
    </row>
    <row r="548" spans="1:49" s="165" customFormat="1" x14ac:dyDescent="0.2">
      <c r="A548" s="108"/>
      <c r="B548" s="107"/>
      <c r="C548" s="107"/>
      <c r="D548" s="107"/>
      <c r="E548" s="167"/>
      <c r="F548" s="108"/>
      <c r="G548" s="108"/>
      <c r="H548" s="108"/>
      <c r="I548" s="109"/>
      <c r="J548" s="110"/>
      <c r="K548" s="110"/>
      <c r="L548" s="110"/>
      <c r="M548" s="110"/>
      <c r="N548" s="655"/>
      <c r="O548" s="111"/>
      <c r="P548" s="111"/>
      <c r="AG548" s="166"/>
      <c r="AH548" s="166"/>
      <c r="AI548" s="166"/>
      <c r="AJ548" s="166"/>
      <c r="AK548" s="166"/>
      <c r="AL548" s="166"/>
      <c r="AM548" s="166"/>
      <c r="AN548" s="166"/>
      <c r="AU548" s="166"/>
      <c r="AV548" s="166"/>
      <c r="AW548" s="166"/>
    </row>
    <row r="549" spans="1:49" s="165" customFormat="1" x14ac:dyDescent="0.2">
      <c r="A549" s="108"/>
      <c r="B549" s="107"/>
      <c r="C549" s="107"/>
      <c r="D549" s="107"/>
      <c r="E549" s="167"/>
      <c r="F549" s="108"/>
      <c r="G549" s="108"/>
      <c r="H549" s="108"/>
      <c r="I549" s="109"/>
      <c r="J549" s="110"/>
      <c r="K549" s="110"/>
      <c r="L549" s="110"/>
      <c r="M549" s="110"/>
      <c r="N549" s="655"/>
      <c r="O549" s="111"/>
      <c r="P549" s="111"/>
      <c r="AG549" s="166"/>
      <c r="AH549" s="166"/>
      <c r="AI549" s="166"/>
      <c r="AJ549" s="166"/>
      <c r="AK549" s="166"/>
      <c r="AL549" s="166"/>
      <c r="AM549" s="166"/>
      <c r="AN549" s="166"/>
      <c r="AU549" s="166"/>
      <c r="AV549" s="166"/>
      <c r="AW549" s="166"/>
    </row>
    <row r="557" spans="1:49" s="165" customFormat="1" x14ac:dyDescent="0.2">
      <c r="A557" s="108"/>
      <c r="B557" s="107"/>
      <c r="C557" s="107"/>
      <c r="D557" s="107"/>
      <c r="E557" s="108"/>
      <c r="F557" s="108"/>
      <c r="G557" s="108"/>
      <c r="H557" s="108"/>
      <c r="I557" s="109"/>
      <c r="J557" s="109"/>
      <c r="K557" s="109"/>
      <c r="L557" s="109"/>
      <c r="M557" s="109"/>
      <c r="N557" s="655"/>
      <c r="O557" s="655"/>
      <c r="P557" s="655"/>
      <c r="AG557" s="166"/>
      <c r="AH557" s="166"/>
      <c r="AI557" s="166"/>
      <c r="AJ557" s="166"/>
      <c r="AK557" s="166"/>
      <c r="AL557" s="166"/>
      <c r="AM557" s="166"/>
      <c r="AN557" s="166"/>
      <c r="AU557" s="166"/>
      <c r="AV557" s="166"/>
      <c r="AW557" s="166"/>
    </row>
    <row r="558" spans="1:49" s="165" customFormat="1" ht="15" customHeight="1" x14ac:dyDescent="0.2">
      <c r="A558" s="108"/>
      <c r="B558" s="107"/>
      <c r="C558" s="107"/>
      <c r="D558" s="107"/>
      <c r="E558" s="108"/>
      <c r="F558" s="108"/>
      <c r="G558" s="167"/>
      <c r="H558" s="108"/>
      <c r="I558" s="168"/>
      <c r="J558" s="168"/>
      <c r="K558" s="168"/>
      <c r="L558" s="168"/>
      <c r="M558" s="168"/>
      <c r="N558" s="655"/>
      <c r="O558" s="655"/>
      <c r="P558" s="655"/>
      <c r="AG558" s="166"/>
      <c r="AH558" s="166"/>
      <c r="AI558" s="166"/>
      <c r="AJ558" s="166"/>
      <c r="AK558" s="166"/>
      <c r="AL558" s="166"/>
      <c r="AM558" s="166"/>
      <c r="AN558" s="166"/>
      <c r="AU558" s="166"/>
      <c r="AV558" s="166"/>
      <c r="AW558" s="166"/>
    </row>
    <row r="559" spans="1:49" s="165" customFormat="1" ht="15" customHeight="1" x14ac:dyDescent="0.2">
      <c r="A559" s="108"/>
      <c r="B559" s="107"/>
      <c r="C559" s="107"/>
      <c r="D559" s="107"/>
      <c r="E559" s="108"/>
      <c r="F559" s="108"/>
      <c r="G559" s="167"/>
      <c r="H559" s="108"/>
      <c r="I559" s="168"/>
      <c r="J559" s="168"/>
      <c r="K559" s="168"/>
      <c r="L559" s="168"/>
      <c r="M559" s="168"/>
      <c r="N559" s="655"/>
      <c r="O559" s="655"/>
      <c r="P559" s="655"/>
      <c r="AG559" s="166"/>
      <c r="AH559" s="166"/>
      <c r="AI559" s="166"/>
      <c r="AJ559" s="166"/>
      <c r="AK559" s="166"/>
      <c r="AL559" s="166"/>
      <c r="AM559" s="166"/>
      <c r="AN559" s="166"/>
      <c r="AU559" s="166"/>
      <c r="AV559" s="166"/>
      <c r="AW559" s="166"/>
    </row>
    <row r="560" spans="1:49" s="165" customFormat="1" ht="15" customHeight="1" x14ac:dyDescent="0.2">
      <c r="A560" s="108"/>
      <c r="B560" s="107"/>
      <c r="C560" s="107"/>
      <c r="D560" s="107"/>
      <c r="E560" s="108"/>
      <c r="F560" s="108"/>
      <c r="G560" s="167"/>
      <c r="H560" s="108"/>
      <c r="I560" s="168"/>
      <c r="J560" s="168"/>
      <c r="K560" s="168"/>
      <c r="L560" s="168"/>
      <c r="M560" s="168"/>
      <c r="N560" s="655"/>
      <c r="O560" s="655"/>
      <c r="P560" s="655"/>
      <c r="AG560" s="166"/>
      <c r="AH560" s="166"/>
      <c r="AI560" s="166"/>
      <c r="AJ560" s="166"/>
      <c r="AK560" s="166"/>
      <c r="AL560" s="166"/>
      <c r="AM560" s="166"/>
      <c r="AN560" s="166"/>
      <c r="AU560" s="166"/>
      <c r="AV560" s="166"/>
      <c r="AW560" s="166"/>
    </row>
    <row r="561" spans="1:49" s="165" customFormat="1" ht="15" customHeight="1" x14ac:dyDescent="0.2">
      <c r="A561" s="108"/>
      <c r="B561" s="107"/>
      <c r="C561" s="107"/>
      <c r="D561" s="107"/>
      <c r="E561" s="108"/>
      <c r="F561" s="108"/>
      <c r="G561" s="167"/>
      <c r="H561" s="108"/>
      <c r="I561" s="168"/>
      <c r="J561" s="168"/>
      <c r="K561" s="168"/>
      <c r="L561" s="168"/>
      <c r="M561" s="168"/>
      <c r="N561" s="655"/>
      <c r="O561" s="655"/>
      <c r="P561" s="655"/>
      <c r="AG561" s="166"/>
      <c r="AH561" s="166"/>
      <c r="AI561" s="166"/>
      <c r="AJ561" s="166"/>
      <c r="AK561" s="166"/>
      <c r="AL561" s="166"/>
      <c r="AM561" s="166"/>
      <c r="AN561" s="166"/>
      <c r="AU561" s="166"/>
      <c r="AV561" s="166"/>
      <c r="AW561" s="166"/>
    </row>
    <row r="562" spans="1:49" s="165" customFormat="1" ht="15" customHeight="1" x14ac:dyDescent="0.2">
      <c r="A562" s="108"/>
      <c r="B562" s="107"/>
      <c r="C562" s="107"/>
      <c r="D562" s="107"/>
      <c r="E562" s="108"/>
      <c r="F562" s="108"/>
      <c r="G562" s="167"/>
      <c r="H562" s="108"/>
      <c r="I562" s="168"/>
      <c r="J562" s="168"/>
      <c r="K562" s="168"/>
      <c r="L562" s="168"/>
      <c r="M562" s="168"/>
      <c r="N562" s="655"/>
      <c r="O562" s="655"/>
      <c r="P562" s="655"/>
      <c r="AG562" s="166"/>
      <c r="AH562" s="166"/>
      <c r="AI562" s="166"/>
      <c r="AJ562" s="166"/>
      <c r="AK562" s="166"/>
      <c r="AL562" s="166"/>
      <c r="AM562" s="166"/>
      <c r="AN562" s="166"/>
      <c r="AU562" s="166"/>
      <c r="AV562" s="166"/>
      <c r="AW562" s="166"/>
    </row>
    <row r="563" spans="1:49" s="165" customFormat="1" ht="15" customHeight="1" x14ac:dyDescent="0.2">
      <c r="A563" s="108"/>
      <c r="B563" s="107"/>
      <c r="C563" s="107"/>
      <c r="D563" s="107"/>
      <c r="E563" s="108"/>
      <c r="F563" s="108"/>
      <c r="G563" s="167"/>
      <c r="H563" s="108"/>
      <c r="I563" s="168"/>
      <c r="J563" s="168"/>
      <c r="K563" s="168"/>
      <c r="L563" s="168"/>
      <c r="M563" s="168"/>
      <c r="N563" s="655"/>
      <c r="O563" s="655"/>
      <c r="P563" s="655"/>
      <c r="AG563" s="166"/>
      <c r="AH563" s="166"/>
      <c r="AI563" s="166"/>
      <c r="AJ563" s="166"/>
      <c r="AK563" s="166"/>
      <c r="AL563" s="166"/>
      <c r="AM563" s="166"/>
      <c r="AN563" s="166"/>
      <c r="AU563" s="166"/>
      <c r="AV563" s="166"/>
      <c r="AW563" s="166"/>
    </row>
    <row r="564" spans="1:49" s="165" customFormat="1" ht="15" customHeight="1" x14ac:dyDescent="0.2">
      <c r="A564" s="108"/>
      <c r="B564" s="107"/>
      <c r="C564" s="107"/>
      <c r="D564" s="107"/>
      <c r="E564" s="108"/>
      <c r="F564" s="108"/>
      <c r="G564" s="167"/>
      <c r="H564" s="108"/>
      <c r="I564" s="168"/>
      <c r="J564" s="168"/>
      <c r="K564" s="168"/>
      <c r="L564" s="168"/>
      <c r="M564" s="168"/>
      <c r="N564" s="655"/>
      <c r="O564" s="655"/>
      <c r="P564" s="655"/>
      <c r="AG564" s="166"/>
      <c r="AH564" s="166"/>
      <c r="AI564" s="166"/>
      <c r="AJ564" s="166"/>
      <c r="AK564" s="166"/>
      <c r="AL564" s="166"/>
      <c r="AM564" s="166"/>
      <c r="AN564" s="166"/>
      <c r="AU564" s="166"/>
      <c r="AV564" s="166"/>
      <c r="AW564" s="166"/>
    </row>
    <row r="565" spans="1:49" s="165" customFormat="1" ht="15" customHeight="1" x14ac:dyDescent="0.2">
      <c r="A565" s="108"/>
      <c r="B565" s="107"/>
      <c r="C565" s="107"/>
      <c r="D565" s="107"/>
      <c r="E565" s="108"/>
      <c r="F565" s="108"/>
      <c r="G565" s="167"/>
      <c r="H565" s="108"/>
      <c r="I565" s="168"/>
      <c r="J565" s="168"/>
      <c r="K565" s="168"/>
      <c r="L565" s="168"/>
      <c r="M565" s="168"/>
      <c r="N565" s="655"/>
      <c r="O565" s="655"/>
      <c r="P565" s="655"/>
      <c r="AG565" s="166"/>
      <c r="AH565" s="166"/>
      <c r="AI565" s="166"/>
      <c r="AJ565" s="166"/>
      <c r="AK565" s="166"/>
      <c r="AL565" s="166"/>
      <c r="AM565" s="166"/>
      <c r="AN565" s="166"/>
      <c r="AU565" s="166"/>
      <c r="AV565" s="166"/>
      <c r="AW565" s="166"/>
    </row>
    <row r="566" spans="1:49" s="165" customFormat="1" ht="15" customHeight="1" x14ac:dyDescent="0.2">
      <c r="A566" s="108"/>
      <c r="B566" s="107"/>
      <c r="C566" s="107"/>
      <c r="D566" s="107"/>
      <c r="E566" s="108"/>
      <c r="F566" s="108"/>
      <c r="G566" s="167"/>
      <c r="H566" s="108"/>
      <c r="I566" s="168"/>
      <c r="J566" s="168"/>
      <c r="K566" s="168"/>
      <c r="L566" s="168"/>
      <c r="M566" s="168"/>
      <c r="N566" s="655"/>
      <c r="O566" s="655"/>
      <c r="P566" s="655"/>
      <c r="AG566" s="166"/>
      <c r="AH566" s="166"/>
      <c r="AI566" s="166"/>
      <c r="AJ566" s="166"/>
      <c r="AK566" s="166"/>
      <c r="AL566" s="166"/>
      <c r="AM566" s="166"/>
      <c r="AN566" s="166"/>
      <c r="AU566" s="166"/>
      <c r="AV566" s="166"/>
      <c r="AW566" s="166"/>
    </row>
    <row r="567" spans="1:49" s="165" customFormat="1" ht="15" customHeight="1" x14ac:dyDescent="0.2">
      <c r="A567" s="108"/>
      <c r="B567" s="107"/>
      <c r="C567" s="107"/>
      <c r="D567" s="107"/>
      <c r="E567" s="108"/>
      <c r="F567" s="108"/>
      <c r="G567" s="167"/>
      <c r="H567" s="108"/>
      <c r="I567" s="109"/>
      <c r="J567" s="109"/>
      <c r="K567" s="109"/>
      <c r="L567" s="109"/>
      <c r="M567" s="109"/>
      <c r="N567" s="655"/>
      <c r="O567" s="655"/>
      <c r="P567" s="655"/>
      <c r="AG567" s="166"/>
      <c r="AH567" s="166"/>
      <c r="AI567" s="166"/>
      <c r="AJ567" s="166"/>
      <c r="AK567" s="166"/>
      <c r="AL567" s="166"/>
      <c r="AM567" s="166"/>
      <c r="AN567" s="166"/>
      <c r="AU567" s="166"/>
      <c r="AV567" s="166"/>
      <c r="AW567" s="166"/>
    </row>
    <row r="586" spans="1:49" s="160" customFormat="1" ht="15" customHeight="1" x14ac:dyDescent="0.2">
      <c r="A586" s="170"/>
      <c r="B586" s="169"/>
      <c r="C586" s="169"/>
      <c r="D586" s="169"/>
      <c r="E586" s="170"/>
      <c r="F586" s="170"/>
      <c r="G586" s="170"/>
      <c r="H586" s="170"/>
      <c r="I586" s="171"/>
      <c r="J586" s="171"/>
      <c r="K586" s="171"/>
      <c r="L586" s="171"/>
      <c r="M586" s="171"/>
      <c r="N586" s="660"/>
      <c r="O586" s="660"/>
      <c r="P586" s="660"/>
      <c r="Q586" s="172"/>
      <c r="R586" s="172"/>
      <c r="S586" s="172"/>
      <c r="T586" s="172"/>
      <c r="U586" s="172"/>
      <c r="V586" s="172"/>
      <c r="W586" s="172"/>
      <c r="X586" s="172"/>
      <c r="Y586" s="172"/>
      <c r="Z586" s="172"/>
      <c r="AA586" s="172"/>
      <c r="AB586" s="172"/>
      <c r="AC586" s="172"/>
      <c r="AD586" s="172"/>
      <c r="AE586" s="172"/>
      <c r="AF586" s="172"/>
      <c r="AG586" s="173"/>
      <c r="AH586" s="173"/>
      <c r="AI586" s="173"/>
      <c r="AJ586" s="173"/>
      <c r="AK586" s="173"/>
      <c r="AL586" s="173"/>
      <c r="AM586" s="173"/>
      <c r="AN586" s="173"/>
      <c r="AO586" s="172"/>
      <c r="AP586" s="172"/>
      <c r="AQ586" s="172"/>
      <c r="AR586" s="172"/>
      <c r="AS586" s="172"/>
      <c r="AT586" s="172"/>
      <c r="AU586" s="173"/>
      <c r="AV586" s="173"/>
      <c r="AW586" s="173"/>
    </row>
    <row r="587" spans="1:49" s="160" customFormat="1" ht="15" customHeight="1" x14ac:dyDescent="0.2">
      <c r="A587" s="170"/>
      <c r="B587" s="169"/>
      <c r="C587" s="169"/>
      <c r="D587" s="169"/>
      <c r="E587" s="170"/>
      <c r="F587" s="170"/>
      <c r="G587" s="170"/>
      <c r="H587" s="170"/>
      <c r="I587" s="171"/>
      <c r="J587" s="171"/>
      <c r="K587" s="171"/>
      <c r="L587" s="171"/>
      <c r="M587" s="171"/>
      <c r="N587" s="660"/>
      <c r="O587" s="660"/>
      <c r="P587" s="660"/>
      <c r="Q587" s="172"/>
      <c r="R587" s="172"/>
      <c r="S587" s="172"/>
      <c r="T587" s="172"/>
      <c r="U587" s="172"/>
      <c r="V587" s="172"/>
      <c r="W587" s="172"/>
      <c r="X587" s="172"/>
      <c r="Y587" s="172"/>
      <c r="Z587" s="172"/>
      <c r="AA587" s="172"/>
      <c r="AB587" s="172"/>
      <c r="AC587" s="172"/>
      <c r="AD587" s="172"/>
      <c r="AE587" s="172"/>
      <c r="AF587" s="172"/>
      <c r="AG587" s="173"/>
      <c r="AH587" s="173"/>
      <c r="AI587" s="173"/>
      <c r="AJ587" s="173"/>
      <c r="AK587" s="173"/>
      <c r="AL587" s="173"/>
      <c r="AM587" s="173"/>
      <c r="AN587" s="173"/>
      <c r="AO587" s="172"/>
      <c r="AP587" s="172"/>
      <c r="AQ587" s="172"/>
      <c r="AR587" s="172"/>
      <c r="AS587" s="172"/>
      <c r="AT587" s="172"/>
      <c r="AU587" s="173"/>
      <c r="AV587" s="173"/>
      <c r="AW587" s="173"/>
    </row>
    <row r="588" spans="1:49" s="160" customFormat="1" ht="15" customHeight="1" x14ac:dyDescent="0.2">
      <c r="A588" s="170"/>
      <c r="B588" s="169"/>
      <c r="C588" s="169"/>
      <c r="D588" s="169"/>
      <c r="E588" s="170"/>
      <c r="F588" s="170"/>
      <c r="G588" s="170"/>
      <c r="H588" s="170"/>
      <c r="I588" s="171"/>
      <c r="J588" s="171"/>
      <c r="K588" s="171"/>
      <c r="L588" s="171"/>
      <c r="M588" s="171"/>
      <c r="N588" s="660"/>
      <c r="O588" s="660"/>
      <c r="P588" s="660"/>
      <c r="Q588" s="172"/>
      <c r="R588" s="172"/>
      <c r="S588" s="172"/>
      <c r="T588" s="172"/>
      <c r="U588" s="172"/>
      <c r="V588" s="172"/>
      <c r="W588" s="172"/>
      <c r="X588" s="172"/>
      <c r="Y588" s="172"/>
      <c r="Z588" s="172"/>
      <c r="AA588" s="172"/>
      <c r="AB588" s="172"/>
      <c r="AC588" s="172"/>
      <c r="AD588" s="172"/>
      <c r="AE588" s="172"/>
      <c r="AF588" s="172"/>
      <c r="AG588" s="173"/>
      <c r="AH588" s="173"/>
      <c r="AI588" s="173"/>
      <c r="AJ588" s="173"/>
      <c r="AK588" s="173"/>
      <c r="AL588" s="173"/>
      <c r="AM588" s="173"/>
      <c r="AN588" s="173"/>
      <c r="AO588" s="172"/>
      <c r="AP588" s="172"/>
      <c r="AQ588" s="172"/>
      <c r="AR588" s="172"/>
      <c r="AS588" s="172"/>
      <c r="AT588" s="172"/>
      <c r="AU588" s="173"/>
      <c r="AV588" s="173"/>
      <c r="AW588" s="173"/>
    </row>
    <row r="589" spans="1:49" s="160" customFormat="1" ht="15" customHeight="1" x14ac:dyDescent="0.2">
      <c r="A589" s="170"/>
      <c r="B589" s="169"/>
      <c r="C589" s="169"/>
      <c r="D589" s="169"/>
      <c r="E589" s="170"/>
      <c r="F589" s="170"/>
      <c r="G589" s="170"/>
      <c r="H589" s="170"/>
      <c r="I589" s="171"/>
      <c r="J589" s="171"/>
      <c r="K589" s="171"/>
      <c r="L589" s="171"/>
      <c r="M589" s="171"/>
      <c r="N589" s="660"/>
      <c r="O589" s="660"/>
      <c r="P589" s="660"/>
      <c r="Q589" s="172"/>
      <c r="R589" s="172"/>
      <c r="S589" s="172"/>
      <c r="T589" s="172"/>
      <c r="U589" s="172"/>
      <c r="V589" s="172"/>
      <c r="W589" s="172"/>
      <c r="X589" s="172"/>
      <c r="Y589" s="172"/>
      <c r="Z589" s="172"/>
      <c r="AA589" s="172"/>
      <c r="AB589" s="172"/>
      <c r="AC589" s="172"/>
      <c r="AD589" s="172"/>
      <c r="AE589" s="172"/>
      <c r="AF589" s="172"/>
      <c r="AG589" s="173"/>
      <c r="AH589" s="173"/>
      <c r="AI589" s="173"/>
      <c r="AJ589" s="173"/>
      <c r="AK589" s="173"/>
      <c r="AL589" s="173"/>
      <c r="AM589" s="173"/>
      <c r="AN589" s="173"/>
      <c r="AO589" s="172"/>
      <c r="AP589" s="172"/>
      <c r="AQ589" s="172"/>
      <c r="AR589" s="172"/>
      <c r="AS589" s="172"/>
      <c r="AT589" s="172"/>
      <c r="AU589" s="173"/>
      <c r="AV589" s="173"/>
      <c r="AW589" s="173"/>
    </row>
    <row r="590" spans="1:49" s="160" customFormat="1" ht="15" customHeight="1" x14ac:dyDescent="0.2">
      <c r="A590" s="170"/>
      <c r="B590" s="169"/>
      <c r="C590" s="169"/>
      <c r="D590" s="169"/>
      <c r="E590" s="170"/>
      <c r="F590" s="170"/>
      <c r="G590" s="170"/>
      <c r="H590" s="170"/>
      <c r="I590" s="171"/>
      <c r="J590" s="171"/>
      <c r="K590" s="171"/>
      <c r="L590" s="171"/>
      <c r="M590" s="171"/>
      <c r="N590" s="660"/>
      <c r="O590" s="660"/>
      <c r="P590" s="660"/>
      <c r="Q590" s="172"/>
      <c r="R590" s="172"/>
      <c r="S590" s="172"/>
      <c r="T590" s="172"/>
      <c r="U590" s="172"/>
      <c r="V590" s="172"/>
      <c r="W590" s="172"/>
      <c r="X590" s="172"/>
      <c r="Y590" s="172"/>
      <c r="Z590" s="172"/>
      <c r="AA590" s="172"/>
      <c r="AB590" s="172"/>
      <c r="AC590" s="172"/>
      <c r="AD590" s="172"/>
      <c r="AE590" s="172"/>
      <c r="AF590" s="172"/>
      <c r="AG590" s="173"/>
      <c r="AH590" s="173"/>
      <c r="AI590" s="173"/>
      <c r="AJ590" s="173"/>
      <c r="AK590" s="173"/>
      <c r="AL590" s="173"/>
      <c r="AM590" s="173"/>
      <c r="AN590" s="173"/>
      <c r="AO590" s="172"/>
      <c r="AP590" s="172"/>
      <c r="AQ590" s="172"/>
      <c r="AR590" s="172"/>
      <c r="AS590" s="172"/>
      <c r="AT590" s="172"/>
      <c r="AU590" s="173"/>
      <c r="AV590" s="173"/>
      <c r="AW590" s="173"/>
    </row>
    <row r="591" spans="1:49" s="160" customFormat="1" ht="15" customHeight="1" x14ac:dyDescent="0.2">
      <c r="A591" s="170"/>
      <c r="B591" s="169"/>
      <c r="C591" s="169"/>
      <c r="D591" s="169"/>
      <c r="E591" s="170"/>
      <c r="F591" s="170"/>
      <c r="G591" s="170"/>
      <c r="H591" s="170"/>
      <c r="I591" s="171"/>
      <c r="J591" s="171"/>
      <c r="K591" s="171"/>
      <c r="L591" s="171"/>
      <c r="M591" s="171"/>
      <c r="N591" s="660"/>
      <c r="O591" s="660"/>
      <c r="P591" s="660"/>
      <c r="Q591" s="172"/>
      <c r="R591" s="172"/>
      <c r="S591" s="172"/>
      <c r="T591" s="172"/>
      <c r="U591" s="172"/>
      <c r="V591" s="172"/>
      <c r="W591" s="172"/>
      <c r="X591" s="172"/>
      <c r="Y591" s="172"/>
      <c r="Z591" s="172"/>
      <c r="AA591" s="172"/>
      <c r="AB591" s="172"/>
      <c r="AC591" s="172"/>
      <c r="AD591" s="172"/>
      <c r="AE591" s="172"/>
      <c r="AF591" s="172"/>
      <c r="AG591" s="173"/>
      <c r="AH591" s="173"/>
      <c r="AI591" s="173"/>
      <c r="AJ591" s="173"/>
      <c r="AK591" s="173"/>
      <c r="AL591" s="173"/>
      <c r="AM591" s="173"/>
      <c r="AN591" s="173"/>
      <c r="AO591" s="172"/>
      <c r="AP591" s="172"/>
      <c r="AQ591" s="172"/>
      <c r="AR591" s="172"/>
      <c r="AS591" s="172"/>
      <c r="AT591" s="172"/>
      <c r="AU591" s="173"/>
      <c r="AV591" s="173"/>
      <c r="AW591" s="173"/>
    </row>
    <row r="592" spans="1:49" s="160" customFormat="1" ht="15" customHeight="1" x14ac:dyDescent="0.2">
      <c r="A592" s="170"/>
      <c r="B592" s="169"/>
      <c r="C592" s="169"/>
      <c r="D592" s="169"/>
      <c r="E592" s="170"/>
      <c r="F592" s="170"/>
      <c r="G592" s="170"/>
      <c r="H592" s="170"/>
      <c r="I592" s="171"/>
      <c r="J592" s="171"/>
      <c r="K592" s="171"/>
      <c r="L592" s="171"/>
      <c r="M592" s="171"/>
      <c r="N592" s="660"/>
      <c r="O592" s="660"/>
      <c r="P592" s="660"/>
      <c r="Q592" s="172"/>
      <c r="R592" s="172"/>
      <c r="S592" s="172"/>
      <c r="T592" s="172"/>
      <c r="U592" s="172"/>
      <c r="V592" s="172"/>
      <c r="W592" s="172"/>
      <c r="X592" s="172"/>
      <c r="Y592" s="172"/>
      <c r="Z592" s="172"/>
      <c r="AA592" s="172"/>
      <c r="AB592" s="172"/>
      <c r="AC592" s="172"/>
      <c r="AD592" s="172"/>
      <c r="AE592" s="172"/>
      <c r="AF592" s="172"/>
      <c r="AG592" s="173"/>
      <c r="AH592" s="173"/>
      <c r="AI592" s="173"/>
      <c r="AJ592" s="173"/>
      <c r="AK592" s="173"/>
      <c r="AL592" s="173"/>
      <c r="AM592" s="173"/>
      <c r="AN592" s="173"/>
      <c r="AO592" s="172"/>
      <c r="AP592" s="172"/>
      <c r="AQ592" s="172"/>
      <c r="AR592" s="172"/>
      <c r="AS592" s="172"/>
      <c r="AT592" s="172"/>
      <c r="AU592" s="173"/>
      <c r="AV592" s="173"/>
      <c r="AW592" s="173"/>
    </row>
    <row r="593" spans="1:49" s="160" customFormat="1" ht="15" customHeight="1" x14ac:dyDescent="0.2">
      <c r="A593" s="170"/>
      <c r="B593" s="169"/>
      <c r="C593" s="169"/>
      <c r="D593" s="169"/>
      <c r="E593" s="170"/>
      <c r="F593" s="170"/>
      <c r="G593" s="170"/>
      <c r="H593" s="170"/>
      <c r="I593" s="174"/>
      <c r="J593" s="175"/>
      <c r="K593" s="175"/>
      <c r="L593" s="175"/>
      <c r="M593" s="175"/>
      <c r="N593" s="660"/>
      <c r="O593" s="176"/>
      <c r="P593" s="176"/>
      <c r="Q593" s="172"/>
      <c r="R593" s="172"/>
      <c r="S593" s="172"/>
      <c r="T593" s="172"/>
      <c r="U593" s="172"/>
      <c r="V593" s="172"/>
      <c r="W593" s="172"/>
      <c r="X593" s="172"/>
      <c r="Y593" s="172"/>
      <c r="Z593" s="172"/>
      <c r="AA593" s="172"/>
      <c r="AB593" s="172"/>
      <c r="AC593" s="172"/>
      <c r="AD593" s="172"/>
      <c r="AE593" s="172"/>
      <c r="AF593" s="172"/>
      <c r="AG593" s="173"/>
      <c r="AH593" s="173"/>
      <c r="AI593" s="173"/>
      <c r="AJ593" s="173"/>
      <c r="AK593" s="173"/>
      <c r="AL593" s="173"/>
      <c r="AM593" s="173"/>
      <c r="AN593" s="173"/>
      <c r="AO593" s="172"/>
      <c r="AP593" s="172"/>
      <c r="AQ593" s="172"/>
      <c r="AR593" s="172"/>
      <c r="AS593" s="172"/>
      <c r="AT593" s="172"/>
      <c r="AU593" s="173"/>
      <c r="AV593" s="173"/>
      <c r="AW593" s="173"/>
    </row>
    <row r="674" spans="5:49" x14ac:dyDescent="0.2">
      <c r="N674" s="111"/>
    </row>
    <row r="677" spans="5:49" x14ac:dyDescent="0.2">
      <c r="N677" s="111"/>
    </row>
    <row r="679" spans="5:49" x14ac:dyDescent="0.2">
      <c r="J679" s="109"/>
      <c r="K679" s="109"/>
      <c r="L679" s="109"/>
      <c r="M679" s="109"/>
      <c r="O679" s="655"/>
      <c r="P679" s="655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655"/>
      <c r="AH679" s="655"/>
      <c r="AI679" s="655"/>
      <c r="AJ679" s="655"/>
      <c r="AK679" s="655"/>
      <c r="AL679" s="655"/>
      <c r="AM679" s="655"/>
      <c r="AN679" s="655"/>
      <c r="AO679" s="109"/>
      <c r="AP679" s="109"/>
      <c r="AQ679" s="109"/>
      <c r="AR679" s="109"/>
      <c r="AS679" s="109"/>
      <c r="AT679" s="109"/>
      <c r="AU679" s="655"/>
      <c r="AV679" s="655"/>
      <c r="AW679" s="655"/>
    </row>
    <row r="680" spans="5:49" x14ac:dyDescent="0.2">
      <c r="E680" s="107"/>
      <c r="J680" s="114"/>
      <c r="O680" s="166"/>
    </row>
    <row r="681" spans="5:49" x14ac:dyDescent="0.2">
      <c r="E681" s="107"/>
      <c r="J681" s="114"/>
      <c r="O681" s="166"/>
    </row>
    <row r="682" spans="5:49" x14ac:dyDescent="0.2">
      <c r="E682" s="107"/>
      <c r="J682" s="114"/>
      <c r="O682" s="166"/>
    </row>
    <row r="683" spans="5:49" x14ac:dyDescent="0.2">
      <c r="E683" s="107"/>
      <c r="J683" s="114"/>
      <c r="O683" s="166"/>
    </row>
    <row r="684" spans="5:49" x14ac:dyDescent="0.2">
      <c r="E684" s="107"/>
      <c r="J684" s="114"/>
      <c r="O684" s="166"/>
    </row>
    <row r="685" spans="5:49" x14ac:dyDescent="0.2">
      <c r="E685" s="107"/>
      <c r="J685" s="114"/>
      <c r="O685" s="166"/>
    </row>
    <row r="686" spans="5:49" x14ac:dyDescent="0.2">
      <c r="E686" s="107"/>
      <c r="J686" s="114"/>
      <c r="O686" s="166"/>
    </row>
    <row r="687" spans="5:49" x14ac:dyDescent="0.2">
      <c r="E687" s="107"/>
      <c r="J687" s="114"/>
      <c r="O687" s="166"/>
    </row>
    <row r="688" spans="5:49" x14ac:dyDescent="0.2">
      <c r="E688" s="107"/>
      <c r="J688" s="114"/>
      <c r="O688" s="166"/>
    </row>
    <row r="689" spans="5:15" x14ac:dyDescent="0.2">
      <c r="E689" s="107"/>
      <c r="J689" s="114"/>
      <c r="O689" s="166"/>
    </row>
    <row r="690" spans="5:15" x14ac:dyDescent="0.2">
      <c r="E690" s="107"/>
      <c r="J690" s="114"/>
      <c r="O690" s="166"/>
    </row>
    <row r="691" spans="5:15" x14ac:dyDescent="0.2">
      <c r="E691" s="107"/>
      <c r="J691" s="114"/>
      <c r="O691" s="166"/>
    </row>
    <row r="692" spans="5:15" x14ac:dyDescent="0.2">
      <c r="E692" s="107"/>
      <c r="J692" s="114"/>
      <c r="O692" s="166"/>
    </row>
    <row r="694" spans="5:15" x14ac:dyDescent="0.2">
      <c r="E694" s="107"/>
      <c r="J694" s="114"/>
      <c r="O694" s="166"/>
    </row>
    <row r="695" spans="5:15" ht="12.75" x14ac:dyDescent="0.2">
      <c r="E695" s="624"/>
      <c r="J695" s="114"/>
      <c r="O695" s="166"/>
    </row>
    <row r="696" spans="5:15" ht="12.75" x14ac:dyDescent="0.2">
      <c r="E696" s="624"/>
      <c r="J696" s="114"/>
      <c r="O696" s="166"/>
    </row>
    <row r="697" spans="5:15" ht="12.75" x14ac:dyDescent="0.2">
      <c r="E697" s="624"/>
      <c r="J697" s="114"/>
      <c r="O697" s="166"/>
    </row>
    <row r="698" spans="5:15" ht="12.75" x14ac:dyDescent="0.2">
      <c r="E698" s="624"/>
    </row>
    <row r="699" spans="5:15" ht="12.75" x14ac:dyDescent="0.2">
      <c r="E699" s="624"/>
    </row>
    <row r="700" spans="5:15" ht="12.75" x14ac:dyDescent="0.2">
      <c r="E700" s="624"/>
    </row>
    <row r="701" spans="5:15" ht="12.75" x14ac:dyDescent="0.2">
      <c r="E701" s="624"/>
    </row>
    <row r="702" spans="5:15" ht="12.75" x14ac:dyDescent="0.2">
      <c r="E702" s="624"/>
    </row>
    <row r="703" spans="5:15" ht="12.75" x14ac:dyDescent="0.2">
      <c r="E703" s="624"/>
    </row>
    <row r="704" spans="5:15" ht="12.75" x14ac:dyDescent="0.2">
      <c r="E704" s="624"/>
    </row>
    <row r="705" spans="5:16" ht="12.75" x14ac:dyDescent="0.2">
      <c r="E705" s="624"/>
    </row>
    <row r="706" spans="5:16" ht="12.75" x14ac:dyDescent="0.2">
      <c r="E706" s="624"/>
    </row>
    <row r="707" spans="5:16" ht="12.75" x14ac:dyDescent="0.2">
      <c r="E707" s="624"/>
    </row>
    <row r="708" spans="5:16" ht="12.75" x14ac:dyDescent="0.2">
      <c r="E708" s="624"/>
    </row>
    <row r="709" spans="5:16" ht="12.75" x14ac:dyDescent="0.2">
      <c r="E709" s="624"/>
    </row>
    <row r="710" spans="5:16" ht="12.75" x14ac:dyDescent="0.2">
      <c r="E710" s="624"/>
    </row>
    <row r="711" spans="5:16" ht="12.75" x14ac:dyDescent="0.2">
      <c r="E711" s="624"/>
    </row>
    <row r="712" spans="5:16" x14ac:dyDescent="0.2">
      <c r="E712" s="107"/>
      <c r="J712" s="114"/>
      <c r="M712" s="114"/>
      <c r="O712" s="166"/>
      <c r="P712" s="166"/>
    </row>
    <row r="713" spans="5:16" x14ac:dyDescent="0.2">
      <c r="E713" s="107"/>
      <c r="J713" s="114"/>
      <c r="M713" s="114"/>
      <c r="O713" s="166"/>
      <c r="P713" s="166"/>
    </row>
    <row r="714" spans="5:16" x14ac:dyDescent="0.2">
      <c r="E714" s="107"/>
      <c r="J714" s="114"/>
      <c r="M714" s="114"/>
      <c r="O714" s="166"/>
      <c r="P714" s="166"/>
    </row>
    <row r="715" spans="5:16" x14ac:dyDescent="0.2">
      <c r="E715" s="107"/>
      <c r="J715" s="114"/>
      <c r="M715" s="114"/>
      <c r="O715" s="166"/>
      <c r="P715" s="166"/>
    </row>
    <row r="716" spans="5:16" x14ac:dyDescent="0.2">
      <c r="E716" s="107"/>
      <c r="J716" s="114"/>
      <c r="M716" s="114"/>
      <c r="O716" s="166"/>
      <c r="P716" s="166"/>
    </row>
    <row r="717" spans="5:16" x14ac:dyDescent="0.2">
      <c r="E717" s="107"/>
      <c r="J717" s="114"/>
      <c r="M717" s="114"/>
      <c r="O717" s="166"/>
      <c r="P717" s="166"/>
    </row>
    <row r="718" spans="5:16" x14ac:dyDescent="0.2">
      <c r="E718" s="107"/>
      <c r="J718" s="114"/>
      <c r="M718" s="114"/>
      <c r="O718" s="166"/>
      <c r="P718" s="166"/>
    </row>
    <row r="719" spans="5:16" x14ac:dyDescent="0.2">
      <c r="E719" s="107"/>
      <c r="J719" s="114"/>
      <c r="M719" s="114"/>
      <c r="O719" s="166"/>
      <c r="P719" s="166"/>
    </row>
    <row r="720" spans="5:16" x14ac:dyDescent="0.2">
      <c r="E720" s="107"/>
      <c r="J720" s="114"/>
      <c r="M720" s="114"/>
      <c r="O720" s="166"/>
      <c r="P720" s="166"/>
    </row>
    <row r="721" spans="5:16" x14ac:dyDescent="0.2">
      <c r="E721" s="107"/>
      <c r="J721" s="114"/>
      <c r="M721" s="114"/>
      <c r="O721" s="166"/>
      <c r="P721" s="166"/>
    </row>
    <row r="722" spans="5:16" x14ac:dyDescent="0.2">
      <c r="E722" s="107"/>
      <c r="J722" s="114"/>
      <c r="M722" s="114"/>
      <c r="O722" s="166"/>
      <c r="P722" s="166"/>
    </row>
    <row r="724" spans="5:16" ht="15" customHeight="1" x14ac:dyDescent="0.2"/>
    <row r="725" spans="5:16" ht="15" customHeight="1" x14ac:dyDescent="0.2"/>
    <row r="726" spans="5:16" ht="15" customHeight="1" x14ac:dyDescent="0.2"/>
    <row r="727" spans="5:16" ht="15" customHeight="1" x14ac:dyDescent="0.2"/>
    <row r="728" spans="5:16" ht="15" customHeight="1" x14ac:dyDescent="0.2"/>
    <row r="729" spans="5:16" ht="15" customHeight="1" x14ac:dyDescent="0.2"/>
    <row r="730" spans="5:16" ht="15" customHeight="1" x14ac:dyDescent="0.2"/>
    <row r="731" spans="5:16" ht="15" customHeight="1" x14ac:dyDescent="0.2"/>
    <row r="732" spans="5:16" ht="15" customHeight="1" x14ac:dyDescent="0.2"/>
    <row r="733" spans="5:16" ht="15" customHeight="1" x14ac:dyDescent="0.2"/>
    <row r="734" spans="5:16" ht="15" customHeight="1" x14ac:dyDescent="0.2"/>
    <row r="735" spans="5:16" ht="15" customHeight="1" x14ac:dyDescent="0.2"/>
    <row r="736" spans="5:16" ht="15" customHeight="1" x14ac:dyDescent="0.2"/>
    <row r="737" spans="5:16" ht="15" customHeight="1" x14ac:dyDescent="0.2"/>
    <row r="738" spans="5:16" ht="15" customHeight="1" x14ac:dyDescent="0.2"/>
    <row r="739" spans="5:16" ht="15" customHeight="1" x14ac:dyDescent="0.2"/>
    <row r="740" spans="5:16" ht="15" customHeight="1" x14ac:dyDescent="0.2"/>
    <row r="741" spans="5:16" ht="15" customHeight="1" x14ac:dyDescent="0.2"/>
    <row r="742" spans="5:16" ht="15" customHeight="1" x14ac:dyDescent="0.2"/>
    <row r="743" spans="5:16" ht="15" customHeight="1" x14ac:dyDescent="0.2"/>
    <row r="744" spans="5:16" ht="15" customHeight="1" x14ac:dyDescent="0.2"/>
    <row r="745" spans="5:16" ht="15" customHeight="1" x14ac:dyDescent="0.2"/>
    <row r="746" spans="5:16" ht="15" customHeight="1" x14ac:dyDescent="0.2"/>
    <row r="747" spans="5:16" ht="15" customHeight="1" x14ac:dyDescent="0.2"/>
    <row r="749" spans="5:16" ht="15" customHeight="1" x14ac:dyDescent="0.2">
      <c r="E749" s="107"/>
      <c r="J749" s="109"/>
      <c r="M749" s="109"/>
      <c r="O749" s="655"/>
      <c r="P749" s="655"/>
    </row>
    <row r="750" spans="5:16" ht="15" customHeight="1" x14ac:dyDescent="0.2">
      <c r="E750" s="107"/>
      <c r="J750" s="109"/>
      <c r="M750" s="109"/>
      <c r="O750" s="655"/>
      <c r="P750" s="655"/>
    </row>
    <row r="751" spans="5:16" ht="15" customHeight="1" x14ac:dyDescent="0.2">
      <c r="E751" s="107"/>
      <c r="J751" s="109"/>
      <c r="M751" s="109"/>
      <c r="O751" s="655"/>
      <c r="P751" s="655"/>
    </row>
    <row r="752" spans="5:16" ht="15" customHeight="1" x14ac:dyDescent="0.2">
      <c r="E752" s="107"/>
      <c r="J752" s="109"/>
      <c r="M752" s="109"/>
      <c r="O752" s="655"/>
      <c r="P752" s="655"/>
    </row>
    <row r="753" spans="5:16" ht="15" customHeight="1" x14ac:dyDescent="0.2">
      <c r="E753" s="107"/>
      <c r="J753" s="109"/>
      <c r="M753" s="109"/>
      <c r="O753" s="655"/>
      <c r="P753" s="655"/>
    </row>
    <row r="754" spans="5:16" ht="15" customHeight="1" x14ac:dyDescent="0.2">
      <c r="E754" s="107"/>
      <c r="J754" s="109"/>
      <c r="M754" s="109"/>
      <c r="O754" s="655"/>
      <c r="P754" s="655"/>
    </row>
    <row r="755" spans="5:16" ht="15" customHeight="1" x14ac:dyDescent="0.2">
      <c r="E755" s="107"/>
      <c r="J755" s="109"/>
      <c r="M755" s="109"/>
      <c r="O755" s="655"/>
      <c r="P755" s="655"/>
    </row>
    <row r="756" spans="5:16" ht="15" customHeight="1" x14ac:dyDescent="0.2">
      <c r="E756" s="107"/>
      <c r="J756" s="109"/>
      <c r="M756" s="109"/>
      <c r="O756" s="655"/>
      <c r="P756" s="655"/>
    </row>
    <row r="757" spans="5:16" ht="15" customHeight="1" x14ac:dyDescent="0.2">
      <c r="E757" s="107"/>
      <c r="J757" s="109"/>
      <c r="M757" s="109"/>
      <c r="O757" s="655"/>
      <c r="P757" s="655"/>
    </row>
    <row r="758" spans="5:16" ht="15" customHeight="1" x14ac:dyDescent="0.2">
      <c r="E758" s="107"/>
      <c r="J758" s="109"/>
      <c r="M758" s="109"/>
      <c r="O758" s="655"/>
      <c r="P758" s="655"/>
    </row>
    <row r="759" spans="5:16" ht="15" customHeight="1" x14ac:dyDescent="0.2">
      <c r="E759" s="107"/>
      <c r="J759" s="109"/>
      <c r="M759" s="109"/>
      <c r="O759" s="655"/>
      <c r="P759" s="655"/>
    </row>
    <row r="760" spans="5:16" ht="15" customHeight="1" x14ac:dyDescent="0.2">
      <c r="E760" s="107"/>
      <c r="J760" s="109"/>
      <c r="M760" s="109"/>
      <c r="O760" s="655"/>
      <c r="P760" s="655"/>
    </row>
    <row r="761" spans="5:16" ht="15" customHeight="1" x14ac:dyDescent="0.2">
      <c r="E761" s="107"/>
      <c r="J761" s="109"/>
      <c r="M761" s="109"/>
      <c r="O761" s="655"/>
      <c r="P761" s="655"/>
    </row>
    <row r="762" spans="5:16" ht="12" customHeight="1" x14ac:dyDescent="0.2">
      <c r="E762" s="107"/>
    </row>
    <row r="763" spans="5:16" ht="12" customHeight="1" x14ac:dyDescent="0.2">
      <c r="E763" s="107"/>
    </row>
    <row r="764" spans="5:16" ht="12" customHeight="1" x14ac:dyDescent="0.2">
      <c r="E764" s="107"/>
    </row>
    <row r="765" spans="5:16" ht="12" customHeight="1" x14ac:dyDescent="0.2">
      <c r="E765" s="107"/>
    </row>
    <row r="766" spans="5:16" ht="12" customHeight="1" x14ac:dyDescent="0.2">
      <c r="E766" s="107"/>
    </row>
    <row r="767" spans="5:16" ht="12" customHeight="1" x14ac:dyDescent="0.2">
      <c r="E767" s="107"/>
    </row>
    <row r="768" spans="5:16" ht="12" customHeight="1" x14ac:dyDescent="0.2">
      <c r="E768" s="107"/>
    </row>
    <row r="769" spans="5:5" ht="12" customHeight="1" x14ac:dyDescent="0.2">
      <c r="E769" s="107"/>
    </row>
    <row r="770" spans="5:5" ht="12" customHeight="1" x14ac:dyDescent="0.2">
      <c r="E770" s="107"/>
    </row>
    <row r="771" spans="5:5" ht="12" customHeight="1" x14ac:dyDescent="0.2">
      <c r="E771" s="107"/>
    </row>
    <row r="772" spans="5:5" ht="12" customHeight="1" x14ac:dyDescent="0.2"/>
    <row r="773" spans="5:5" ht="12" customHeight="1" x14ac:dyDescent="0.2"/>
    <row r="774" spans="5:5" ht="12" customHeight="1" x14ac:dyDescent="0.2"/>
    <row r="775" spans="5:5" ht="12" customHeight="1" x14ac:dyDescent="0.2"/>
    <row r="776" spans="5:5" ht="12" customHeight="1" x14ac:dyDescent="0.2"/>
    <row r="777" spans="5:5" ht="12" customHeight="1" x14ac:dyDescent="0.2"/>
    <row r="778" spans="5:5" ht="12" customHeight="1" x14ac:dyDescent="0.2"/>
    <row r="779" spans="5:5" ht="12" customHeight="1" x14ac:dyDescent="0.2"/>
    <row r="780" spans="5:5" ht="12" customHeight="1" x14ac:dyDescent="0.2"/>
    <row r="781" spans="5:5" ht="12" customHeight="1" x14ac:dyDescent="0.2"/>
    <row r="782" spans="5:5" ht="12" customHeight="1" x14ac:dyDescent="0.2"/>
    <row r="783" spans="5:5" ht="12" customHeight="1" x14ac:dyDescent="0.2"/>
    <row r="784" spans="5:5" ht="12" customHeight="1" x14ac:dyDescent="0.2"/>
    <row r="785" spans="9:49" ht="12" customHeight="1" x14ac:dyDescent="0.2"/>
    <row r="786" spans="9:49" ht="12" customHeight="1" x14ac:dyDescent="0.2"/>
    <row r="787" spans="9:49" ht="12" customHeight="1" x14ac:dyDescent="0.2"/>
    <row r="788" spans="9:49" ht="12" customHeight="1" x14ac:dyDescent="0.2"/>
    <row r="790" spans="9:49" x14ac:dyDescent="0.2">
      <c r="N790" s="111"/>
    </row>
    <row r="791" spans="9:49" x14ac:dyDescent="0.2">
      <c r="J791" s="109"/>
      <c r="K791" s="109"/>
      <c r="L791" s="109"/>
      <c r="M791" s="109"/>
      <c r="O791" s="655"/>
      <c r="P791" s="655"/>
      <c r="Q791" s="109"/>
    </row>
    <row r="792" spans="9:49" x14ac:dyDescent="0.2">
      <c r="I792" s="108"/>
      <c r="J792" s="108"/>
      <c r="K792" s="108"/>
      <c r="L792" s="108"/>
      <c r="M792" s="108"/>
      <c r="N792" s="388"/>
      <c r="O792" s="388"/>
      <c r="P792" s="388"/>
      <c r="Q792" s="108"/>
    </row>
    <row r="793" spans="9:49" x14ac:dyDescent="0.2">
      <c r="J793" s="109"/>
      <c r="K793" s="109"/>
      <c r="L793" s="109"/>
      <c r="M793" s="109"/>
      <c r="O793" s="655"/>
      <c r="P793" s="655"/>
      <c r="Q793" s="109"/>
    </row>
    <row r="794" spans="9:49" x14ac:dyDescent="0.2">
      <c r="J794" s="109"/>
      <c r="K794" s="109"/>
      <c r="L794" s="109"/>
      <c r="M794" s="109"/>
      <c r="O794" s="655"/>
      <c r="P794" s="655"/>
      <c r="Q794" s="109"/>
    </row>
    <row r="795" spans="9:49" x14ac:dyDescent="0.2">
      <c r="J795" s="109"/>
      <c r="K795" s="109"/>
      <c r="L795" s="109"/>
      <c r="M795" s="109"/>
      <c r="N795" s="109"/>
      <c r="O795" s="109"/>
      <c r="P795" s="109"/>
      <c r="AU795" s="165"/>
      <c r="AV795" s="165"/>
      <c r="AW795" s="165"/>
    </row>
    <row r="796" spans="9:49" x14ac:dyDescent="0.2">
      <c r="J796" s="109"/>
      <c r="K796" s="109"/>
      <c r="L796" s="109"/>
      <c r="M796" s="109"/>
      <c r="N796" s="109"/>
      <c r="O796" s="109"/>
      <c r="P796" s="109"/>
      <c r="AU796" s="165"/>
      <c r="AV796" s="165"/>
      <c r="AW796" s="165"/>
    </row>
    <row r="797" spans="9:49" x14ac:dyDescent="0.2">
      <c r="AU797" s="165"/>
      <c r="AV797" s="165"/>
      <c r="AW797" s="165"/>
    </row>
    <row r="799" spans="9:49" x14ac:dyDescent="0.2">
      <c r="J799" s="109"/>
      <c r="K799" s="109"/>
      <c r="L799" s="109"/>
      <c r="M799" s="109"/>
      <c r="N799" s="109"/>
      <c r="O799" s="109"/>
      <c r="P799" s="109"/>
    </row>
    <row r="800" spans="9:49" x14ac:dyDescent="0.2">
      <c r="J800" s="109"/>
      <c r="K800" s="109"/>
      <c r="L800" s="109"/>
      <c r="M800" s="109"/>
      <c r="N800" s="109"/>
      <c r="O800" s="109"/>
      <c r="P800" s="109"/>
    </row>
    <row r="801" spans="10:16" x14ac:dyDescent="0.2">
      <c r="J801" s="109"/>
      <c r="K801" s="109"/>
      <c r="L801" s="109"/>
      <c r="M801" s="109"/>
      <c r="N801" s="109"/>
      <c r="O801" s="109"/>
      <c r="P801" s="109"/>
    </row>
  </sheetData>
  <mergeCells count="24">
    <mergeCell ref="AO6:AW7"/>
    <mergeCell ref="Q7:U9"/>
    <mergeCell ref="V7:Y9"/>
    <mergeCell ref="AB7:AB10"/>
    <mergeCell ref="AC7:AE9"/>
    <mergeCell ref="AF7:AF10"/>
    <mergeCell ref="AG7:AN7"/>
    <mergeCell ref="AG8:AH9"/>
    <mergeCell ref="AJ8:AK9"/>
    <mergeCell ref="AL8:AN9"/>
    <mergeCell ref="AO8:AO10"/>
    <mergeCell ref="AP8:AT9"/>
    <mergeCell ref="AU8:AU10"/>
    <mergeCell ref="AV8:AW9"/>
    <mergeCell ref="AI8:AI9"/>
    <mergeCell ref="I6:P7"/>
    <mergeCell ref="A3:E3"/>
    <mergeCell ref="Z7:Z10"/>
    <mergeCell ref="AA7:AA10"/>
    <mergeCell ref="I8:I10"/>
    <mergeCell ref="J8:M9"/>
    <mergeCell ref="N8:N10"/>
    <mergeCell ref="O8:P9"/>
    <mergeCell ref="Q6:AN6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X226"/>
  <sheetViews>
    <sheetView workbookViewId="0">
      <pane xSplit="8" ySplit="11" topLeftCell="AK78" activePane="bottomRight" state="frozen"/>
      <selection activeCell="AU1" sqref="AU1:AW1048576"/>
      <selection pane="topRight" activeCell="AU1" sqref="AU1:AW1048576"/>
      <selection pane="bottomLeft" activeCell="AU1" sqref="AU1:AW1048576"/>
      <selection pane="bottomRight" activeCell="Q6" sqref="Q6:AN6"/>
    </sheetView>
  </sheetViews>
  <sheetFormatPr defaultColWidth="9.140625" defaultRowHeight="15" x14ac:dyDescent="0.25"/>
  <cols>
    <col min="1" max="1" width="5" style="1110" customWidth="1"/>
    <col min="2" max="2" width="8" style="878" customWidth="1"/>
    <col min="3" max="3" width="10.28515625" style="878" customWidth="1"/>
    <col min="4" max="4" width="9.42578125" style="878" customWidth="1"/>
    <col min="5" max="5" width="26.28515625" style="751" customWidth="1"/>
    <col min="6" max="6" width="5.5703125" style="751" bestFit="1" customWidth="1"/>
    <col min="7" max="7" width="10.28515625" style="751" customWidth="1"/>
    <col min="8" max="8" width="8.5703125" style="1111" customWidth="1"/>
    <col min="9" max="12" width="10.7109375" style="751" customWidth="1"/>
    <col min="13" max="13" width="11.42578125" style="751" customWidth="1"/>
    <col min="14" max="14" width="11.7109375" style="926" customWidth="1"/>
    <col min="15" max="16" width="10.7109375" style="926" customWidth="1"/>
    <col min="17" max="17" width="10.7109375" style="925" customWidth="1"/>
    <col min="18" max="32" width="10.7109375" style="751" customWidth="1"/>
    <col min="33" max="40" width="10.7109375" style="926" customWidth="1"/>
    <col min="41" max="46" width="10.7109375" style="751" customWidth="1"/>
    <col min="47" max="47" width="11.7109375" style="926" customWidth="1"/>
    <col min="48" max="49" width="10.7109375" style="926" customWidth="1"/>
    <col min="50" max="16384" width="9.140625" style="751"/>
  </cols>
  <sheetData>
    <row r="1" spans="1:50" ht="12" customHeight="1" x14ac:dyDescent="0.25">
      <c r="A1" s="1038" t="s">
        <v>2</v>
      </c>
      <c r="B1" s="742"/>
      <c r="C1" s="743"/>
      <c r="D1" s="742"/>
      <c r="E1" s="742"/>
      <c r="F1" s="744"/>
      <c r="G1" s="744"/>
      <c r="H1" s="744"/>
      <c r="I1" s="745"/>
      <c r="J1" s="746"/>
      <c r="K1" s="746"/>
      <c r="L1" s="746"/>
      <c r="M1" s="746"/>
      <c r="N1" s="747"/>
      <c r="O1" s="748"/>
      <c r="P1" s="748"/>
      <c r="Q1" s="748"/>
      <c r="R1" s="745"/>
      <c r="S1" s="745"/>
      <c r="T1" s="749"/>
      <c r="U1" s="749"/>
      <c r="V1" s="749"/>
      <c r="W1" s="749"/>
      <c r="X1" s="749"/>
      <c r="Y1" s="749"/>
      <c r="Z1" s="749"/>
      <c r="AA1" s="749"/>
      <c r="AB1" s="749"/>
      <c r="AC1" s="749"/>
      <c r="AD1" s="749"/>
      <c r="AE1" s="749"/>
      <c r="AF1" s="749"/>
      <c r="AG1" s="750"/>
      <c r="AH1" s="750"/>
      <c r="AI1" s="750"/>
      <c r="AJ1" s="747"/>
      <c r="AK1" s="747"/>
      <c r="AL1" s="747"/>
      <c r="AM1" s="747"/>
      <c r="AN1" s="747"/>
      <c r="AO1" s="745"/>
      <c r="AP1" s="745"/>
      <c r="AQ1" s="745"/>
      <c r="AR1" s="745"/>
      <c r="AS1" s="745"/>
      <c r="AT1" s="747"/>
      <c r="AU1" s="747"/>
      <c r="AV1" s="747"/>
      <c r="AW1" s="747"/>
    </row>
    <row r="2" spans="1:50" ht="12" customHeight="1" x14ac:dyDescent="0.25">
      <c r="A2" s="1038" t="s">
        <v>3</v>
      </c>
      <c r="B2" s="742"/>
      <c r="C2" s="743"/>
      <c r="D2" s="742"/>
      <c r="E2" s="742"/>
      <c r="F2" s="744"/>
      <c r="G2" s="744"/>
      <c r="H2" s="744"/>
      <c r="I2" s="752"/>
      <c r="J2" s="752"/>
      <c r="K2" s="752"/>
      <c r="L2" s="752"/>
      <c r="M2" s="752"/>
      <c r="N2" s="753"/>
      <c r="O2" s="753"/>
      <c r="P2" s="753"/>
      <c r="Q2" s="752"/>
      <c r="R2" s="752"/>
      <c r="S2" s="752"/>
      <c r="T2" s="752"/>
      <c r="U2" s="752"/>
      <c r="V2" s="752"/>
      <c r="W2" s="752"/>
      <c r="X2" s="752"/>
      <c r="Y2" s="752"/>
      <c r="Z2" s="752"/>
      <c r="AA2" s="752"/>
      <c r="AB2" s="752"/>
      <c r="AC2" s="752"/>
      <c r="AD2" s="752"/>
      <c r="AE2" s="752"/>
      <c r="AF2" s="753"/>
      <c r="AG2" s="753"/>
      <c r="AH2" s="753"/>
      <c r="AI2" s="753"/>
      <c r="AJ2" s="753"/>
      <c r="AK2" s="753"/>
      <c r="AL2" s="753"/>
      <c r="AM2" s="753"/>
      <c r="AN2" s="753"/>
      <c r="AO2" s="752"/>
      <c r="AP2" s="752"/>
      <c r="AQ2" s="752"/>
      <c r="AR2" s="752"/>
      <c r="AS2" s="752"/>
      <c r="AT2" s="753"/>
      <c r="AU2" s="753"/>
      <c r="AV2" s="753"/>
      <c r="AW2" s="747"/>
    </row>
    <row r="3" spans="1:50" ht="12" customHeight="1" x14ac:dyDescent="0.25">
      <c r="A3" s="1281" t="s">
        <v>4</v>
      </c>
      <c r="B3" s="1281"/>
      <c r="C3" s="1281"/>
      <c r="D3" s="1281"/>
      <c r="E3" s="1281"/>
      <c r="F3" s="744"/>
      <c r="G3" s="744"/>
      <c r="H3" s="744"/>
      <c r="I3" s="752"/>
      <c r="J3" s="752"/>
      <c r="K3" s="752"/>
      <c r="L3" s="752"/>
      <c r="M3" s="752"/>
      <c r="N3" s="753"/>
      <c r="O3" s="753"/>
      <c r="P3" s="753"/>
      <c r="Q3" s="754"/>
      <c r="R3" s="754"/>
      <c r="S3" s="754"/>
      <c r="T3" s="754"/>
      <c r="U3" s="754"/>
      <c r="V3" s="754"/>
      <c r="W3" s="754"/>
      <c r="X3" s="754"/>
      <c r="Y3" s="755"/>
      <c r="Z3" s="755"/>
      <c r="AA3" s="755"/>
      <c r="AB3" s="756"/>
      <c r="AC3" s="756"/>
      <c r="AD3" s="756"/>
      <c r="AE3" s="755"/>
      <c r="AF3" s="757"/>
      <c r="AG3" s="757"/>
      <c r="AH3" s="757"/>
      <c r="AI3" s="757"/>
      <c r="AJ3" s="757"/>
      <c r="AK3" s="757"/>
      <c r="AL3" s="757"/>
      <c r="AM3" s="757"/>
      <c r="AN3" s="753"/>
      <c r="AO3" s="752"/>
      <c r="AP3" s="752"/>
      <c r="AQ3" s="752"/>
      <c r="AR3" s="752"/>
      <c r="AS3" s="752"/>
      <c r="AT3" s="753"/>
      <c r="AU3" s="753"/>
      <c r="AV3" s="753"/>
      <c r="AW3" s="747"/>
    </row>
    <row r="4" spans="1:50" ht="12" customHeight="1" x14ac:dyDescent="0.25">
      <c r="A4" s="1039"/>
      <c r="B4" s="742"/>
      <c r="C4" s="742"/>
      <c r="D4" s="742"/>
      <c r="E4" s="742"/>
      <c r="F4" s="744"/>
      <c r="G4" s="744"/>
      <c r="H4" s="744"/>
      <c r="I4" s="752"/>
      <c r="J4" s="752"/>
      <c r="K4" s="752"/>
      <c r="L4" s="752"/>
      <c r="M4" s="752"/>
      <c r="N4" s="753"/>
      <c r="O4" s="753"/>
      <c r="P4" s="753"/>
      <c r="Q4" s="754"/>
      <c r="R4" s="754"/>
      <c r="S4" s="754"/>
      <c r="T4" s="754"/>
      <c r="U4" s="754"/>
      <c r="V4" s="754"/>
      <c r="W4" s="754"/>
      <c r="X4" s="754"/>
      <c r="Y4" s="755"/>
      <c r="Z4" s="755"/>
      <c r="AA4" s="755"/>
      <c r="AB4" s="756"/>
      <c r="AC4" s="756"/>
      <c r="AD4" s="756"/>
      <c r="AE4" s="755"/>
      <c r="AF4" s="757"/>
      <c r="AG4" s="757"/>
      <c r="AH4" s="757"/>
      <c r="AI4" s="757"/>
      <c r="AJ4" s="757"/>
      <c r="AK4" s="757"/>
      <c r="AL4" s="757"/>
      <c r="AM4" s="757"/>
      <c r="AN4" s="753"/>
      <c r="AO4" s="752"/>
      <c r="AP4" s="752"/>
      <c r="AQ4" s="752"/>
      <c r="AR4" s="752"/>
      <c r="AS4" s="752"/>
      <c r="AT4" s="753"/>
      <c r="AU4" s="753"/>
      <c r="AV4" s="753"/>
      <c r="AW4" s="747"/>
    </row>
    <row r="5" spans="1:50" ht="16.5" thickBot="1" x14ac:dyDescent="0.3">
      <c r="A5" s="759" t="s">
        <v>838</v>
      </c>
      <c r="B5" s="760"/>
      <c r="C5" s="760"/>
      <c r="D5" s="760"/>
      <c r="E5" s="761"/>
      <c r="F5" s="761"/>
      <c r="G5" s="761"/>
      <c r="H5" s="761"/>
      <c r="I5" s="762"/>
      <c r="J5" s="762"/>
      <c r="K5" s="762"/>
      <c r="L5" s="762"/>
      <c r="M5" s="762"/>
      <c r="N5" s="763"/>
      <c r="O5" s="763"/>
      <c r="P5" s="763"/>
      <c r="Q5" s="754"/>
      <c r="R5" s="754"/>
      <c r="S5" s="754"/>
      <c r="T5" s="754"/>
      <c r="U5" s="745"/>
      <c r="V5" s="754"/>
      <c r="W5" s="754"/>
      <c r="X5" s="754"/>
      <c r="Y5" s="755"/>
      <c r="Z5" s="755"/>
      <c r="AA5" s="755"/>
      <c r="AB5" s="756"/>
      <c r="AC5" s="756"/>
      <c r="AD5" s="756"/>
      <c r="AE5" s="755"/>
      <c r="AF5" s="747"/>
      <c r="AG5" s="747"/>
      <c r="AH5" s="764"/>
      <c r="AI5" s="764"/>
      <c r="AJ5" s="764"/>
      <c r="AK5" s="764"/>
      <c r="AL5" s="764"/>
      <c r="AM5" s="764"/>
      <c r="AN5" s="763"/>
      <c r="AO5" s="762"/>
      <c r="AP5" s="762"/>
      <c r="AQ5" s="762"/>
      <c r="AR5" s="762"/>
      <c r="AS5" s="762"/>
      <c r="AT5" s="763"/>
      <c r="AU5" s="763"/>
      <c r="AV5" s="763"/>
      <c r="AW5" s="747"/>
    </row>
    <row r="6" spans="1:50" ht="12.75" customHeight="1" x14ac:dyDescent="0.25">
      <c r="A6" s="1039"/>
      <c r="B6" s="758"/>
      <c r="C6" s="758"/>
      <c r="D6" s="758"/>
      <c r="E6" s="744"/>
      <c r="F6" s="744"/>
      <c r="G6" s="744"/>
      <c r="H6" s="744"/>
      <c r="I6" s="1252" t="s">
        <v>837</v>
      </c>
      <c r="J6" s="1253"/>
      <c r="K6" s="1253"/>
      <c r="L6" s="1253"/>
      <c r="M6" s="1253"/>
      <c r="N6" s="1253"/>
      <c r="O6" s="1253"/>
      <c r="P6" s="1254"/>
      <c r="Q6" s="1182" t="s">
        <v>839</v>
      </c>
      <c r="R6" s="1183"/>
      <c r="S6" s="1183"/>
      <c r="T6" s="1183"/>
      <c r="U6" s="1183"/>
      <c r="V6" s="1183"/>
      <c r="W6" s="1183"/>
      <c r="X6" s="1183"/>
      <c r="Y6" s="1183"/>
      <c r="Z6" s="1183"/>
      <c r="AA6" s="1183"/>
      <c r="AB6" s="1183"/>
      <c r="AC6" s="1183"/>
      <c r="AD6" s="1183"/>
      <c r="AE6" s="1183"/>
      <c r="AF6" s="1183"/>
      <c r="AG6" s="1183"/>
      <c r="AH6" s="1183"/>
      <c r="AI6" s="1183"/>
      <c r="AJ6" s="1183"/>
      <c r="AK6" s="1183"/>
      <c r="AL6" s="1183"/>
      <c r="AM6" s="1183"/>
      <c r="AN6" s="1184"/>
      <c r="AO6" s="1185" t="s">
        <v>868</v>
      </c>
      <c r="AP6" s="1186"/>
      <c r="AQ6" s="1186"/>
      <c r="AR6" s="1186"/>
      <c r="AS6" s="1186"/>
      <c r="AT6" s="1186"/>
      <c r="AU6" s="1186"/>
      <c r="AV6" s="1186"/>
      <c r="AW6" s="1187"/>
    </row>
    <row r="7" spans="1:50" ht="18.75" customHeight="1" thickBot="1" x14ac:dyDescent="0.3">
      <c r="A7" s="1039"/>
      <c r="B7" s="765"/>
      <c r="C7" s="183"/>
      <c r="D7" s="766"/>
      <c r="E7" s="765"/>
      <c r="F7" s="744"/>
      <c r="G7" s="744"/>
      <c r="H7" s="744"/>
      <c r="I7" s="1255"/>
      <c r="J7" s="1256"/>
      <c r="K7" s="1256"/>
      <c r="L7" s="1256"/>
      <c r="M7" s="1256"/>
      <c r="N7" s="1256"/>
      <c r="O7" s="1256"/>
      <c r="P7" s="1257"/>
      <c r="Q7" s="1259" t="s">
        <v>289</v>
      </c>
      <c r="R7" s="1259"/>
      <c r="S7" s="1259"/>
      <c r="T7" s="1259"/>
      <c r="U7" s="1260"/>
      <c r="V7" s="1267" t="s">
        <v>290</v>
      </c>
      <c r="W7" s="1259"/>
      <c r="X7" s="1259"/>
      <c r="Y7" s="1260"/>
      <c r="Z7" s="1249" t="s">
        <v>291</v>
      </c>
      <c r="AA7" s="1249" t="s">
        <v>5</v>
      </c>
      <c r="AB7" s="1249" t="s">
        <v>292</v>
      </c>
      <c r="AC7" s="1282" t="s">
        <v>293</v>
      </c>
      <c r="AD7" s="1283"/>
      <c r="AE7" s="1284"/>
      <c r="AF7" s="1249" t="s">
        <v>315</v>
      </c>
      <c r="AG7" s="1291" t="s">
        <v>294</v>
      </c>
      <c r="AH7" s="1292"/>
      <c r="AI7" s="1292"/>
      <c r="AJ7" s="1292"/>
      <c r="AK7" s="1292"/>
      <c r="AL7" s="1292"/>
      <c r="AM7" s="1292"/>
      <c r="AN7" s="1293"/>
      <c r="AO7" s="1188"/>
      <c r="AP7" s="1189"/>
      <c r="AQ7" s="1189"/>
      <c r="AR7" s="1189"/>
      <c r="AS7" s="1189"/>
      <c r="AT7" s="1189"/>
      <c r="AU7" s="1189"/>
      <c r="AV7" s="1189"/>
      <c r="AW7" s="1190"/>
    </row>
    <row r="8" spans="1:50" ht="15" customHeight="1" x14ac:dyDescent="0.25">
      <c r="A8" s="1040"/>
      <c r="B8" s="768"/>
      <c r="C8" s="768"/>
      <c r="D8" s="768"/>
      <c r="E8" s="768"/>
      <c r="F8" s="768"/>
      <c r="G8" s="768"/>
      <c r="H8" s="768"/>
      <c r="I8" s="1168" t="s">
        <v>6</v>
      </c>
      <c r="J8" s="1270" t="s">
        <v>827</v>
      </c>
      <c r="K8" s="1271"/>
      <c r="L8" s="1271"/>
      <c r="M8" s="1272"/>
      <c r="N8" s="1276" t="s">
        <v>286</v>
      </c>
      <c r="O8" s="1270" t="s">
        <v>828</v>
      </c>
      <c r="P8" s="1279"/>
      <c r="Q8" s="1262"/>
      <c r="R8" s="1262"/>
      <c r="S8" s="1262"/>
      <c r="T8" s="1262"/>
      <c r="U8" s="1263"/>
      <c r="V8" s="1268"/>
      <c r="W8" s="1262"/>
      <c r="X8" s="1262"/>
      <c r="Y8" s="1263"/>
      <c r="Z8" s="1250"/>
      <c r="AA8" s="1250"/>
      <c r="AB8" s="1250"/>
      <c r="AC8" s="1285"/>
      <c r="AD8" s="1286"/>
      <c r="AE8" s="1287"/>
      <c r="AF8" s="1250"/>
      <c r="AG8" s="1294" t="s">
        <v>295</v>
      </c>
      <c r="AH8" s="1295"/>
      <c r="AI8" s="1298" t="s">
        <v>296</v>
      </c>
      <c r="AJ8" s="1294" t="s">
        <v>297</v>
      </c>
      <c r="AK8" s="1295"/>
      <c r="AL8" s="1300" t="s">
        <v>298</v>
      </c>
      <c r="AM8" s="1301"/>
      <c r="AN8" s="1302"/>
      <c r="AO8" s="1168" t="s">
        <v>6</v>
      </c>
      <c r="AP8" s="1306" t="s">
        <v>827</v>
      </c>
      <c r="AQ8" s="1307"/>
      <c r="AR8" s="1307"/>
      <c r="AS8" s="1307"/>
      <c r="AT8" s="1308"/>
      <c r="AU8" s="1276" t="s">
        <v>286</v>
      </c>
      <c r="AV8" s="1270" t="s">
        <v>829</v>
      </c>
      <c r="AW8" s="1279"/>
    </row>
    <row r="9" spans="1:50" ht="19.5" customHeight="1" thickBot="1" x14ac:dyDescent="0.3">
      <c r="A9" s="1038" t="s">
        <v>825</v>
      </c>
      <c r="B9" s="183"/>
      <c r="C9" s="183"/>
      <c r="D9" s="770"/>
      <c r="E9" s="183"/>
      <c r="F9" s="771"/>
      <c r="G9" s="772"/>
      <c r="H9" s="772"/>
      <c r="I9" s="1169"/>
      <c r="J9" s="1273"/>
      <c r="K9" s="1274"/>
      <c r="L9" s="1274"/>
      <c r="M9" s="1275"/>
      <c r="N9" s="1277"/>
      <c r="O9" s="1273"/>
      <c r="P9" s="1280"/>
      <c r="Q9" s="1265"/>
      <c r="R9" s="1265"/>
      <c r="S9" s="1265"/>
      <c r="T9" s="1265"/>
      <c r="U9" s="1266"/>
      <c r="V9" s="1269"/>
      <c r="W9" s="1265"/>
      <c r="X9" s="1265"/>
      <c r="Y9" s="1266"/>
      <c r="Z9" s="1250"/>
      <c r="AA9" s="1250"/>
      <c r="AB9" s="1250"/>
      <c r="AC9" s="1288"/>
      <c r="AD9" s="1289"/>
      <c r="AE9" s="1290"/>
      <c r="AF9" s="1250"/>
      <c r="AG9" s="1296"/>
      <c r="AH9" s="1297"/>
      <c r="AI9" s="1299"/>
      <c r="AJ9" s="1296"/>
      <c r="AK9" s="1297"/>
      <c r="AL9" s="1303"/>
      <c r="AM9" s="1304"/>
      <c r="AN9" s="1305"/>
      <c r="AO9" s="1169"/>
      <c r="AP9" s="1309"/>
      <c r="AQ9" s="1310"/>
      <c r="AR9" s="1310"/>
      <c r="AS9" s="1310"/>
      <c r="AT9" s="1311"/>
      <c r="AU9" s="1277"/>
      <c r="AV9" s="1273"/>
      <c r="AW9" s="1280"/>
    </row>
    <row r="10" spans="1:50" ht="46.5" customHeight="1" thickBot="1" x14ac:dyDescent="0.3">
      <c r="A10" s="1041" t="s">
        <v>800</v>
      </c>
      <c r="B10" s="774" t="s">
        <v>566</v>
      </c>
      <c r="C10" s="774" t="s">
        <v>567</v>
      </c>
      <c r="D10" s="774" t="s">
        <v>270</v>
      </c>
      <c r="E10" s="310" t="s">
        <v>802</v>
      </c>
      <c r="F10" s="774" t="s">
        <v>0</v>
      </c>
      <c r="G10" s="775" t="s">
        <v>271</v>
      </c>
      <c r="H10" s="74" t="s">
        <v>282</v>
      </c>
      <c r="I10" s="1170"/>
      <c r="J10" s="75" t="s">
        <v>280</v>
      </c>
      <c r="K10" s="76" t="s">
        <v>5</v>
      </c>
      <c r="L10" s="76" t="s">
        <v>1</v>
      </c>
      <c r="M10" s="76" t="s">
        <v>7</v>
      </c>
      <c r="N10" s="1278"/>
      <c r="O10" s="782" t="s">
        <v>287</v>
      </c>
      <c r="P10" s="783" t="s">
        <v>288</v>
      </c>
      <c r="Q10" s="997" t="s">
        <v>299</v>
      </c>
      <c r="R10" s="777" t="s">
        <v>296</v>
      </c>
      <c r="S10" s="777" t="s">
        <v>815</v>
      </c>
      <c r="T10" s="777" t="s">
        <v>297</v>
      </c>
      <c r="U10" s="777" t="s">
        <v>791</v>
      </c>
      <c r="V10" s="778" t="s">
        <v>300</v>
      </c>
      <c r="W10" s="777" t="s">
        <v>826</v>
      </c>
      <c r="X10" s="778" t="s">
        <v>301</v>
      </c>
      <c r="Y10" s="777" t="s">
        <v>792</v>
      </c>
      <c r="Z10" s="1251"/>
      <c r="AA10" s="1251"/>
      <c r="AB10" s="1251"/>
      <c r="AC10" s="777" t="s">
        <v>296</v>
      </c>
      <c r="AD10" s="777" t="s">
        <v>302</v>
      </c>
      <c r="AE10" s="777" t="s">
        <v>793</v>
      </c>
      <c r="AF10" s="1251"/>
      <c r="AG10" s="779" t="s">
        <v>287</v>
      </c>
      <c r="AH10" s="780" t="s">
        <v>288</v>
      </c>
      <c r="AI10" s="779" t="s">
        <v>287</v>
      </c>
      <c r="AJ10" s="779" t="s">
        <v>287</v>
      </c>
      <c r="AK10" s="780" t="s">
        <v>288</v>
      </c>
      <c r="AL10" s="779" t="s">
        <v>287</v>
      </c>
      <c r="AM10" s="780" t="s">
        <v>288</v>
      </c>
      <c r="AN10" s="781" t="s">
        <v>311</v>
      </c>
      <c r="AO10" s="1170"/>
      <c r="AP10" s="79" t="s">
        <v>280</v>
      </c>
      <c r="AQ10" s="80" t="s">
        <v>290</v>
      </c>
      <c r="AR10" s="76" t="s">
        <v>5</v>
      </c>
      <c r="AS10" s="76" t="s">
        <v>1</v>
      </c>
      <c r="AT10" s="76" t="s">
        <v>7</v>
      </c>
      <c r="AU10" s="1278"/>
      <c r="AV10" s="782" t="s">
        <v>287</v>
      </c>
      <c r="AW10" s="783" t="s">
        <v>288</v>
      </c>
    </row>
    <row r="11" spans="1:50" s="797" customFormat="1" ht="11.25" customHeight="1" thickBot="1" x14ac:dyDescent="0.25">
      <c r="A11" s="1042" t="s">
        <v>568</v>
      </c>
      <c r="B11" s="785" t="s">
        <v>569</v>
      </c>
      <c r="C11" s="785" t="s">
        <v>272</v>
      </c>
      <c r="D11" s="785" t="s">
        <v>273</v>
      </c>
      <c r="E11" s="785" t="s">
        <v>570</v>
      </c>
      <c r="F11" s="785" t="s">
        <v>0</v>
      </c>
      <c r="G11" s="785" t="s">
        <v>571</v>
      </c>
      <c r="H11" s="786" t="s">
        <v>796</v>
      </c>
      <c r="I11" s="787" t="s">
        <v>274</v>
      </c>
      <c r="J11" s="788" t="s">
        <v>275</v>
      </c>
      <c r="K11" s="788" t="s">
        <v>276</v>
      </c>
      <c r="L11" s="788" t="s">
        <v>277</v>
      </c>
      <c r="M11" s="788" t="s">
        <v>278</v>
      </c>
      <c r="N11" s="789" t="s">
        <v>279</v>
      </c>
      <c r="O11" s="793" t="s">
        <v>572</v>
      </c>
      <c r="P11" s="1043" t="s">
        <v>573</v>
      </c>
      <c r="Q11" s="930" t="s">
        <v>303</v>
      </c>
      <c r="R11" s="790" t="s">
        <v>303</v>
      </c>
      <c r="S11" s="791" t="s">
        <v>303</v>
      </c>
      <c r="T11" s="791" t="s">
        <v>303</v>
      </c>
      <c r="U11" s="791" t="s">
        <v>303</v>
      </c>
      <c r="V11" s="791" t="s">
        <v>304</v>
      </c>
      <c r="W11" s="788" t="s">
        <v>304</v>
      </c>
      <c r="X11" s="788" t="s">
        <v>305</v>
      </c>
      <c r="Y11" s="791" t="s">
        <v>304</v>
      </c>
      <c r="Z11" s="791" t="s">
        <v>306</v>
      </c>
      <c r="AA11" s="788" t="s">
        <v>307</v>
      </c>
      <c r="AB11" s="791" t="s">
        <v>308</v>
      </c>
      <c r="AC11" s="791" t="s">
        <v>310</v>
      </c>
      <c r="AD11" s="791" t="s">
        <v>309</v>
      </c>
      <c r="AE11" s="791" t="s">
        <v>309</v>
      </c>
      <c r="AF11" s="791" t="s">
        <v>316</v>
      </c>
      <c r="AG11" s="793" t="s">
        <v>312</v>
      </c>
      <c r="AH11" s="793" t="s">
        <v>313</v>
      </c>
      <c r="AI11" s="793" t="s">
        <v>312</v>
      </c>
      <c r="AJ11" s="793" t="s">
        <v>312</v>
      </c>
      <c r="AK11" s="793" t="s">
        <v>313</v>
      </c>
      <c r="AL11" s="793" t="s">
        <v>312</v>
      </c>
      <c r="AM11" s="793" t="s">
        <v>313</v>
      </c>
      <c r="AN11" s="794" t="s">
        <v>314</v>
      </c>
      <c r="AO11" s="787" t="s">
        <v>274</v>
      </c>
      <c r="AP11" s="788" t="s">
        <v>275</v>
      </c>
      <c r="AQ11" s="788" t="s">
        <v>281</v>
      </c>
      <c r="AR11" s="788" t="s">
        <v>276</v>
      </c>
      <c r="AS11" s="788" t="s">
        <v>277</v>
      </c>
      <c r="AT11" s="788" t="s">
        <v>278</v>
      </c>
      <c r="AU11" s="795" t="s">
        <v>279</v>
      </c>
      <c r="AV11" s="795" t="s">
        <v>572</v>
      </c>
      <c r="AW11" s="796" t="s">
        <v>573</v>
      </c>
    </row>
    <row r="12" spans="1:50" ht="14.25" customHeight="1" x14ac:dyDescent="0.25">
      <c r="A12" s="798">
        <v>1</v>
      </c>
      <c r="B12" s="799">
        <v>5490</v>
      </c>
      <c r="C12" s="799">
        <v>600099474</v>
      </c>
      <c r="D12" s="799">
        <v>71173854</v>
      </c>
      <c r="E12" s="1044" t="s">
        <v>489</v>
      </c>
      <c r="F12" s="799">
        <v>3111</v>
      </c>
      <c r="G12" s="1045" t="s">
        <v>331</v>
      </c>
      <c r="H12" s="1046" t="s">
        <v>283</v>
      </c>
      <c r="I12" s="938">
        <f t="shared" ref="I12:I17" si="0">SUM(J12:M12)</f>
        <v>11427117</v>
      </c>
      <c r="J12" s="804">
        <v>8360616</v>
      </c>
      <c r="K12" s="805">
        <f t="shared" ref="K12:K17" si="1">ROUND((J12)*33.8%,0)</f>
        <v>2825888</v>
      </c>
      <c r="L12" s="805">
        <f>ROUND(J12*2%,0)+1</f>
        <v>167213</v>
      </c>
      <c r="M12" s="804">
        <v>73400</v>
      </c>
      <c r="N12" s="806">
        <f t="shared" ref="N12:N17" si="2">SUM(O12:P12)</f>
        <v>19.580400000000001</v>
      </c>
      <c r="O12" s="1047">
        <v>15.4</v>
      </c>
      <c r="P12" s="1048">
        <v>4.1803999999999997</v>
      </c>
      <c r="Q12" s="940">
        <f t="shared" ref="Q12:Q17" si="3">V12*-1</f>
        <v>0</v>
      </c>
      <c r="R12" s="808">
        <v>0</v>
      </c>
      <c r="S12" s="808">
        <v>0</v>
      </c>
      <c r="T12" s="808">
        <v>0</v>
      </c>
      <c r="U12" s="808">
        <f t="shared" ref="U12:U17" si="4">SUM(Q12:T12)</f>
        <v>0</v>
      </c>
      <c r="V12" s="808">
        <v>0</v>
      </c>
      <c r="W12" s="941">
        <v>0</v>
      </c>
      <c r="X12" s="941">
        <v>0</v>
      </c>
      <c r="Y12" s="808">
        <f t="shared" ref="Y12:Y17" si="5">SUM(V12:X12)</f>
        <v>0</v>
      </c>
      <c r="Z12" s="808">
        <f t="shared" ref="Z12:Z17" si="6">U12+Y12</f>
        <v>0</v>
      </c>
      <c r="AA12" s="942">
        <f t="shared" ref="AA12:AA17" si="7">ROUND((U12+V12+W12)*33.8%,0)</f>
        <v>0</v>
      </c>
      <c r="AB12" s="810">
        <f t="shared" ref="AB12:AB17" si="8">ROUND(U12*2%,0)</f>
        <v>0</v>
      </c>
      <c r="AC12" s="808">
        <v>0</v>
      </c>
      <c r="AD12" s="808">
        <v>0</v>
      </c>
      <c r="AE12" s="808">
        <f t="shared" ref="AE12:AE17" si="9">SUM(AC12:AD12)</f>
        <v>0</v>
      </c>
      <c r="AF12" s="808">
        <f t="shared" ref="AF12:AF17" si="10">Z12+AA12+AB12+AE12</f>
        <v>0</v>
      </c>
      <c r="AG12" s="811">
        <v>0</v>
      </c>
      <c r="AH12" s="811">
        <v>0</v>
      </c>
      <c r="AI12" s="811">
        <v>0</v>
      </c>
      <c r="AJ12" s="811">
        <v>0</v>
      </c>
      <c r="AK12" s="811">
        <v>0</v>
      </c>
      <c r="AL12" s="811">
        <f t="shared" ref="AL12:AL17" si="11">AG12+AI12+AJ12</f>
        <v>0</v>
      </c>
      <c r="AM12" s="811">
        <f t="shared" ref="AM12:AM17" si="12">AH12+AK12</f>
        <v>0</v>
      </c>
      <c r="AN12" s="1049">
        <f t="shared" ref="AN12:AN17" si="13">SUM(AL12:AM12)</f>
        <v>0</v>
      </c>
      <c r="AO12" s="1050">
        <f t="shared" ref="AO12:AO17" si="14">I12+AF12</f>
        <v>11427117</v>
      </c>
      <c r="AP12" s="1051">
        <f t="shared" ref="AP12:AP17" si="15">J12+U12</f>
        <v>8360616</v>
      </c>
      <c r="AQ12" s="813">
        <f t="shared" ref="AQ12:AQ17" si="16">Y12</f>
        <v>0</v>
      </c>
      <c r="AR12" s="807">
        <f t="shared" ref="AR12:AS17" si="17">K12+AA12</f>
        <v>2825888</v>
      </c>
      <c r="AS12" s="808">
        <f t="shared" si="17"/>
        <v>167213</v>
      </c>
      <c r="AT12" s="808">
        <f t="shared" ref="AT12:AT17" si="18">M12+AE12</f>
        <v>73400</v>
      </c>
      <c r="AU12" s="811">
        <f t="shared" ref="AU12:AU17" si="19">N12+AN12</f>
        <v>19.580400000000001</v>
      </c>
      <c r="AV12" s="811">
        <f t="shared" ref="AV12:AW17" si="20">O12+AL12</f>
        <v>15.4</v>
      </c>
      <c r="AW12" s="812">
        <f t="shared" si="20"/>
        <v>4.1803999999999997</v>
      </c>
      <c r="AX12" s="925"/>
    </row>
    <row r="13" spans="1:50" ht="12" customHeight="1" x14ac:dyDescent="0.25">
      <c r="A13" s="827">
        <v>1</v>
      </c>
      <c r="B13" s="1052">
        <v>5490</v>
      </c>
      <c r="C13" s="1052">
        <v>600099474</v>
      </c>
      <c r="D13" s="1052">
        <v>71173854</v>
      </c>
      <c r="E13" s="1053" t="s">
        <v>489</v>
      </c>
      <c r="F13" s="1052">
        <v>3111</v>
      </c>
      <c r="G13" s="962" t="s">
        <v>319</v>
      </c>
      <c r="H13" s="832" t="s">
        <v>283</v>
      </c>
      <c r="I13" s="803">
        <f t="shared" si="0"/>
        <v>1587899</v>
      </c>
      <c r="J13" s="833">
        <v>1169292</v>
      </c>
      <c r="K13" s="805">
        <f t="shared" si="1"/>
        <v>395221</v>
      </c>
      <c r="L13" s="805">
        <f>ROUND(J13*2%,0)</f>
        <v>23386</v>
      </c>
      <c r="M13" s="833">
        <v>0</v>
      </c>
      <c r="N13" s="834">
        <f t="shared" si="2"/>
        <v>3</v>
      </c>
      <c r="O13" s="1054">
        <v>3</v>
      </c>
      <c r="P13" s="1055">
        <v>0</v>
      </c>
      <c r="Q13" s="835">
        <f t="shared" si="3"/>
        <v>0</v>
      </c>
      <c r="R13" s="813">
        <v>0</v>
      </c>
      <c r="S13" s="813">
        <v>0</v>
      </c>
      <c r="T13" s="813">
        <v>0</v>
      </c>
      <c r="U13" s="813">
        <f t="shared" si="4"/>
        <v>0</v>
      </c>
      <c r="V13" s="813">
        <v>0</v>
      </c>
      <c r="W13" s="813">
        <v>0</v>
      </c>
      <c r="X13" s="813">
        <v>0</v>
      </c>
      <c r="Y13" s="813">
        <f t="shared" si="5"/>
        <v>0</v>
      </c>
      <c r="Z13" s="813">
        <f t="shared" si="6"/>
        <v>0</v>
      </c>
      <c r="AA13" s="809">
        <f t="shared" si="7"/>
        <v>0</v>
      </c>
      <c r="AB13" s="809">
        <f t="shared" si="8"/>
        <v>0</v>
      </c>
      <c r="AC13" s="813">
        <v>0</v>
      </c>
      <c r="AD13" s="813">
        <v>0</v>
      </c>
      <c r="AE13" s="813">
        <f t="shared" si="9"/>
        <v>0</v>
      </c>
      <c r="AF13" s="813">
        <f t="shared" si="10"/>
        <v>0</v>
      </c>
      <c r="AG13" s="836">
        <v>0</v>
      </c>
      <c r="AH13" s="836">
        <v>0</v>
      </c>
      <c r="AI13" s="836">
        <v>0</v>
      </c>
      <c r="AJ13" s="836">
        <v>0</v>
      </c>
      <c r="AK13" s="836">
        <v>0</v>
      </c>
      <c r="AL13" s="836">
        <f t="shared" si="11"/>
        <v>0</v>
      </c>
      <c r="AM13" s="836">
        <f t="shared" si="12"/>
        <v>0</v>
      </c>
      <c r="AN13" s="949">
        <f t="shared" si="13"/>
        <v>0</v>
      </c>
      <c r="AO13" s="945">
        <f t="shared" si="14"/>
        <v>1587899</v>
      </c>
      <c r="AP13" s="838">
        <f t="shared" si="15"/>
        <v>1169292</v>
      </c>
      <c r="AQ13" s="813">
        <f t="shared" si="16"/>
        <v>0</v>
      </c>
      <c r="AR13" s="835">
        <f t="shared" si="17"/>
        <v>395221</v>
      </c>
      <c r="AS13" s="813">
        <f t="shared" si="17"/>
        <v>23386</v>
      </c>
      <c r="AT13" s="813">
        <f t="shared" si="18"/>
        <v>0</v>
      </c>
      <c r="AU13" s="836">
        <f t="shared" si="19"/>
        <v>3</v>
      </c>
      <c r="AV13" s="836">
        <f t="shared" si="20"/>
        <v>3</v>
      </c>
      <c r="AW13" s="837">
        <f t="shared" si="20"/>
        <v>0</v>
      </c>
      <c r="AX13" s="925"/>
    </row>
    <row r="14" spans="1:50" ht="12.95" customHeight="1" x14ac:dyDescent="0.25">
      <c r="A14" s="827">
        <v>1</v>
      </c>
      <c r="B14" s="536">
        <v>5490</v>
      </c>
      <c r="C14" s="1052">
        <v>600099474</v>
      </c>
      <c r="D14" s="536">
        <v>71173854</v>
      </c>
      <c r="E14" s="1056" t="s">
        <v>489</v>
      </c>
      <c r="F14" s="536">
        <v>3114</v>
      </c>
      <c r="G14" s="962" t="s">
        <v>565</v>
      </c>
      <c r="H14" s="832" t="s">
        <v>283</v>
      </c>
      <c r="I14" s="803">
        <f t="shared" si="0"/>
        <v>5706049</v>
      </c>
      <c r="J14" s="833">
        <v>4176767</v>
      </c>
      <c r="K14" s="805">
        <f t="shared" si="1"/>
        <v>1411747</v>
      </c>
      <c r="L14" s="805">
        <f>ROUND(J14*2%,0)</f>
        <v>83535</v>
      </c>
      <c r="M14" s="833">
        <v>34000</v>
      </c>
      <c r="N14" s="834">
        <f t="shared" si="2"/>
        <v>8.1044</v>
      </c>
      <c r="O14" s="1054">
        <v>5</v>
      </c>
      <c r="P14" s="1055">
        <v>3.1044</v>
      </c>
      <c r="Q14" s="835">
        <f t="shared" si="3"/>
        <v>0</v>
      </c>
      <c r="R14" s="813">
        <v>0</v>
      </c>
      <c r="S14" s="813">
        <v>0</v>
      </c>
      <c r="T14" s="813">
        <v>0</v>
      </c>
      <c r="U14" s="813">
        <f t="shared" si="4"/>
        <v>0</v>
      </c>
      <c r="V14" s="813">
        <v>0</v>
      </c>
      <c r="W14" s="813">
        <v>0</v>
      </c>
      <c r="X14" s="813">
        <v>0</v>
      </c>
      <c r="Y14" s="813">
        <f t="shared" si="5"/>
        <v>0</v>
      </c>
      <c r="Z14" s="813">
        <f t="shared" si="6"/>
        <v>0</v>
      </c>
      <c r="AA14" s="809">
        <f t="shared" si="7"/>
        <v>0</v>
      </c>
      <c r="AB14" s="809">
        <f t="shared" si="8"/>
        <v>0</v>
      </c>
      <c r="AC14" s="813">
        <v>0</v>
      </c>
      <c r="AD14" s="813">
        <v>0</v>
      </c>
      <c r="AE14" s="813">
        <f t="shared" si="9"/>
        <v>0</v>
      </c>
      <c r="AF14" s="813">
        <f t="shared" si="10"/>
        <v>0</v>
      </c>
      <c r="AG14" s="836">
        <v>0</v>
      </c>
      <c r="AH14" s="836">
        <v>0</v>
      </c>
      <c r="AI14" s="836">
        <v>0</v>
      </c>
      <c r="AJ14" s="836">
        <v>0</v>
      </c>
      <c r="AK14" s="836">
        <v>0</v>
      </c>
      <c r="AL14" s="836">
        <f t="shared" si="11"/>
        <v>0</v>
      </c>
      <c r="AM14" s="836">
        <f t="shared" si="12"/>
        <v>0</v>
      </c>
      <c r="AN14" s="949">
        <f t="shared" si="13"/>
        <v>0</v>
      </c>
      <c r="AO14" s="945">
        <f t="shared" si="14"/>
        <v>5706049</v>
      </c>
      <c r="AP14" s="838">
        <f t="shared" si="15"/>
        <v>4176767</v>
      </c>
      <c r="AQ14" s="813">
        <f t="shared" si="16"/>
        <v>0</v>
      </c>
      <c r="AR14" s="835">
        <f t="shared" si="17"/>
        <v>1411747</v>
      </c>
      <c r="AS14" s="813">
        <f t="shared" si="17"/>
        <v>83535</v>
      </c>
      <c r="AT14" s="813">
        <f t="shared" si="18"/>
        <v>34000</v>
      </c>
      <c r="AU14" s="836">
        <f t="shared" si="19"/>
        <v>8.1044</v>
      </c>
      <c r="AV14" s="836">
        <f t="shared" si="20"/>
        <v>5</v>
      </c>
      <c r="AW14" s="837">
        <f t="shared" si="20"/>
        <v>3.1044</v>
      </c>
      <c r="AX14" s="925"/>
    </row>
    <row r="15" spans="1:50" ht="12.95" customHeight="1" x14ac:dyDescent="0.25">
      <c r="A15" s="827">
        <v>1</v>
      </c>
      <c r="B15" s="1052">
        <v>5490</v>
      </c>
      <c r="C15" s="1052">
        <v>600099474</v>
      </c>
      <c r="D15" s="1052">
        <v>71173854</v>
      </c>
      <c r="E15" s="1053" t="s">
        <v>489</v>
      </c>
      <c r="F15" s="536">
        <v>3114</v>
      </c>
      <c r="G15" s="948" t="s">
        <v>318</v>
      </c>
      <c r="H15" s="832" t="s">
        <v>284</v>
      </c>
      <c r="I15" s="803">
        <f t="shared" si="0"/>
        <v>0</v>
      </c>
      <c r="J15" s="833">
        <v>0</v>
      </c>
      <c r="K15" s="805">
        <f t="shared" si="1"/>
        <v>0</v>
      </c>
      <c r="L15" s="805">
        <f>ROUND(J15*2%,0)</f>
        <v>0</v>
      </c>
      <c r="M15" s="833">
        <v>0</v>
      </c>
      <c r="N15" s="834">
        <f t="shared" si="2"/>
        <v>0</v>
      </c>
      <c r="O15" s="1054">
        <v>0</v>
      </c>
      <c r="P15" s="1055">
        <v>0</v>
      </c>
      <c r="Q15" s="835">
        <f t="shared" si="3"/>
        <v>0</v>
      </c>
      <c r="R15" s="813">
        <v>0</v>
      </c>
      <c r="S15" s="813">
        <v>0</v>
      </c>
      <c r="T15" s="813">
        <v>0</v>
      </c>
      <c r="U15" s="813">
        <f t="shared" si="4"/>
        <v>0</v>
      </c>
      <c r="V15" s="813">
        <v>0</v>
      </c>
      <c r="W15" s="813">
        <v>0</v>
      </c>
      <c r="X15" s="813">
        <v>0</v>
      </c>
      <c r="Y15" s="813">
        <f t="shared" si="5"/>
        <v>0</v>
      </c>
      <c r="Z15" s="813">
        <f t="shared" si="6"/>
        <v>0</v>
      </c>
      <c r="AA15" s="809">
        <f t="shared" si="7"/>
        <v>0</v>
      </c>
      <c r="AB15" s="809">
        <f t="shared" si="8"/>
        <v>0</v>
      </c>
      <c r="AC15" s="813">
        <v>0</v>
      </c>
      <c r="AD15" s="813">
        <v>0</v>
      </c>
      <c r="AE15" s="813">
        <f t="shared" si="9"/>
        <v>0</v>
      </c>
      <c r="AF15" s="813">
        <f t="shared" si="10"/>
        <v>0</v>
      </c>
      <c r="AG15" s="836">
        <v>0</v>
      </c>
      <c r="AH15" s="836">
        <v>0</v>
      </c>
      <c r="AI15" s="836">
        <v>0</v>
      </c>
      <c r="AJ15" s="836">
        <v>0</v>
      </c>
      <c r="AK15" s="836">
        <v>0</v>
      </c>
      <c r="AL15" s="836">
        <f t="shared" si="11"/>
        <v>0</v>
      </c>
      <c r="AM15" s="836">
        <f t="shared" si="12"/>
        <v>0</v>
      </c>
      <c r="AN15" s="949">
        <f t="shared" si="13"/>
        <v>0</v>
      </c>
      <c r="AO15" s="945">
        <f t="shared" si="14"/>
        <v>0</v>
      </c>
      <c r="AP15" s="838">
        <f t="shared" si="15"/>
        <v>0</v>
      </c>
      <c r="AQ15" s="813">
        <f t="shared" si="16"/>
        <v>0</v>
      </c>
      <c r="AR15" s="835">
        <f t="shared" si="17"/>
        <v>0</v>
      </c>
      <c r="AS15" s="813">
        <f t="shared" si="17"/>
        <v>0</v>
      </c>
      <c r="AT15" s="813">
        <f t="shared" si="18"/>
        <v>0</v>
      </c>
      <c r="AU15" s="836">
        <f t="shared" si="19"/>
        <v>0</v>
      </c>
      <c r="AV15" s="836">
        <f t="shared" si="20"/>
        <v>0</v>
      </c>
      <c r="AW15" s="837">
        <f t="shared" si="20"/>
        <v>0</v>
      </c>
      <c r="AX15" s="925"/>
    </row>
    <row r="16" spans="1:50" ht="12.95" customHeight="1" x14ac:dyDescent="0.25">
      <c r="A16" s="827">
        <v>1</v>
      </c>
      <c r="B16" s="536">
        <v>5490</v>
      </c>
      <c r="C16" s="1052">
        <v>600099474</v>
      </c>
      <c r="D16" s="536">
        <v>71173854</v>
      </c>
      <c r="E16" s="1056" t="s">
        <v>489</v>
      </c>
      <c r="F16" s="536">
        <v>3114</v>
      </c>
      <c r="G16" s="962" t="s">
        <v>319</v>
      </c>
      <c r="H16" s="832" t="s">
        <v>283</v>
      </c>
      <c r="I16" s="803">
        <f t="shared" si="0"/>
        <v>3341495</v>
      </c>
      <c r="J16" s="833">
        <v>2460600</v>
      </c>
      <c r="K16" s="805">
        <f t="shared" si="1"/>
        <v>831683</v>
      </c>
      <c r="L16" s="805">
        <f>ROUND(J16*2%,0)</f>
        <v>49212</v>
      </c>
      <c r="M16" s="833">
        <v>0</v>
      </c>
      <c r="N16" s="834">
        <f t="shared" si="2"/>
        <v>6.5</v>
      </c>
      <c r="O16" s="1054">
        <v>6.5</v>
      </c>
      <c r="P16" s="1055">
        <v>0</v>
      </c>
      <c r="Q16" s="835">
        <f t="shared" si="3"/>
        <v>0</v>
      </c>
      <c r="R16" s="813">
        <v>0</v>
      </c>
      <c r="S16" s="813">
        <v>0</v>
      </c>
      <c r="T16" s="813">
        <v>0</v>
      </c>
      <c r="U16" s="813">
        <f t="shared" si="4"/>
        <v>0</v>
      </c>
      <c r="V16" s="813">
        <v>0</v>
      </c>
      <c r="W16" s="813">
        <v>0</v>
      </c>
      <c r="X16" s="813">
        <v>0</v>
      </c>
      <c r="Y16" s="813">
        <f t="shared" si="5"/>
        <v>0</v>
      </c>
      <c r="Z16" s="813">
        <f t="shared" si="6"/>
        <v>0</v>
      </c>
      <c r="AA16" s="809">
        <f t="shared" si="7"/>
        <v>0</v>
      </c>
      <c r="AB16" s="809">
        <f t="shared" si="8"/>
        <v>0</v>
      </c>
      <c r="AC16" s="813">
        <v>0</v>
      </c>
      <c r="AD16" s="813">
        <v>0</v>
      </c>
      <c r="AE16" s="813">
        <f t="shared" si="9"/>
        <v>0</v>
      </c>
      <c r="AF16" s="813">
        <f t="shared" si="10"/>
        <v>0</v>
      </c>
      <c r="AG16" s="836">
        <v>0</v>
      </c>
      <c r="AH16" s="836">
        <v>0</v>
      </c>
      <c r="AI16" s="836">
        <v>0</v>
      </c>
      <c r="AJ16" s="836">
        <v>0</v>
      </c>
      <c r="AK16" s="836">
        <v>0</v>
      </c>
      <c r="AL16" s="836">
        <f t="shared" si="11"/>
        <v>0</v>
      </c>
      <c r="AM16" s="836">
        <f t="shared" si="12"/>
        <v>0</v>
      </c>
      <c r="AN16" s="949">
        <f t="shared" si="13"/>
        <v>0</v>
      </c>
      <c r="AO16" s="945">
        <f t="shared" si="14"/>
        <v>3341495</v>
      </c>
      <c r="AP16" s="838">
        <f t="shared" si="15"/>
        <v>2460600</v>
      </c>
      <c r="AQ16" s="813">
        <f t="shared" si="16"/>
        <v>0</v>
      </c>
      <c r="AR16" s="835">
        <f t="shared" si="17"/>
        <v>831683</v>
      </c>
      <c r="AS16" s="813">
        <f t="shared" si="17"/>
        <v>49212</v>
      </c>
      <c r="AT16" s="813">
        <f t="shared" si="18"/>
        <v>0</v>
      </c>
      <c r="AU16" s="836">
        <f t="shared" si="19"/>
        <v>6.5</v>
      </c>
      <c r="AV16" s="836">
        <f t="shared" si="20"/>
        <v>6.5</v>
      </c>
      <c r="AW16" s="837">
        <f t="shared" si="20"/>
        <v>0</v>
      </c>
      <c r="AX16" s="925"/>
    </row>
    <row r="17" spans="1:50" ht="12.95" customHeight="1" x14ac:dyDescent="0.25">
      <c r="A17" s="827">
        <v>1</v>
      </c>
      <c r="B17" s="1052">
        <v>5490</v>
      </c>
      <c r="C17" s="1052">
        <v>600099474</v>
      </c>
      <c r="D17" s="1052">
        <v>71173854</v>
      </c>
      <c r="E17" s="1053" t="s">
        <v>489</v>
      </c>
      <c r="F17" s="1052">
        <v>3141</v>
      </c>
      <c r="G17" s="1057" t="s">
        <v>321</v>
      </c>
      <c r="H17" s="832" t="s">
        <v>284</v>
      </c>
      <c r="I17" s="803">
        <f t="shared" si="0"/>
        <v>1653825</v>
      </c>
      <c r="J17" s="833">
        <v>1210961</v>
      </c>
      <c r="K17" s="805">
        <f t="shared" si="1"/>
        <v>409305</v>
      </c>
      <c r="L17" s="805">
        <f>ROUND(J17*2%,0)</f>
        <v>24219</v>
      </c>
      <c r="M17" s="833">
        <v>9340</v>
      </c>
      <c r="N17" s="834">
        <f t="shared" si="2"/>
        <v>4.12</v>
      </c>
      <c r="O17" s="1054">
        <v>0</v>
      </c>
      <c r="P17" s="1055">
        <v>4.12</v>
      </c>
      <c r="Q17" s="835">
        <f t="shared" si="3"/>
        <v>0</v>
      </c>
      <c r="R17" s="813">
        <v>0</v>
      </c>
      <c r="S17" s="813">
        <v>0</v>
      </c>
      <c r="T17" s="813">
        <v>0</v>
      </c>
      <c r="U17" s="813">
        <f t="shared" si="4"/>
        <v>0</v>
      </c>
      <c r="V17" s="813">
        <v>0</v>
      </c>
      <c r="W17" s="813">
        <v>0</v>
      </c>
      <c r="X17" s="813">
        <v>0</v>
      </c>
      <c r="Y17" s="813">
        <f t="shared" si="5"/>
        <v>0</v>
      </c>
      <c r="Z17" s="813">
        <f t="shared" si="6"/>
        <v>0</v>
      </c>
      <c r="AA17" s="809">
        <f t="shared" si="7"/>
        <v>0</v>
      </c>
      <c r="AB17" s="809">
        <f t="shared" si="8"/>
        <v>0</v>
      </c>
      <c r="AC17" s="813">
        <v>0</v>
      </c>
      <c r="AD17" s="813">
        <v>0</v>
      </c>
      <c r="AE17" s="813">
        <f t="shared" si="9"/>
        <v>0</v>
      </c>
      <c r="AF17" s="813">
        <f t="shared" si="10"/>
        <v>0</v>
      </c>
      <c r="AG17" s="836">
        <v>0</v>
      </c>
      <c r="AH17" s="836">
        <v>0</v>
      </c>
      <c r="AI17" s="836">
        <v>0</v>
      </c>
      <c r="AJ17" s="836">
        <v>0</v>
      </c>
      <c r="AK17" s="836">
        <v>0</v>
      </c>
      <c r="AL17" s="836">
        <f t="shared" si="11"/>
        <v>0</v>
      </c>
      <c r="AM17" s="836">
        <f t="shared" si="12"/>
        <v>0</v>
      </c>
      <c r="AN17" s="949">
        <f t="shared" si="13"/>
        <v>0</v>
      </c>
      <c r="AO17" s="945">
        <f t="shared" si="14"/>
        <v>1653825</v>
      </c>
      <c r="AP17" s="838">
        <f t="shared" si="15"/>
        <v>1210961</v>
      </c>
      <c r="AQ17" s="813">
        <f t="shared" si="16"/>
        <v>0</v>
      </c>
      <c r="AR17" s="835">
        <f t="shared" si="17"/>
        <v>409305</v>
      </c>
      <c r="AS17" s="813">
        <f t="shared" si="17"/>
        <v>24219</v>
      </c>
      <c r="AT17" s="813">
        <f t="shared" si="18"/>
        <v>9340</v>
      </c>
      <c r="AU17" s="836">
        <f t="shared" si="19"/>
        <v>4.12</v>
      </c>
      <c r="AV17" s="836">
        <f t="shared" si="20"/>
        <v>0</v>
      </c>
      <c r="AW17" s="837">
        <f t="shared" si="20"/>
        <v>4.12</v>
      </c>
      <c r="AX17" s="925"/>
    </row>
    <row r="18" spans="1:50" ht="12.95" customHeight="1" x14ac:dyDescent="0.25">
      <c r="A18" s="538">
        <v>1</v>
      </c>
      <c r="B18" s="100">
        <v>5490</v>
      </c>
      <c r="C18" s="100">
        <v>600099474</v>
      </c>
      <c r="D18" s="100">
        <v>71173854</v>
      </c>
      <c r="E18" s="1058" t="s">
        <v>490</v>
      </c>
      <c r="F18" s="100"/>
      <c r="G18" s="1058"/>
      <c r="H18" s="449"/>
      <c r="I18" s="1059">
        <f t="shared" ref="I18:AW18" si="21">SUM(I12:I17)</f>
        <v>23716385</v>
      </c>
      <c r="J18" s="1060">
        <f t="shared" si="21"/>
        <v>17378236</v>
      </c>
      <c r="K18" s="1060">
        <f t="shared" si="21"/>
        <v>5873844</v>
      </c>
      <c r="L18" s="1060">
        <f t="shared" si="21"/>
        <v>347565</v>
      </c>
      <c r="M18" s="1060">
        <f t="shared" si="21"/>
        <v>116740</v>
      </c>
      <c r="N18" s="1061">
        <f t="shared" si="21"/>
        <v>41.3048</v>
      </c>
      <c r="O18" s="1061">
        <f t="shared" si="21"/>
        <v>29.9</v>
      </c>
      <c r="P18" s="1062">
        <f t="shared" si="21"/>
        <v>11.4048</v>
      </c>
      <c r="Q18" s="1060">
        <f t="shared" si="21"/>
        <v>0</v>
      </c>
      <c r="R18" s="1063">
        <f t="shared" si="21"/>
        <v>0</v>
      </c>
      <c r="S18" s="1063">
        <f t="shared" si="21"/>
        <v>0</v>
      </c>
      <c r="T18" s="1063">
        <f t="shared" si="21"/>
        <v>0</v>
      </c>
      <c r="U18" s="1063">
        <f t="shared" si="21"/>
        <v>0</v>
      </c>
      <c r="V18" s="1063">
        <f t="shared" si="21"/>
        <v>0</v>
      </c>
      <c r="W18" s="1063">
        <f t="shared" si="21"/>
        <v>0</v>
      </c>
      <c r="X18" s="1063">
        <f t="shared" si="21"/>
        <v>0</v>
      </c>
      <c r="Y18" s="1063">
        <f t="shared" si="21"/>
        <v>0</v>
      </c>
      <c r="Z18" s="1063">
        <f t="shared" si="21"/>
        <v>0</v>
      </c>
      <c r="AA18" s="1063">
        <f t="shared" si="21"/>
        <v>0</v>
      </c>
      <c r="AB18" s="1063">
        <f t="shared" si="21"/>
        <v>0</v>
      </c>
      <c r="AC18" s="1063">
        <f t="shared" si="21"/>
        <v>0</v>
      </c>
      <c r="AD18" s="1063">
        <f t="shared" si="21"/>
        <v>0</v>
      </c>
      <c r="AE18" s="1063">
        <f t="shared" si="21"/>
        <v>0</v>
      </c>
      <c r="AF18" s="1063">
        <f t="shared" si="21"/>
        <v>0</v>
      </c>
      <c r="AG18" s="1064">
        <f t="shared" si="21"/>
        <v>0</v>
      </c>
      <c r="AH18" s="1064">
        <f t="shared" si="21"/>
        <v>0</v>
      </c>
      <c r="AI18" s="1064">
        <f t="shared" si="21"/>
        <v>0</v>
      </c>
      <c r="AJ18" s="1064">
        <f t="shared" si="21"/>
        <v>0</v>
      </c>
      <c r="AK18" s="1064">
        <f t="shared" si="21"/>
        <v>0</v>
      </c>
      <c r="AL18" s="1064">
        <f t="shared" si="21"/>
        <v>0</v>
      </c>
      <c r="AM18" s="1064">
        <f t="shared" si="21"/>
        <v>0</v>
      </c>
      <c r="AN18" s="1065">
        <f t="shared" si="21"/>
        <v>0</v>
      </c>
      <c r="AO18" s="1059">
        <f t="shared" si="21"/>
        <v>23716385</v>
      </c>
      <c r="AP18" s="1063">
        <f t="shared" si="21"/>
        <v>17378236</v>
      </c>
      <c r="AQ18" s="1066">
        <f t="shared" si="21"/>
        <v>0</v>
      </c>
      <c r="AR18" s="1063">
        <f t="shared" si="21"/>
        <v>5873844</v>
      </c>
      <c r="AS18" s="1063">
        <f t="shared" si="21"/>
        <v>347565</v>
      </c>
      <c r="AT18" s="1063">
        <f t="shared" si="21"/>
        <v>116740</v>
      </c>
      <c r="AU18" s="1064">
        <f t="shared" si="21"/>
        <v>41.3048</v>
      </c>
      <c r="AV18" s="1064">
        <f t="shared" si="21"/>
        <v>29.9</v>
      </c>
      <c r="AW18" s="1067">
        <f t="shared" si="21"/>
        <v>11.4048</v>
      </c>
      <c r="AX18" s="925"/>
    </row>
    <row r="19" spans="1:50" ht="12.95" customHeight="1" x14ac:dyDescent="0.25">
      <c r="A19" s="827">
        <v>2</v>
      </c>
      <c r="B19" s="1068">
        <v>5460</v>
      </c>
      <c r="C19" s="1068">
        <v>600098621</v>
      </c>
      <c r="D19" s="1068">
        <v>72743549</v>
      </c>
      <c r="E19" s="535" t="s">
        <v>491</v>
      </c>
      <c r="F19" s="1068">
        <v>3111</v>
      </c>
      <c r="G19" s="1057" t="s">
        <v>331</v>
      </c>
      <c r="H19" s="1069" t="s">
        <v>283</v>
      </c>
      <c r="I19" s="803">
        <f>SUM(J19:M19)</f>
        <v>4987128</v>
      </c>
      <c r="J19" s="833">
        <v>3648548</v>
      </c>
      <c r="K19" s="805">
        <f>ROUND((J19)*33.8%,0)</f>
        <v>1233209</v>
      </c>
      <c r="L19" s="805">
        <f>ROUND(J19*2%,0)</f>
        <v>72971</v>
      </c>
      <c r="M19" s="833">
        <v>32400</v>
      </c>
      <c r="N19" s="834">
        <f>SUM(O19:P19)</f>
        <v>8.1341999999999999</v>
      </c>
      <c r="O19" s="1054">
        <v>6</v>
      </c>
      <c r="P19" s="1055">
        <v>2.1341999999999999</v>
      </c>
      <c r="Q19" s="835">
        <f>V19*-1</f>
        <v>0</v>
      </c>
      <c r="R19" s="813">
        <v>0</v>
      </c>
      <c r="S19" s="813">
        <v>0</v>
      </c>
      <c r="T19" s="813">
        <v>0</v>
      </c>
      <c r="U19" s="813">
        <f>SUM(Q19:T19)</f>
        <v>0</v>
      </c>
      <c r="V19" s="813">
        <v>0</v>
      </c>
      <c r="W19" s="813">
        <v>0</v>
      </c>
      <c r="X19" s="813">
        <v>0</v>
      </c>
      <c r="Y19" s="813">
        <f>SUM(V19:X19)</f>
        <v>0</v>
      </c>
      <c r="Z19" s="813">
        <f>U19+Y19</f>
        <v>0</v>
      </c>
      <c r="AA19" s="809">
        <f>ROUND((U19+V19+W19)*33.8%,0)</f>
        <v>0</v>
      </c>
      <c r="AB19" s="809">
        <f>ROUND(U19*2%,0)</f>
        <v>0</v>
      </c>
      <c r="AC19" s="813">
        <v>0</v>
      </c>
      <c r="AD19" s="813">
        <v>0</v>
      </c>
      <c r="AE19" s="813">
        <f>SUM(AC19:AD19)</f>
        <v>0</v>
      </c>
      <c r="AF19" s="813">
        <f>Z19+AA19+AB19+AE19</f>
        <v>0</v>
      </c>
      <c r="AG19" s="836">
        <v>0</v>
      </c>
      <c r="AH19" s="836">
        <v>0</v>
      </c>
      <c r="AI19" s="836">
        <v>0</v>
      </c>
      <c r="AJ19" s="836">
        <v>0</v>
      </c>
      <c r="AK19" s="836">
        <v>0</v>
      </c>
      <c r="AL19" s="836">
        <f>AG19+AI19+AJ19</f>
        <v>0</v>
      </c>
      <c r="AM19" s="836">
        <f>AH19+AK19</f>
        <v>0</v>
      </c>
      <c r="AN19" s="949">
        <f>SUM(AL19:AM19)</f>
        <v>0</v>
      </c>
      <c r="AO19" s="945">
        <f>I19+AF19</f>
        <v>4987128</v>
      </c>
      <c r="AP19" s="813">
        <f>J19+U19</f>
        <v>3648548</v>
      </c>
      <c r="AQ19" s="813">
        <f>Y19</f>
        <v>0</v>
      </c>
      <c r="AR19" s="813">
        <f t="shared" ref="AR19:AS21" si="22">K19+AA19</f>
        <v>1233209</v>
      </c>
      <c r="AS19" s="813">
        <f t="shared" si="22"/>
        <v>72971</v>
      </c>
      <c r="AT19" s="813">
        <f>M19+AE19</f>
        <v>32400</v>
      </c>
      <c r="AU19" s="836">
        <f>N19+AN19</f>
        <v>8.1341999999999999</v>
      </c>
      <c r="AV19" s="836">
        <f t="shared" ref="AV19:AW21" si="23">O19+AL19</f>
        <v>6</v>
      </c>
      <c r="AW19" s="837">
        <f t="shared" si="23"/>
        <v>2.1341999999999999</v>
      </c>
      <c r="AX19" s="925"/>
    </row>
    <row r="20" spans="1:50" ht="12.95" customHeight="1" x14ac:dyDescent="0.25">
      <c r="A20" s="827">
        <v>2</v>
      </c>
      <c r="B20" s="536">
        <v>5460</v>
      </c>
      <c r="C20" s="536">
        <v>600098621</v>
      </c>
      <c r="D20" s="536">
        <v>72743549</v>
      </c>
      <c r="E20" s="1056" t="s">
        <v>491</v>
      </c>
      <c r="F20" s="1068">
        <v>3111</v>
      </c>
      <c r="G20" s="948" t="s">
        <v>318</v>
      </c>
      <c r="H20" s="832" t="s">
        <v>284</v>
      </c>
      <c r="I20" s="803">
        <f>SUM(J20:M20)</f>
        <v>0</v>
      </c>
      <c r="J20" s="833">
        <v>0</v>
      </c>
      <c r="K20" s="805">
        <v>0</v>
      </c>
      <c r="L20" s="805">
        <v>0</v>
      </c>
      <c r="M20" s="833">
        <v>0</v>
      </c>
      <c r="N20" s="834">
        <f>SUM(O20:P20)</f>
        <v>0</v>
      </c>
      <c r="O20" s="1054">
        <v>0</v>
      </c>
      <c r="P20" s="1055">
        <v>0</v>
      </c>
      <c r="Q20" s="835">
        <f>V20*-1</f>
        <v>0</v>
      </c>
      <c r="R20" s="833">
        <v>173222</v>
      </c>
      <c r="S20" s="813">
        <v>0</v>
      </c>
      <c r="T20" s="813">
        <v>0</v>
      </c>
      <c r="U20" s="813">
        <f>SUM(Q20:T20)</f>
        <v>173222</v>
      </c>
      <c r="V20" s="813">
        <v>0</v>
      </c>
      <c r="W20" s="813">
        <v>0</v>
      </c>
      <c r="X20" s="813">
        <v>0</v>
      </c>
      <c r="Y20" s="813">
        <f>SUM(V20:X20)</f>
        <v>0</v>
      </c>
      <c r="Z20" s="813">
        <f>U20+Y20</f>
        <v>173222</v>
      </c>
      <c r="AA20" s="809">
        <f>ROUND((U20+V20+W20)*33.8%,0)</f>
        <v>58549</v>
      </c>
      <c r="AB20" s="809">
        <f>ROUND(U20*2%,0)</f>
        <v>3464</v>
      </c>
      <c r="AC20" s="813">
        <v>0</v>
      </c>
      <c r="AD20" s="813">
        <v>0</v>
      </c>
      <c r="AE20" s="813">
        <f>SUM(AC20:AD20)</f>
        <v>0</v>
      </c>
      <c r="AF20" s="813">
        <f>Z20+AA20+AB20+AE20</f>
        <v>235235</v>
      </c>
      <c r="AG20" s="836">
        <v>0</v>
      </c>
      <c r="AH20" s="836">
        <v>0</v>
      </c>
      <c r="AI20" s="836">
        <v>0.5</v>
      </c>
      <c r="AJ20" s="836">
        <v>0</v>
      </c>
      <c r="AK20" s="836">
        <v>0</v>
      </c>
      <c r="AL20" s="836">
        <f>AG20+AI20+AJ20</f>
        <v>0.5</v>
      </c>
      <c r="AM20" s="836">
        <f>AH20+AK20</f>
        <v>0</v>
      </c>
      <c r="AN20" s="949">
        <f>SUM(AL20:AM20)</f>
        <v>0.5</v>
      </c>
      <c r="AO20" s="945">
        <f>I20+AF20</f>
        <v>235235</v>
      </c>
      <c r="AP20" s="813">
        <f>J20+U20</f>
        <v>173222</v>
      </c>
      <c r="AQ20" s="813">
        <f>Y20</f>
        <v>0</v>
      </c>
      <c r="AR20" s="813">
        <f t="shared" si="22"/>
        <v>58549</v>
      </c>
      <c r="AS20" s="813">
        <f t="shared" si="22"/>
        <v>3464</v>
      </c>
      <c r="AT20" s="813">
        <f>M20+AE20</f>
        <v>0</v>
      </c>
      <c r="AU20" s="836">
        <f>N20+AN20</f>
        <v>0.5</v>
      </c>
      <c r="AV20" s="836">
        <f t="shared" si="23"/>
        <v>0.5</v>
      </c>
      <c r="AW20" s="837">
        <f t="shared" si="23"/>
        <v>0</v>
      </c>
      <c r="AX20" s="925"/>
    </row>
    <row r="21" spans="1:50" ht="12.95" customHeight="1" x14ac:dyDescent="0.25">
      <c r="A21" s="827">
        <v>2</v>
      </c>
      <c r="B21" s="536">
        <v>5460</v>
      </c>
      <c r="C21" s="536">
        <v>600098621</v>
      </c>
      <c r="D21" s="536">
        <v>72743549</v>
      </c>
      <c r="E21" s="1056" t="s">
        <v>491</v>
      </c>
      <c r="F21" s="536">
        <v>3141</v>
      </c>
      <c r="G21" s="1057" t="s">
        <v>321</v>
      </c>
      <c r="H21" s="832" t="s">
        <v>284</v>
      </c>
      <c r="I21" s="803">
        <f>SUM(J21:M21)</f>
        <v>815231</v>
      </c>
      <c r="J21" s="833">
        <v>597242</v>
      </c>
      <c r="K21" s="805">
        <f>ROUND((J21)*33.8%,0)</f>
        <v>201868</v>
      </c>
      <c r="L21" s="805">
        <f>ROUND(J21*2%,0)</f>
        <v>11945</v>
      </c>
      <c r="M21" s="833">
        <v>4176</v>
      </c>
      <c r="N21" s="834">
        <f>SUM(O21:P21)</f>
        <v>2.0299999999999998</v>
      </c>
      <c r="O21" s="1054">
        <v>0</v>
      </c>
      <c r="P21" s="1055">
        <v>2.0299999999999998</v>
      </c>
      <c r="Q21" s="835">
        <f>V21*-1</f>
        <v>0</v>
      </c>
      <c r="R21" s="813">
        <v>0</v>
      </c>
      <c r="S21" s="813">
        <v>0</v>
      </c>
      <c r="T21" s="813">
        <v>0</v>
      </c>
      <c r="U21" s="813">
        <f>SUM(Q21:T21)</f>
        <v>0</v>
      </c>
      <c r="V21" s="813">
        <v>0</v>
      </c>
      <c r="W21" s="813">
        <v>0</v>
      </c>
      <c r="X21" s="813">
        <v>0</v>
      </c>
      <c r="Y21" s="813">
        <f>SUM(V21:X21)</f>
        <v>0</v>
      </c>
      <c r="Z21" s="813">
        <f>U21+Y21</f>
        <v>0</v>
      </c>
      <c r="AA21" s="809">
        <f>ROUND((U21+V21+W21)*33.8%,0)</f>
        <v>0</v>
      </c>
      <c r="AB21" s="809">
        <f>ROUND(U21*2%,0)</f>
        <v>0</v>
      </c>
      <c r="AC21" s="813">
        <v>0</v>
      </c>
      <c r="AD21" s="813">
        <v>0</v>
      </c>
      <c r="AE21" s="813">
        <f>SUM(AC21:AD21)</f>
        <v>0</v>
      </c>
      <c r="AF21" s="813">
        <f>Z21+AA21+AB21+AE21</f>
        <v>0</v>
      </c>
      <c r="AG21" s="836">
        <v>0</v>
      </c>
      <c r="AH21" s="836">
        <v>0</v>
      </c>
      <c r="AI21" s="836">
        <v>0</v>
      </c>
      <c r="AJ21" s="836">
        <v>0</v>
      </c>
      <c r="AK21" s="836">
        <v>0</v>
      </c>
      <c r="AL21" s="836">
        <f>AG21+AI21+AJ21</f>
        <v>0</v>
      </c>
      <c r="AM21" s="836">
        <f>AH21+AK21</f>
        <v>0</v>
      </c>
      <c r="AN21" s="949">
        <f>SUM(AL21:AM21)</f>
        <v>0</v>
      </c>
      <c r="AO21" s="945">
        <f>I21+AF21</f>
        <v>815231</v>
      </c>
      <c r="AP21" s="813">
        <f>J21+U21</f>
        <v>597242</v>
      </c>
      <c r="AQ21" s="813">
        <f>Y21</f>
        <v>0</v>
      </c>
      <c r="AR21" s="813">
        <f t="shared" si="22"/>
        <v>201868</v>
      </c>
      <c r="AS21" s="813">
        <f t="shared" si="22"/>
        <v>11945</v>
      </c>
      <c r="AT21" s="813">
        <f>M21+AE21</f>
        <v>4176</v>
      </c>
      <c r="AU21" s="836">
        <f>N21+AN21</f>
        <v>2.0299999999999998</v>
      </c>
      <c r="AV21" s="836">
        <f t="shared" si="23"/>
        <v>0</v>
      </c>
      <c r="AW21" s="837">
        <f t="shared" si="23"/>
        <v>2.0299999999999998</v>
      </c>
      <c r="AX21" s="925"/>
    </row>
    <row r="22" spans="1:50" ht="12.95" customHeight="1" x14ac:dyDescent="0.25">
      <c r="A22" s="538">
        <v>2</v>
      </c>
      <c r="B22" s="100">
        <v>5460</v>
      </c>
      <c r="C22" s="100">
        <v>600098621</v>
      </c>
      <c r="D22" s="100">
        <v>72743549</v>
      </c>
      <c r="E22" s="1058" t="s">
        <v>492</v>
      </c>
      <c r="F22" s="100"/>
      <c r="G22" s="1058"/>
      <c r="H22" s="449"/>
      <c r="I22" s="820">
        <f t="shared" ref="I22:AW22" si="24">SUM(I19:I21)</f>
        <v>5802359</v>
      </c>
      <c r="J22" s="825">
        <f t="shared" si="24"/>
        <v>4245790</v>
      </c>
      <c r="K22" s="825">
        <f t="shared" si="24"/>
        <v>1435077</v>
      </c>
      <c r="L22" s="825">
        <f t="shared" si="24"/>
        <v>84916</v>
      </c>
      <c r="M22" s="825">
        <f t="shared" si="24"/>
        <v>36576</v>
      </c>
      <c r="N22" s="1070">
        <f t="shared" si="24"/>
        <v>10.164199999999999</v>
      </c>
      <c r="O22" s="1070">
        <f t="shared" si="24"/>
        <v>6</v>
      </c>
      <c r="P22" s="1071">
        <f t="shared" si="24"/>
        <v>4.1641999999999992</v>
      </c>
      <c r="Q22" s="825">
        <f t="shared" si="24"/>
        <v>0</v>
      </c>
      <c r="R22" s="821">
        <f t="shared" si="24"/>
        <v>173222</v>
      </c>
      <c r="S22" s="821">
        <f t="shared" si="24"/>
        <v>0</v>
      </c>
      <c r="T22" s="821">
        <f t="shared" si="24"/>
        <v>0</v>
      </c>
      <c r="U22" s="821">
        <f t="shared" si="24"/>
        <v>173222</v>
      </c>
      <c r="V22" s="821">
        <f t="shared" si="24"/>
        <v>0</v>
      </c>
      <c r="W22" s="821">
        <f t="shared" si="24"/>
        <v>0</v>
      </c>
      <c r="X22" s="821">
        <f t="shared" si="24"/>
        <v>0</v>
      </c>
      <c r="Y22" s="821">
        <f t="shared" si="24"/>
        <v>0</v>
      </c>
      <c r="Z22" s="821">
        <f t="shared" si="24"/>
        <v>173222</v>
      </c>
      <c r="AA22" s="821">
        <f t="shared" si="24"/>
        <v>58549</v>
      </c>
      <c r="AB22" s="821">
        <f t="shared" si="24"/>
        <v>3464</v>
      </c>
      <c r="AC22" s="821">
        <f t="shared" si="24"/>
        <v>0</v>
      </c>
      <c r="AD22" s="821">
        <f t="shared" si="24"/>
        <v>0</v>
      </c>
      <c r="AE22" s="821">
        <f t="shared" si="24"/>
        <v>0</v>
      </c>
      <c r="AF22" s="821">
        <f t="shared" si="24"/>
        <v>235235</v>
      </c>
      <c r="AG22" s="822">
        <f t="shared" si="24"/>
        <v>0</v>
      </c>
      <c r="AH22" s="822">
        <f t="shared" si="24"/>
        <v>0</v>
      </c>
      <c r="AI22" s="822">
        <f t="shared" si="24"/>
        <v>0.5</v>
      </c>
      <c r="AJ22" s="822">
        <f t="shared" si="24"/>
        <v>0</v>
      </c>
      <c r="AK22" s="822">
        <f t="shared" si="24"/>
        <v>0</v>
      </c>
      <c r="AL22" s="822">
        <f t="shared" si="24"/>
        <v>0.5</v>
      </c>
      <c r="AM22" s="822">
        <f t="shared" si="24"/>
        <v>0</v>
      </c>
      <c r="AN22" s="1072">
        <f t="shared" si="24"/>
        <v>0.5</v>
      </c>
      <c r="AO22" s="820">
        <f t="shared" si="24"/>
        <v>6037594</v>
      </c>
      <c r="AP22" s="821">
        <f t="shared" si="24"/>
        <v>4419012</v>
      </c>
      <c r="AQ22" s="821">
        <f t="shared" si="24"/>
        <v>0</v>
      </c>
      <c r="AR22" s="821">
        <f t="shared" si="24"/>
        <v>1493626</v>
      </c>
      <c r="AS22" s="821">
        <f t="shared" si="24"/>
        <v>88380</v>
      </c>
      <c r="AT22" s="821">
        <f t="shared" si="24"/>
        <v>36576</v>
      </c>
      <c r="AU22" s="822">
        <f t="shared" si="24"/>
        <v>10.664199999999999</v>
      </c>
      <c r="AV22" s="822">
        <f t="shared" si="24"/>
        <v>6.5</v>
      </c>
      <c r="AW22" s="824">
        <f t="shared" si="24"/>
        <v>4.1641999999999992</v>
      </c>
      <c r="AX22" s="925"/>
    </row>
    <row r="23" spans="1:50" ht="12.95" customHeight="1" x14ac:dyDescent="0.25">
      <c r="A23" s="827">
        <v>3</v>
      </c>
      <c r="B23" s="1068">
        <v>5462</v>
      </c>
      <c r="C23" s="1068">
        <v>600098851</v>
      </c>
      <c r="D23" s="1068">
        <v>72743620</v>
      </c>
      <c r="E23" s="535" t="s">
        <v>493</v>
      </c>
      <c r="F23" s="1068">
        <v>3111</v>
      </c>
      <c r="G23" s="1057" t="s">
        <v>331</v>
      </c>
      <c r="H23" s="832" t="s">
        <v>283</v>
      </c>
      <c r="I23" s="803">
        <f>SUM(J23:M23)</f>
        <v>4565134</v>
      </c>
      <c r="J23" s="833">
        <v>3345091</v>
      </c>
      <c r="K23" s="805">
        <f>ROUND((J23)*33.8%,0)</f>
        <v>1130641</v>
      </c>
      <c r="L23" s="805">
        <f>ROUND(J23*2%,0)</f>
        <v>66902</v>
      </c>
      <c r="M23" s="833">
        <v>22500</v>
      </c>
      <c r="N23" s="834">
        <f>SUM(O23:P23)</f>
        <v>7.9841999999999995</v>
      </c>
      <c r="O23" s="1054">
        <v>6</v>
      </c>
      <c r="P23" s="1055">
        <v>1.9842</v>
      </c>
      <c r="Q23" s="835">
        <f>V23*-1</f>
        <v>0</v>
      </c>
      <c r="R23" s="813">
        <v>0</v>
      </c>
      <c r="S23" s="813">
        <v>0</v>
      </c>
      <c r="T23" s="813">
        <v>0</v>
      </c>
      <c r="U23" s="813">
        <f>SUM(Q23:T23)</f>
        <v>0</v>
      </c>
      <c r="V23" s="813">
        <v>0</v>
      </c>
      <c r="W23" s="813">
        <v>0</v>
      </c>
      <c r="X23" s="813">
        <v>0</v>
      </c>
      <c r="Y23" s="813">
        <f>SUM(V23:X23)</f>
        <v>0</v>
      </c>
      <c r="Z23" s="813">
        <f>U23+Y23</f>
        <v>0</v>
      </c>
      <c r="AA23" s="809">
        <f>ROUND((U23+V23+W23)*33.8%,0)</f>
        <v>0</v>
      </c>
      <c r="AB23" s="809">
        <f>ROUND(U23*2%,0)</f>
        <v>0</v>
      </c>
      <c r="AC23" s="813">
        <v>0</v>
      </c>
      <c r="AD23" s="813">
        <v>0</v>
      </c>
      <c r="AE23" s="813">
        <f>SUM(AC23:AD23)</f>
        <v>0</v>
      </c>
      <c r="AF23" s="813">
        <f>Z23+AA23+AB23+AE23</f>
        <v>0</v>
      </c>
      <c r="AG23" s="836">
        <v>0</v>
      </c>
      <c r="AH23" s="836">
        <v>0</v>
      </c>
      <c r="AI23" s="836">
        <v>0</v>
      </c>
      <c r="AJ23" s="836">
        <v>0</v>
      </c>
      <c r="AK23" s="836">
        <v>0</v>
      </c>
      <c r="AL23" s="836">
        <f>AG23+AI23+AJ23</f>
        <v>0</v>
      </c>
      <c r="AM23" s="836">
        <f>AH23+AK23</f>
        <v>0</v>
      </c>
      <c r="AN23" s="949">
        <f>SUM(AL23:AM23)</f>
        <v>0</v>
      </c>
      <c r="AO23" s="945">
        <f>I23+AF23</f>
        <v>4565134</v>
      </c>
      <c r="AP23" s="813">
        <f>J23+U23</f>
        <v>3345091</v>
      </c>
      <c r="AQ23" s="813">
        <f>Y23</f>
        <v>0</v>
      </c>
      <c r="AR23" s="813">
        <f t="shared" ref="AR23:AS25" si="25">K23+AA23</f>
        <v>1130641</v>
      </c>
      <c r="AS23" s="813">
        <f t="shared" si="25"/>
        <v>66902</v>
      </c>
      <c r="AT23" s="813">
        <f>M23+AE23</f>
        <v>22500</v>
      </c>
      <c r="AU23" s="836">
        <f>N23+AN23</f>
        <v>7.9841999999999995</v>
      </c>
      <c r="AV23" s="836">
        <f t="shared" ref="AV23:AW25" si="26">O23+AL23</f>
        <v>6</v>
      </c>
      <c r="AW23" s="837">
        <f t="shared" si="26"/>
        <v>1.9842</v>
      </c>
      <c r="AX23" s="925"/>
    </row>
    <row r="24" spans="1:50" ht="12.95" customHeight="1" x14ac:dyDescent="0.25">
      <c r="A24" s="827">
        <v>3</v>
      </c>
      <c r="B24" s="1068">
        <v>5462</v>
      </c>
      <c r="C24" s="1068">
        <v>600098851</v>
      </c>
      <c r="D24" s="1068">
        <v>72743620</v>
      </c>
      <c r="E24" s="535" t="s">
        <v>493</v>
      </c>
      <c r="F24" s="1068">
        <v>3111</v>
      </c>
      <c r="G24" s="1057" t="s">
        <v>318</v>
      </c>
      <c r="H24" s="832" t="s">
        <v>284</v>
      </c>
      <c r="I24" s="803">
        <f>SUM(J24:M24)</f>
        <v>0</v>
      </c>
      <c r="J24" s="833">
        <v>0</v>
      </c>
      <c r="K24" s="805">
        <f>ROUND((J24)*33.8%,0)</f>
        <v>0</v>
      </c>
      <c r="L24" s="805">
        <f>ROUND(J24*2%,0)</f>
        <v>0</v>
      </c>
      <c r="M24" s="833">
        <v>0</v>
      </c>
      <c r="N24" s="834">
        <f>SUM(O24:P24)</f>
        <v>0</v>
      </c>
      <c r="O24" s="1054">
        <v>0</v>
      </c>
      <c r="P24" s="1055">
        <v>0</v>
      </c>
      <c r="Q24" s="835">
        <f>V24*-1</f>
        <v>0</v>
      </c>
      <c r="R24" s="813">
        <v>0</v>
      </c>
      <c r="S24" s="813">
        <v>0</v>
      </c>
      <c r="T24" s="813">
        <v>0</v>
      </c>
      <c r="U24" s="813">
        <f>SUM(Q24:T24)</f>
        <v>0</v>
      </c>
      <c r="V24" s="813">
        <v>0</v>
      </c>
      <c r="W24" s="813">
        <v>0</v>
      </c>
      <c r="X24" s="813">
        <v>0</v>
      </c>
      <c r="Y24" s="813">
        <f>SUM(V24:X24)</f>
        <v>0</v>
      </c>
      <c r="Z24" s="813">
        <f>U24+Y24</f>
        <v>0</v>
      </c>
      <c r="AA24" s="809">
        <f>ROUND((U24+V24+W24)*33.8%,0)</f>
        <v>0</v>
      </c>
      <c r="AB24" s="809">
        <f>ROUND(U24*2%,0)</f>
        <v>0</v>
      </c>
      <c r="AC24" s="813">
        <v>0</v>
      </c>
      <c r="AD24" s="813">
        <v>0</v>
      </c>
      <c r="AE24" s="813">
        <f>SUM(AC24:AD24)</f>
        <v>0</v>
      </c>
      <c r="AF24" s="813">
        <f>Z24+AA24+AB24+AE24</f>
        <v>0</v>
      </c>
      <c r="AG24" s="836">
        <v>0</v>
      </c>
      <c r="AH24" s="836">
        <v>0</v>
      </c>
      <c r="AI24" s="836">
        <v>0</v>
      </c>
      <c r="AJ24" s="836">
        <v>0</v>
      </c>
      <c r="AK24" s="836">
        <v>0</v>
      </c>
      <c r="AL24" s="836">
        <f>AG24+AI24+AJ24</f>
        <v>0</v>
      </c>
      <c r="AM24" s="836">
        <f>AH24+AK24</f>
        <v>0</v>
      </c>
      <c r="AN24" s="949">
        <f>SUM(AL24:AM24)</f>
        <v>0</v>
      </c>
      <c r="AO24" s="945">
        <f>I24+AF24</f>
        <v>0</v>
      </c>
      <c r="AP24" s="813">
        <f>J24+U24</f>
        <v>0</v>
      </c>
      <c r="AQ24" s="813">
        <f>Y24</f>
        <v>0</v>
      </c>
      <c r="AR24" s="813">
        <f t="shared" si="25"/>
        <v>0</v>
      </c>
      <c r="AS24" s="813">
        <f t="shared" si="25"/>
        <v>0</v>
      </c>
      <c r="AT24" s="813">
        <f>M24+AE24</f>
        <v>0</v>
      </c>
      <c r="AU24" s="836">
        <f>N24+AN24</f>
        <v>0</v>
      </c>
      <c r="AV24" s="836">
        <f t="shared" si="26"/>
        <v>0</v>
      </c>
      <c r="AW24" s="837">
        <f t="shared" si="26"/>
        <v>0</v>
      </c>
      <c r="AX24" s="925"/>
    </row>
    <row r="25" spans="1:50" ht="12.95" customHeight="1" x14ac:dyDescent="0.25">
      <c r="A25" s="827">
        <v>3</v>
      </c>
      <c r="B25" s="1068">
        <v>5462</v>
      </c>
      <c r="C25" s="1068">
        <v>600098851</v>
      </c>
      <c r="D25" s="1068">
        <v>72743620</v>
      </c>
      <c r="E25" s="535" t="s">
        <v>493</v>
      </c>
      <c r="F25" s="1068">
        <v>3141</v>
      </c>
      <c r="G25" s="1057" t="s">
        <v>321</v>
      </c>
      <c r="H25" s="832" t="s">
        <v>284</v>
      </c>
      <c r="I25" s="803">
        <f>SUM(J25:M25)</f>
        <v>636990</v>
      </c>
      <c r="J25" s="833">
        <v>466929</v>
      </c>
      <c r="K25" s="805">
        <f>ROUND((J25)*33.8%,0)</f>
        <v>157822</v>
      </c>
      <c r="L25" s="805">
        <f>ROUND(J25*2%,0)</f>
        <v>9339</v>
      </c>
      <c r="M25" s="833">
        <v>2900</v>
      </c>
      <c r="N25" s="834">
        <f>SUM(O25:P25)</f>
        <v>1.59</v>
      </c>
      <c r="O25" s="1054">
        <v>0</v>
      </c>
      <c r="P25" s="1055">
        <v>1.59</v>
      </c>
      <c r="Q25" s="835">
        <f>V25*-1</f>
        <v>0</v>
      </c>
      <c r="R25" s="813">
        <v>0</v>
      </c>
      <c r="S25" s="813">
        <v>0</v>
      </c>
      <c r="T25" s="813">
        <v>0</v>
      </c>
      <c r="U25" s="813">
        <f>SUM(Q25:T25)</f>
        <v>0</v>
      </c>
      <c r="V25" s="813">
        <v>0</v>
      </c>
      <c r="W25" s="813">
        <v>0</v>
      </c>
      <c r="X25" s="813">
        <v>0</v>
      </c>
      <c r="Y25" s="813">
        <f>SUM(V25:X25)</f>
        <v>0</v>
      </c>
      <c r="Z25" s="813">
        <f>U25+Y25</f>
        <v>0</v>
      </c>
      <c r="AA25" s="809">
        <f>ROUND((U25+V25+W25)*33.8%,0)</f>
        <v>0</v>
      </c>
      <c r="AB25" s="809">
        <f>ROUND(U25*2%,0)</f>
        <v>0</v>
      </c>
      <c r="AC25" s="813">
        <v>0</v>
      </c>
      <c r="AD25" s="813">
        <v>0</v>
      </c>
      <c r="AE25" s="813">
        <f>SUM(AC25:AD25)</f>
        <v>0</v>
      </c>
      <c r="AF25" s="813">
        <f>Z25+AA25+AB25+AE25</f>
        <v>0</v>
      </c>
      <c r="AG25" s="836">
        <v>0</v>
      </c>
      <c r="AH25" s="836">
        <v>0</v>
      </c>
      <c r="AI25" s="836">
        <v>0</v>
      </c>
      <c r="AJ25" s="836">
        <v>0</v>
      </c>
      <c r="AK25" s="836">
        <v>0</v>
      </c>
      <c r="AL25" s="836">
        <f>AG25+AI25+AJ25</f>
        <v>0</v>
      </c>
      <c r="AM25" s="836">
        <f>AH25+AK25</f>
        <v>0</v>
      </c>
      <c r="AN25" s="949">
        <f>SUM(AL25:AM25)</f>
        <v>0</v>
      </c>
      <c r="AO25" s="945">
        <f>I25+AF25</f>
        <v>636990</v>
      </c>
      <c r="AP25" s="813">
        <f>J25+U25</f>
        <v>466929</v>
      </c>
      <c r="AQ25" s="813">
        <f>Y25</f>
        <v>0</v>
      </c>
      <c r="AR25" s="813">
        <f t="shared" si="25"/>
        <v>157822</v>
      </c>
      <c r="AS25" s="813">
        <f t="shared" si="25"/>
        <v>9339</v>
      </c>
      <c r="AT25" s="813">
        <f>M25+AE25</f>
        <v>2900</v>
      </c>
      <c r="AU25" s="836">
        <f>N25+AN25</f>
        <v>1.59</v>
      </c>
      <c r="AV25" s="836">
        <f t="shared" si="26"/>
        <v>0</v>
      </c>
      <c r="AW25" s="837">
        <f t="shared" si="26"/>
        <v>1.59</v>
      </c>
      <c r="AX25" s="925"/>
    </row>
    <row r="26" spans="1:50" ht="12.95" customHeight="1" x14ac:dyDescent="0.25">
      <c r="A26" s="538">
        <v>3</v>
      </c>
      <c r="B26" s="101">
        <v>5462</v>
      </c>
      <c r="C26" s="101">
        <v>600098851</v>
      </c>
      <c r="D26" s="101">
        <v>72743620</v>
      </c>
      <c r="E26" s="1073" t="s">
        <v>494</v>
      </c>
      <c r="F26" s="101"/>
      <c r="G26" s="1073"/>
      <c r="H26" s="450"/>
      <c r="I26" s="1074">
        <f t="shared" ref="I26:AW26" si="27">SUM(I23:I25)</f>
        <v>5202124</v>
      </c>
      <c r="J26" s="1075">
        <f t="shared" si="27"/>
        <v>3812020</v>
      </c>
      <c r="K26" s="1075">
        <f t="shared" si="27"/>
        <v>1288463</v>
      </c>
      <c r="L26" s="1075">
        <f t="shared" si="27"/>
        <v>76241</v>
      </c>
      <c r="M26" s="1075">
        <f t="shared" si="27"/>
        <v>25400</v>
      </c>
      <c r="N26" s="1076">
        <f t="shared" si="27"/>
        <v>9.5741999999999994</v>
      </c>
      <c r="O26" s="1076">
        <f t="shared" si="27"/>
        <v>6</v>
      </c>
      <c r="P26" s="1077">
        <f t="shared" si="27"/>
        <v>3.5742000000000003</v>
      </c>
      <c r="Q26" s="1075">
        <f t="shared" si="27"/>
        <v>0</v>
      </c>
      <c r="R26" s="1078">
        <f t="shared" si="27"/>
        <v>0</v>
      </c>
      <c r="S26" s="1078">
        <f t="shared" si="27"/>
        <v>0</v>
      </c>
      <c r="T26" s="1078">
        <f t="shared" si="27"/>
        <v>0</v>
      </c>
      <c r="U26" s="1078">
        <f t="shared" si="27"/>
        <v>0</v>
      </c>
      <c r="V26" s="1078">
        <f t="shared" si="27"/>
        <v>0</v>
      </c>
      <c r="W26" s="1078">
        <f t="shared" si="27"/>
        <v>0</v>
      </c>
      <c r="X26" s="1078">
        <f t="shared" si="27"/>
        <v>0</v>
      </c>
      <c r="Y26" s="1078">
        <f t="shared" si="27"/>
        <v>0</v>
      </c>
      <c r="Z26" s="1078">
        <f t="shared" si="27"/>
        <v>0</v>
      </c>
      <c r="AA26" s="1078">
        <f t="shared" si="27"/>
        <v>0</v>
      </c>
      <c r="AB26" s="1078">
        <f t="shared" si="27"/>
        <v>0</v>
      </c>
      <c r="AC26" s="1078">
        <f t="shared" si="27"/>
        <v>0</v>
      </c>
      <c r="AD26" s="1078">
        <f t="shared" si="27"/>
        <v>0</v>
      </c>
      <c r="AE26" s="1078">
        <f t="shared" si="27"/>
        <v>0</v>
      </c>
      <c r="AF26" s="1078">
        <f t="shared" si="27"/>
        <v>0</v>
      </c>
      <c r="AG26" s="1079">
        <f t="shared" si="27"/>
        <v>0</v>
      </c>
      <c r="AH26" s="1079">
        <f t="shared" si="27"/>
        <v>0</v>
      </c>
      <c r="AI26" s="1079">
        <f t="shared" si="27"/>
        <v>0</v>
      </c>
      <c r="AJ26" s="1079">
        <f t="shared" si="27"/>
        <v>0</v>
      </c>
      <c r="AK26" s="1079">
        <f t="shared" si="27"/>
        <v>0</v>
      </c>
      <c r="AL26" s="1079">
        <f t="shared" si="27"/>
        <v>0</v>
      </c>
      <c r="AM26" s="1079">
        <f t="shared" si="27"/>
        <v>0</v>
      </c>
      <c r="AN26" s="1080">
        <f t="shared" si="27"/>
        <v>0</v>
      </c>
      <c r="AO26" s="1074">
        <f t="shared" si="27"/>
        <v>5202124</v>
      </c>
      <c r="AP26" s="1078">
        <f t="shared" si="27"/>
        <v>3812020</v>
      </c>
      <c r="AQ26" s="1078">
        <f t="shared" si="27"/>
        <v>0</v>
      </c>
      <c r="AR26" s="1078">
        <f t="shared" si="27"/>
        <v>1288463</v>
      </c>
      <c r="AS26" s="1078">
        <f t="shared" si="27"/>
        <v>76241</v>
      </c>
      <c r="AT26" s="1078">
        <f t="shared" si="27"/>
        <v>25400</v>
      </c>
      <c r="AU26" s="1079">
        <f t="shared" si="27"/>
        <v>9.5741999999999994</v>
      </c>
      <c r="AV26" s="1079">
        <f t="shared" si="27"/>
        <v>6</v>
      </c>
      <c r="AW26" s="1081">
        <f t="shared" si="27"/>
        <v>3.5742000000000003</v>
      </c>
      <c r="AX26" s="925"/>
    </row>
    <row r="27" spans="1:50" ht="12.95" customHeight="1" x14ac:dyDescent="0.25">
      <c r="A27" s="827">
        <v>4</v>
      </c>
      <c r="B27" s="536">
        <v>5464</v>
      </c>
      <c r="C27" s="536">
        <v>600098869</v>
      </c>
      <c r="D27" s="536">
        <v>72743719</v>
      </c>
      <c r="E27" s="1082" t="s">
        <v>495</v>
      </c>
      <c r="F27" s="1083">
        <v>3111</v>
      </c>
      <c r="G27" s="1057" t="s">
        <v>331</v>
      </c>
      <c r="H27" s="832" t="s">
        <v>283</v>
      </c>
      <c r="I27" s="803">
        <f>SUM(J27:M27)</f>
        <v>4767096</v>
      </c>
      <c r="J27" s="833">
        <v>3489504</v>
      </c>
      <c r="K27" s="805">
        <f>ROUND((J27)*33.8%,0)</f>
        <v>1179452</v>
      </c>
      <c r="L27" s="805">
        <f>ROUND(J27*2%,0)</f>
        <v>69790</v>
      </c>
      <c r="M27" s="833">
        <v>28350</v>
      </c>
      <c r="N27" s="834">
        <f>SUM(O27:P27)</f>
        <v>8.1341999999999999</v>
      </c>
      <c r="O27" s="1054">
        <v>6</v>
      </c>
      <c r="P27" s="1055">
        <v>2.1341999999999999</v>
      </c>
      <c r="Q27" s="835">
        <f>V27*-1</f>
        <v>-48000</v>
      </c>
      <c r="R27" s="813">
        <v>0</v>
      </c>
      <c r="S27" s="813">
        <v>0</v>
      </c>
      <c r="T27" s="813">
        <v>0</v>
      </c>
      <c r="U27" s="813">
        <f>SUM(Q27:T27)</f>
        <v>-48000</v>
      </c>
      <c r="V27" s="813">
        <v>48000</v>
      </c>
      <c r="W27" s="813">
        <v>0</v>
      </c>
      <c r="X27" s="813">
        <v>0</v>
      </c>
      <c r="Y27" s="813">
        <f>SUM(V27:X27)</f>
        <v>48000</v>
      </c>
      <c r="Z27" s="813">
        <f>U27+Y27</f>
        <v>0</v>
      </c>
      <c r="AA27" s="809">
        <f>ROUND((U27+V27+W27)*33.8%,0)</f>
        <v>0</v>
      </c>
      <c r="AB27" s="809">
        <f>ROUND(U27*2%,0)</f>
        <v>-960</v>
      </c>
      <c r="AC27" s="813">
        <v>0</v>
      </c>
      <c r="AD27" s="813">
        <v>0</v>
      </c>
      <c r="AE27" s="813">
        <f>SUM(AC27:AD27)</f>
        <v>0</v>
      </c>
      <c r="AF27" s="813">
        <f>Z27+AA27+AB27+AE27</f>
        <v>-960</v>
      </c>
      <c r="AG27" s="836">
        <v>-0.05</v>
      </c>
      <c r="AH27" s="836">
        <v>0</v>
      </c>
      <c r="AI27" s="836">
        <v>0</v>
      </c>
      <c r="AJ27" s="836">
        <v>0</v>
      </c>
      <c r="AK27" s="836">
        <v>0</v>
      </c>
      <c r="AL27" s="836">
        <f>AG27+AI27+AJ27</f>
        <v>-0.05</v>
      </c>
      <c r="AM27" s="836">
        <f>AH27+AK27</f>
        <v>0</v>
      </c>
      <c r="AN27" s="949">
        <f>SUM(AL27:AM27)</f>
        <v>-0.05</v>
      </c>
      <c r="AO27" s="945">
        <f>I27+AF27</f>
        <v>4766136</v>
      </c>
      <c r="AP27" s="813">
        <f>J27+U27</f>
        <v>3441504</v>
      </c>
      <c r="AQ27" s="813">
        <f>Y27</f>
        <v>48000</v>
      </c>
      <c r="AR27" s="813">
        <f t="shared" ref="AR27:AS29" si="28">K27+AA27</f>
        <v>1179452</v>
      </c>
      <c r="AS27" s="813">
        <f t="shared" si="28"/>
        <v>68830</v>
      </c>
      <c r="AT27" s="813">
        <f>M27+AE27</f>
        <v>28350</v>
      </c>
      <c r="AU27" s="836">
        <f>N27+AN27</f>
        <v>8.0841999999999992</v>
      </c>
      <c r="AV27" s="836">
        <f t="shared" ref="AV27:AW29" si="29">O27+AL27</f>
        <v>5.95</v>
      </c>
      <c r="AW27" s="837">
        <f t="shared" si="29"/>
        <v>2.1341999999999999</v>
      </c>
      <c r="AX27" s="925"/>
    </row>
    <row r="28" spans="1:50" ht="12.95" customHeight="1" x14ac:dyDescent="0.25">
      <c r="A28" s="827">
        <v>4</v>
      </c>
      <c r="B28" s="536">
        <v>5464</v>
      </c>
      <c r="C28" s="536">
        <v>600098869</v>
      </c>
      <c r="D28" s="536">
        <v>72743719</v>
      </c>
      <c r="E28" s="1053" t="s">
        <v>495</v>
      </c>
      <c r="F28" s="1083">
        <v>3111</v>
      </c>
      <c r="G28" s="948" t="s">
        <v>318</v>
      </c>
      <c r="H28" s="832" t="s">
        <v>284</v>
      </c>
      <c r="I28" s="803">
        <f>SUM(J28:M28)</f>
        <v>0</v>
      </c>
      <c r="J28" s="833">
        <v>0</v>
      </c>
      <c r="K28" s="805">
        <v>0</v>
      </c>
      <c r="L28" s="805">
        <v>0</v>
      </c>
      <c r="M28" s="833">
        <v>0</v>
      </c>
      <c r="N28" s="834">
        <f>SUM(O28:P28)</f>
        <v>0</v>
      </c>
      <c r="O28" s="1054">
        <v>0</v>
      </c>
      <c r="P28" s="1055">
        <v>0</v>
      </c>
      <c r="Q28" s="835">
        <f>V28*-1</f>
        <v>0</v>
      </c>
      <c r="R28" s="833">
        <f>63511-52926</f>
        <v>10585</v>
      </c>
      <c r="S28" s="813">
        <v>0</v>
      </c>
      <c r="T28" s="813">
        <v>0</v>
      </c>
      <c r="U28" s="813">
        <f>SUM(Q28:T28)</f>
        <v>10585</v>
      </c>
      <c r="V28" s="813">
        <v>0</v>
      </c>
      <c r="W28" s="813">
        <v>0</v>
      </c>
      <c r="X28" s="813">
        <v>0</v>
      </c>
      <c r="Y28" s="813">
        <f>SUM(V28:X28)</f>
        <v>0</v>
      </c>
      <c r="Z28" s="813">
        <f>U28+Y28</f>
        <v>10585</v>
      </c>
      <c r="AA28" s="809">
        <f>ROUND((U28+V28+W28)*33.8%,0)</f>
        <v>3578</v>
      </c>
      <c r="AB28" s="809">
        <f>ROUND(U28*2%,0)</f>
        <v>212</v>
      </c>
      <c r="AC28" s="813">
        <v>0</v>
      </c>
      <c r="AD28" s="813">
        <v>0</v>
      </c>
      <c r="AE28" s="813">
        <f>SUM(AC28:AD28)</f>
        <v>0</v>
      </c>
      <c r="AF28" s="813">
        <f>Z28+AA28+AB28+AE28</f>
        <v>14375</v>
      </c>
      <c r="AG28" s="836">
        <v>0</v>
      </c>
      <c r="AH28" s="836">
        <v>0</v>
      </c>
      <c r="AI28" s="836">
        <f>0.25-0.21</f>
        <v>4.0000000000000008E-2</v>
      </c>
      <c r="AJ28" s="836">
        <v>0</v>
      </c>
      <c r="AK28" s="836">
        <v>0</v>
      </c>
      <c r="AL28" s="836">
        <f>AG28+AI28+AJ28</f>
        <v>4.0000000000000008E-2</v>
      </c>
      <c r="AM28" s="836">
        <f>AH28+AK28</f>
        <v>0</v>
      </c>
      <c r="AN28" s="949">
        <f>SUM(AL28:AM28)</f>
        <v>4.0000000000000008E-2</v>
      </c>
      <c r="AO28" s="945">
        <f>I28+AF28</f>
        <v>14375</v>
      </c>
      <c r="AP28" s="813">
        <f>J28+U28</f>
        <v>10585</v>
      </c>
      <c r="AQ28" s="813">
        <f>Y28</f>
        <v>0</v>
      </c>
      <c r="AR28" s="813">
        <f t="shared" si="28"/>
        <v>3578</v>
      </c>
      <c r="AS28" s="813">
        <f t="shared" si="28"/>
        <v>212</v>
      </c>
      <c r="AT28" s="813">
        <f>M28+AE28</f>
        <v>0</v>
      </c>
      <c r="AU28" s="836">
        <f>N28+AN28</f>
        <v>4.0000000000000008E-2</v>
      </c>
      <c r="AV28" s="836">
        <f t="shared" si="29"/>
        <v>4.0000000000000008E-2</v>
      </c>
      <c r="AW28" s="837">
        <f t="shared" si="29"/>
        <v>0</v>
      </c>
      <c r="AX28" s="925"/>
    </row>
    <row r="29" spans="1:50" ht="12.95" customHeight="1" x14ac:dyDescent="0.25">
      <c r="A29" s="827">
        <v>4</v>
      </c>
      <c r="B29" s="536">
        <v>5464</v>
      </c>
      <c r="C29" s="536">
        <v>600098869</v>
      </c>
      <c r="D29" s="536">
        <v>72743719</v>
      </c>
      <c r="E29" s="1053" t="s">
        <v>495</v>
      </c>
      <c r="F29" s="1084">
        <v>3141</v>
      </c>
      <c r="G29" s="1057" t="s">
        <v>321</v>
      </c>
      <c r="H29" s="832" t="s">
        <v>284</v>
      </c>
      <c r="I29" s="803">
        <f>SUM(J29:M29)</f>
        <v>744969</v>
      </c>
      <c r="J29" s="833">
        <v>545887</v>
      </c>
      <c r="K29" s="805">
        <f>ROUND((J29)*33.8%,0)</f>
        <v>184510</v>
      </c>
      <c r="L29" s="805">
        <f>ROUND(J29*2%,0)</f>
        <v>10918</v>
      </c>
      <c r="M29" s="833">
        <v>3654</v>
      </c>
      <c r="N29" s="834">
        <f>SUM(O29:P29)</f>
        <v>1.86</v>
      </c>
      <c r="O29" s="1054">
        <v>0</v>
      </c>
      <c r="P29" s="1055">
        <v>1.86</v>
      </c>
      <c r="Q29" s="835">
        <f>V29*-1</f>
        <v>0</v>
      </c>
      <c r="R29" s="813">
        <v>0</v>
      </c>
      <c r="S29" s="813">
        <v>0</v>
      </c>
      <c r="T29" s="813">
        <v>0</v>
      </c>
      <c r="U29" s="813">
        <f>SUM(Q29:T29)</f>
        <v>0</v>
      </c>
      <c r="V29" s="813">
        <v>0</v>
      </c>
      <c r="W29" s="813">
        <v>0</v>
      </c>
      <c r="X29" s="813">
        <v>0</v>
      </c>
      <c r="Y29" s="813">
        <f>SUM(V29:X29)</f>
        <v>0</v>
      </c>
      <c r="Z29" s="813">
        <f>U29+Y29</f>
        <v>0</v>
      </c>
      <c r="AA29" s="809">
        <f>ROUND((U29+V29+W29)*33.8%,0)</f>
        <v>0</v>
      </c>
      <c r="AB29" s="809">
        <f>ROUND(U29*2%,0)</f>
        <v>0</v>
      </c>
      <c r="AC29" s="813">
        <v>0</v>
      </c>
      <c r="AD29" s="813">
        <v>0</v>
      </c>
      <c r="AE29" s="813">
        <f>SUM(AC29:AD29)</f>
        <v>0</v>
      </c>
      <c r="AF29" s="813">
        <f>Z29+AA29+AB29+AE29</f>
        <v>0</v>
      </c>
      <c r="AG29" s="836">
        <v>0</v>
      </c>
      <c r="AH29" s="836">
        <v>0</v>
      </c>
      <c r="AI29" s="836">
        <v>0</v>
      </c>
      <c r="AJ29" s="836">
        <v>0</v>
      </c>
      <c r="AK29" s="836">
        <v>0</v>
      </c>
      <c r="AL29" s="836">
        <f>AG29+AI29+AJ29</f>
        <v>0</v>
      </c>
      <c r="AM29" s="836">
        <f>AH29+AK29</f>
        <v>0</v>
      </c>
      <c r="AN29" s="949">
        <f>SUM(AL29:AM29)</f>
        <v>0</v>
      </c>
      <c r="AO29" s="945">
        <f>I29+AF29</f>
        <v>744969</v>
      </c>
      <c r="AP29" s="813">
        <f>J29+U29</f>
        <v>545887</v>
      </c>
      <c r="AQ29" s="813">
        <f>Y29</f>
        <v>0</v>
      </c>
      <c r="AR29" s="813">
        <f t="shared" si="28"/>
        <v>184510</v>
      </c>
      <c r="AS29" s="813">
        <f t="shared" si="28"/>
        <v>10918</v>
      </c>
      <c r="AT29" s="813">
        <f>M29+AE29</f>
        <v>3654</v>
      </c>
      <c r="AU29" s="836">
        <f>N29+AN29</f>
        <v>1.86</v>
      </c>
      <c r="AV29" s="836">
        <f t="shared" si="29"/>
        <v>0</v>
      </c>
      <c r="AW29" s="837">
        <f t="shared" si="29"/>
        <v>1.86</v>
      </c>
      <c r="AX29" s="925"/>
    </row>
    <row r="30" spans="1:50" ht="12.95" customHeight="1" x14ac:dyDescent="0.25">
      <c r="A30" s="538">
        <v>4</v>
      </c>
      <c r="B30" s="100">
        <v>5464</v>
      </c>
      <c r="C30" s="100">
        <v>600098869</v>
      </c>
      <c r="D30" s="100">
        <v>72743719</v>
      </c>
      <c r="E30" s="1085" t="s">
        <v>496</v>
      </c>
      <c r="F30" s="1086"/>
      <c r="G30" s="1085"/>
      <c r="H30" s="1087"/>
      <c r="I30" s="820">
        <f t="shared" ref="I30:AW30" si="30">SUM(I27:I29)</f>
        <v>5512065</v>
      </c>
      <c r="J30" s="825">
        <f t="shared" si="30"/>
        <v>4035391</v>
      </c>
      <c r="K30" s="825">
        <f t="shared" si="30"/>
        <v>1363962</v>
      </c>
      <c r="L30" s="825">
        <f t="shared" si="30"/>
        <v>80708</v>
      </c>
      <c r="M30" s="825">
        <f t="shared" si="30"/>
        <v>32004</v>
      </c>
      <c r="N30" s="1070">
        <f t="shared" si="30"/>
        <v>9.9941999999999993</v>
      </c>
      <c r="O30" s="1070">
        <f t="shared" si="30"/>
        <v>6</v>
      </c>
      <c r="P30" s="1071">
        <f t="shared" si="30"/>
        <v>3.9942000000000002</v>
      </c>
      <c r="Q30" s="825">
        <f t="shared" si="30"/>
        <v>-48000</v>
      </c>
      <c r="R30" s="821">
        <f t="shared" si="30"/>
        <v>10585</v>
      </c>
      <c r="S30" s="821">
        <f t="shared" si="30"/>
        <v>0</v>
      </c>
      <c r="T30" s="821">
        <f t="shared" si="30"/>
        <v>0</v>
      </c>
      <c r="U30" s="821">
        <f t="shared" si="30"/>
        <v>-37415</v>
      </c>
      <c r="V30" s="821">
        <f t="shared" si="30"/>
        <v>48000</v>
      </c>
      <c r="W30" s="821">
        <f t="shared" si="30"/>
        <v>0</v>
      </c>
      <c r="X30" s="821">
        <f t="shared" si="30"/>
        <v>0</v>
      </c>
      <c r="Y30" s="821">
        <f t="shared" si="30"/>
        <v>48000</v>
      </c>
      <c r="Z30" s="821">
        <f t="shared" si="30"/>
        <v>10585</v>
      </c>
      <c r="AA30" s="821">
        <f t="shared" si="30"/>
        <v>3578</v>
      </c>
      <c r="AB30" s="821">
        <f t="shared" si="30"/>
        <v>-748</v>
      </c>
      <c r="AC30" s="821">
        <f t="shared" si="30"/>
        <v>0</v>
      </c>
      <c r="AD30" s="821">
        <f t="shared" si="30"/>
        <v>0</v>
      </c>
      <c r="AE30" s="821">
        <f t="shared" si="30"/>
        <v>0</v>
      </c>
      <c r="AF30" s="821">
        <f t="shared" si="30"/>
        <v>13415</v>
      </c>
      <c r="AG30" s="822">
        <f t="shared" si="30"/>
        <v>-0.05</v>
      </c>
      <c r="AH30" s="822">
        <f t="shared" si="30"/>
        <v>0</v>
      </c>
      <c r="AI30" s="822">
        <f t="shared" si="30"/>
        <v>4.0000000000000008E-2</v>
      </c>
      <c r="AJ30" s="822">
        <f t="shared" si="30"/>
        <v>0</v>
      </c>
      <c r="AK30" s="822">
        <f t="shared" si="30"/>
        <v>0</v>
      </c>
      <c r="AL30" s="822">
        <f t="shared" si="30"/>
        <v>-9.999999999999995E-3</v>
      </c>
      <c r="AM30" s="822">
        <f t="shared" si="30"/>
        <v>0</v>
      </c>
      <c r="AN30" s="1072">
        <f t="shared" si="30"/>
        <v>-9.999999999999995E-3</v>
      </c>
      <c r="AO30" s="820">
        <f t="shared" si="30"/>
        <v>5525480</v>
      </c>
      <c r="AP30" s="821">
        <f t="shared" si="30"/>
        <v>3997976</v>
      </c>
      <c r="AQ30" s="821">
        <f t="shared" si="30"/>
        <v>48000</v>
      </c>
      <c r="AR30" s="821">
        <f t="shared" si="30"/>
        <v>1367540</v>
      </c>
      <c r="AS30" s="821">
        <f t="shared" si="30"/>
        <v>79960</v>
      </c>
      <c r="AT30" s="821">
        <f t="shared" si="30"/>
        <v>32004</v>
      </c>
      <c r="AU30" s="822">
        <f t="shared" si="30"/>
        <v>9.9841999999999977</v>
      </c>
      <c r="AV30" s="822">
        <f t="shared" si="30"/>
        <v>5.99</v>
      </c>
      <c r="AW30" s="824">
        <f t="shared" si="30"/>
        <v>3.9942000000000002</v>
      </c>
      <c r="AX30" s="925"/>
    </row>
    <row r="31" spans="1:50" ht="12.95" customHeight="1" x14ac:dyDescent="0.25">
      <c r="A31" s="827">
        <v>5</v>
      </c>
      <c r="B31" s="536">
        <v>5467</v>
      </c>
      <c r="C31" s="536">
        <v>600098648</v>
      </c>
      <c r="D31" s="536">
        <v>72743948</v>
      </c>
      <c r="E31" s="1056" t="s">
        <v>497</v>
      </c>
      <c r="F31" s="536">
        <v>3111</v>
      </c>
      <c r="G31" s="1057" t="s">
        <v>331</v>
      </c>
      <c r="H31" s="832" t="s">
        <v>283</v>
      </c>
      <c r="I31" s="803">
        <f>SUM(J31:M31)</f>
        <v>4481372</v>
      </c>
      <c r="J31" s="833">
        <v>3283411</v>
      </c>
      <c r="K31" s="805">
        <f>ROUND((J31)*33.8%,0)</f>
        <v>1109793</v>
      </c>
      <c r="L31" s="805">
        <f>ROUND(J31*2%,0)</f>
        <v>65668</v>
      </c>
      <c r="M31" s="833">
        <v>22500</v>
      </c>
      <c r="N31" s="834">
        <f>SUM(O31:P31)</f>
        <v>7.9841999999999995</v>
      </c>
      <c r="O31" s="1054">
        <v>6</v>
      </c>
      <c r="P31" s="1055">
        <v>1.9842</v>
      </c>
      <c r="Q31" s="835">
        <f>V31*-1</f>
        <v>0</v>
      </c>
      <c r="R31" s="813">
        <v>0</v>
      </c>
      <c r="S31" s="813">
        <v>0</v>
      </c>
      <c r="T31" s="813">
        <v>0</v>
      </c>
      <c r="U31" s="813">
        <f>SUM(Q31:T31)</f>
        <v>0</v>
      </c>
      <c r="V31" s="813">
        <v>0</v>
      </c>
      <c r="W31" s="813">
        <v>0</v>
      </c>
      <c r="X31" s="813">
        <v>0</v>
      </c>
      <c r="Y31" s="813">
        <f>SUM(V31:X31)</f>
        <v>0</v>
      </c>
      <c r="Z31" s="813">
        <f>U31+Y31</f>
        <v>0</v>
      </c>
      <c r="AA31" s="809">
        <f>ROUND((U31+V31+W31)*33.8%,0)</f>
        <v>0</v>
      </c>
      <c r="AB31" s="809">
        <f>ROUND(U31*2%,0)</f>
        <v>0</v>
      </c>
      <c r="AC31" s="813">
        <v>0</v>
      </c>
      <c r="AD31" s="813">
        <v>0</v>
      </c>
      <c r="AE31" s="813">
        <f>SUM(AC31:AD31)</f>
        <v>0</v>
      </c>
      <c r="AF31" s="813">
        <f>Z31+AA31+AB31+AE31</f>
        <v>0</v>
      </c>
      <c r="AG31" s="836">
        <v>0</v>
      </c>
      <c r="AH31" s="836">
        <v>0</v>
      </c>
      <c r="AI31" s="836">
        <v>0</v>
      </c>
      <c r="AJ31" s="836">
        <v>0</v>
      </c>
      <c r="AK31" s="836">
        <v>0</v>
      </c>
      <c r="AL31" s="836">
        <f>AG31+AI31+AJ31</f>
        <v>0</v>
      </c>
      <c r="AM31" s="836">
        <f>AH31+AK31</f>
        <v>0</v>
      </c>
      <c r="AN31" s="949">
        <f>SUM(AL31:AM31)</f>
        <v>0</v>
      </c>
      <c r="AO31" s="945">
        <f>I31+AF31</f>
        <v>4481372</v>
      </c>
      <c r="AP31" s="813">
        <f>J31+U31</f>
        <v>3283411</v>
      </c>
      <c r="AQ31" s="813">
        <f>Y31</f>
        <v>0</v>
      </c>
      <c r="AR31" s="813">
        <f t="shared" ref="AR31:AS33" si="31">K31+AA31</f>
        <v>1109793</v>
      </c>
      <c r="AS31" s="813">
        <f t="shared" si="31"/>
        <v>65668</v>
      </c>
      <c r="AT31" s="813">
        <f>M31+AE31</f>
        <v>22500</v>
      </c>
      <c r="AU31" s="836">
        <f>N31+AN31</f>
        <v>7.9841999999999995</v>
      </c>
      <c r="AV31" s="836">
        <f t="shared" ref="AV31:AW33" si="32">O31+AL31</f>
        <v>6</v>
      </c>
      <c r="AW31" s="837">
        <f t="shared" si="32"/>
        <v>1.9842</v>
      </c>
      <c r="AX31" s="925"/>
    </row>
    <row r="32" spans="1:50" ht="12.95" customHeight="1" x14ac:dyDescent="0.25">
      <c r="A32" s="827">
        <v>5</v>
      </c>
      <c r="B32" s="536">
        <v>5467</v>
      </c>
      <c r="C32" s="536">
        <v>600098648</v>
      </c>
      <c r="D32" s="536">
        <v>72743948</v>
      </c>
      <c r="E32" s="1053" t="s">
        <v>497</v>
      </c>
      <c r="F32" s="536">
        <v>3111</v>
      </c>
      <c r="G32" s="948" t="s">
        <v>318</v>
      </c>
      <c r="H32" s="832" t="s">
        <v>284</v>
      </c>
      <c r="I32" s="803">
        <f>SUM(J32:M32)</f>
        <v>0</v>
      </c>
      <c r="J32" s="833">
        <v>0</v>
      </c>
      <c r="K32" s="805">
        <f>ROUND((J32)*33.8%,0)</f>
        <v>0</v>
      </c>
      <c r="L32" s="805">
        <f>ROUND(J32*2%,0)</f>
        <v>0</v>
      </c>
      <c r="M32" s="833">
        <v>0</v>
      </c>
      <c r="N32" s="834">
        <f>SUM(O32:P32)</f>
        <v>0</v>
      </c>
      <c r="O32" s="1054">
        <v>0</v>
      </c>
      <c r="P32" s="1055">
        <v>0</v>
      </c>
      <c r="Q32" s="835">
        <f>V32*-1</f>
        <v>0</v>
      </c>
      <c r="R32" s="813">
        <v>0</v>
      </c>
      <c r="S32" s="813">
        <v>0</v>
      </c>
      <c r="T32" s="813">
        <v>0</v>
      </c>
      <c r="U32" s="813">
        <f>SUM(Q32:T32)</f>
        <v>0</v>
      </c>
      <c r="V32" s="813">
        <v>0</v>
      </c>
      <c r="W32" s="813">
        <v>0</v>
      </c>
      <c r="X32" s="813">
        <v>0</v>
      </c>
      <c r="Y32" s="813">
        <f>SUM(V32:X32)</f>
        <v>0</v>
      </c>
      <c r="Z32" s="813">
        <f>U32+Y32</f>
        <v>0</v>
      </c>
      <c r="AA32" s="809">
        <f>ROUND((U32+V32+W32)*33.8%,0)</f>
        <v>0</v>
      </c>
      <c r="AB32" s="809">
        <f>ROUND(U32*2%,0)</f>
        <v>0</v>
      </c>
      <c r="AC32" s="813">
        <v>0</v>
      </c>
      <c r="AD32" s="813">
        <v>0</v>
      </c>
      <c r="AE32" s="813">
        <f>SUM(AC32:AD32)</f>
        <v>0</v>
      </c>
      <c r="AF32" s="813">
        <f>Z32+AA32+AB32+AE32</f>
        <v>0</v>
      </c>
      <c r="AG32" s="836">
        <v>0</v>
      </c>
      <c r="AH32" s="836">
        <v>0</v>
      </c>
      <c r="AI32" s="836">
        <v>0</v>
      </c>
      <c r="AJ32" s="836">
        <v>0</v>
      </c>
      <c r="AK32" s="836">
        <v>0</v>
      </c>
      <c r="AL32" s="836">
        <f>AG32+AI32+AJ32</f>
        <v>0</v>
      </c>
      <c r="AM32" s="836">
        <f>AH32+AK32</f>
        <v>0</v>
      </c>
      <c r="AN32" s="949">
        <f>SUM(AL32:AM32)</f>
        <v>0</v>
      </c>
      <c r="AO32" s="945">
        <f>I32+AF32</f>
        <v>0</v>
      </c>
      <c r="AP32" s="813">
        <f>J32+U32</f>
        <v>0</v>
      </c>
      <c r="AQ32" s="813">
        <f>Y32</f>
        <v>0</v>
      </c>
      <c r="AR32" s="813">
        <f t="shared" si="31"/>
        <v>0</v>
      </c>
      <c r="AS32" s="813">
        <f t="shared" si="31"/>
        <v>0</v>
      </c>
      <c r="AT32" s="813">
        <f>M32+AE32</f>
        <v>0</v>
      </c>
      <c r="AU32" s="836">
        <f>N32+AN32</f>
        <v>0</v>
      </c>
      <c r="AV32" s="836">
        <f t="shared" si="32"/>
        <v>0</v>
      </c>
      <c r="AW32" s="837">
        <f t="shared" si="32"/>
        <v>0</v>
      </c>
      <c r="AX32" s="925"/>
    </row>
    <row r="33" spans="1:50" ht="12.95" customHeight="1" x14ac:dyDescent="0.25">
      <c r="A33" s="827">
        <v>5</v>
      </c>
      <c r="B33" s="536">
        <v>5467</v>
      </c>
      <c r="C33" s="536">
        <v>600098648</v>
      </c>
      <c r="D33" s="536">
        <v>72743948</v>
      </c>
      <c r="E33" s="1053" t="s">
        <v>497</v>
      </c>
      <c r="F33" s="1084">
        <v>3141</v>
      </c>
      <c r="G33" s="1057" t="s">
        <v>321</v>
      </c>
      <c r="H33" s="832" t="s">
        <v>284</v>
      </c>
      <c r="I33" s="803">
        <f>SUM(J33:M33)</f>
        <v>636990</v>
      </c>
      <c r="J33" s="833">
        <v>466929</v>
      </c>
      <c r="K33" s="805">
        <f>ROUND((J33)*33.8%,0)</f>
        <v>157822</v>
      </c>
      <c r="L33" s="805">
        <f>ROUND(J33*2%,0)</f>
        <v>9339</v>
      </c>
      <c r="M33" s="833">
        <v>2900</v>
      </c>
      <c r="N33" s="834">
        <f>SUM(O33:P33)</f>
        <v>1.59</v>
      </c>
      <c r="O33" s="1054">
        <v>0</v>
      </c>
      <c r="P33" s="1055">
        <v>1.59</v>
      </c>
      <c r="Q33" s="835">
        <f>V33*-1</f>
        <v>0</v>
      </c>
      <c r="R33" s="813">
        <v>0</v>
      </c>
      <c r="S33" s="813">
        <v>0</v>
      </c>
      <c r="T33" s="813">
        <v>0</v>
      </c>
      <c r="U33" s="813">
        <f>SUM(Q33:T33)</f>
        <v>0</v>
      </c>
      <c r="V33" s="813">
        <v>0</v>
      </c>
      <c r="W33" s="813">
        <v>0</v>
      </c>
      <c r="X33" s="813">
        <v>0</v>
      </c>
      <c r="Y33" s="813">
        <f>SUM(V33:X33)</f>
        <v>0</v>
      </c>
      <c r="Z33" s="813">
        <f>U33+Y33</f>
        <v>0</v>
      </c>
      <c r="AA33" s="809">
        <f>ROUND((U33+V33+W33)*33.8%,0)</f>
        <v>0</v>
      </c>
      <c r="AB33" s="809">
        <f>ROUND(U33*2%,0)</f>
        <v>0</v>
      </c>
      <c r="AC33" s="813">
        <v>0</v>
      </c>
      <c r="AD33" s="813">
        <v>0</v>
      </c>
      <c r="AE33" s="813">
        <f>SUM(AC33:AD33)</f>
        <v>0</v>
      </c>
      <c r="AF33" s="813">
        <f>Z33+AA33+AB33+AE33</f>
        <v>0</v>
      </c>
      <c r="AG33" s="836">
        <v>0</v>
      </c>
      <c r="AH33" s="836">
        <v>0</v>
      </c>
      <c r="AI33" s="836">
        <v>0</v>
      </c>
      <c r="AJ33" s="836">
        <v>0</v>
      </c>
      <c r="AK33" s="836">
        <v>0</v>
      </c>
      <c r="AL33" s="836">
        <f>AG33+AI33+AJ33</f>
        <v>0</v>
      </c>
      <c r="AM33" s="836">
        <f>AH33+AK33</f>
        <v>0</v>
      </c>
      <c r="AN33" s="949">
        <f>SUM(AL33:AM33)</f>
        <v>0</v>
      </c>
      <c r="AO33" s="945">
        <f>I33+AF33</f>
        <v>636990</v>
      </c>
      <c r="AP33" s="813">
        <f>J33+U33</f>
        <v>466929</v>
      </c>
      <c r="AQ33" s="813">
        <f>Y33</f>
        <v>0</v>
      </c>
      <c r="AR33" s="813">
        <f t="shared" si="31"/>
        <v>157822</v>
      </c>
      <c r="AS33" s="813">
        <f t="shared" si="31"/>
        <v>9339</v>
      </c>
      <c r="AT33" s="813">
        <f>M33+AE33</f>
        <v>2900</v>
      </c>
      <c r="AU33" s="836">
        <f>N33+AN33</f>
        <v>1.59</v>
      </c>
      <c r="AV33" s="836">
        <f t="shared" si="32"/>
        <v>0</v>
      </c>
      <c r="AW33" s="837">
        <f t="shared" si="32"/>
        <v>1.59</v>
      </c>
      <c r="AX33" s="925"/>
    </row>
    <row r="34" spans="1:50" ht="12.95" customHeight="1" x14ac:dyDescent="0.25">
      <c r="A34" s="538">
        <v>5</v>
      </c>
      <c r="B34" s="101">
        <v>5467</v>
      </c>
      <c r="C34" s="101">
        <v>600098648</v>
      </c>
      <c r="D34" s="101">
        <v>72743948</v>
      </c>
      <c r="E34" s="1085" t="s">
        <v>498</v>
      </c>
      <c r="F34" s="1086"/>
      <c r="G34" s="1085"/>
      <c r="H34" s="1087"/>
      <c r="I34" s="1074">
        <f t="shared" ref="I34:AW34" si="33">SUM(I31:I33)</f>
        <v>5118362</v>
      </c>
      <c r="J34" s="1075">
        <f t="shared" si="33"/>
        <v>3750340</v>
      </c>
      <c r="K34" s="1075">
        <f t="shared" si="33"/>
        <v>1267615</v>
      </c>
      <c r="L34" s="1075">
        <f t="shared" si="33"/>
        <v>75007</v>
      </c>
      <c r="M34" s="1075">
        <f t="shared" si="33"/>
        <v>25400</v>
      </c>
      <c r="N34" s="1076">
        <f t="shared" si="33"/>
        <v>9.5741999999999994</v>
      </c>
      <c r="O34" s="1076">
        <f t="shared" si="33"/>
        <v>6</v>
      </c>
      <c r="P34" s="1077">
        <f t="shared" si="33"/>
        <v>3.5742000000000003</v>
      </c>
      <c r="Q34" s="1075">
        <f t="shared" si="33"/>
        <v>0</v>
      </c>
      <c r="R34" s="1078">
        <f t="shared" si="33"/>
        <v>0</v>
      </c>
      <c r="S34" s="1078">
        <f t="shared" si="33"/>
        <v>0</v>
      </c>
      <c r="T34" s="1078">
        <f t="shared" si="33"/>
        <v>0</v>
      </c>
      <c r="U34" s="1078">
        <f t="shared" si="33"/>
        <v>0</v>
      </c>
      <c r="V34" s="1078">
        <f t="shared" si="33"/>
        <v>0</v>
      </c>
      <c r="W34" s="1078">
        <f t="shared" si="33"/>
        <v>0</v>
      </c>
      <c r="X34" s="1078">
        <f t="shared" si="33"/>
        <v>0</v>
      </c>
      <c r="Y34" s="1078">
        <f t="shared" si="33"/>
        <v>0</v>
      </c>
      <c r="Z34" s="1078">
        <f t="shared" si="33"/>
        <v>0</v>
      </c>
      <c r="AA34" s="1078">
        <f t="shared" si="33"/>
        <v>0</v>
      </c>
      <c r="AB34" s="1078">
        <f t="shared" si="33"/>
        <v>0</v>
      </c>
      <c r="AC34" s="1078">
        <f t="shared" si="33"/>
        <v>0</v>
      </c>
      <c r="AD34" s="1078">
        <f t="shared" si="33"/>
        <v>0</v>
      </c>
      <c r="AE34" s="1078">
        <f t="shared" si="33"/>
        <v>0</v>
      </c>
      <c r="AF34" s="1078">
        <f t="shared" si="33"/>
        <v>0</v>
      </c>
      <c r="AG34" s="1079">
        <f t="shared" si="33"/>
        <v>0</v>
      </c>
      <c r="AH34" s="1079">
        <f t="shared" si="33"/>
        <v>0</v>
      </c>
      <c r="AI34" s="1079">
        <f t="shared" si="33"/>
        <v>0</v>
      </c>
      <c r="AJ34" s="1079">
        <f t="shared" si="33"/>
        <v>0</v>
      </c>
      <c r="AK34" s="1079">
        <f t="shared" si="33"/>
        <v>0</v>
      </c>
      <c r="AL34" s="1079">
        <f t="shared" si="33"/>
        <v>0</v>
      </c>
      <c r="AM34" s="1079">
        <f t="shared" si="33"/>
        <v>0</v>
      </c>
      <c r="AN34" s="1080">
        <f t="shared" si="33"/>
        <v>0</v>
      </c>
      <c r="AO34" s="1074">
        <f t="shared" si="33"/>
        <v>5118362</v>
      </c>
      <c r="AP34" s="1078">
        <f t="shared" si="33"/>
        <v>3750340</v>
      </c>
      <c r="AQ34" s="1078">
        <f t="shared" si="33"/>
        <v>0</v>
      </c>
      <c r="AR34" s="1078">
        <f t="shared" si="33"/>
        <v>1267615</v>
      </c>
      <c r="AS34" s="1078">
        <f t="shared" si="33"/>
        <v>75007</v>
      </c>
      <c r="AT34" s="1078">
        <f t="shared" si="33"/>
        <v>25400</v>
      </c>
      <c r="AU34" s="1079">
        <f t="shared" si="33"/>
        <v>9.5741999999999994</v>
      </c>
      <c r="AV34" s="1079">
        <f t="shared" si="33"/>
        <v>6</v>
      </c>
      <c r="AW34" s="1081">
        <f t="shared" si="33"/>
        <v>3.5742000000000003</v>
      </c>
      <c r="AX34" s="925"/>
    </row>
    <row r="35" spans="1:50" ht="12.95" customHeight="1" x14ac:dyDescent="0.25">
      <c r="A35" s="827">
        <v>6</v>
      </c>
      <c r="B35" s="536">
        <v>5463</v>
      </c>
      <c r="C35" s="536">
        <v>600098877</v>
      </c>
      <c r="D35" s="536">
        <v>72743786</v>
      </c>
      <c r="E35" s="535" t="s">
        <v>499</v>
      </c>
      <c r="F35" s="536">
        <v>3111</v>
      </c>
      <c r="G35" s="1057" t="s">
        <v>331</v>
      </c>
      <c r="H35" s="832" t="s">
        <v>283</v>
      </c>
      <c r="I35" s="803">
        <f>SUM(J35:M35)</f>
        <v>4838817</v>
      </c>
      <c r="J35" s="833">
        <v>3545631</v>
      </c>
      <c r="K35" s="805">
        <f>ROUND((J35)*33.8%,0)</f>
        <v>1198423</v>
      </c>
      <c r="L35" s="805">
        <f>ROUND(J35*2%,0)</f>
        <v>70913</v>
      </c>
      <c r="M35" s="833">
        <v>23850</v>
      </c>
      <c r="N35" s="834">
        <f>SUM(O35:P35)</f>
        <v>8.4197000000000006</v>
      </c>
      <c r="O35" s="1054">
        <v>6.4355000000000002</v>
      </c>
      <c r="P35" s="1055">
        <v>1.9842</v>
      </c>
      <c r="Q35" s="835">
        <f>V35*-1</f>
        <v>0</v>
      </c>
      <c r="R35" s="813">
        <v>0</v>
      </c>
      <c r="S35" s="813">
        <v>0</v>
      </c>
      <c r="T35" s="813">
        <v>0</v>
      </c>
      <c r="U35" s="813">
        <f>SUM(Q35:T35)</f>
        <v>0</v>
      </c>
      <c r="V35" s="813">
        <v>0</v>
      </c>
      <c r="W35" s="813">
        <v>0</v>
      </c>
      <c r="X35" s="813">
        <v>0</v>
      </c>
      <c r="Y35" s="813">
        <f>SUM(V35:X35)</f>
        <v>0</v>
      </c>
      <c r="Z35" s="813">
        <f>U35+Y35</f>
        <v>0</v>
      </c>
      <c r="AA35" s="809">
        <f>ROUND((U35+V35+W35)*33.8%,0)</f>
        <v>0</v>
      </c>
      <c r="AB35" s="809">
        <f>ROUND(U35*2%,0)</f>
        <v>0</v>
      </c>
      <c r="AC35" s="813">
        <v>0</v>
      </c>
      <c r="AD35" s="813">
        <v>0</v>
      </c>
      <c r="AE35" s="813">
        <f>SUM(AC35:AD35)</f>
        <v>0</v>
      </c>
      <c r="AF35" s="813">
        <f>Z35+AA35+AB35+AE35</f>
        <v>0</v>
      </c>
      <c r="AG35" s="836">
        <v>0</v>
      </c>
      <c r="AH35" s="836">
        <v>0</v>
      </c>
      <c r="AI35" s="836">
        <v>0</v>
      </c>
      <c r="AJ35" s="836">
        <v>0</v>
      </c>
      <c r="AK35" s="836">
        <v>0</v>
      </c>
      <c r="AL35" s="836">
        <f>AG35+AI35+AJ35</f>
        <v>0</v>
      </c>
      <c r="AM35" s="836">
        <f>AH35+AK35</f>
        <v>0</v>
      </c>
      <c r="AN35" s="949">
        <f>SUM(AL35:AM35)</f>
        <v>0</v>
      </c>
      <c r="AO35" s="945">
        <f>I35+AF35</f>
        <v>4838817</v>
      </c>
      <c r="AP35" s="813">
        <f>J35+U35</f>
        <v>3545631</v>
      </c>
      <c r="AQ35" s="813">
        <f>Y35</f>
        <v>0</v>
      </c>
      <c r="AR35" s="813">
        <f t="shared" ref="AR35:AS37" si="34">K35+AA35</f>
        <v>1198423</v>
      </c>
      <c r="AS35" s="813">
        <f t="shared" si="34"/>
        <v>70913</v>
      </c>
      <c r="AT35" s="813">
        <f>M35+AE35</f>
        <v>23850</v>
      </c>
      <c r="AU35" s="836">
        <f>N35+AN35</f>
        <v>8.4197000000000006</v>
      </c>
      <c r="AV35" s="836">
        <f t="shared" ref="AV35:AW37" si="35">O35+AL35</f>
        <v>6.4355000000000002</v>
      </c>
      <c r="AW35" s="837">
        <f t="shared" si="35"/>
        <v>1.9842</v>
      </c>
      <c r="AX35" s="925"/>
    </row>
    <row r="36" spans="1:50" ht="12.95" customHeight="1" x14ac:dyDescent="0.25">
      <c r="A36" s="827">
        <v>6</v>
      </c>
      <c r="B36" s="536">
        <v>5463</v>
      </c>
      <c r="C36" s="536">
        <v>600098877</v>
      </c>
      <c r="D36" s="536">
        <v>72743786</v>
      </c>
      <c r="E36" s="1056" t="s">
        <v>499</v>
      </c>
      <c r="F36" s="536">
        <v>3111</v>
      </c>
      <c r="G36" s="948" t="s">
        <v>318</v>
      </c>
      <c r="H36" s="832" t="s">
        <v>284</v>
      </c>
      <c r="I36" s="803">
        <f>SUM(J36:M36)</f>
        <v>0</v>
      </c>
      <c r="J36" s="833">
        <v>0</v>
      </c>
      <c r="K36" s="805">
        <v>0</v>
      </c>
      <c r="L36" s="805">
        <v>0</v>
      </c>
      <c r="M36" s="833">
        <v>0</v>
      </c>
      <c r="N36" s="834">
        <f>SUM(O36:P36)</f>
        <v>0</v>
      </c>
      <c r="O36" s="1054">
        <v>0</v>
      </c>
      <c r="P36" s="1055">
        <v>0</v>
      </c>
      <c r="Q36" s="835">
        <f>V36*-1</f>
        <v>0</v>
      </c>
      <c r="R36" s="833">
        <v>86611</v>
      </c>
      <c r="S36" s="813">
        <v>0</v>
      </c>
      <c r="T36" s="813">
        <v>0</v>
      </c>
      <c r="U36" s="813">
        <f>SUM(Q36:T36)</f>
        <v>86611</v>
      </c>
      <c r="V36" s="813">
        <v>0</v>
      </c>
      <c r="W36" s="813">
        <v>0</v>
      </c>
      <c r="X36" s="813">
        <v>0</v>
      </c>
      <c r="Y36" s="813">
        <f>SUM(V36:X36)</f>
        <v>0</v>
      </c>
      <c r="Z36" s="813">
        <f>U36+Y36</f>
        <v>86611</v>
      </c>
      <c r="AA36" s="809">
        <f>ROUND((U36+V36+W36)*33.8%,0)</f>
        <v>29275</v>
      </c>
      <c r="AB36" s="809">
        <f>ROUND(U36*2%,0)</f>
        <v>1732</v>
      </c>
      <c r="AC36" s="813">
        <v>0</v>
      </c>
      <c r="AD36" s="813">
        <v>0</v>
      </c>
      <c r="AE36" s="813">
        <f>SUM(AC36:AD36)</f>
        <v>0</v>
      </c>
      <c r="AF36" s="813">
        <f>Z36+AA36+AB36+AE36</f>
        <v>117618</v>
      </c>
      <c r="AG36" s="836">
        <v>0</v>
      </c>
      <c r="AH36" s="836">
        <v>0</v>
      </c>
      <c r="AI36" s="836">
        <v>0.25</v>
      </c>
      <c r="AJ36" s="836">
        <v>0</v>
      </c>
      <c r="AK36" s="836">
        <v>0</v>
      </c>
      <c r="AL36" s="836">
        <f>AG36+AI36+AJ36</f>
        <v>0.25</v>
      </c>
      <c r="AM36" s="836">
        <f>AH36+AK36</f>
        <v>0</v>
      </c>
      <c r="AN36" s="949">
        <f>SUM(AL36:AM36)</f>
        <v>0.25</v>
      </c>
      <c r="AO36" s="945">
        <f>I36+AF36</f>
        <v>117618</v>
      </c>
      <c r="AP36" s="813">
        <f>J36+U36</f>
        <v>86611</v>
      </c>
      <c r="AQ36" s="813">
        <f>Y36</f>
        <v>0</v>
      </c>
      <c r="AR36" s="813">
        <f t="shared" si="34"/>
        <v>29275</v>
      </c>
      <c r="AS36" s="813">
        <f t="shared" si="34"/>
        <v>1732</v>
      </c>
      <c r="AT36" s="813">
        <f>M36+AE36</f>
        <v>0</v>
      </c>
      <c r="AU36" s="836">
        <f>N36+AN36</f>
        <v>0.25</v>
      </c>
      <c r="AV36" s="836">
        <f t="shared" si="35"/>
        <v>0.25</v>
      </c>
      <c r="AW36" s="837">
        <f t="shared" si="35"/>
        <v>0</v>
      </c>
      <c r="AX36" s="925"/>
    </row>
    <row r="37" spans="1:50" ht="12.95" customHeight="1" x14ac:dyDescent="0.25">
      <c r="A37" s="827">
        <v>6</v>
      </c>
      <c r="B37" s="536">
        <v>5463</v>
      </c>
      <c r="C37" s="536">
        <v>600098877</v>
      </c>
      <c r="D37" s="536">
        <v>72743786</v>
      </c>
      <c r="E37" s="1056" t="s">
        <v>499</v>
      </c>
      <c r="F37" s="536">
        <v>3141</v>
      </c>
      <c r="G37" s="1057" t="s">
        <v>321</v>
      </c>
      <c r="H37" s="832" t="s">
        <v>284</v>
      </c>
      <c r="I37" s="803">
        <f>SUM(J37:M37)</f>
        <v>662794</v>
      </c>
      <c r="J37" s="833">
        <v>485803</v>
      </c>
      <c r="K37" s="805">
        <f>ROUND((J37)*33.8%,0)</f>
        <v>164201</v>
      </c>
      <c r="L37" s="805">
        <f>ROUND(J37*2%,0)</f>
        <v>9716</v>
      </c>
      <c r="M37" s="833">
        <v>3074</v>
      </c>
      <c r="N37" s="834">
        <f>SUM(O37:P37)</f>
        <v>1.65</v>
      </c>
      <c r="O37" s="1054">
        <v>0</v>
      </c>
      <c r="P37" s="1055">
        <v>1.65</v>
      </c>
      <c r="Q37" s="835">
        <f>V37*-1</f>
        <v>0</v>
      </c>
      <c r="R37" s="813">
        <v>0</v>
      </c>
      <c r="S37" s="813">
        <v>0</v>
      </c>
      <c r="T37" s="813">
        <v>0</v>
      </c>
      <c r="U37" s="813">
        <f>SUM(Q37:T37)</f>
        <v>0</v>
      </c>
      <c r="V37" s="813">
        <v>0</v>
      </c>
      <c r="W37" s="813">
        <v>0</v>
      </c>
      <c r="X37" s="813">
        <v>0</v>
      </c>
      <c r="Y37" s="813">
        <f>SUM(V37:X37)</f>
        <v>0</v>
      </c>
      <c r="Z37" s="813">
        <f>U37+Y37</f>
        <v>0</v>
      </c>
      <c r="AA37" s="809">
        <f>ROUND((U37+V37+W37)*33.8%,0)</f>
        <v>0</v>
      </c>
      <c r="AB37" s="809">
        <f>ROUND(U37*2%,0)</f>
        <v>0</v>
      </c>
      <c r="AC37" s="813">
        <v>0</v>
      </c>
      <c r="AD37" s="813">
        <v>0</v>
      </c>
      <c r="AE37" s="813">
        <f>SUM(AC37:AD37)</f>
        <v>0</v>
      </c>
      <c r="AF37" s="813">
        <f>Z37+AA37+AB37+AE37</f>
        <v>0</v>
      </c>
      <c r="AG37" s="836">
        <v>0</v>
      </c>
      <c r="AH37" s="836">
        <v>0</v>
      </c>
      <c r="AI37" s="836">
        <v>0</v>
      </c>
      <c r="AJ37" s="836">
        <v>0</v>
      </c>
      <c r="AK37" s="836">
        <v>0</v>
      </c>
      <c r="AL37" s="836">
        <f>AG37+AI37+AJ37</f>
        <v>0</v>
      </c>
      <c r="AM37" s="836">
        <f>AH37+AK37</f>
        <v>0</v>
      </c>
      <c r="AN37" s="949">
        <f>SUM(AL37:AM37)</f>
        <v>0</v>
      </c>
      <c r="AO37" s="945">
        <f>I37+AF37</f>
        <v>662794</v>
      </c>
      <c r="AP37" s="813">
        <f>J37+U37</f>
        <v>485803</v>
      </c>
      <c r="AQ37" s="813">
        <f>Y37</f>
        <v>0</v>
      </c>
      <c r="AR37" s="813">
        <f t="shared" si="34"/>
        <v>164201</v>
      </c>
      <c r="AS37" s="813">
        <f t="shared" si="34"/>
        <v>9716</v>
      </c>
      <c r="AT37" s="813">
        <f>M37+AE37</f>
        <v>3074</v>
      </c>
      <c r="AU37" s="836">
        <f>N37+AN37</f>
        <v>1.65</v>
      </c>
      <c r="AV37" s="836">
        <f t="shared" si="35"/>
        <v>0</v>
      </c>
      <c r="AW37" s="837">
        <f t="shared" si="35"/>
        <v>1.65</v>
      </c>
      <c r="AX37" s="925"/>
    </row>
    <row r="38" spans="1:50" ht="12.95" customHeight="1" x14ac:dyDescent="0.25">
      <c r="A38" s="538">
        <v>6</v>
      </c>
      <c r="B38" s="100">
        <v>5463</v>
      </c>
      <c r="C38" s="100">
        <v>600098877</v>
      </c>
      <c r="D38" s="100">
        <v>72743786</v>
      </c>
      <c r="E38" s="1058" t="s">
        <v>500</v>
      </c>
      <c r="F38" s="100"/>
      <c r="G38" s="1058"/>
      <c r="H38" s="449"/>
      <c r="I38" s="1059">
        <f t="shared" ref="I38:AW38" si="36">SUM(I35:I37)</f>
        <v>5501611</v>
      </c>
      <c r="J38" s="1060">
        <f t="shared" si="36"/>
        <v>4031434</v>
      </c>
      <c r="K38" s="1060">
        <f t="shared" si="36"/>
        <v>1362624</v>
      </c>
      <c r="L38" s="1060">
        <f t="shared" si="36"/>
        <v>80629</v>
      </c>
      <c r="M38" s="1060">
        <f t="shared" si="36"/>
        <v>26924</v>
      </c>
      <c r="N38" s="1061">
        <f t="shared" si="36"/>
        <v>10.069700000000001</v>
      </c>
      <c r="O38" s="1061">
        <f t="shared" si="36"/>
        <v>6.4355000000000002</v>
      </c>
      <c r="P38" s="1062">
        <f t="shared" si="36"/>
        <v>3.6341999999999999</v>
      </c>
      <c r="Q38" s="1060">
        <f t="shared" si="36"/>
        <v>0</v>
      </c>
      <c r="R38" s="1063">
        <f t="shared" si="36"/>
        <v>86611</v>
      </c>
      <c r="S38" s="1063">
        <f t="shared" si="36"/>
        <v>0</v>
      </c>
      <c r="T38" s="1063">
        <f t="shared" si="36"/>
        <v>0</v>
      </c>
      <c r="U38" s="1063">
        <f t="shared" si="36"/>
        <v>86611</v>
      </c>
      <c r="V38" s="1063">
        <f t="shared" si="36"/>
        <v>0</v>
      </c>
      <c r="W38" s="1063">
        <f t="shared" si="36"/>
        <v>0</v>
      </c>
      <c r="X38" s="1063">
        <f t="shared" si="36"/>
        <v>0</v>
      </c>
      <c r="Y38" s="1063">
        <f t="shared" si="36"/>
        <v>0</v>
      </c>
      <c r="Z38" s="1063">
        <f t="shared" si="36"/>
        <v>86611</v>
      </c>
      <c r="AA38" s="1063">
        <f t="shared" si="36"/>
        <v>29275</v>
      </c>
      <c r="AB38" s="1063">
        <f t="shared" si="36"/>
        <v>1732</v>
      </c>
      <c r="AC38" s="1063">
        <f t="shared" si="36"/>
        <v>0</v>
      </c>
      <c r="AD38" s="1063">
        <f t="shared" si="36"/>
        <v>0</v>
      </c>
      <c r="AE38" s="1063">
        <f t="shared" si="36"/>
        <v>0</v>
      </c>
      <c r="AF38" s="1063">
        <f t="shared" si="36"/>
        <v>117618</v>
      </c>
      <c r="AG38" s="1064">
        <f t="shared" si="36"/>
        <v>0</v>
      </c>
      <c r="AH38" s="1064">
        <f t="shared" si="36"/>
        <v>0</v>
      </c>
      <c r="AI38" s="1064">
        <f t="shared" si="36"/>
        <v>0.25</v>
      </c>
      <c r="AJ38" s="1064">
        <f t="shared" si="36"/>
        <v>0</v>
      </c>
      <c r="AK38" s="1064">
        <f t="shared" si="36"/>
        <v>0</v>
      </c>
      <c r="AL38" s="1064">
        <f t="shared" si="36"/>
        <v>0.25</v>
      </c>
      <c r="AM38" s="1064">
        <f t="shared" si="36"/>
        <v>0</v>
      </c>
      <c r="AN38" s="1065">
        <f t="shared" si="36"/>
        <v>0.25</v>
      </c>
      <c r="AO38" s="1059">
        <f t="shared" si="36"/>
        <v>5619229</v>
      </c>
      <c r="AP38" s="1063">
        <f t="shared" si="36"/>
        <v>4118045</v>
      </c>
      <c r="AQ38" s="1063">
        <f t="shared" si="36"/>
        <v>0</v>
      </c>
      <c r="AR38" s="1063">
        <f t="shared" si="36"/>
        <v>1391899</v>
      </c>
      <c r="AS38" s="1063">
        <f t="shared" si="36"/>
        <v>82361</v>
      </c>
      <c r="AT38" s="1063">
        <f t="shared" si="36"/>
        <v>26924</v>
      </c>
      <c r="AU38" s="1064">
        <f t="shared" si="36"/>
        <v>10.319700000000001</v>
      </c>
      <c r="AV38" s="1064">
        <f t="shared" si="36"/>
        <v>6.6855000000000002</v>
      </c>
      <c r="AW38" s="1067">
        <f t="shared" si="36"/>
        <v>3.6341999999999999</v>
      </c>
      <c r="AX38" s="925"/>
    </row>
    <row r="39" spans="1:50" ht="12.95" customHeight="1" x14ac:dyDescent="0.25">
      <c r="A39" s="827">
        <v>7</v>
      </c>
      <c r="B39" s="536">
        <v>5461</v>
      </c>
      <c r="C39" s="536">
        <v>600098915</v>
      </c>
      <c r="D39" s="536">
        <v>72743701</v>
      </c>
      <c r="E39" s="535" t="s">
        <v>501</v>
      </c>
      <c r="F39" s="536">
        <v>3111</v>
      </c>
      <c r="G39" s="1057" t="s">
        <v>331</v>
      </c>
      <c r="H39" s="832" t="s">
        <v>283</v>
      </c>
      <c r="I39" s="803">
        <f>SUM(J39:M39)</f>
        <v>3275618</v>
      </c>
      <c r="J39" s="833">
        <v>2397841</v>
      </c>
      <c r="K39" s="805">
        <f>ROUND((J39)*33.8%,0)</f>
        <v>810470</v>
      </c>
      <c r="L39" s="805">
        <f>ROUND(J39*2%,0)</f>
        <v>47957</v>
      </c>
      <c r="M39" s="833">
        <v>19350</v>
      </c>
      <c r="N39" s="834">
        <f>SUM(O39:P39)</f>
        <v>5.4897999999999998</v>
      </c>
      <c r="O39" s="1054">
        <v>4</v>
      </c>
      <c r="P39" s="1055">
        <v>1.4898</v>
      </c>
      <c r="Q39" s="835">
        <f>V39*-1</f>
        <v>0</v>
      </c>
      <c r="R39" s="813">
        <v>0</v>
      </c>
      <c r="S39" s="813">
        <v>0</v>
      </c>
      <c r="T39" s="813">
        <v>0</v>
      </c>
      <c r="U39" s="813">
        <f>SUM(Q39:T39)</f>
        <v>0</v>
      </c>
      <c r="V39" s="813">
        <v>0</v>
      </c>
      <c r="W39" s="813">
        <v>0</v>
      </c>
      <c r="X39" s="813">
        <v>0</v>
      </c>
      <c r="Y39" s="813">
        <f>SUM(V39:X39)</f>
        <v>0</v>
      </c>
      <c r="Z39" s="813">
        <f>U39+Y39</f>
        <v>0</v>
      </c>
      <c r="AA39" s="809">
        <f>ROUND((U39+V39+W39)*33.8%,0)</f>
        <v>0</v>
      </c>
      <c r="AB39" s="809">
        <f>ROUND(U39*2%,0)</f>
        <v>0</v>
      </c>
      <c r="AC39" s="813">
        <v>0</v>
      </c>
      <c r="AD39" s="813">
        <v>0</v>
      </c>
      <c r="AE39" s="813">
        <f>SUM(AC39:AD39)</f>
        <v>0</v>
      </c>
      <c r="AF39" s="813">
        <f>Z39+AA39+AB39+AE39</f>
        <v>0</v>
      </c>
      <c r="AG39" s="836">
        <v>0</v>
      </c>
      <c r="AH39" s="836">
        <v>0</v>
      </c>
      <c r="AI39" s="836">
        <v>0</v>
      </c>
      <c r="AJ39" s="836">
        <v>0</v>
      </c>
      <c r="AK39" s="836">
        <v>0</v>
      </c>
      <c r="AL39" s="836">
        <f>AG39+AI39+AJ39</f>
        <v>0</v>
      </c>
      <c r="AM39" s="836">
        <f>AH39+AK39</f>
        <v>0</v>
      </c>
      <c r="AN39" s="949">
        <f>SUM(AL39:AM39)</f>
        <v>0</v>
      </c>
      <c r="AO39" s="945">
        <f>I39+AF39</f>
        <v>3275618</v>
      </c>
      <c r="AP39" s="813">
        <f>J39+U39</f>
        <v>2397841</v>
      </c>
      <c r="AQ39" s="813">
        <f>Y39</f>
        <v>0</v>
      </c>
      <c r="AR39" s="813">
        <f>K39+AA39</f>
        <v>810470</v>
      </c>
      <c r="AS39" s="813">
        <f>L39+AB39</f>
        <v>47957</v>
      </c>
      <c r="AT39" s="813">
        <f>M39+AE39</f>
        <v>19350</v>
      </c>
      <c r="AU39" s="836">
        <f>N39+AN39</f>
        <v>5.4897999999999998</v>
      </c>
      <c r="AV39" s="836">
        <f>O39+AL39</f>
        <v>4</v>
      </c>
      <c r="AW39" s="837">
        <f>P39+AM39</f>
        <v>1.4898</v>
      </c>
      <c r="AX39" s="925"/>
    </row>
    <row r="40" spans="1:50" ht="12.95" customHeight="1" x14ac:dyDescent="0.25">
      <c r="A40" s="827">
        <v>7</v>
      </c>
      <c r="B40" s="1083">
        <v>5461</v>
      </c>
      <c r="C40" s="1083">
        <v>600098915</v>
      </c>
      <c r="D40" s="1083">
        <v>72743701</v>
      </c>
      <c r="E40" s="1082" t="s">
        <v>501</v>
      </c>
      <c r="F40" s="1083">
        <v>3141</v>
      </c>
      <c r="G40" s="1057" t="s">
        <v>321</v>
      </c>
      <c r="H40" s="832" t="s">
        <v>284</v>
      </c>
      <c r="I40" s="803">
        <f>SUM(J40:M40)</f>
        <v>574074</v>
      </c>
      <c r="J40" s="833">
        <v>420898</v>
      </c>
      <c r="K40" s="805">
        <f>ROUND((J40)*33.8%,0)</f>
        <v>142264</v>
      </c>
      <c r="L40" s="805">
        <f>ROUND(J40*2%,0)</f>
        <v>8418</v>
      </c>
      <c r="M40" s="833">
        <v>2494</v>
      </c>
      <c r="N40" s="834">
        <f>SUM(O40:P40)</f>
        <v>1.43</v>
      </c>
      <c r="O40" s="1054">
        <v>0</v>
      </c>
      <c r="P40" s="1055">
        <v>1.43</v>
      </c>
      <c r="Q40" s="835">
        <f>V40*-1</f>
        <v>0</v>
      </c>
      <c r="R40" s="813">
        <v>0</v>
      </c>
      <c r="S40" s="813">
        <v>0</v>
      </c>
      <c r="T40" s="813">
        <v>0</v>
      </c>
      <c r="U40" s="813">
        <f>SUM(Q40:T40)</f>
        <v>0</v>
      </c>
      <c r="V40" s="813">
        <v>0</v>
      </c>
      <c r="W40" s="813">
        <v>0</v>
      </c>
      <c r="X40" s="813">
        <v>0</v>
      </c>
      <c r="Y40" s="813">
        <f>SUM(V40:X40)</f>
        <v>0</v>
      </c>
      <c r="Z40" s="813">
        <f>U40+Y40</f>
        <v>0</v>
      </c>
      <c r="AA40" s="809">
        <f>ROUND((U40+V40+W40)*33.8%,0)</f>
        <v>0</v>
      </c>
      <c r="AB40" s="809">
        <f>ROUND(U40*2%,0)</f>
        <v>0</v>
      </c>
      <c r="AC40" s="813">
        <v>0</v>
      </c>
      <c r="AD40" s="813">
        <v>0</v>
      </c>
      <c r="AE40" s="813">
        <f>SUM(AC40:AD40)</f>
        <v>0</v>
      </c>
      <c r="AF40" s="813">
        <f>Z40+AA40+AB40+AE40</f>
        <v>0</v>
      </c>
      <c r="AG40" s="836">
        <v>0</v>
      </c>
      <c r="AH40" s="836">
        <v>0</v>
      </c>
      <c r="AI40" s="836">
        <v>0</v>
      </c>
      <c r="AJ40" s="836">
        <v>0</v>
      </c>
      <c r="AK40" s="836">
        <v>0</v>
      </c>
      <c r="AL40" s="836">
        <f>AG40+AI40+AJ40</f>
        <v>0</v>
      </c>
      <c r="AM40" s="836">
        <f>AH40+AK40</f>
        <v>0</v>
      </c>
      <c r="AN40" s="949">
        <f>SUM(AL40:AM40)</f>
        <v>0</v>
      </c>
      <c r="AO40" s="945">
        <f>I40+AF40</f>
        <v>574074</v>
      </c>
      <c r="AP40" s="813">
        <f>J40+U40</f>
        <v>420898</v>
      </c>
      <c r="AQ40" s="813">
        <f>Y40</f>
        <v>0</v>
      </c>
      <c r="AR40" s="813">
        <f>K40+AA40</f>
        <v>142264</v>
      </c>
      <c r="AS40" s="813">
        <f>L40+AB40</f>
        <v>8418</v>
      </c>
      <c r="AT40" s="813">
        <f>M40+AE40</f>
        <v>2494</v>
      </c>
      <c r="AU40" s="836">
        <f>N40+AN40</f>
        <v>1.43</v>
      </c>
      <c r="AV40" s="836">
        <f>O40+AL40</f>
        <v>0</v>
      </c>
      <c r="AW40" s="837">
        <f>P40+AM40</f>
        <v>1.43</v>
      </c>
      <c r="AX40" s="925"/>
    </row>
    <row r="41" spans="1:50" ht="12.95" customHeight="1" x14ac:dyDescent="0.25">
      <c r="A41" s="538">
        <v>7</v>
      </c>
      <c r="B41" s="102">
        <v>5461</v>
      </c>
      <c r="C41" s="102">
        <v>600098915</v>
      </c>
      <c r="D41" s="102">
        <v>72743701</v>
      </c>
      <c r="E41" s="1088" t="s">
        <v>502</v>
      </c>
      <c r="F41" s="102"/>
      <c r="G41" s="1088"/>
      <c r="H41" s="451"/>
      <c r="I41" s="820">
        <f t="shared" ref="I41:AW41" si="37">SUM(I39:I40)</f>
        <v>3849692</v>
      </c>
      <c r="J41" s="825">
        <f t="shared" si="37"/>
        <v>2818739</v>
      </c>
      <c r="K41" s="825">
        <f t="shared" si="37"/>
        <v>952734</v>
      </c>
      <c r="L41" s="825">
        <f t="shared" si="37"/>
        <v>56375</v>
      </c>
      <c r="M41" s="825">
        <f t="shared" si="37"/>
        <v>21844</v>
      </c>
      <c r="N41" s="1070">
        <f t="shared" si="37"/>
        <v>6.9197999999999995</v>
      </c>
      <c r="O41" s="1070">
        <f t="shared" si="37"/>
        <v>4</v>
      </c>
      <c r="P41" s="1071">
        <f t="shared" si="37"/>
        <v>2.9198</v>
      </c>
      <c r="Q41" s="825">
        <f t="shared" si="37"/>
        <v>0</v>
      </c>
      <c r="R41" s="821">
        <f t="shared" si="37"/>
        <v>0</v>
      </c>
      <c r="S41" s="821">
        <f t="shared" si="37"/>
        <v>0</v>
      </c>
      <c r="T41" s="821">
        <f t="shared" si="37"/>
        <v>0</v>
      </c>
      <c r="U41" s="821">
        <f t="shared" si="37"/>
        <v>0</v>
      </c>
      <c r="V41" s="821">
        <f t="shared" si="37"/>
        <v>0</v>
      </c>
      <c r="W41" s="821">
        <f t="shared" si="37"/>
        <v>0</v>
      </c>
      <c r="X41" s="821">
        <f t="shared" si="37"/>
        <v>0</v>
      </c>
      <c r="Y41" s="821">
        <f t="shared" si="37"/>
        <v>0</v>
      </c>
      <c r="Z41" s="821">
        <f t="shared" si="37"/>
        <v>0</v>
      </c>
      <c r="AA41" s="821">
        <f t="shared" si="37"/>
        <v>0</v>
      </c>
      <c r="AB41" s="821">
        <f t="shared" si="37"/>
        <v>0</v>
      </c>
      <c r="AC41" s="821">
        <f t="shared" si="37"/>
        <v>0</v>
      </c>
      <c r="AD41" s="821">
        <f t="shared" si="37"/>
        <v>0</v>
      </c>
      <c r="AE41" s="821">
        <f t="shared" si="37"/>
        <v>0</v>
      </c>
      <c r="AF41" s="821">
        <f t="shared" si="37"/>
        <v>0</v>
      </c>
      <c r="AG41" s="822">
        <f t="shared" si="37"/>
        <v>0</v>
      </c>
      <c r="AH41" s="822">
        <f t="shared" si="37"/>
        <v>0</v>
      </c>
      <c r="AI41" s="822">
        <f t="shared" si="37"/>
        <v>0</v>
      </c>
      <c r="AJ41" s="822">
        <f t="shared" si="37"/>
        <v>0</v>
      </c>
      <c r="AK41" s="822">
        <f t="shared" si="37"/>
        <v>0</v>
      </c>
      <c r="AL41" s="822">
        <f t="shared" si="37"/>
        <v>0</v>
      </c>
      <c r="AM41" s="822">
        <f t="shared" si="37"/>
        <v>0</v>
      </c>
      <c r="AN41" s="1072">
        <f t="shared" si="37"/>
        <v>0</v>
      </c>
      <c r="AO41" s="820">
        <f t="shared" si="37"/>
        <v>3849692</v>
      </c>
      <c r="AP41" s="821">
        <f t="shared" si="37"/>
        <v>2818739</v>
      </c>
      <c r="AQ41" s="821">
        <f t="shared" si="37"/>
        <v>0</v>
      </c>
      <c r="AR41" s="821">
        <f t="shared" si="37"/>
        <v>952734</v>
      </c>
      <c r="AS41" s="821">
        <f t="shared" si="37"/>
        <v>56375</v>
      </c>
      <c r="AT41" s="821">
        <f t="shared" si="37"/>
        <v>21844</v>
      </c>
      <c r="AU41" s="822">
        <f t="shared" si="37"/>
        <v>6.9197999999999995</v>
      </c>
      <c r="AV41" s="822">
        <f t="shared" si="37"/>
        <v>4</v>
      </c>
      <c r="AW41" s="824">
        <f t="shared" si="37"/>
        <v>2.9198</v>
      </c>
      <c r="AX41" s="925"/>
    </row>
    <row r="42" spans="1:50" ht="12.95" customHeight="1" x14ac:dyDescent="0.25">
      <c r="A42" s="827">
        <v>8</v>
      </c>
      <c r="B42" s="1052">
        <v>5466</v>
      </c>
      <c r="C42" s="1052">
        <v>600098885</v>
      </c>
      <c r="D42" s="1052">
        <v>72743794</v>
      </c>
      <c r="E42" s="1053" t="s">
        <v>503</v>
      </c>
      <c r="F42" s="1052">
        <v>3111</v>
      </c>
      <c r="G42" s="1057" t="s">
        <v>331</v>
      </c>
      <c r="H42" s="832" t="s">
        <v>283</v>
      </c>
      <c r="I42" s="803">
        <f>SUM(J42:M42)</f>
        <v>8354407</v>
      </c>
      <c r="J42" s="833">
        <v>6110977</v>
      </c>
      <c r="K42" s="805">
        <f>ROUND((J42)*33.8%,0)</f>
        <v>2065510</v>
      </c>
      <c r="L42" s="805">
        <f>ROUND(J42*2%,0)</f>
        <v>122220</v>
      </c>
      <c r="M42" s="833">
        <v>55700</v>
      </c>
      <c r="N42" s="834">
        <f>SUM(O42:P42)</f>
        <v>14.0092</v>
      </c>
      <c r="O42" s="1054">
        <v>10.36</v>
      </c>
      <c r="P42" s="1055">
        <v>3.6492000000000004</v>
      </c>
      <c r="Q42" s="835">
        <f>V42*-1</f>
        <v>-16000</v>
      </c>
      <c r="R42" s="813">
        <v>0</v>
      </c>
      <c r="S42" s="813">
        <v>0</v>
      </c>
      <c r="T42" s="813">
        <v>0</v>
      </c>
      <c r="U42" s="813">
        <f>SUM(Q42:T42)</f>
        <v>-16000</v>
      </c>
      <c r="V42" s="813">
        <v>16000</v>
      </c>
      <c r="W42" s="813">
        <v>0</v>
      </c>
      <c r="X42" s="813">
        <v>0</v>
      </c>
      <c r="Y42" s="813">
        <f>SUM(V42:X42)</f>
        <v>16000</v>
      </c>
      <c r="Z42" s="813">
        <f>U42+Y42</f>
        <v>0</v>
      </c>
      <c r="AA42" s="809">
        <f>ROUND((U42+V42+W42)*33.8%,0)</f>
        <v>0</v>
      </c>
      <c r="AB42" s="809">
        <f>ROUND(U42*2%,0)</f>
        <v>-320</v>
      </c>
      <c r="AC42" s="813">
        <v>0</v>
      </c>
      <c r="AD42" s="813">
        <v>0</v>
      </c>
      <c r="AE42" s="813">
        <f>SUM(AC42:AD42)</f>
        <v>0</v>
      </c>
      <c r="AF42" s="813">
        <f>Z42+AA42+AB42+AE42</f>
        <v>-320</v>
      </c>
      <c r="AG42" s="836">
        <v>0</v>
      </c>
      <c r="AH42" s="836">
        <v>0</v>
      </c>
      <c r="AI42" s="836">
        <v>0</v>
      </c>
      <c r="AJ42" s="836">
        <v>0</v>
      </c>
      <c r="AK42" s="836">
        <v>0</v>
      </c>
      <c r="AL42" s="836">
        <f>AG42+AI42+AJ42</f>
        <v>0</v>
      </c>
      <c r="AM42" s="836">
        <f>AH42+AK42</f>
        <v>0</v>
      </c>
      <c r="AN42" s="949">
        <f>SUM(AL42:AM42)</f>
        <v>0</v>
      </c>
      <c r="AO42" s="945">
        <f>I42+AF42</f>
        <v>8354087</v>
      </c>
      <c r="AP42" s="813">
        <f>J42+U42</f>
        <v>6094977</v>
      </c>
      <c r="AQ42" s="813">
        <f>Y42</f>
        <v>16000</v>
      </c>
      <c r="AR42" s="813">
        <f>K42+AA42</f>
        <v>2065510</v>
      </c>
      <c r="AS42" s="813">
        <f>L42+AB42</f>
        <v>121900</v>
      </c>
      <c r="AT42" s="813">
        <f>M42+AE42</f>
        <v>55700</v>
      </c>
      <c r="AU42" s="836">
        <f>N42+AN42</f>
        <v>14.0092</v>
      </c>
      <c r="AV42" s="836">
        <f>O42+AL42</f>
        <v>10.36</v>
      </c>
      <c r="AW42" s="837">
        <f>P42+AM42</f>
        <v>3.6492000000000004</v>
      </c>
      <c r="AX42" s="925"/>
    </row>
    <row r="43" spans="1:50" ht="12.95" customHeight="1" x14ac:dyDescent="0.25">
      <c r="A43" s="827">
        <v>8</v>
      </c>
      <c r="B43" s="536">
        <v>5466</v>
      </c>
      <c r="C43" s="536">
        <v>600098885</v>
      </c>
      <c r="D43" s="536">
        <v>72743794</v>
      </c>
      <c r="E43" s="1056" t="s">
        <v>503</v>
      </c>
      <c r="F43" s="536">
        <v>3141</v>
      </c>
      <c r="G43" s="1057" t="s">
        <v>321</v>
      </c>
      <c r="H43" s="832" t="s">
        <v>284</v>
      </c>
      <c r="I43" s="803">
        <f>SUM(J43:M43)</f>
        <v>1039205</v>
      </c>
      <c r="J43" s="833">
        <v>760890</v>
      </c>
      <c r="K43" s="805">
        <f>ROUND((J43)*33.8%,0)</f>
        <v>257181</v>
      </c>
      <c r="L43" s="805">
        <f>ROUND(J43*2%,0)</f>
        <v>15218</v>
      </c>
      <c r="M43" s="833">
        <v>5916</v>
      </c>
      <c r="N43" s="834">
        <f>SUM(O43:P43)</f>
        <v>2.59</v>
      </c>
      <c r="O43" s="1054">
        <v>0</v>
      </c>
      <c r="P43" s="1055">
        <v>2.59</v>
      </c>
      <c r="Q43" s="835">
        <f>V43*-1</f>
        <v>0</v>
      </c>
      <c r="R43" s="813">
        <v>0</v>
      </c>
      <c r="S43" s="813">
        <v>0</v>
      </c>
      <c r="T43" s="813">
        <v>0</v>
      </c>
      <c r="U43" s="813">
        <f>SUM(Q43:T43)</f>
        <v>0</v>
      </c>
      <c r="V43" s="813">
        <v>0</v>
      </c>
      <c r="W43" s="813">
        <v>0</v>
      </c>
      <c r="X43" s="813">
        <v>0</v>
      </c>
      <c r="Y43" s="813">
        <f>SUM(V43:X43)</f>
        <v>0</v>
      </c>
      <c r="Z43" s="813">
        <f>U43+Y43</f>
        <v>0</v>
      </c>
      <c r="AA43" s="809">
        <f>ROUND((U43+V43+W43)*33.8%,0)</f>
        <v>0</v>
      </c>
      <c r="AB43" s="809">
        <f>ROUND(U43*2%,0)</f>
        <v>0</v>
      </c>
      <c r="AC43" s="813">
        <v>0</v>
      </c>
      <c r="AD43" s="813">
        <v>0</v>
      </c>
      <c r="AE43" s="813">
        <f>SUM(AC43:AD43)</f>
        <v>0</v>
      </c>
      <c r="AF43" s="813">
        <f>Z43+AA43+AB43+AE43</f>
        <v>0</v>
      </c>
      <c r="AG43" s="836">
        <v>0</v>
      </c>
      <c r="AH43" s="836">
        <v>0</v>
      </c>
      <c r="AI43" s="836">
        <v>0</v>
      </c>
      <c r="AJ43" s="836">
        <v>0</v>
      </c>
      <c r="AK43" s="836">
        <v>0</v>
      </c>
      <c r="AL43" s="836">
        <f>AG43+AI43+AJ43</f>
        <v>0</v>
      </c>
      <c r="AM43" s="836">
        <f>AH43+AK43</f>
        <v>0</v>
      </c>
      <c r="AN43" s="949">
        <f>SUM(AL43:AM43)</f>
        <v>0</v>
      </c>
      <c r="AO43" s="945">
        <f>I43+AF43</f>
        <v>1039205</v>
      </c>
      <c r="AP43" s="813">
        <f>J43+U43</f>
        <v>760890</v>
      </c>
      <c r="AQ43" s="813">
        <f>Y43</f>
        <v>0</v>
      </c>
      <c r="AR43" s="813">
        <f>K43+AA43</f>
        <v>257181</v>
      </c>
      <c r="AS43" s="813">
        <f>L43+AB43</f>
        <v>15218</v>
      </c>
      <c r="AT43" s="813">
        <f>M43+AE43</f>
        <v>5916</v>
      </c>
      <c r="AU43" s="836">
        <f>N43+AN43</f>
        <v>2.59</v>
      </c>
      <c r="AV43" s="836">
        <f>O43+AL43</f>
        <v>0</v>
      </c>
      <c r="AW43" s="837">
        <f>P43+AM43</f>
        <v>2.59</v>
      </c>
      <c r="AX43" s="925"/>
    </row>
    <row r="44" spans="1:50" ht="12.95" customHeight="1" x14ac:dyDescent="0.25">
      <c r="A44" s="538">
        <v>8</v>
      </c>
      <c r="B44" s="100">
        <v>5466</v>
      </c>
      <c r="C44" s="100">
        <v>600098885</v>
      </c>
      <c r="D44" s="100">
        <v>72743794</v>
      </c>
      <c r="E44" s="1058" t="s">
        <v>504</v>
      </c>
      <c r="F44" s="100"/>
      <c r="G44" s="1058"/>
      <c r="H44" s="449"/>
      <c r="I44" s="820">
        <f t="shared" ref="I44:AW44" si="38">SUM(I42:I43)</f>
        <v>9393612</v>
      </c>
      <c r="J44" s="825">
        <f t="shared" si="38"/>
        <v>6871867</v>
      </c>
      <c r="K44" s="825">
        <f t="shared" si="38"/>
        <v>2322691</v>
      </c>
      <c r="L44" s="825">
        <f t="shared" si="38"/>
        <v>137438</v>
      </c>
      <c r="M44" s="825">
        <f t="shared" si="38"/>
        <v>61616</v>
      </c>
      <c r="N44" s="1070">
        <f t="shared" si="38"/>
        <v>16.5992</v>
      </c>
      <c r="O44" s="1070">
        <f t="shared" si="38"/>
        <v>10.36</v>
      </c>
      <c r="P44" s="1071">
        <f t="shared" si="38"/>
        <v>6.2392000000000003</v>
      </c>
      <c r="Q44" s="825">
        <f t="shared" si="38"/>
        <v>-16000</v>
      </c>
      <c r="R44" s="821">
        <f t="shared" si="38"/>
        <v>0</v>
      </c>
      <c r="S44" s="821">
        <f t="shared" si="38"/>
        <v>0</v>
      </c>
      <c r="T44" s="821">
        <f t="shared" si="38"/>
        <v>0</v>
      </c>
      <c r="U44" s="821">
        <f t="shared" si="38"/>
        <v>-16000</v>
      </c>
      <c r="V44" s="821">
        <f t="shared" si="38"/>
        <v>16000</v>
      </c>
      <c r="W44" s="821">
        <f t="shared" si="38"/>
        <v>0</v>
      </c>
      <c r="X44" s="821">
        <f t="shared" si="38"/>
        <v>0</v>
      </c>
      <c r="Y44" s="821">
        <f t="shared" si="38"/>
        <v>16000</v>
      </c>
      <c r="Z44" s="821">
        <f t="shared" si="38"/>
        <v>0</v>
      </c>
      <c r="AA44" s="821">
        <f t="shared" si="38"/>
        <v>0</v>
      </c>
      <c r="AB44" s="821">
        <f t="shared" si="38"/>
        <v>-320</v>
      </c>
      <c r="AC44" s="821">
        <f t="shared" si="38"/>
        <v>0</v>
      </c>
      <c r="AD44" s="821">
        <f t="shared" si="38"/>
        <v>0</v>
      </c>
      <c r="AE44" s="821">
        <f t="shared" si="38"/>
        <v>0</v>
      </c>
      <c r="AF44" s="821">
        <f t="shared" si="38"/>
        <v>-320</v>
      </c>
      <c r="AG44" s="822">
        <f t="shared" si="38"/>
        <v>0</v>
      </c>
      <c r="AH44" s="822">
        <f t="shared" si="38"/>
        <v>0</v>
      </c>
      <c r="AI44" s="822">
        <f t="shared" si="38"/>
        <v>0</v>
      </c>
      <c r="AJ44" s="822">
        <f t="shared" si="38"/>
        <v>0</v>
      </c>
      <c r="AK44" s="822">
        <f t="shared" si="38"/>
        <v>0</v>
      </c>
      <c r="AL44" s="822">
        <f t="shared" si="38"/>
        <v>0</v>
      </c>
      <c r="AM44" s="822">
        <f t="shared" si="38"/>
        <v>0</v>
      </c>
      <c r="AN44" s="1072">
        <f t="shared" si="38"/>
        <v>0</v>
      </c>
      <c r="AO44" s="820">
        <f t="shared" si="38"/>
        <v>9393292</v>
      </c>
      <c r="AP44" s="821">
        <f t="shared" si="38"/>
        <v>6855867</v>
      </c>
      <c r="AQ44" s="821">
        <f t="shared" si="38"/>
        <v>16000</v>
      </c>
      <c r="AR44" s="821">
        <f t="shared" si="38"/>
        <v>2322691</v>
      </c>
      <c r="AS44" s="821">
        <f t="shared" si="38"/>
        <v>137118</v>
      </c>
      <c r="AT44" s="821">
        <f t="shared" si="38"/>
        <v>61616</v>
      </c>
      <c r="AU44" s="822">
        <f t="shared" si="38"/>
        <v>16.5992</v>
      </c>
      <c r="AV44" s="822">
        <f t="shared" si="38"/>
        <v>10.36</v>
      </c>
      <c r="AW44" s="824">
        <f t="shared" si="38"/>
        <v>6.2392000000000003</v>
      </c>
      <c r="AX44" s="925"/>
    </row>
    <row r="45" spans="1:50" ht="12.95" customHeight="1" x14ac:dyDescent="0.25">
      <c r="A45" s="827">
        <v>9</v>
      </c>
      <c r="B45" s="536">
        <v>5702</v>
      </c>
      <c r="C45" s="536">
        <v>600099547</v>
      </c>
      <c r="D45" s="536">
        <v>855022</v>
      </c>
      <c r="E45" s="1053" t="s">
        <v>505</v>
      </c>
      <c r="F45" s="1084">
        <v>3233</v>
      </c>
      <c r="G45" s="1053" t="s">
        <v>413</v>
      </c>
      <c r="H45" s="832" t="s">
        <v>284</v>
      </c>
      <c r="I45" s="803">
        <f>SUM(J45:M45)</f>
        <v>3696760</v>
      </c>
      <c r="J45" s="833">
        <v>2695676</v>
      </c>
      <c r="K45" s="805">
        <f>ROUND((J45)*33.8%,0)</f>
        <v>911138</v>
      </c>
      <c r="L45" s="805">
        <f>ROUND(J45*2%,0)</f>
        <v>53914</v>
      </c>
      <c r="M45" s="833">
        <v>36032</v>
      </c>
      <c r="N45" s="834">
        <f>SUM(O45:P45)</f>
        <v>6.24</v>
      </c>
      <c r="O45" s="1054">
        <v>4.01</v>
      </c>
      <c r="P45" s="1055">
        <v>2.23</v>
      </c>
      <c r="Q45" s="835">
        <f>V45*-1</f>
        <v>0</v>
      </c>
      <c r="R45" s="813">
        <v>0</v>
      </c>
      <c r="S45" s="813">
        <v>0</v>
      </c>
      <c r="T45" s="813">
        <v>0</v>
      </c>
      <c r="U45" s="813">
        <f>SUM(Q45:T45)</f>
        <v>0</v>
      </c>
      <c r="V45" s="813">
        <v>0</v>
      </c>
      <c r="W45" s="813">
        <v>0</v>
      </c>
      <c r="X45" s="813">
        <v>0</v>
      </c>
      <c r="Y45" s="813">
        <f>SUM(V45:X45)</f>
        <v>0</v>
      </c>
      <c r="Z45" s="813">
        <f>U45+Y45</f>
        <v>0</v>
      </c>
      <c r="AA45" s="809">
        <f>ROUND((U45+V45)*33.8%,0)</f>
        <v>0</v>
      </c>
      <c r="AB45" s="809">
        <f>ROUND(U45*2%,0)</f>
        <v>0</v>
      </c>
      <c r="AC45" s="813">
        <v>0</v>
      </c>
      <c r="AD45" s="813">
        <v>0</v>
      </c>
      <c r="AE45" s="813">
        <f>SUM(AC45:AD45)</f>
        <v>0</v>
      </c>
      <c r="AF45" s="813">
        <f>Z45+AA45+AB45+AE45</f>
        <v>0</v>
      </c>
      <c r="AG45" s="836">
        <v>0</v>
      </c>
      <c r="AH45" s="836">
        <v>0</v>
      </c>
      <c r="AI45" s="836">
        <v>0</v>
      </c>
      <c r="AJ45" s="836">
        <v>0</v>
      </c>
      <c r="AK45" s="836">
        <v>0</v>
      </c>
      <c r="AL45" s="836">
        <f>AG45+AI45+AJ45</f>
        <v>0</v>
      </c>
      <c r="AM45" s="836">
        <f>AH45+AK45</f>
        <v>0</v>
      </c>
      <c r="AN45" s="949">
        <f>SUM(AL45:AM45)</f>
        <v>0</v>
      </c>
      <c r="AO45" s="945">
        <f>I45+AF45</f>
        <v>3696760</v>
      </c>
      <c r="AP45" s="813">
        <f>J45+U45</f>
        <v>2695676</v>
      </c>
      <c r="AQ45" s="813">
        <f>Y45</f>
        <v>0</v>
      </c>
      <c r="AR45" s="813">
        <f>K45+AA45</f>
        <v>911138</v>
      </c>
      <c r="AS45" s="813">
        <f>L45+AB45</f>
        <v>53914</v>
      </c>
      <c r="AT45" s="813">
        <f>M45+AE45</f>
        <v>36032</v>
      </c>
      <c r="AU45" s="836">
        <f>N45+AN45</f>
        <v>6.24</v>
      </c>
      <c r="AV45" s="836">
        <f>O45+AL45</f>
        <v>4.01</v>
      </c>
      <c r="AW45" s="837">
        <f>P45+AM45</f>
        <v>2.23</v>
      </c>
      <c r="AX45" s="925"/>
    </row>
    <row r="46" spans="1:50" ht="12.95" customHeight="1" x14ac:dyDescent="0.25">
      <c r="A46" s="538">
        <v>9</v>
      </c>
      <c r="B46" s="100">
        <v>5702</v>
      </c>
      <c r="C46" s="100">
        <v>600099547</v>
      </c>
      <c r="D46" s="100">
        <v>855022</v>
      </c>
      <c r="E46" s="1085" t="s">
        <v>506</v>
      </c>
      <c r="F46" s="1086"/>
      <c r="G46" s="1085"/>
      <c r="H46" s="1087"/>
      <c r="I46" s="1059">
        <f t="shared" ref="I46:AW46" si="39">SUM(I45)</f>
        <v>3696760</v>
      </c>
      <c r="J46" s="1060">
        <f t="shared" si="39"/>
        <v>2695676</v>
      </c>
      <c r="K46" s="1060">
        <f t="shared" si="39"/>
        <v>911138</v>
      </c>
      <c r="L46" s="1060">
        <f t="shared" si="39"/>
        <v>53914</v>
      </c>
      <c r="M46" s="1060">
        <f t="shared" si="39"/>
        <v>36032</v>
      </c>
      <c r="N46" s="1061">
        <f t="shared" si="39"/>
        <v>6.24</v>
      </c>
      <c r="O46" s="1061">
        <f t="shared" si="39"/>
        <v>4.01</v>
      </c>
      <c r="P46" s="1062">
        <f t="shared" si="39"/>
        <v>2.23</v>
      </c>
      <c r="Q46" s="1060">
        <f t="shared" si="39"/>
        <v>0</v>
      </c>
      <c r="R46" s="1063">
        <f t="shared" si="39"/>
        <v>0</v>
      </c>
      <c r="S46" s="1063">
        <f t="shared" si="39"/>
        <v>0</v>
      </c>
      <c r="T46" s="1063">
        <f t="shared" si="39"/>
        <v>0</v>
      </c>
      <c r="U46" s="1063">
        <f t="shared" si="39"/>
        <v>0</v>
      </c>
      <c r="V46" s="1063">
        <f t="shared" si="39"/>
        <v>0</v>
      </c>
      <c r="W46" s="1063">
        <f t="shared" si="39"/>
        <v>0</v>
      </c>
      <c r="X46" s="1063">
        <f t="shared" si="39"/>
        <v>0</v>
      </c>
      <c r="Y46" s="1063">
        <f t="shared" si="39"/>
        <v>0</v>
      </c>
      <c r="Z46" s="1063">
        <f t="shared" si="39"/>
        <v>0</v>
      </c>
      <c r="AA46" s="1063">
        <f t="shared" si="39"/>
        <v>0</v>
      </c>
      <c r="AB46" s="1063">
        <f t="shared" si="39"/>
        <v>0</v>
      </c>
      <c r="AC46" s="1063">
        <f t="shared" si="39"/>
        <v>0</v>
      </c>
      <c r="AD46" s="1063">
        <f t="shared" si="39"/>
        <v>0</v>
      </c>
      <c r="AE46" s="1063">
        <f t="shared" si="39"/>
        <v>0</v>
      </c>
      <c r="AF46" s="1063">
        <f t="shared" si="39"/>
        <v>0</v>
      </c>
      <c r="AG46" s="1064">
        <f t="shared" si="39"/>
        <v>0</v>
      </c>
      <c r="AH46" s="1064">
        <f t="shared" si="39"/>
        <v>0</v>
      </c>
      <c r="AI46" s="1064">
        <f t="shared" si="39"/>
        <v>0</v>
      </c>
      <c r="AJ46" s="1064">
        <f t="shared" si="39"/>
        <v>0</v>
      </c>
      <c r="AK46" s="1064">
        <f t="shared" si="39"/>
        <v>0</v>
      </c>
      <c r="AL46" s="1064">
        <f t="shared" si="39"/>
        <v>0</v>
      </c>
      <c r="AM46" s="1064">
        <f t="shared" si="39"/>
        <v>0</v>
      </c>
      <c r="AN46" s="1065">
        <f t="shared" si="39"/>
        <v>0</v>
      </c>
      <c r="AO46" s="1059">
        <f t="shared" si="39"/>
        <v>3696760</v>
      </c>
      <c r="AP46" s="1063">
        <f t="shared" si="39"/>
        <v>2695676</v>
      </c>
      <c r="AQ46" s="1063">
        <f t="shared" si="39"/>
        <v>0</v>
      </c>
      <c r="AR46" s="1063">
        <f t="shared" si="39"/>
        <v>911138</v>
      </c>
      <c r="AS46" s="1063">
        <f t="shared" si="39"/>
        <v>53914</v>
      </c>
      <c r="AT46" s="1063">
        <f t="shared" si="39"/>
        <v>36032</v>
      </c>
      <c r="AU46" s="1064">
        <f t="shared" si="39"/>
        <v>6.24</v>
      </c>
      <c r="AV46" s="1064">
        <f t="shared" si="39"/>
        <v>4.01</v>
      </c>
      <c r="AW46" s="1067">
        <f t="shared" si="39"/>
        <v>2.23</v>
      </c>
      <c r="AX46" s="925"/>
    </row>
    <row r="47" spans="1:50" ht="12.95" customHeight="1" x14ac:dyDescent="0.25">
      <c r="A47" s="827">
        <v>10</v>
      </c>
      <c r="B47" s="536">
        <v>5458</v>
      </c>
      <c r="C47" s="536">
        <v>600099288</v>
      </c>
      <c r="D47" s="536">
        <v>856126</v>
      </c>
      <c r="E47" s="1056" t="s">
        <v>507</v>
      </c>
      <c r="F47" s="536">
        <v>3113</v>
      </c>
      <c r="G47" s="1056" t="s">
        <v>335</v>
      </c>
      <c r="H47" s="832" t="s">
        <v>283</v>
      </c>
      <c r="I47" s="803">
        <f>SUM(J47:M47)</f>
        <v>35775027</v>
      </c>
      <c r="J47" s="833">
        <v>25732656</v>
      </c>
      <c r="K47" s="805">
        <f>ROUND((J47)*33.8%,0)</f>
        <v>8697638</v>
      </c>
      <c r="L47" s="805">
        <f>ROUND(J47*2%,0)</f>
        <v>514653</v>
      </c>
      <c r="M47" s="833">
        <v>830080</v>
      </c>
      <c r="N47" s="834">
        <f>SUM(O47:P47)</f>
        <v>46.397300000000001</v>
      </c>
      <c r="O47" s="1054">
        <v>35.8215</v>
      </c>
      <c r="P47" s="1055">
        <v>10.575800000000001</v>
      </c>
      <c r="Q47" s="835">
        <f>V47*-1</f>
        <v>-280000</v>
      </c>
      <c r="R47" s="813">
        <v>0</v>
      </c>
      <c r="S47" s="813">
        <v>0</v>
      </c>
      <c r="T47" s="813">
        <v>0</v>
      </c>
      <c r="U47" s="813">
        <f>SUM(Q47:T47)</f>
        <v>-280000</v>
      </c>
      <c r="V47" s="813">
        <v>280000</v>
      </c>
      <c r="W47" s="813">
        <v>0</v>
      </c>
      <c r="X47" s="813">
        <v>0</v>
      </c>
      <c r="Y47" s="813">
        <f>SUM(V47:X47)</f>
        <v>280000</v>
      </c>
      <c r="Z47" s="813">
        <f>U47+Y47</f>
        <v>0</v>
      </c>
      <c r="AA47" s="809">
        <f>ROUND((U47+V47+W47)*33.8%,0)</f>
        <v>0</v>
      </c>
      <c r="AB47" s="809">
        <f>ROUND(U47*2%,0)</f>
        <v>-5600</v>
      </c>
      <c r="AC47" s="813">
        <v>0</v>
      </c>
      <c r="AD47" s="813">
        <v>0</v>
      </c>
      <c r="AE47" s="813">
        <f>SUM(AC47:AD47)</f>
        <v>0</v>
      </c>
      <c r="AF47" s="813">
        <f>Z47+AA47+AB47+AE47</f>
        <v>-5600</v>
      </c>
      <c r="AG47" s="836">
        <v>-0.33</v>
      </c>
      <c r="AH47" s="836">
        <v>-0.17</v>
      </c>
      <c r="AI47" s="836">
        <v>0</v>
      </c>
      <c r="AJ47" s="836">
        <v>0</v>
      </c>
      <c r="AK47" s="836">
        <v>0</v>
      </c>
      <c r="AL47" s="836">
        <f>AG47+AI47+AJ47</f>
        <v>-0.33</v>
      </c>
      <c r="AM47" s="836">
        <f>AH47+AK47</f>
        <v>-0.17</v>
      </c>
      <c r="AN47" s="949">
        <f>SUM(AL47:AM47)</f>
        <v>-0.5</v>
      </c>
      <c r="AO47" s="945">
        <f>I47+AF47</f>
        <v>35769427</v>
      </c>
      <c r="AP47" s="813">
        <f>J47+U47</f>
        <v>25452656</v>
      </c>
      <c r="AQ47" s="813">
        <f>Y47</f>
        <v>280000</v>
      </c>
      <c r="AR47" s="813">
        <f t="shared" ref="AR47:AS51" si="40">K47+AA47</f>
        <v>8697638</v>
      </c>
      <c r="AS47" s="813">
        <f t="shared" si="40"/>
        <v>509053</v>
      </c>
      <c r="AT47" s="813">
        <f>M47+AE47</f>
        <v>830080</v>
      </c>
      <c r="AU47" s="836">
        <f>N47+AN47</f>
        <v>45.897300000000001</v>
      </c>
      <c r="AV47" s="836">
        <f t="shared" ref="AV47:AW51" si="41">O47+AL47</f>
        <v>35.491500000000002</v>
      </c>
      <c r="AW47" s="837">
        <f t="shared" si="41"/>
        <v>10.405800000000001</v>
      </c>
      <c r="AX47" s="925"/>
    </row>
    <row r="48" spans="1:50" ht="12.95" customHeight="1" x14ac:dyDescent="0.25">
      <c r="A48" s="827">
        <v>10</v>
      </c>
      <c r="B48" s="536">
        <v>5458</v>
      </c>
      <c r="C48" s="536">
        <v>600099288</v>
      </c>
      <c r="D48" s="536">
        <v>856126</v>
      </c>
      <c r="E48" s="1056" t="s">
        <v>507</v>
      </c>
      <c r="F48" s="536">
        <v>3113</v>
      </c>
      <c r="G48" s="948" t="s">
        <v>318</v>
      </c>
      <c r="H48" s="832" t="s">
        <v>284</v>
      </c>
      <c r="I48" s="803">
        <f>SUM(J48:M48)</f>
        <v>0</v>
      </c>
      <c r="J48" s="833">
        <v>0</v>
      </c>
      <c r="K48" s="805">
        <v>0</v>
      </c>
      <c r="L48" s="805">
        <v>0</v>
      </c>
      <c r="M48" s="833">
        <v>0</v>
      </c>
      <c r="N48" s="834">
        <f>SUM(O48:P48)</f>
        <v>0</v>
      </c>
      <c r="O48" s="1054">
        <v>0</v>
      </c>
      <c r="P48" s="1055">
        <v>0</v>
      </c>
      <c r="Q48" s="835">
        <f>V48*-1</f>
        <v>0</v>
      </c>
      <c r="R48" s="833">
        <f>1347882-42416+118401</f>
        <v>1423867</v>
      </c>
      <c r="S48" s="813">
        <v>0</v>
      </c>
      <c r="T48" s="813">
        <v>0</v>
      </c>
      <c r="U48" s="813">
        <f>SUM(Q48:T48)</f>
        <v>1423867</v>
      </c>
      <c r="V48" s="813">
        <v>0</v>
      </c>
      <c r="W48" s="813">
        <v>0</v>
      </c>
      <c r="X48" s="813">
        <v>0</v>
      </c>
      <c r="Y48" s="813">
        <f>SUM(V48:X48)</f>
        <v>0</v>
      </c>
      <c r="Z48" s="813">
        <f>U48+Y48</f>
        <v>1423867</v>
      </c>
      <c r="AA48" s="809">
        <f>ROUND((U48+V48+W48)*33.8%,0)</f>
        <v>481267</v>
      </c>
      <c r="AB48" s="809">
        <f>ROUND(U48*2%,0)</f>
        <v>28477</v>
      </c>
      <c r="AC48" s="813">
        <v>0</v>
      </c>
      <c r="AD48" s="813">
        <v>0</v>
      </c>
      <c r="AE48" s="813">
        <f>SUM(AC48:AD48)</f>
        <v>0</v>
      </c>
      <c r="AF48" s="813">
        <f>Z48+AA48+AB48+AE48</f>
        <v>1933611</v>
      </c>
      <c r="AG48" s="836">
        <v>0</v>
      </c>
      <c r="AH48" s="836">
        <v>0</v>
      </c>
      <c r="AI48" s="836">
        <f>3.64-0.09+0.33</f>
        <v>3.8800000000000003</v>
      </c>
      <c r="AJ48" s="836">
        <v>0</v>
      </c>
      <c r="AK48" s="836">
        <v>0</v>
      </c>
      <c r="AL48" s="836">
        <f>AG48+AI48+AJ48</f>
        <v>3.8800000000000003</v>
      </c>
      <c r="AM48" s="836">
        <f>AH48+AK48</f>
        <v>0</v>
      </c>
      <c r="AN48" s="949">
        <f>SUM(AL48:AM48)</f>
        <v>3.8800000000000003</v>
      </c>
      <c r="AO48" s="945">
        <f>I48+AF48</f>
        <v>1933611</v>
      </c>
      <c r="AP48" s="813">
        <f>J48+U48</f>
        <v>1423867</v>
      </c>
      <c r="AQ48" s="813">
        <f>Y48</f>
        <v>0</v>
      </c>
      <c r="AR48" s="813">
        <f t="shared" si="40"/>
        <v>481267</v>
      </c>
      <c r="AS48" s="813">
        <f t="shared" si="40"/>
        <v>28477</v>
      </c>
      <c r="AT48" s="813">
        <f>M48+AE48</f>
        <v>0</v>
      </c>
      <c r="AU48" s="836">
        <f>N48+AN48</f>
        <v>3.8800000000000003</v>
      </c>
      <c r="AV48" s="836">
        <f t="shared" si="41"/>
        <v>3.8800000000000003</v>
      </c>
      <c r="AW48" s="837">
        <f t="shared" si="41"/>
        <v>0</v>
      </c>
      <c r="AX48" s="925"/>
    </row>
    <row r="49" spans="1:50" ht="12.95" customHeight="1" x14ac:dyDescent="0.25">
      <c r="A49" s="827">
        <v>10</v>
      </c>
      <c r="B49" s="536">
        <v>5458</v>
      </c>
      <c r="C49" s="536">
        <v>600099288</v>
      </c>
      <c r="D49" s="536">
        <v>856126</v>
      </c>
      <c r="E49" s="1053" t="s">
        <v>507</v>
      </c>
      <c r="F49" s="1084">
        <v>3141</v>
      </c>
      <c r="G49" s="1057" t="s">
        <v>321</v>
      </c>
      <c r="H49" s="832" t="s">
        <v>284</v>
      </c>
      <c r="I49" s="803">
        <f>SUM(J49:M49)</f>
        <v>3311237</v>
      </c>
      <c r="J49" s="833">
        <v>2413333</v>
      </c>
      <c r="K49" s="805">
        <f>ROUND((J49)*33.8%,0)</f>
        <v>815707</v>
      </c>
      <c r="L49" s="805">
        <f>ROUND(J49*2%,0)</f>
        <v>48267</v>
      </c>
      <c r="M49" s="833">
        <v>33930</v>
      </c>
      <c r="N49" s="834">
        <f>SUM(O49:P49)</f>
        <v>8.2100000000000009</v>
      </c>
      <c r="O49" s="1054">
        <v>0</v>
      </c>
      <c r="P49" s="1055">
        <v>8.2100000000000009</v>
      </c>
      <c r="Q49" s="835">
        <f>V49*-1</f>
        <v>0</v>
      </c>
      <c r="R49" s="813">
        <v>0</v>
      </c>
      <c r="S49" s="813">
        <v>0</v>
      </c>
      <c r="T49" s="813">
        <v>0</v>
      </c>
      <c r="U49" s="813">
        <f>SUM(Q49:T49)</f>
        <v>0</v>
      </c>
      <c r="V49" s="813">
        <v>0</v>
      </c>
      <c r="W49" s="813">
        <v>0</v>
      </c>
      <c r="X49" s="813">
        <v>0</v>
      </c>
      <c r="Y49" s="813">
        <f>SUM(V49:X49)</f>
        <v>0</v>
      </c>
      <c r="Z49" s="813">
        <f>U49+Y49</f>
        <v>0</v>
      </c>
      <c r="AA49" s="809">
        <f>ROUND((U49+V49+W49)*33.8%,0)</f>
        <v>0</v>
      </c>
      <c r="AB49" s="809">
        <f>ROUND(U49*2%,0)</f>
        <v>0</v>
      </c>
      <c r="AC49" s="813">
        <v>0</v>
      </c>
      <c r="AD49" s="813">
        <v>0</v>
      </c>
      <c r="AE49" s="813">
        <f>SUM(AC49:AD49)</f>
        <v>0</v>
      </c>
      <c r="AF49" s="813">
        <f>Z49+AA49+AB49+AE49</f>
        <v>0</v>
      </c>
      <c r="AG49" s="836">
        <v>0</v>
      </c>
      <c r="AH49" s="836">
        <v>0</v>
      </c>
      <c r="AI49" s="836">
        <v>0</v>
      </c>
      <c r="AJ49" s="836">
        <v>0</v>
      </c>
      <c r="AK49" s="836">
        <v>0</v>
      </c>
      <c r="AL49" s="836">
        <f>AG49+AI49+AJ49</f>
        <v>0</v>
      </c>
      <c r="AM49" s="836">
        <f>AH49+AK49</f>
        <v>0</v>
      </c>
      <c r="AN49" s="949">
        <f>SUM(AL49:AM49)</f>
        <v>0</v>
      </c>
      <c r="AO49" s="945">
        <f>I49+AF49</f>
        <v>3311237</v>
      </c>
      <c r="AP49" s="813">
        <f>J49+U49</f>
        <v>2413333</v>
      </c>
      <c r="AQ49" s="813">
        <f>Y49</f>
        <v>0</v>
      </c>
      <c r="AR49" s="813">
        <f t="shared" si="40"/>
        <v>815707</v>
      </c>
      <c r="AS49" s="813">
        <f t="shared" si="40"/>
        <v>48267</v>
      </c>
      <c r="AT49" s="813">
        <f>M49+AE49</f>
        <v>33930</v>
      </c>
      <c r="AU49" s="836">
        <f>N49+AN49</f>
        <v>8.2100000000000009</v>
      </c>
      <c r="AV49" s="836">
        <f t="shared" si="41"/>
        <v>0</v>
      </c>
      <c r="AW49" s="837">
        <f t="shared" si="41"/>
        <v>8.2100000000000009</v>
      </c>
      <c r="AX49" s="925"/>
    </row>
    <row r="50" spans="1:50" ht="12.95" customHeight="1" x14ac:dyDescent="0.25">
      <c r="A50" s="827">
        <v>10</v>
      </c>
      <c r="B50" s="536">
        <v>5458</v>
      </c>
      <c r="C50" s="536">
        <v>600099288</v>
      </c>
      <c r="D50" s="536">
        <v>856126</v>
      </c>
      <c r="E50" s="1056" t="s">
        <v>507</v>
      </c>
      <c r="F50" s="536">
        <v>3143</v>
      </c>
      <c r="G50" s="948" t="s">
        <v>635</v>
      </c>
      <c r="H50" s="832" t="s">
        <v>283</v>
      </c>
      <c r="I50" s="803">
        <f>SUM(J50:M50)</f>
        <v>2831552</v>
      </c>
      <c r="J50" s="833">
        <v>2085090</v>
      </c>
      <c r="K50" s="805">
        <f>ROUND((J50)*33.8%,0)</f>
        <v>704760</v>
      </c>
      <c r="L50" s="805">
        <f>ROUND(J50*2%,0)</f>
        <v>41702</v>
      </c>
      <c r="M50" s="833">
        <v>0</v>
      </c>
      <c r="N50" s="834">
        <f>SUM(O50:P50)</f>
        <v>4.3948999999999998</v>
      </c>
      <c r="O50" s="1054">
        <v>4.3948999999999998</v>
      </c>
      <c r="P50" s="1055">
        <v>0</v>
      </c>
      <c r="Q50" s="835">
        <f>V50*-1</f>
        <v>0</v>
      </c>
      <c r="R50" s="813">
        <v>0</v>
      </c>
      <c r="S50" s="813">
        <v>0</v>
      </c>
      <c r="T50" s="813">
        <v>0</v>
      </c>
      <c r="U50" s="813">
        <f>SUM(Q50:T50)</f>
        <v>0</v>
      </c>
      <c r="V50" s="813">
        <v>0</v>
      </c>
      <c r="W50" s="813">
        <v>0</v>
      </c>
      <c r="X50" s="813">
        <v>0</v>
      </c>
      <c r="Y50" s="813">
        <f>SUM(V50:X50)</f>
        <v>0</v>
      </c>
      <c r="Z50" s="813">
        <f>U50+Y50</f>
        <v>0</v>
      </c>
      <c r="AA50" s="809">
        <f>ROUND((U50+V50+W50)*33.8%,0)</f>
        <v>0</v>
      </c>
      <c r="AB50" s="809">
        <f>ROUND(U50*2%,0)</f>
        <v>0</v>
      </c>
      <c r="AC50" s="813">
        <v>0</v>
      </c>
      <c r="AD50" s="813">
        <v>0</v>
      </c>
      <c r="AE50" s="813">
        <f>SUM(AC50:AD50)</f>
        <v>0</v>
      </c>
      <c r="AF50" s="813">
        <f>Z50+AA50+AB50+AE50</f>
        <v>0</v>
      </c>
      <c r="AG50" s="836">
        <v>0</v>
      </c>
      <c r="AH50" s="836">
        <v>0</v>
      </c>
      <c r="AI50" s="836">
        <v>0</v>
      </c>
      <c r="AJ50" s="836">
        <v>0</v>
      </c>
      <c r="AK50" s="836">
        <v>0</v>
      </c>
      <c r="AL50" s="836">
        <f>AG50+AI50+AJ50</f>
        <v>0</v>
      </c>
      <c r="AM50" s="836">
        <f>AH50+AK50</f>
        <v>0</v>
      </c>
      <c r="AN50" s="949">
        <f>SUM(AL50:AM50)</f>
        <v>0</v>
      </c>
      <c r="AO50" s="945">
        <f>I50+AF50</f>
        <v>2831552</v>
      </c>
      <c r="AP50" s="813">
        <f>J50+U50</f>
        <v>2085090</v>
      </c>
      <c r="AQ50" s="813">
        <f>Y50</f>
        <v>0</v>
      </c>
      <c r="AR50" s="813">
        <f t="shared" si="40"/>
        <v>704760</v>
      </c>
      <c r="AS50" s="813">
        <f t="shared" si="40"/>
        <v>41702</v>
      </c>
      <c r="AT50" s="813">
        <f>M50+AE50</f>
        <v>0</v>
      </c>
      <c r="AU50" s="836">
        <f>N50+AN50</f>
        <v>4.3948999999999998</v>
      </c>
      <c r="AV50" s="836">
        <f t="shared" si="41"/>
        <v>4.3948999999999998</v>
      </c>
      <c r="AW50" s="837">
        <f t="shared" si="41"/>
        <v>0</v>
      </c>
      <c r="AX50" s="925"/>
    </row>
    <row r="51" spans="1:50" ht="12.95" customHeight="1" x14ac:dyDescent="0.25">
      <c r="A51" s="827">
        <v>10</v>
      </c>
      <c r="B51" s="536">
        <v>5458</v>
      </c>
      <c r="C51" s="536">
        <v>600099288</v>
      </c>
      <c r="D51" s="536">
        <v>856126</v>
      </c>
      <c r="E51" s="1056" t="s">
        <v>507</v>
      </c>
      <c r="F51" s="536">
        <v>3143</v>
      </c>
      <c r="G51" s="948" t="s">
        <v>636</v>
      </c>
      <c r="H51" s="832" t="s">
        <v>284</v>
      </c>
      <c r="I51" s="803">
        <f>SUM(J51:M51)</f>
        <v>98309</v>
      </c>
      <c r="J51" s="833">
        <v>69300</v>
      </c>
      <c r="K51" s="805">
        <f>ROUND((J51)*33.8%,0)</f>
        <v>23423</v>
      </c>
      <c r="L51" s="805">
        <f>ROUND(J51*2%,0)</f>
        <v>1386</v>
      </c>
      <c r="M51" s="833">
        <v>4200</v>
      </c>
      <c r="N51" s="834">
        <f>SUM(O51:P51)</f>
        <v>0.28999999999999998</v>
      </c>
      <c r="O51" s="1054">
        <v>0</v>
      </c>
      <c r="P51" s="1055">
        <v>0.28999999999999998</v>
      </c>
      <c r="Q51" s="835">
        <f>V51*-1</f>
        <v>0</v>
      </c>
      <c r="R51" s="813">
        <v>0</v>
      </c>
      <c r="S51" s="813">
        <v>0</v>
      </c>
      <c r="T51" s="813">
        <v>0</v>
      </c>
      <c r="U51" s="813">
        <f>SUM(Q51:T51)</f>
        <v>0</v>
      </c>
      <c r="V51" s="813">
        <v>0</v>
      </c>
      <c r="W51" s="813">
        <v>0</v>
      </c>
      <c r="X51" s="813">
        <v>0</v>
      </c>
      <c r="Y51" s="813">
        <f>SUM(V51:X51)</f>
        <v>0</v>
      </c>
      <c r="Z51" s="813">
        <f>U51+Y51</f>
        <v>0</v>
      </c>
      <c r="AA51" s="809">
        <f>ROUND((U51+V51+W51)*33.8%,0)</f>
        <v>0</v>
      </c>
      <c r="AB51" s="809">
        <f>ROUND(U51*2%,0)</f>
        <v>0</v>
      </c>
      <c r="AC51" s="813">
        <v>0</v>
      </c>
      <c r="AD51" s="813">
        <v>0</v>
      </c>
      <c r="AE51" s="813">
        <f>SUM(AC51:AD51)</f>
        <v>0</v>
      </c>
      <c r="AF51" s="813">
        <f>Z51+AA51+AB51+AE51</f>
        <v>0</v>
      </c>
      <c r="AG51" s="836">
        <v>0</v>
      </c>
      <c r="AH51" s="836">
        <v>0</v>
      </c>
      <c r="AI51" s="836">
        <v>0</v>
      </c>
      <c r="AJ51" s="836">
        <v>0</v>
      </c>
      <c r="AK51" s="836">
        <v>0</v>
      </c>
      <c r="AL51" s="836">
        <f>AG51+AI51+AJ51</f>
        <v>0</v>
      </c>
      <c r="AM51" s="836">
        <f>AH51+AK51</f>
        <v>0</v>
      </c>
      <c r="AN51" s="949">
        <f>SUM(AL51:AM51)</f>
        <v>0</v>
      </c>
      <c r="AO51" s="945">
        <f>I51+AF51</f>
        <v>98309</v>
      </c>
      <c r="AP51" s="813">
        <f>J51+U51</f>
        <v>69300</v>
      </c>
      <c r="AQ51" s="813">
        <f>Y51</f>
        <v>0</v>
      </c>
      <c r="AR51" s="813">
        <f t="shared" si="40"/>
        <v>23423</v>
      </c>
      <c r="AS51" s="813">
        <f t="shared" si="40"/>
        <v>1386</v>
      </c>
      <c r="AT51" s="813">
        <f>M51+AE51</f>
        <v>4200</v>
      </c>
      <c r="AU51" s="836">
        <f>N51+AN51</f>
        <v>0.28999999999999998</v>
      </c>
      <c r="AV51" s="836">
        <f t="shared" si="41"/>
        <v>0</v>
      </c>
      <c r="AW51" s="837">
        <f t="shared" si="41"/>
        <v>0.28999999999999998</v>
      </c>
      <c r="AX51" s="925"/>
    </row>
    <row r="52" spans="1:50" ht="12.95" customHeight="1" x14ac:dyDescent="0.25">
      <c r="A52" s="538">
        <v>10</v>
      </c>
      <c r="B52" s="100">
        <v>5458</v>
      </c>
      <c r="C52" s="100">
        <v>600099288</v>
      </c>
      <c r="D52" s="100">
        <v>856126</v>
      </c>
      <c r="E52" s="1058" t="s">
        <v>508</v>
      </c>
      <c r="F52" s="100"/>
      <c r="G52" s="1058"/>
      <c r="H52" s="449"/>
      <c r="I52" s="1074">
        <f t="shared" ref="I52:AW52" si="42">SUM(I47:I51)</f>
        <v>42016125</v>
      </c>
      <c r="J52" s="1075">
        <f t="shared" si="42"/>
        <v>30300379</v>
      </c>
      <c r="K52" s="1075">
        <f t="shared" si="42"/>
        <v>10241528</v>
      </c>
      <c r="L52" s="1075">
        <f t="shared" si="42"/>
        <v>606008</v>
      </c>
      <c r="M52" s="1075">
        <f t="shared" si="42"/>
        <v>868210</v>
      </c>
      <c r="N52" s="1076">
        <f t="shared" si="42"/>
        <v>59.292200000000001</v>
      </c>
      <c r="O52" s="1076">
        <f t="shared" si="42"/>
        <v>40.2164</v>
      </c>
      <c r="P52" s="1077">
        <f t="shared" si="42"/>
        <v>19.075800000000001</v>
      </c>
      <c r="Q52" s="1075">
        <f t="shared" si="42"/>
        <v>-280000</v>
      </c>
      <c r="R52" s="1078">
        <f t="shared" si="42"/>
        <v>1423867</v>
      </c>
      <c r="S52" s="1078">
        <f t="shared" si="42"/>
        <v>0</v>
      </c>
      <c r="T52" s="1078">
        <f t="shared" si="42"/>
        <v>0</v>
      </c>
      <c r="U52" s="1078">
        <f t="shared" si="42"/>
        <v>1143867</v>
      </c>
      <c r="V52" s="1078">
        <f t="shared" si="42"/>
        <v>280000</v>
      </c>
      <c r="W52" s="1078">
        <f t="shared" si="42"/>
        <v>0</v>
      </c>
      <c r="X52" s="1078">
        <f t="shared" si="42"/>
        <v>0</v>
      </c>
      <c r="Y52" s="1078">
        <f t="shared" si="42"/>
        <v>280000</v>
      </c>
      <c r="Z52" s="1078">
        <f t="shared" si="42"/>
        <v>1423867</v>
      </c>
      <c r="AA52" s="1078">
        <f t="shared" si="42"/>
        <v>481267</v>
      </c>
      <c r="AB52" s="1078">
        <f t="shared" si="42"/>
        <v>22877</v>
      </c>
      <c r="AC52" s="1078">
        <f t="shared" si="42"/>
        <v>0</v>
      </c>
      <c r="AD52" s="1078">
        <f t="shared" si="42"/>
        <v>0</v>
      </c>
      <c r="AE52" s="1078">
        <f t="shared" si="42"/>
        <v>0</v>
      </c>
      <c r="AF52" s="1078">
        <f t="shared" si="42"/>
        <v>1928011</v>
      </c>
      <c r="AG52" s="1079">
        <f t="shared" si="42"/>
        <v>-0.33</v>
      </c>
      <c r="AH52" s="1079">
        <f t="shared" si="42"/>
        <v>-0.17</v>
      </c>
      <c r="AI52" s="1079">
        <f t="shared" si="42"/>
        <v>3.8800000000000003</v>
      </c>
      <c r="AJ52" s="1079">
        <f t="shared" si="42"/>
        <v>0</v>
      </c>
      <c r="AK52" s="1079">
        <f t="shared" si="42"/>
        <v>0</v>
      </c>
      <c r="AL52" s="1079">
        <f t="shared" si="42"/>
        <v>3.5500000000000003</v>
      </c>
      <c r="AM52" s="1079">
        <f t="shared" si="42"/>
        <v>-0.17</v>
      </c>
      <c r="AN52" s="1080">
        <f t="shared" si="42"/>
        <v>3.3800000000000003</v>
      </c>
      <c r="AO52" s="1074">
        <f t="shared" si="42"/>
        <v>43944136</v>
      </c>
      <c r="AP52" s="1078">
        <f t="shared" si="42"/>
        <v>31444246</v>
      </c>
      <c r="AQ52" s="1078">
        <f t="shared" si="42"/>
        <v>280000</v>
      </c>
      <c r="AR52" s="1078">
        <f t="shared" si="42"/>
        <v>10722795</v>
      </c>
      <c r="AS52" s="1078">
        <f t="shared" si="42"/>
        <v>628885</v>
      </c>
      <c r="AT52" s="1078">
        <f t="shared" si="42"/>
        <v>868210</v>
      </c>
      <c r="AU52" s="1079">
        <f t="shared" si="42"/>
        <v>62.672200000000004</v>
      </c>
      <c r="AV52" s="1079">
        <f t="shared" si="42"/>
        <v>43.766400000000004</v>
      </c>
      <c r="AW52" s="1081">
        <f t="shared" si="42"/>
        <v>18.905799999999999</v>
      </c>
      <c r="AX52" s="925"/>
    </row>
    <row r="53" spans="1:50" ht="12.95" customHeight="1" x14ac:dyDescent="0.25">
      <c r="A53" s="827">
        <v>11</v>
      </c>
      <c r="B53" s="536">
        <v>5456</v>
      </c>
      <c r="C53" s="536">
        <v>600099369</v>
      </c>
      <c r="D53" s="536">
        <v>854794</v>
      </c>
      <c r="E53" s="1056" t="s">
        <v>509</v>
      </c>
      <c r="F53" s="536">
        <v>3113</v>
      </c>
      <c r="G53" s="1056" t="s">
        <v>335</v>
      </c>
      <c r="H53" s="832" t="s">
        <v>283</v>
      </c>
      <c r="I53" s="803">
        <f>SUM(J53:M53)</f>
        <v>43305103</v>
      </c>
      <c r="J53" s="833">
        <v>31176924</v>
      </c>
      <c r="K53" s="805">
        <f>ROUND((J53)*33.8%,0)+1</f>
        <v>10537801</v>
      </c>
      <c r="L53" s="805">
        <f>ROUND(J53*2%,0)</f>
        <v>623538</v>
      </c>
      <c r="M53" s="833">
        <v>966840</v>
      </c>
      <c r="N53" s="834">
        <f>SUM(O53:P53)</f>
        <v>59.644999999999996</v>
      </c>
      <c r="O53" s="1054">
        <v>46.5901</v>
      </c>
      <c r="P53" s="1055">
        <v>13.0549</v>
      </c>
      <c r="Q53" s="835">
        <f>V53*-1</f>
        <v>-304000</v>
      </c>
      <c r="R53" s="813">
        <v>0</v>
      </c>
      <c r="S53" s="813">
        <v>0</v>
      </c>
      <c r="T53" s="813">
        <v>52532</v>
      </c>
      <c r="U53" s="813">
        <f>SUM(Q53:T53)</f>
        <v>-251468</v>
      </c>
      <c r="V53" s="813">
        <v>304000</v>
      </c>
      <c r="W53" s="813">
        <v>91360</v>
      </c>
      <c r="X53" s="813">
        <v>0</v>
      </c>
      <c r="Y53" s="813">
        <f>SUM(V53:X53)</f>
        <v>395360</v>
      </c>
      <c r="Z53" s="813">
        <f>U53+Y53</f>
        <v>143892</v>
      </c>
      <c r="AA53" s="809">
        <f>ROUND((U53+V53+W53)*33.8%,0)</f>
        <v>48635</v>
      </c>
      <c r="AB53" s="809">
        <f>ROUND(U53*2%,0)</f>
        <v>-5029</v>
      </c>
      <c r="AC53" s="813">
        <v>0</v>
      </c>
      <c r="AD53" s="813">
        <v>0</v>
      </c>
      <c r="AE53" s="813">
        <f>SUM(AC53:AD53)</f>
        <v>0</v>
      </c>
      <c r="AF53" s="813">
        <f>Z53+AA53+AB53+AE53</f>
        <v>187498</v>
      </c>
      <c r="AG53" s="836">
        <v>-0.34</v>
      </c>
      <c r="AH53" s="836">
        <v>-0.2</v>
      </c>
      <c r="AI53" s="836">
        <v>0</v>
      </c>
      <c r="AJ53" s="836">
        <v>0.09</v>
      </c>
      <c r="AK53" s="836">
        <v>0</v>
      </c>
      <c r="AL53" s="836">
        <f>AG53+AI53+AJ53</f>
        <v>-0.25</v>
      </c>
      <c r="AM53" s="836">
        <f>AH53+AK53</f>
        <v>-0.2</v>
      </c>
      <c r="AN53" s="949">
        <f>SUM(AL53:AM53)</f>
        <v>-0.45</v>
      </c>
      <c r="AO53" s="945">
        <f>I53+AF53</f>
        <v>43492601</v>
      </c>
      <c r="AP53" s="813">
        <f>J53+U53</f>
        <v>30925456</v>
      </c>
      <c r="AQ53" s="813">
        <f>Y53</f>
        <v>395360</v>
      </c>
      <c r="AR53" s="813">
        <f t="shared" ref="AR53:AS57" si="43">K53+AA53</f>
        <v>10586436</v>
      </c>
      <c r="AS53" s="813">
        <f t="shared" si="43"/>
        <v>618509</v>
      </c>
      <c r="AT53" s="813">
        <f>M53+AE53</f>
        <v>966840</v>
      </c>
      <c r="AU53" s="836">
        <f>N53+AN53</f>
        <v>59.194999999999993</v>
      </c>
      <c r="AV53" s="836">
        <f t="shared" ref="AV53:AW57" si="44">O53+AL53</f>
        <v>46.3401</v>
      </c>
      <c r="AW53" s="837">
        <f t="shared" si="44"/>
        <v>12.854900000000001</v>
      </c>
      <c r="AX53" s="925"/>
    </row>
    <row r="54" spans="1:50" ht="12.95" customHeight="1" x14ac:dyDescent="0.25">
      <c r="A54" s="827">
        <v>11</v>
      </c>
      <c r="B54" s="536">
        <v>5456</v>
      </c>
      <c r="C54" s="536">
        <v>600099369</v>
      </c>
      <c r="D54" s="536">
        <v>854794</v>
      </c>
      <c r="E54" s="535" t="s">
        <v>509</v>
      </c>
      <c r="F54" s="536">
        <v>3113</v>
      </c>
      <c r="G54" s="948" t="s">
        <v>318</v>
      </c>
      <c r="H54" s="832" t="s">
        <v>284</v>
      </c>
      <c r="I54" s="803">
        <f>SUM(J54:M54)</f>
        <v>0</v>
      </c>
      <c r="J54" s="833">
        <v>0</v>
      </c>
      <c r="K54" s="805">
        <v>0</v>
      </c>
      <c r="L54" s="805">
        <v>0</v>
      </c>
      <c r="M54" s="833">
        <v>0</v>
      </c>
      <c r="N54" s="834">
        <f>SUM(O54:P54)</f>
        <v>0</v>
      </c>
      <c r="O54" s="1054">
        <v>0</v>
      </c>
      <c r="P54" s="1055">
        <v>0</v>
      </c>
      <c r="Q54" s="835">
        <f>V54*-1</f>
        <v>0</v>
      </c>
      <c r="R54" s="833">
        <f>3486324+14075-28868</f>
        <v>3471531</v>
      </c>
      <c r="S54" s="813">
        <v>0</v>
      </c>
      <c r="T54" s="813">
        <v>0</v>
      </c>
      <c r="U54" s="813">
        <f>SUM(Q54:T54)</f>
        <v>3471531</v>
      </c>
      <c r="V54" s="813">
        <v>0</v>
      </c>
      <c r="W54" s="813">
        <v>0</v>
      </c>
      <c r="X54" s="813">
        <v>0</v>
      </c>
      <c r="Y54" s="813">
        <f>SUM(V54:X54)</f>
        <v>0</v>
      </c>
      <c r="Z54" s="813">
        <f>U54+Y54</f>
        <v>3471531</v>
      </c>
      <c r="AA54" s="809">
        <f>ROUND((U54+V54+W54)*33.8%,0)</f>
        <v>1173377</v>
      </c>
      <c r="AB54" s="809">
        <f>ROUND(U54*2%,0)</f>
        <v>69431</v>
      </c>
      <c r="AC54" s="813">
        <v>0</v>
      </c>
      <c r="AD54" s="813">
        <v>0</v>
      </c>
      <c r="AE54" s="813">
        <f>SUM(AC54:AD54)</f>
        <v>0</v>
      </c>
      <c r="AF54" s="813">
        <f>Z54+AA54+AB54+AE54</f>
        <v>4714339</v>
      </c>
      <c r="AG54" s="836">
        <v>0</v>
      </c>
      <c r="AH54" s="836">
        <v>0</v>
      </c>
      <c r="AI54" s="836">
        <f>9.83+0.05-0.09</f>
        <v>9.7900000000000009</v>
      </c>
      <c r="AJ54" s="836">
        <v>0</v>
      </c>
      <c r="AK54" s="836">
        <v>0</v>
      </c>
      <c r="AL54" s="836">
        <f>AG54+AI54+AJ54</f>
        <v>9.7900000000000009</v>
      </c>
      <c r="AM54" s="836">
        <f>AH54+AK54</f>
        <v>0</v>
      </c>
      <c r="AN54" s="949">
        <f>SUM(AL54:AM54)</f>
        <v>9.7900000000000009</v>
      </c>
      <c r="AO54" s="945">
        <f>I54+AF54</f>
        <v>4714339</v>
      </c>
      <c r="AP54" s="813">
        <f>J54+U54</f>
        <v>3471531</v>
      </c>
      <c r="AQ54" s="813">
        <f>Y54</f>
        <v>0</v>
      </c>
      <c r="AR54" s="813">
        <f t="shared" si="43"/>
        <v>1173377</v>
      </c>
      <c r="AS54" s="813">
        <f t="shared" si="43"/>
        <v>69431</v>
      </c>
      <c r="AT54" s="813">
        <f>M54+AE54</f>
        <v>0</v>
      </c>
      <c r="AU54" s="836">
        <f>N54+AN54</f>
        <v>9.7900000000000009</v>
      </c>
      <c r="AV54" s="836">
        <f t="shared" si="44"/>
        <v>9.7900000000000009</v>
      </c>
      <c r="AW54" s="837">
        <f t="shared" si="44"/>
        <v>0</v>
      </c>
      <c r="AX54" s="925"/>
    </row>
    <row r="55" spans="1:50" ht="12.95" customHeight="1" x14ac:dyDescent="0.25">
      <c r="A55" s="827">
        <v>11</v>
      </c>
      <c r="B55" s="536">
        <v>5456</v>
      </c>
      <c r="C55" s="536">
        <v>600099369</v>
      </c>
      <c r="D55" s="536">
        <v>854794</v>
      </c>
      <c r="E55" s="1053" t="s">
        <v>509</v>
      </c>
      <c r="F55" s="1084">
        <v>3141</v>
      </c>
      <c r="G55" s="1057" t="s">
        <v>321</v>
      </c>
      <c r="H55" s="832" t="s">
        <v>284</v>
      </c>
      <c r="I55" s="803">
        <f>SUM(J55:M55)</f>
        <v>5132686</v>
      </c>
      <c r="J55" s="833">
        <v>3738965</v>
      </c>
      <c r="K55" s="805">
        <f>ROUND((J55)*33.8%,0)</f>
        <v>1263770</v>
      </c>
      <c r="L55" s="805">
        <f>ROUND(J55*2%,0)</f>
        <v>74779</v>
      </c>
      <c r="M55" s="833">
        <v>55172</v>
      </c>
      <c r="N55" s="834">
        <f>SUM(O55:P55)</f>
        <v>12.71</v>
      </c>
      <c r="O55" s="1054">
        <v>0</v>
      </c>
      <c r="P55" s="1055">
        <v>12.71</v>
      </c>
      <c r="Q55" s="835">
        <f>V55*-1</f>
        <v>-20000</v>
      </c>
      <c r="R55" s="813">
        <v>0</v>
      </c>
      <c r="S55" s="813">
        <v>0</v>
      </c>
      <c r="T55" s="813">
        <v>0</v>
      </c>
      <c r="U55" s="813">
        <f>SUM(Q55:T55)</f>
        <v>-20000</v>
      </c>
      <c r="V55" s="813">
        <v>20000</v>
      </c>
      <c r="W55" s="813">
        <v>0</v>
      </c>
      <c r="X55" s="813">
        <v>0</v>
      </c>
      <c r="Y55" s="813">
        <f>SUM(V55:X55)</f>
        <v>20000</v>
      </c>
      <c r="Z55" s="813">
        <f>U55+Y55</f>
        <v>0</v>
      </c>
      <c r="AA55" s="809">
        <f>ROUND((U55+V55+W55)*33.8%,0)</f>
        <v>0</v>
      </c>
      <c r="AB55" s="809">
        <f>ROUND(U55*2%,0)</f>
        <v>-400</v>
      </c>
      <c r="AC55" s="813">
        <v>0</v>
      </c>
      <c r="AD55" s="813">
        <v>0</v>
      </c>
      <c r="AE55" s="813">
        <f>SUM(AC55:AD55)</f>
        <v>0</v>
      </c>
      <c r="AF55" s="813">
        <f>Z55+AA55+AB55+AE55</f>
        <v>-400</v>
      </c>
      <c r="AG55" s="836">
        <v>0</v>
      </c>
      <c r="AH55" s="836">
        <v>-0.04</v>
      </c>
      <c r="AI55" s="836">
        <v>0</v>
      </c>
      <c r="AJ55" s="836">
        <v>0</v>
      </c>
      <c r="AK55" s="836">
        <v>0</v>
      </c>
      <c r="AL55" s="836">
        <f>AG55+AI55+AJ55</f>
        <v>0</v>
      </c>
      <c r="AM55" s="836">
        <f>AH55+AK55</f>
        <v>-0.04</v>
      </c>
      <c r="AN55" s="949">
        <f>SUM(AL55:AM55)</f>
        <v>-0.04</v>
      </c>
      <c r="AO55" s="945">
        <f>I55+AF55</f>
        <v>5132286</v>
      </c>
      <c r="AP55" s="813">
        <f>J55+U55</f>
        <v>3718965</v>
      </c>
      <c r="AQ55" s="813">
        <f>Y55</f>
        <v>20000</v>
      </c>
      <c r="AR55" s="813">
        <f t="shared" si="43"/>
        <v>1263770</v>
      </c>
      <c r="AS55" s="813">
        <f t="shared" si="43"/>
        <v>74379</v>
      </c>
      <c r="AT55" s="813">
        <f>M55+AE55</f>
        <v>55172</v>
      </c>
      <c r="AU55" s="836">
        <f>N55+AN55</f>
        <v>12.670000000000002</v>
      </c>
      <c r="AV55" s="836">
        <f t="shared" si="44"/>
        <v>0</v>
      </c>
      <c r="AW55" s="837">
        <f t="shared" si="44"/>
        <v>12.670000000000002</v>
      </c>
      <c r="AX55" s="925"/>
    </row>
    <row r="56" spans="1:50" ht="12.95" customHeight="1" x14ac:dyDescent="0.25">
      <c r="A56" s="827">
        <v>11</v>
      </c>
      <c r="B56" s="536">
        <v>5456</v>
      </c>
      <c r="C56" s="536">
        <v>600099369</v>
      </c>
      <c r="D56" s="536">
        <v>854794</v>
      </c>
      <c r="E56" s="535" t="s">
        <v>509</v>
      </c>
      <c r="F56" s="536">
        <v>3143</v>
      </c>
      <c r="G56" s="948" t="s">
        <v>635</v>
      </c>
      <c r="H56" s="832" t="s">
        <v>283</v>
      </c>
      <c r="I56" s="803">
        <f>SUM(J56:M56)</f>
        <v>2913024</v>
      </c>
      <c r="J56" s="833">
        <v>2145084</v>
      </c>
      <c r="K56" s="805">
        <f>ROUND((J56)*33.8%,0)</f>
        <v>725038</v>
      </c>
      <c r="L56" s="805">
        <f>ROUND(J56*2%,0)</f>
        <v>42902</v>
      </c>
      <c r="M56" s="833">
        <v>0</v>
      </c>
      <c r="N56" s="834">
        <f>SUM(O56:P56)</f>
        <v>4.4318999999999997</v>
      </c>
      <c r="O56" s="1054">
        <v>4.4318999999999997</v>
      </c>
      <c r="P56" s="1055">
        <v>0</v>
      </c>
      <c r="Q56" s="835">
        <f>V56*-1</f>
        <v>-8800</v>
      </c>
      <c r="R56" s="813">
        <v>0</v>
      </c>
      <c r="S56" s="813">
        <v>0</v>
      </c>
      <c r="T56" s="813">
        <v>0</v>
      </c>
      <c r="U56" s="813">
        <f>SUM(Q56:T56)</f>
        <v>-8800</v>
      </c>
      <c r="V56" s="813">
        <v>8800</v>
      </c>
      <c r="W56" s="813">
        <v>0</v>
      </c>
      <c r="X56" s="813">
        <v>0</v>
      </c>
      <c r="Y56" s="813">
        <f>SUM(V56:X56)</f>
        <v>8800</v>
      </c>
      <c r="Z56" s="813">
        <f>U56+Y56</f>
        <v>0</v>
      </c>
      <c r="AA56" s="809">
        <f>ROUND((U56+V56+W56)*33.8%,0)</f>
        <v>0</v>
      </c>
      <c r="AB56" s="809">
        <f>ROUND(U56*2%,0)</f>
        <v>-176</v>
      </c>
      <c r="AC56" s="813">
        <v>0</v>
      </c>
      <c r="AD56" s="813">
        <v>0</v>
      </c>
      <c r="AE56" s="813">
        <f>SUM(AC56:AD56)</f>
        <v>0</v>
      </c>
      <c r="AF56" s="813">
        <f>Z56+AA56+AB56+AE56</f>
        <v>-176</v>
      </c>
      <c r="AG56" s="836">
        <v>-0.01</v>
      </c>
      <c r="AH56" s="836">
        <v>0</v>
      </c>
      <c r="AI56" s="836">
        <v>0</v>
      </c>
      <c r="AJ56" s="836">
        <v>0</v>
      </c>
      <c r="AK56" s="836">
        <v>0</v>
      </c>
      <c r="AL56" s="836">
        <f>AG56+AI56+AJ56</f>
        <v>-0.01</v>
      </c>
      <c r="AM56" s="836">
        <f>AH56+AK56</f>
        <v>0</v>
      </c>
      <c r="AN56" s="949">
        <f>SUM(AL56:AM56)</f>
        <v>-0.01</v>
      </c>
      <c r="AO56" s="945">
        <f>I56+AF56</f>
        <v>2912848</v>
      </c>
      <c r="AP56" s="813">
        <f>J56+U56</f>
        <v>2136284</v>
      </c>
      <c r="AQ56" s="813">
        <f>Y56</f>
        <v>8800</v>
      </c>
      <c r="AR56" s="813">
        <f t="shared" si="43"/>
        <v>725038</v>
      </c>
      <c r="AS56" s="813">
        <f t="shared" si="43"/>
        <v>42726</v>
      </c>
      <c r="AT56" s="813">
        <f>M56+AE56</f>
        <v>0</v>
      </c>
      <c r="AU56" s="836">
        <f>N56+AN56</f>
        <v>4.4218999999999999</v>
      </c>
      <c r="AV56" s="836">
        <f t="shared" si="44"/>
        <v>4.4218999999999999</v>
      </c>
      <c r="AW56" s="837">
        <f t="shared" si="44"/>
        <v>0</v>
      </c>
      <c r="AX56" s="925"/>
    </row>
    <row r="57" spans="1:50" ht="12.95" customHeight="1" x14ac:dyDescent="0.25">
      <c r="A57" s="827">
        <v>11</v>
      </c>
      <c r="B57" s="536">
        <v>5456</v>
      </c>
      <c r="C57" s="536">
        <v>600099369</v>
      </c>
      <c r="D57" s="536">
        <v>854794</v>
      </c>
      <c r="E57" s="535" t="s">
        <v>509</v>
      </c>
      <c r="F57" s="536">
        <v>3143</v>
      </c>
      <c r="G57" s="948" t="s">
        <v>636</v>
      </c>
      <c r="H57" s="832" t="s">
        <v>284</v>
      </c>
      <c r="I57" s="803">
        <f>SUM(J57:M57)</f>
        <v>99012</v>
      </c>
      <c r="J57" s="833">
        <v>69795</v>
      </c>
      <c r="K57" s="805">
        <f>ROUND((J57)*33.8%,0)</f>
        <v>23591</v>
      </c>
      <c r="L57" s="805">
        <f>ROUND(J57*2%,0)</f>
        <v>1396</v>
      </c>
      <c r="M57" s="833">
        <v>4230</v>
      </c>
      <c r="N57" s="834">
        <f>SUM(O57:P57)</f>
        <v>0.28999999999999998</v>
      </c>
      <c r="O57" s="1054">
        <v>0</v>
      </c>
      <c r="P57" s="1055">
        <v>0.28999999999999998</v>
      </c>
      <c r="Q57" s="835">
        <f>V57*-1</f>
        <v>0</v>
      </c>
      <c r="R57" s="813">
        <v>0</v>
      </c>
      <c r="S57" s="813">
        <v>0</v>
      </c>
      <c r="T57" s="813">
        <v>0</v>
      </c>
      <c r="U57" s="813">
        <f>SUM(Q57:T57)</f>
        <v>0</v>
      </c>
      <c r="V57" s="813">
        <v>0</v>
      </c>
      <c r="W57" s="813">
        <v>0</v>
      </c>
      <c r="X57" s="813">
        <v>0</v>
      </c>
      <c r="Y57" s="813">
        <f>SUM(V57:X57)</f>
        <v>0</v>
      </c>
      <c r="Z57" s="813">
        <f>U57+Y57</f>
        <v>0</v>
      </c>
      <c r="AA57" s="809">
        <f>ROUND((U57+V57+W57)*33.8%,0)</f>
        <v>0</v>
      </c>
      <c r="AB57" s="809">
        <f>ROUND(U57*2%,0)</f>
        <v>0</v>
      </c>
      <c r="AC57" s="813">
        <v>0</v>
      </c>
      <c r="AD57" s="813">
        <v>0</v>
      </c>
      <c r="AE57" s="813">
        <f>SUM(AC57:AD57)</f>
        <v>0</v>
      </c>
      <c r="AF57" s="813">
        <f>Z57+AA57+AB57+AE57</f>
        <v>0</v>
      </c>
      <c r="AG57" s="836">
        <v>0</v>
      </c>
      <c r="AH57" s="836">
        <v>0</v>
      </c>
      <c r="AI57" s="836">
        <v>0</v>
      </c>
      <c r="AJ57" s="836">
        <v>0</v>
      </c>
      <c r="AK57" s="836">
        <v>0</v>
      </c>
      <c r="AL57" s="836">
        <f>AG57+AI57+AJ57</f>
        <v>0</v>
      </c>
      <c r="AM57" s="836">
        <f>AH57+AK57</f>
        <v>0</v>
      </c>
      <c r="AN57" s="949">
        <f>SUM(AL57:AM57)</f>
        <v>0</v>
      </c>
      <c r="AO57" s="945">
        <f>I57+AF57</f>
        <v>99012</v>
      </c>
      <c r="AP57" s="813">
        <f>J57+U57</f>
        <v>69795</v>
      </c>
      <c r="AQ57" s="813">
        <f>Y57</f>
        <v>0</v>
      </c>
      <c r="AR57" s="813">
        <f t="shared" si="43"/>
        <v>23591</v>
      </c>
      <c r="AS57" s="813">
        <f t="shared" si="43"/>
        <v>1396</v>
      </c>
      <c r="AT57" s="813">
        <f>M57+AE57</f>
        <v>4230</v>
      </c>
      <c r="AU57" s="836">
        <f>N57+AN57</f>
        <v>0.28999999999999998</v>
      </c>
      <c r="AV57" s="836">
        <f t="shared" si="44"/>
        <v>0</v>
      </c>
      <c r="AW57" s="837">
        <f t="shared" si="44"/>
        <v>0.28999999999999998</v>
      </c>
      <c r="AX57" s="925"/>
    </row>
    <row r="58" spans="1:50" ht="12.95" customHeight="1" x14ac:dyDescent="0.25">
      <c r="A58" s="538">
        <v>11</v>
      </c>
      <c r="B58" s="103">
        <v>5456</v>
      </c>
      <c r="C58" s="103">
        <v>600099369</v>
      </c>
      <c r="D58" s="103">
        <v>854794</v>
      </c>
      <c r="E58" s="1058" t="s">
        <v>510</v>
      </c>
      <c r="F58" s="103"/>
      <c r="G58" s="1089"/>
      <c r="H58" s="452"/>
      <c r="I58" s="820">
        <f t="shared" ref="I58:AW58" si="45">SUM(I53:I57)</f>
        <v>51449825</v>
      </c>
      <c r="J58" s="825">
        <f t="shared" si="45"/>
        <v>37130768</v>
      </c>
      <c r="K58" s="825">
        <f t="shared" si="45"/>
        <v>12550200</v>
      </c>
      <c r="L58" s="825">
        <f t="shared" si="45"/>
        <v>742615</v>
      </c>
      <c r="M58" s="825">
        <f t="shared" si="45"/>
        <v>1026242</v>
      </c>
      <c r="N58" s="1070">
        <f t="shared" si="45"/>
        <v>77.076899999999995</v>
      </c>
      <c r="O58" s="1070">
        <f t="shared" si="45"/>
        <v>51.021999999999998</v>
      </c>
      <c r="P58" s="1071">
        <f t="shared" si="45"/>
        <v>26.0549</v>
      </c>
      <c r="Q58" s="825">
        <f t="shared" si="45"/>
        <v>-332800</v>
      </c>
      <c r="R58" s="821">
        <f t="shared" si="45"/>
        <v>3471531</v>
      </c>
      <c r="S58" s="821">
        <f t="shared" si="45"/>
        <v>0</v>
      </c>
      <c r="T58" s="821">
        <f t="shared" si="45"/>
        <v>52532</v>
      </c>
      <c r="U58" s="821">
        <f t="shared" si="45"/>
        <v>3191263</v>
      </c>
      <c r="V58" s="821">
        <f t="shared" si="45"/>
        <v>332800</v>
      </c>
      <c r="W58" s="821">
        <f t="shared" si="45"/>
        <v>91360</v>
      </c>
      <c r="X58" s="821">
        <f t="shared" si="45"/>
        <v>0</v>
      </c>
      <c r="Y58" s="821">
        <f t="shared" si="45"/>
        <v>424160</v>
      </c>
      <c r="Z58" s="821">
        <f t="shared" si="45"/>
        <v>3615423</v>
      </c>
      <c r="AA58" s="821">
        <f t="shared" si="45"/>
        <v>1222012</v>
      </c>
      <c r="AB58" s="821">
        <f t="shared" si="45"/>
        <v>63826</v>
      </c>
      <c r="AC58" s="821">
        <f t="shared" si="45"/>
        <v>0</v>
      </c>
      <c r="AD58" s="821">
        <f t="shared" si="45"/>
        <v>0</v>
      </c>
      <c r="AE58" s="821">
        <f t="shared" si="45"/>
        <v>0</v>
      </c>
      <c r="AF58" s="821">
        <f t="shared" si="45"/>
        <v>4901261</v>
      </c>
      <c r="AG58" s="822">
        <f t="shared" si="45"/>
        <v>-0.35000000000000003</v>
      </c>
      <c r="AH58" s="822">
        <f t="shared" si="45"/>
        <v>-0.24000000000000002</v>
      </c>
      <c r="AI58" s="822">
        <f t="shared" si="45"/>
        <v>9.7900000000000009</v>
      </c>
      <c r="AJ58" s="822">
        <f t="shared" si="45"/>
        <v>0.09</v>
      </c>
      <c r="AK58" s="822">
        <f t="shared" si="45"/>
        <v>0</v>
      </c>
      <c r="AL58" s="822">
        <f t="shared" si="45"/>
        <v>9.5300000000000011</v>
      </c>
      <c r="AM58" s="822">
        <f t="shared" si="45"/>
        <v>-0.24000000000000002</v>
      </c>
      <c r="AN58" s="1072">
        <f t="shared" si="45"/>
        <v>9.2900000000000027</v>
      </c>
      <c r="AO58" s="820">
        <f t="shared" si="45"/>
        <v>56351086</v>
      </c>
      <c r="AP58" s="821">
        <f t="shared" si="45"/>
        <v>40322031</v>
      </c>
      <c r="AQ58" s="821">
        <f t="shared" si="45"/>
        <v>424160</v>
      </c>
      <c r="AR58" s="821">
        <f t="shared" si="45"/>
        <v>13772212</v>
      </c>
      <c r="AS58" s="821">
        <f t="shared" si="45"/>
        <v>806441</v>
      </c>
      <c r="AT58" s="821">
        <f t="shared" si="45"/>
        <v>1026242</v>
      </c>
      <c r="AU58" s="822">
        <f t="shared" si="45"/>
        <v>86.366900000000001</v>
      </c>
      <c r="AV58" s="822">
        <f t="shared" si="45"/>
        <v>60.552</v>
      </c>
      <c r="AW58" s="824">
        <f t="shared" si="45"/>
        <v>25.814900000000002</v>
      </c>
      <c r="AX58" s="925"/>
    </row>
    <row r="59" spans="1:50" ht="12.95" customHeight="1" x14ac:dyDescent="0.25">
      <c r="A59" s="827">
        <v>12</v>
      </c>
      <c r="B59" s="536">
        <v>5481</v>
      </c>
      <c r="C59" s="536">
        <v>600099075</v>
      </c>
      <c r="D59" s="536">
        <v>72742739</v>
      </c>
      <c r="E59" s="1056" t="s">
        <v>511</v>
      </c>
      <c r="F59" s="536">
        <v>3117</v>
      </c>
      <c r="G59" s="1056" t="s">
        <v>335</v>
      </c>
      <c r="H59" s="832" t="s">
        <v>283</v>
      </c>
      <c r="I59" s="803">
        <f>SUM(J59:M59)</f>
        <v>6109459</v>
      </c>
      <c r="J59" s="833">
        <v>4393092</v>
      </c>
      <c r="K59" s="805">
        <f>ROUND((J59)*33.8%,0)</f>
        <v>1484865</v>
      </c>
      <c r="L59" s="805">
        <f>ROUND(J59*2%,0)</f>
        <v>87862</v>
      </c>
      <c r="M59" s="833">
        <v>143640</v>
      </c>
      <c r="N59" s="834">
        <f>SUM(O59:P59)</f>
        <v>8.4641000000000002</v>
      </c>
      <c r="O59" s="1054">
        <v>5.6364000000000001</v>
      </c>
      <c r="P59" s="1055">
        <v>2.8277000000000001</v>
      </c>
      <c r="Q59" s="835">
        <f>V59*-1</f>
        <v>-64800</v>
      </c>
      <c r="R59" s="813">
        <v>0</v>
      </c>
      <c r="S59" s="813">
        <v>0</v>
      </c>
      <c r="T59" s="813">
        <v>0</v>
      </c>
      <c r="U59" s="813">
        <f>SUM(Q59:T59)</f>
        <v>-64800</v>
      </c>
      <c r="V59" s="813">
        <v>64800</v>
      </c>
      <c r="W59" s="813">
        <v>0</v>
      </c>
      <c r="X59" s="813">
        <v>0</v>
      </c>
      <c r="Y59" s="813">
        <f>SUM(V59:X59)</f>
        <v>64800</v>
      </c>
      <c r="Z59" s="813">
        <f>U59+Y59</f>
        <v>0</v>
      </c>
      <c r="AA59" s="809">
        <f>ROUND((U59+V59+W59)*33.8%,0)</f>
        <v>0</v>
      </c>
      <c r="AB59" s="809">
        <f>ROUND(U59*2%,0)</f>
        <v>-1296</v>
      </c>
      <c r="AC59" s="813">
        <v>0</v>
      </c>
      <c r="AD59" s="813">
        <v>0</v>
      </c>
      <c r="AE59" s="813">
        <f>SUM(AC59:AD59)</f>
        <v>0</v>
      </c>
      <c r="AF59" s="813">
        <f>Z59+AA59+AB59+AE59</f>
        <v>-1296</v>
      </c>
      <c r="AG59" s="836">
        <v>-0.01</v>
      </c>
      <c r="AH59" s="836">
        <v>-0.22</v>
      </c>
      <c r="AI59" s="836">
        <v>0</v>
      </c>
      <c r="AJ59" s="836">
        <v>0</v>
      </c>
      <c r="AK59" s="836">
        <v>0</v>
      </c>
      <c r="AL59" s="836">
        <f>AG59+AI59+AJ59</f>
        <v>-0.01</v>
      </c>
      <c r="AM59" s="836">
        <f>AH59+AK59</f>
        <v>-0.22</v>
      </c>
      <c r="AN59" s="949">
        <f>SUM(AL59:AM59)</f>
        <v>-0.23</v>
      </c>
      <c r="AO59" s="945">
        <f>I59+AF59</f>
        <v>6108163</v>
      </c>
      <c r="AP59" s="813">
        <f>J59+U59</f>
        <v>4328292</v>
      </c>
      <c r="AQ59" s="813">
        <f>Y59</f>
        <v>64800</v>
      </c>
      <c r="AR59" s="813">
        <f t="shared" ref="AR59:AS63" si="46">K59+AA59</f>
        <v>1484865</v>
      </c>
      <c r="AS59" s="813">
        <f t="shared" si="46"/>
        <v>86566</v>
      </c>
      <c r="AT59" s="813">
        <f>M59+AE59</f>
        <v>143640</v>
      </c>
      <c r="AU59" s="836">
        <f>N59+AN59</f>
        <v>8.2340999999999998</v>
      </c>
      <c r="AV59" s="836">
        <f t="shared" ref="AV59:AW63" si="47">O59+AL59</f>
        <v>5.6264000000000003</v>
      </c>
      <c r="AW59" s="837">
        <f t="shared" si="47"/>
        <v>2.6076999999999999</v>
      </c>
      <c r="AX59" s="925"/>
    </row>
    <row r="60" spans="1:50" ht="12.95" customHeight="1" x14ac:dyDescent="0.25">
      <c r="A60" s="827">
        <v>12</v>
      </c>
      <c r="B60" s="536">
        <v>5481</v>
      </c>
      <c r="C60" s="536">
        <v>600099075</v>
      </c>
      <c r="D60" s="536">
        <v>72742739</v>
      </c>
      <c r="E60" s="535" t="s">
        <v>511</v>
      </c>
      <c r="F60" s="536">
        <v>3117</v>
      </c>
      <c r="G60" s="948" t="s">
        <v>318</v>
      </c>
      <c r="H60" s="832" t="s">
        <v>284</v>
      </c>
      <c r="I60" s="803">
        <f>SUM(J60:M60)</f>
        <v>0</v>
      </c>
      <c r="J60" s="833">
        <v>0</v>
      </c>
      <c r="K60" s="805">
        <v>0</v>
      </c>
      <c r="L60" s="805">
        <v>0</v>
      </c>
      <c r="M60" s="833">
        <v>0</v>
      </c>
      <c r="N60" s="834">
        <f>SUM(O60:P60)</f>
        <v>0</v>
      </c>
      <c r="O60" s="1054">
        <v>0</v>
      </c>
      <c r="P60" s="1055">
        <v>0</v>
      </c>
      <c r="Q60" s="835">
        <f>V60*-1</f>
        <v>0</v>
      </c>
      <c r="R60" s="833">
        <f>173222</f>
        <v>173222</v>
      </c>
      <c r="S60" s="813">
        <v>0</v>
      </c>
      <c r="T60" s="813">
        <v>0</v>
      </c>
      <c r="U60" s="813">
        <f>SUM(Q60:T60)</f>
        <v>173222</v>
      </c>
      <c r="V60" s="813">
        <v>0</v>
      </c>
      <c r="W60" s="813">
        <v>0</v>
      </c>
      <c r="X60" s="813">
        <v>0</v>
      </c>
      <c r="Y60" s="813">
        <f>SUM(V60:X60)</f>
        <v>0</v>
      </c>
      <c r="Z60" s="813">
        <f>U60+Y60</f>
        <v>173222</v>
      </c>
      <c r="AA60" s="809">
        <f>ROUND((U60+V60+W60)*33.8%,0)</f>
        <v>58549</v>
      </c>
      <c r="AB60" s="809">
        <f>ROUND(U60*2%,0)</f>
        <v>3464</v>
      </c>
      <c r="AC60" s="813">
        <v>0</v>
      </c>
      <c r="AD60" s="813">
        <v>0</v>
      </c>
      <c r="AE60" s="813">
        <f>SUM(AC60:AD60)</f>
        <v>0</v>
      </c>
      <c r="AF60" s="813">
        <f>Z60+AA60+AB60+AE60</f>
        <v>235235</v>
      </c>
      <c r="AG60" s="836">
        <v>0</v>
      </c>
      <c r="AH60" s="836">
        <v>0</v>
      </c>
      <c r="AI60" s="836">
        <v>0.5</v>
      </c>
      <c r="AJ60" s="836">
        <v>0</v>
      </c>
      <c r="AK60" s="836">
        <v>0</v>
      </c>
      <c r="AL60" s="836">
        <f>AG60+AI60+AJ60</f>
        <v>0.5</v>
      </c>
      <c r="AM60" s="836">
        <f>AH60+AK60</f>
        <v>0</v>
      </c>
      <c r="AN60" s="949">
        <f>SUM(AL60:AM60)</f>
        <v>0.5</v>
      </c>
      <c r="AO60" s="945">
        <f>I60+AF60</f>
        <v>235235</v>
      </c>
      <c r="AP60" s="813">
        <f>J60+U60</f>
        <v>173222</v>
      </c>
      <c r="AQ60" s="813">
        <f>Y60</f>
        <v>0</v>
      </c>
      <c r="AR60" s="813">
        <f t="shared" si="46"/>
        <v>58549</v>
      </c>
      <c r="AS60" s="813">
        <f t="shared" si="46"/>
        <v>3464</v>
      </c>
      <c r="AT60" s="813">
        <f>M60+AE60</f>
        <v>0</v>
      </c>
      <c r="AU60" s="836">
        <f>N60+AN60</f>
        <v>0.5</v>
      </c>
      <c r="AV60" s="836">
        <f t="shared" si="47"/>
        <v>0.5</v>
      </c>
      <c r="AW60" s="837">
        <f t="shared" si="47"/>
        <v>0</v>
      </c>
      <c r="AX60" s="925"/>
    </row>
    <row r="61" spans="1:50" ht="12.95" customHeight="1" x14ac:dyDescent="0.25">
      <c r="A61" s="827">
        <v>12</v>
      </c>
      <c r="B61" s="536">
        <v>5481</v>
      </c>
      <c r="C61" s="536">
        <v>600099075</v>
      </c>
      <c r="D61" s="536">
        <v>72742739</v>
      </c>
      <c r="E61" s="535" t="s">
        <v>511</v>
      </c>
      <c r="F61" s="536">
        <v>3141</v>
      </c>
      <c r="G61" s="948" t="s">
        <v>321</v>
      </c>
      <c r="H61" s="832" t="s">
        <v>284</v>
      </c>
      <c r="I61" s="803">
        <f>SUM(J61:M61)</f>
        <v>274743</v>
      </c>
      <c r="J61" s="833">
        <v>200104</v>
      </c>
      <c r="K61" s="805">
        <f>ROUND((J61)*33.8%,0)</f>
        <v>67635</v>
      </c>
      <c r="L61" s="805">
        <f>ROUND(J61*2%,0)</f>
        <v>4002</v>
      </c>
      <c r="M61" s="833">
        <v>3002</v>
      </c>
      <c r="N61" s="834">
        <f>SUM(O61:P61)</f>
        <v>0.68</v>
      </c>
      <c r="O61" s="1054">
        <v>0</v>
      </c>
      <c r="P61" s="1055">
        <v>0.68</v>
      </c>
      <c r="Q61" s="835">
        <f>V61*-1</f>
        <v>-4000</v>
      </c>
      <c r="R61" s="813">
        <v>0</v>
      </c>
      <c r="S61" s="813">
        <v>0</v>
      </c>
      <c r="T61" s="813">
        <v>0</v>
      </c>
      <c r="U61" s="813">
        <f>SUM(Q61:T61)</f>
        <v>-4000</v>
      </c>
      <c r="V61" s="813">
        <v>4000</v>
      </c>
      <c r="W61" s="813">
        <v>0</v>
      </c>
      <c r="X61" s="813">
        <v>0</v>
      </c>
      <c r="Y61" s="813">
        <f>SUM(V61:X61)</f>
        <v>4000</v>
      </c>
      <c r="Z61" s="813">
        <f>U61+Y61</f>
        <v>0</v>
      </c>
      <c r="AA61" s="809">
        <f>ROUND((U61+V61+W61)*33.8%,0)</f>
        <v>0</v>
      </c>
      <c r="AB61" s="809">
        <f>ROUND(U61*2%,0)</f>
        <v>-80</v>
      </c>
      <c r="AC61" s="813">
        <v>0</v>
      </c>
      <c r="AD61" s="813">
        <v>0</v>
      </c>
      <c r="AE61" s="813">
        <f>SUM(AC61:AD61)</f>
        <v>0</v>
      </c>
      <c r="AF61" s="813">
        <f>Z61+AA61+AB61+AE61</f>
        <v>-80</v>
      </c>
      <c r="AG61" s="836">
        <v>0</v>
      </c>
      <c r="AH61" s="836">
        <v>0</v>
      </c>
      <c r="AI61" s="836">
        <v>0</v>
      </c>
      <c r="AJ61" s="836">
        <v>0</v>
      </c>
      <c r="AK61" s="836">
        <v>0</v>
      </c>
      <c r="AL61" s="836">
        <f>AG61+AI61+AJ61</f>
        <v>0</v>
      </c>
      <c r="AM61" s="836">
        <f>AH61+AK61</f>
        <v>0</v>
      </c>
      <c r="AN61" s="949">
        <f>SUM(AL61:AM61)</f>
        <v>0</v>
      </c>
      <c r="AO61" s="945">
        <f>I61+AF61</f>
        <v>274663</v>
      </c>
      <c r="AP61" s="813">
        <f>J61+U61</f>
        <v>196104</v>
      </c>
      <c r="AQ61" s="813">
        <f>Y61</f>
        <v>4000</v>
      </c>
      <c r="AR61" s="813">
        <f t="shared" si="46"/>
        <v>67635</v>
      </c>
      <c r="AS61" s="813">
        <f t="shared" si="46"/>
        <v>3922</v>
      </c>
      <c r="AT61" s="813">
        <f>M61+AE61</f>
        <v>3002</v>
      </c>
      <c r="AU61" s="836">
        <f>N61+AN61</f>
        <v>0.68</v>
      </c>
      <c r="AV61" s="836">
        <f t="shared" si="47"/>
        <v>0</v>
      </c>
      <c r="AW61" s="837">
        <f t="shared" si="47"/>
        <v>0.68</v>
      </c>
      <c r="AX61" s="925"/>
    </row>
    <row r="62" spans="1:50" ht="12.95" customHeight="1" x14ac:dyDescent="0.25">
      <c r="A62" s="827">
        <v>12</v>
      </c>
      <c r="B62" s="536">
        <v>5481</v>
      </c>
      <c r="C62" s="536">
        <v>600099075</v>
      </c>
      <c r="D62" s="536">
        <v>72742739</v>
      </c>
      <c r="E62" s="535" t="s">
        <v>511</v>
      </c>
      <c r="F62" s="536">
        <v>3143</v>
      </c>
      <c r="G62" s="948" t="s">
        <v>635</v>
      </c>
      <c r="H62" s="832" t="s">
        <v>283</v>
      </c>
      <c r="I62" s="803">
        <f>SUM(J62:M62)</f>
        <v>1020248</v>
      </c>
      <c r="J62" s="833">
        <v>751287</v>
      </c>
      <c r="K62" s="805">
        <f>ROUND((J62)*33.8%,0)</f>
        <v>253935</v>
      </c>
      <c r="L62" s="805">
        <f>ROUND(J62*2%,0)</f>
        <v>15026</v>
      </c>
      <c r="M62" s="833">
        <v>0</v>
      </c>
      <c r="N62" s="834">
        <f>SUM(O62:P62)</f>
        <v>1.5</v>
      </c>
      <c r="O62" s="1054">
        <v>1.5</v>
      </c>
      <c r="P62" s="1055">
        <v>0</v>
      </c>
      <c r="Q62" s="835">
        <f>V62*-1</f>
        <v>0</v>
      </c>
      <c r="R62" s="813">
        <v>0</v>
      </c>
      <c r="S62" s="813">
        <v>0</v>
      </c>
      <c r="T62" s="813">
        <v>0</v>
      </c>
      <c r="U62" s="813">
        <f>SUM(Q62:T62)</f>
        <v>0</v>
      </c>
      <c r="V62" s="813">
        <v>0</v>
      </c>
      <c r="W62" s="813">
        <v>0</v>
      </c>
      <c r="X62" s="813">
        <v>0</v>
      </c>
      <c r="Y62" s="813">
        <f>SUM(V62:X62)</f>
        <v>0</v>
      </c>
      <c r="Z62" s="813">
        <f>U62+Y62</f>
        <v>0</v>
      </c>
      <c r="AA62" s="809">
        <f>ROUND((U62+V62+W62)*33.8%,0)</f>
        <v>0</v>
      </c>
      <c r="AB62" s="809">
        <f>ROUND(U62*2%,0)</f>
        <v>0</v>
      </c>
      <c r="AC62" s="813">
        <v>0</v>
      </c>
      <c r="AD62" s="813">
        <v>0</v>
      </c>
      <c r="AE62" s="813">
        <f>SUM(AC62:AD62)</f>
        <v>0</v>
      </c>
      <c r="AF62" s="813">
        <f>Z62+AA62+AB62+AE62</f>
        <v>0</v>
      </c>
      <c r="AG62" s="836">
        <v>0</v>
      </c>
      <c r="AH62" s="836">
        <v>0</v>
      </c>
      <c r="AI62" s="836">
        <v>0</v>
      </c>
      <c r="AJ62" s="836">
        <v>0</v>
      </c>
      <c r="AK62" s="836">
        <v>0</v>
      </c>
      <c r="AL62" s="836">
        <f>AG62+AI62+AJ62</f>
        <v>0</v>
      </c>
      <c r="AM62" s="836">
        <f>AH62+AK62</f>
        <v>0</v>
      </c>
      <c r="AN62" s="949">
        <f>SUM(AL62:AM62)</f>
        <v>0</v>
      </c>
      <c r="AO62" s="945">
        <f>I62+AF62</f>
        <v>1020248</v>
      </c>
      <c r="AP62" s="813">
        <f>J62+U62</f>
        <v>751287</v>
      </c>
      <c r="AQ62" s="813">
        <f>Y62</f>
        <v>0</v>
      </c>
      <c r="AR62" s="813">
        <f t="shared" si="46"/>
        <v>253935</v>
      </c>
      <c r="AS62" s="813">
        <f t="shared" si="46"/>
        <v>15026</v>
      </c>
      <c r="AT62" s="813">
        <f>M62+AE62</f>
        <v>0</v>
      </c>
      <c r="AU62" s="836">
        <f>N62+AN62</f>
        <v>1.5</v>
      </c>
      <c r="AV62" s="836">
        <f t="shared" si="47"/>
        <v>1.5</v>
      </c>
      <c r="AW62" s="837">
        <f t="shared" si="47"/>
        <v>0</v>
      </c>
      <c r="AX62" s="925"/>
    </row>
    <row r="63" spans="1:50" ht="12.95" customHeight="1" x14ac:dyDescent="0.25">
      <c r="A63" s="827">
        <v>12</v>
      </c>
      <c r="B63" s="536">
        <v>5481</v>
      </c>
      <c r="C63" s="536">
        <v>600099075</v>
      </c>
      <c r="D63" s="536">
        <v>72742739</v>
      </c>
      <c r="E63" s="535" t="s">
        <v>511</v>
      </c>
      <c r="F63" s="536">
        <v>3143</v>
      </c>
      <c r="G63" s="948" t="s">
        <v>636</v>
      </c>
      <c r="H63" s="832" t="s">
        <v>284</v>
      </c>
      <c r="I63" s="803">
        <f>SUM(J63:M63)</f>
        <v>42133</v>
      </c>
      <c r="J63" s="833">
        <v>29700</v>
      </c>
      <c r="K63" s="805">
        <f>ROUND((J63)*33.8%,0)</f>
        <v>10039</v>
      </c>
      <c r="L63" s="805">
        <f>ROUND(J63*2%,0)</f>
        <v>594</v>
      </c>
      <c r="M63" s="833">
        <v>1800</v>
      </c>
      <c r="N63" s="834">
        <f>SUM(O63:P63)</f>
        <v>0.13</v>
      </c>
      <c r="O63" s="1054">
        <v>0</v>
      </c>
      <c r="P63" s="1055">
        <v>0.13</v>
      </c>
      <c r="Q63" s="835">
        <f>V63*-1</f>
        <v>0</v>
      </c>
      <c r="R63" s="813">
        <v>0</v>
      </c>
      <c r="S63" s="813">
        <v>0</v>
      </c>
      <c r="T63" s="813">
        <v>0</v>
      </c>
      <c r="U63" s="813">
        <f>SUM(Q63:T63)</f>
        <v>0</v>
      </c>
      <c r="V63" s="813">
        <v>0</v>
      </c>
      <c r="W63" s="813">
        <v>0</v>
      </c>
      <c r="X63" s="813">
        <v>0</v>
      </c>
      <c r="Y63" s="813">
        <f>SUM(V63:X63)</f>
        <v>0</v>
      </c>
      <c r="Z63" s="813">
        <f>U63+Y63</f>
        <v>0</v>
      </c>
      <c r="AA63" s="809">
        <f>ROUND((U63+V63+W63)*33.8%,0)</f>
        <v>0</v>
      </c>
      <c r="AB63" s="809">
        <f>ROUND(U63*2%,0)</f>
        <v>0</v>
      </c>
      <c r="AC63" s="813">
        <v>0</v>
      </c>
      <c r="AD63" s="813">
        <v>0</v>
      </c>
      <c r="AE63" s="813">
        <f>SUM(AC63:AD63)</f>
        <v>0</v>
      </c>
      <c r="AF63" s="813">
        <f>Z63+AA63+AB63+AE63</f>
        <v>0</v>
      </c>
      <c r="AG63" s="836">
        <v>0</v>
      </c>
      <c r="AH63" s="836">
        <v>0</v>
      </c>
      <c r="AI63" s="836">
        <v>0</v>
      </c>
      <c r="AJ63" s="836">
        <v>0</v>
      </c>
      <c r="AK63" s="836">
        <v>0</v>
      </c>
      <c r="AL63" s="836">
        <f>AG63+AI63+AJ63</f>
        <v>0</v>
      </c>
      <c r="AM63" s="836">
        <f>AH63+AK63</f>
        <v>0</v>
      </c>
      <c r="AN63" s="949">
        <f>SUM(AL63:AM63)</f>
        <v>0</v>
      </c>
      <c r="AO63" s="945">
        <f>I63+AF63</f>
        <v>42133</v>
      </c>
      <c r="AP63" s="813">
        <f>J63+U63</f>
        <v>29700</v>
      </c>
      <c r="AQ63" s="813">
        <f>Y63</f>
        <v>0</v>
      </c>
      <c r="AR63" s="813">
        <f t="shared" si="46"/>
        <v>10039</v>
      </c>
      <c r="AS63" s="813">
        <f t="shared" si="46"/>
        <v>594</v>
      </c>
      <c r="AT63" s="813">
        <f>M63+AE63</f>
        <v>1800</v>
      </c>
      <c r="AU63" s="836">
        <f>N63+AN63</f>
        <v>0.13</v>
      </c>
      <c r="AV63" s="836">
        <f t="shared" si="47"/>
        <v>0</v>
      </c>
      <c r="AW63" s="837">
        <f t="shared" si="47"/>
        <v>0.13</v>
      </c>
      <c r="AX63" s="925"/>
    </row>
    <row r="64" spans="1:50" ht="12.95" customHeight="1" x14ac:dyDescent="0.25">
      <c r="A64" s="538">
        <v>12</v>
      </c>
      <c r="B64" s="100">
        <v>5481</v>
      </c>
      <c r="C64" s="100">
        <v>600099075</v>
      </c>
      <c r="D64" s="100">
        <v>72742739</v>
      </c>
      <c r="E64" s="1058" t="s">
        <v>512</v>
      </c>
      <c r="F64" s="100"/>
      <c r="G64" s="1058"/>
      <c r="H64" s="449"/>
      <c r="I64" s="1008">
        <f t="shared" ref="I64:AW64" si="48">SUM(I59:I63)</f>
        <v>7446583</v>
      </c>
      <c r="J64" s="1011">
        <f t="shared" si="48"/>
        <v>5374183</v>
      </c>
      <c r="K64" s="1011">
        <f t="shared" si="48"/>
        <v>1816474</v>
      </c>
      <c r="L64" s="1011">
        <f t="shared" si="48"/>
        <v>107484</v>
      </c>
      <c r="M64" s="1011">
        <f t="shared" si="48"/>
        <v>148442</v>
      </c>
      <c r="N64" s="1090">
        <f t="shared" si="48"/>
        <v>10.774100000000001</v>
      </c>
      <c r="O64" s="1090">
        <f t="shared" si="48"/>
        <v>7.1364000000000001</v>
      </c>
      <c r="P64" s="1091">
        <f t="shared" si="48"/>
        <v>3.6377000000000002</v>
      </c>
      <c r="Q64" s="1011">
        <f t="shared" si="48"/>
        <v>-68800</v>
      </c>
      <c r="R64" s="1009">
        <f t="shared" si="48"/>
        <v>173222</v>
      </c>
      <c r="S64" s="1009">
        <f t="shared" si="48"/>
        <v>0</v>
      </c>
      <c r="T64" s="1009">
        <f t="shared" si="48"/>
        <v>0</v>
      </c>
      <c r="U64" s="1009">
        <f t="shared" si="48"/>
        <v>104422</v>
      </c>
      <c r="V64" s="1009">
        <f t="shared" si="48"/>
        <v>68800</v>
      </c>
      <c r="W64" s="1009">
        <f t="shared" si="48"/>
        <v>0</v>
      </c>
      <c r="X64" s="1009">
        <f t="shared" si="48"/>
        <v>0</v>
      </c>
      <c r="Y64" s="1009">
        <f t="shared" si="48"/>
        <v>68800</v>
      </c>
      <c r="Z64" s="1009">
        <f t="shared" si="48"/>
        <v>173222</v>
      </c>
      <c r="AA64" s="1009">
        <f t="shared" si="48"/>
        <v>58549</v>
      </c>
      <c r="AB64" s="1009">
        <f t="shared" si="48"/>
        <v>2088</v>
      </c>
      <c r="AC64" s="1009">
        <f t="shared" si="48"/>
        <v>0</v>
      </c>
      <c r="AD64" s="1009">
        <f t="shared" si="48"/>
        <v>0</v>
      </c>
      <c r="AE64" s="1009">
        <f t="shared" si="48"/>
        <v>0</v>
      </c>
      <c r="AF64" s="1009">
        <f t="shared" si="48"/>
        <v>233859</v>
      </c>
      <c r="AG64" s="1010">
        <f t="shared" si="48"/>
        <v>-0.01</v>
      </c>
      <c r="AH64" s="1010">
        <f t="shared" si="48"/>
        <v>-0.22</v>
      </c>
      <c r="AI64" s="1010">
        <f t="shared" si="48"/>
        <v>0.5</v>
      </c>
      <c r="AJ64" s="1010">
        <f t="shared" si="48"/>
        <v>0</v>
      </c>
      <c r="AK64" s="1010">
        <f t="shared" si="48"/>
        <v>0</v>
      </c>
      <c r="AL64" s="1010">
        <f t="shared" si="48"/>
        <v>0.49</v>
      </c>
      <c r="AM64" s="1010">
        <f t="shared" si="48"/>
        <v>-0.22</v>
      </c>
      <c r="AN64" s="1092">
        <f t="shared" si="48"/>
        <v>0.27</v>
      </c>
      <c r="AO64" s="1008">
        <f t="shared" si="48"/>
        <v>7680442</v>
      </c>
      <c r="AP64" s="1009">
        <f t="shared" si="48"/>
        <v>5478605</v>
      </c>
      <c r="AQ64" s="1009">
        <f t="shared" si="48"/>
        <v>68800</v>
      </c>
      <c r="AR64" s="1009">
        <f t="shared" si="48"/>
        <v>1875023</v>
      </c>
      <c r="AS64" s="1009">
        <f t="shared" si="48"/>
        <v>109572</v>
      </c>
      <c r="AT64" s="1009">
        <f t="shared" si="48"/>
        <v>148442</v>
      </c>
      <c r="AU64" s="1010">
        <f t="shared" si="48"/>
        <v>11.0441</v>
      </c>
      <c r="AV64" s="1010">
        <f t="shared" si="48"/>
        <v>7.6264000000000003</v>
      </c>
      <c r="AW64" s="1012">
        <f t="shared" si="48"/>
        <v>3.4177</v>
      </c>
      <c r="AX64" s="925"/>
    </row>
    <row r="65" spans="1:50" ht="12.95" customHeight="1" x14ac:dyDescent="0.25">
      <c r="A65" s="827">
        <v>13</v>
      </c>
      <c r="B65" s="536">
        <v>5492</v>
      </c>
      <c r="C65" s="536">
        <v>691007322</v>
      </c>
      <c r="D65" s="536">
        <v>71294180</v>
      </c>
      <c r="E65" s="535" t="s">
        <v>513</v>
      </c>
      <c r="F65" s="536">
        <v>3114</v>
      </c>
      <c r="G65" s="962" t="s">
        <v>565</v>
      </c>
      <c r="H65" s="832" t="s">
        <v>283</v>
      </c>
      <c r="I65" s="803">
        <f>SUM(J65:M65)</f>
        <v>10870244</v>
      </c>
      <c r="J65" s="833">
        <v>7918221</v>
      </c>
      <c r="K65" s="805">
        <f>ROUND((J65)*33.8%,0)</f>
        <v>2676359</v>
      </c>
      <c r="L65" s="805">
        <f>ROUND(J65*2%,0)</f>
        <v>158364</v>
      </c>
      <c r="M65" s="833">
        <v>117300</v>
      </c>
      <c r="N65" s="834">
        <f>SUM(O65:P65)</f>
        <v>14.328299999999999</v>
      </c>
      <c r="O65" s="1054">
        <v>10.09</v>
      </c>
      <c r="P65" s="1055">
        <v>4.2382999999999997</v>
      </c>
      <c r="Q65" s="835">
        <f>V65*-1</f>
        <v>-96000</v>
      </c>
      <c r="R65" s="813">
        <v>0</v>
      </c>
      <c r="S65" s="813">
        <v>0</v>
      </c>
      <c r="T65" s="813">
        <v>0</v>
      </c>
      <c r="U65" s="813">
        <f>SUM(Q65:T65)</f>
        <v>-96000</v>
      </c>
      <c r="V65" s="813">
        <v>96000</v>
      </c>
      <c r="W65" s="813">
        <v>0</v>
      </c>
      <c r="X65" s="813">
        <v>0</v>
      </c>
      <c r="Y65" s="813">
        <f>SUM(V65:X65)</f>
        <v>96000</v>
      </c>
      <c r="Z65" s="813">
        <f>U65+Y65</f>
        <v>0</v>
      </c>
      <c r="AA65" s="809">
        <f>ROUND((U65+V65+W65)*33.8%,0)</f>
        <v>0</v>
      </c>
      <c r="AB65" s="809">
        <f>ROUND(U65*2%,0)</f>
        <v>-1920</v>
      </c>
      <c r="AC65" s="813">
        <v>0</v>
      </c>
      <c r="AD65" s="813">
        <v>0</v>
      </c>
      <c r="AE65" s="813">
        <f>SUM(AC65:AD65)</f>
        <v>0</v>
      </c>
      <c r="AF65" s="813">
        <f>Z65+AA65+AB65+AE65</f>
        <v>-1920</v>
      </c>
      <c r="AG65" s="836">
        <v>0</v>
      </c>
      <c r="AH65" s="836">
        <v>-0.4</v>
      </c>
      <c r="AI65" s="836">
        <v>0</v>
      </c>
      <c r="AJ65" s="836">
        <v>0</v>
      </c>
      <c r="AK65" s="836">
        <v>0</v>
      </c>
      <c r="AL65" s="836">
        <f>AG65+AI65+AJ65</f>
        <v>0</v>
      </c>
      <c r="AM65" s="836">
        <f>AH65+AK65</f>
        <v>-0.4</v>
      </c>
      <c r="AN65" s="949">
        <f>SUM(AL65:AM65)</f>
        <v>-0.4</v>
      </c>
      <c r="AO65" s="945">
        <f>I65+AF65</f>
        <v>10868324</v>
      </c>
      <c r="AP65" s="813">
        <f>J65+U65</f>
        <v>7822221</v>
      </c>
      <c r="AQ65" s="813">
        <f>Y65</f>
        <v>96000</v>
      </c>
      <c r="AR65" s="813">
        <f t="shared" ref="AR65:AS68" si="49">K65+AA65</f>
        <v>2676359</v>
      </c>
      <c r="AS65" s="813">
        <f t="shared" si="49"/>
        <v>156444</v>
      </c>
      <c r="AT65" s="813">
        <f>M65+AE65</f>
        <v>117300</v>
      </c>
      <c r="AU65" s="836">
        <f>N65+AN65</f>
        <v>13.928299999999998</v>
      </c>
      <c r="AV65" s="836">
        <f t="shared" ref="AV65:AW68" si="50">O65+AL65</f>
        <v>10.09</v>
      </c>
      <c r="AW65" s="837">
        <f t="shared" si="50"/>
        <v>3.8382999999999998</v>
      </c>
      <c r="AX65" s="925"/>
    </row>
    <row r="66" spans="1:50" ht="12.95" customHeight="1" x14ac:dyDescent="0.25">
      <c r="A66" s="827">
        <v>13</v>
      </c>
      <c r="B66" s="536">
        <v>5492</v>
      </c>
      <c r="C66" s="536">
        <v>691007322</v>
      </c>
      <c r="D66" s="536">
        <v>71294180</v>
      </c>
      <c r="E66" s="535" t="s">
        <v>513</v>
      </c>
      <c r="F66" s="536">
        <v>3114</v>
      </c>
      <c r="G66" s="962" t="s">
        <v>319</v>
      </c>
      <c r="H66" s="832" t="s">
        <v>283</v>
      </c>
      <c r="I66" s="803">
        <f>SUM(J66:M66)</f>
        <v>1667320</v>
      </c>
      <c r="J66" s="833">
        <v>1227776</v>
      </c>
      <c r="K66" s="805">
        <f>ROUND((J66)*33.8%,0)</f>
        <v>414988</v>
      </c>
      <c r="L66" s="805">
        <f>ROUND(J66*2%,0)</f>
        <v>24556</v>
      </c>
      <c r="M66" s="833">
        <v>0</v>
      </c>
      <c r="N66" s="834">
        <f>SUM(O66:P66)</f>
        <v>3.2351999999999999</v>
      </c>
      <c r="O66" s="1054">
        <v>3.2351999999999999</v>
      </c>
      <c r="P66" s="1055">
        <v>0</v>
      </c>
      <c r="Q66" s="835">
        <f>V66*-1</f>
        <v>0</v>
      </c>
      <c r="R66" s="813">
        <v>0</v>
      </c>
      <c r="S66" s="813">
        <v>0</v>
      </c>
      <c r="T66" s="813">
        <v>0</v>
      </c>
      <c r="U66" s="813">
        <f>SUM(Q66:T66)</f>
        <v>0</v>
      </c>
      <c r="V66" s="813">
        <v>0</v>
      </c>
      <c r="W66" s="813">
        <v>0</v>
      </c>
      <c r="X66" s="813">
        <v>0</v>
      </c>
      <c r="Y66" s="813">
        <f>SUM(V66:X66)</f>
        <v>0</v>
      </c>
      <c r="Z66" s="813">
        <f>U66+Y66</f>
        <v>0</v>
      </c>
      <c r="AA66" s="809">
        <f>ROUND((U66+V66+W66)*33.8%,0)</f>
        <v>0</v>
      </c>
      <c r="AB66" s="809">
        <f>ROUND(U66*2%,0)</f>
        <v>0</v>
      </c>
      <c r="AC66" s="813">
        <v>0</v>
      </c>
      <c r="AD66" s="813">
        <v>0</v>
      </c>
      <c r="AE66" s="813">
        <f>SUM(AC66:AD66)</f>
        <v>0</v>
      </c>
      <c r="AF66" s="813">
        <f>Z66+AA66+AB66+AE66</f>
        <v>0</v>
      </c>
      <c r="AG66" s="836">
        <v>0</v>
      </c>
      <c r="AH66" s="836">
        <v>0</v>
      </c>
      <c r="AI66" s="836">
        <v>0</v>
      </c>
      <c r="AJ66" s="836">
        <v>0</v>
      </c>
      <c r="AK66" s="836">
        <v>0</v>
      </c>
      <c r="AL66" s="836">
        <f>AG66+AI66+AJ66</f>
        <v>0</v>
      </c>
      <c r="AM66" s="836">
        <f>AH66+AK66</f>
        <v>0</v>
      </c>
      <c r="AN66" s="949">
        <f>SUM(AL66:AM66)</f>
        <v>0</v>
      </c>
      <c r="AO66" s="945">
        <f>I66+AF66</f>
        <v>1667320</v>
      </c>
      <c r="AP66" s="813">
        <f>J66+U66</f>
        <v>1227776</v>
      </c>
      <c r="AQ66" s="813">
        <f>Y66</f>
        <v>0</v>
      </c>
      <c r="AR66" s="813">
        <f t="shared" si="49"/>
        <v>414988</v>
      </c>
      <c r="AS66" s="813">
        <f t="shared" si="49"/>
        <v>24556</v>
      </c>
      <c r="AT66" s="813">
        <f>M66+AE66</f>
        <v>0</v>
      </c>
      <c r="AU66" s="836">
        <f>N66+AN66</f>
        <v>3.2351999999999999</v>
      </c>
      <c r="AV66" s="836">
        <f t="shared" si="50"/>
        <v>3.2351999999999999</v>
      </c>
      <c r="AW66" s="837">
        <f t="shared" si="50"/>
        <v>0</v>
      </c>
      <c r="AX66" s="925"/>
    </row>
    <row r="67" spans="1:50" ht="12.95" customHeight="1" x14ac:dyDescent="0.25">
      <c r="A67" s="827">
        <v>13</v>
      </c>
      <c r="B67" s="536">
        <v>5492</v>
      </c>
      <c r="C67" s="536">
        <v>691007322</v>
      </c>
      <c r="D67" s="536">
        <v>71294180</v>
      </c>
      <c r="E67" s="1056" t="s">
        <v>513</v>
      </c>
      <c r="F67" s="536">
        <v>3143</v>
      </c>
      <c r="G67" s="948" t="s">
        <v>635</v>
      </c>
      <c r="H67" s="832" t="s">
        <v>283</v>
      </c>
      <c r="I67" s="803">
        <f>SUM(J67:M67)</f>
        <v>521580</v>
      </c>
      <c r="J67" s="833">
        <v>384079</v>
      </c>
      <c r="K67" s="805">
        <f>ROUND((J67)*33.8%,0)</f>
        <v>129819</v>
      </c>
      <c r="L67" s="805">
        <f>ROUND(J67*2%,0)</f>
        <v>7682</v>
      </c>
      <c r="M67" s="833">
        <v>0</v>
      </c>
      <c r="N67" s="834">
        <f>SUM(O67:P67)</f>
        <v>0.77049999999999996</v>
      </c>
      <c r="O67" s="1054">
        <v>0.77049999999999996</v>
      </c>
      <c r="P67" s="1055">
        <v>0</v>
      </c>
      <c r="Q67" s="835">
        <f>V67*-1</f>
        <v>0</v>
      </c>
      <c r="R67" s="813">
        <v>0</v>
      </c>
      <c r="S67" s="813">
        <v>0</v>
      </c>
      <c r="T67" s="813">
        <v>0</v>
      </c>
      <c r="U67" s="813">
        <f>SUM(Q67:T67)</f>
        <v>0</v>
      </c>
      <c r="V67" s="813">
        <v>0</v>
      </c>
      <c r="W67" s="813">
        <v>0</v>
      </c>
      <c r="X67" s="813">
        <v>0</v>
      </c>
      <c r="Y67" s="813">
        <f>SUM(V67:X67)</f>
        <v>0</v>
      </c>
      <c r="Z67" s="813">
        <f>U67+Y67</f>
        <v>0</v>
      </c>
      <c r="AA67" s="809">
        <f>ROUND((U67+V67+W67)*33.8%,0)</f>
        <v>0</v>
      </c>
      <c r="AB67" s="809">
        <f>ROUND(U67*2%,0)</f>
        <v>0</v>
      </c>
      <c r="AC67" s="813">
        <v>0</v>
      </c>
      <c r="AD67" s="813">
        <v>0</v>
      </c>
      <c r="AE67" s="813">
        <f>SUM(AC67:AD67)</f>
        <v>0</v>
      </c>
      <c r="AF67" s="813">
        <f>Z67+AA67+AB67+AE67</f>
        <v>0</v>
      </c>
      <c r="AG67" s="836">
        <v>0</v>
      </c>
      <c r="AH67" s="836">
        <v>0</v>
      </c>
      <c r="AI67" s="836">
        <v>0</v>
      </c>
      <c r="AJ67" s="836">
        <v>0</v>
      </c>
      <c r="AK67" s="836">
        <v>0</v>
      </c>
      <c r="AL67" s="836">
        <f>AG67+AI67+AJ67</f>
        <v>0</v>
      </c>
      <c r="AM67" s="836">
        <f>AH67+AK67</f>
        <v>0</v>
      </c>
      <c r="AN67" s="949">
        <f>SUM(AL67:AM67)</f>
        <v>0</v>
      </c>
      <c r="AO67" s="945">
        <f>I67+AF67</f>
        <v>521580</v>
      </c>
      <c r="AP67" s="813">
        <f>J67+U67</f>
        <v>384079</v>
      </c>
      <c r="AQ67" s="813">
        <f>Y67</f>
        <v>0</v>
      </c>
      <c r="AR67" s="813">
        <f t="shared" si="49"/>
        <v>129819</v>
      </c>
      <c r="AS67" s="813">
        <f t="shared" si="49"/>
        <v>7682</v>
      </c>
      <c r="AT67" s="813">
        <f>M67+AE67</f>
        <v>0</v>
      </c>
      <c r="AU67" s="836">
        <f>N67+AN67</f>
        <v>0.77049999999999996</v>
      </c>
      <c r="AV67" s="836">
        <f t="shared" si="50"/>
        <v>0.77049999999999996</v>
      </c>
      <c r="AW67" s="837">
        <f t="shared" si="50"/>
        <v>0</v>
      </c>
      <c r="AX67" s="925"/>
    </row>
    <row r="68" spans="1:50" ht="12.95" customHeight="1" x14ac:dyDescent="0.25">
      <c r="A68" s="827">
        <v>13</v>
      </c>
      <c r="B68" s="536">
        <v>5492</v>
      </c>
      <c r="C68" s="536">
        <v>691007322</v>
      </c>
      <c r="D68" s="536">
        <v>71294180</v>
      </c>
      <c r="E68" s="1056" t="s">
        <v>513</v>
      </c>
      <c r="F68" s="536">
        <v>3143</v>
      </c>
      <c r="G68" s="948" t="s">
        <v>636</v>
      </c>
      <c r="H68" s="832" t="s">
        <v>284</v>
      </c>
      <c r="I68" s="803">
        <f>SUM(J68:M68)</f>
        <v>10534</v>
      </c>
      <c r="J68" s="833">
        <v>7425</v>
      </c>
      <c r="K68" s="805">
        <f>ROUND((J68)*33.8%,0)</f>
        <v>2510</v>
      </c>
      <c r="L68" s="805">
        <f>ROUND(J68*2%,0)</f>
        <v>149</v>
      </c>
      <c r="M68" s="833">
        <v>450</v>
      </c>
      <c r="N68" s="834">
        <f>SUM(O68:P68)</f>
        <v>0.03</v>
      </c>
      <c r="O68" s="1054">
        <v>0</v>
      </c>
      <c r="P68" s="1055">
        <v>0.03</v>
      </c>
      <c r="Q68" s="835">
        <f>V68*-1</f>
        <v>0</v>
      </c>
      <c r="R68" s="813">
        <v>0</v>
      </c>
      <c r="S68" s="813">
        <v>0</v>
      </c>
      <c r="T68" s="813">
        <v>0</v>
      </c>
      <c r="U68" s="813">
        <f>SUM(Q68:T68)</f>
        <v>0</v>
      </c>
      <c r="V68" s="813">
        <v>0</v>
      </c>
      <c r="W68" s="813">
        <v>0</v>
      </c>
      <c r="X68" s="813">
        <v>0</v>
      </c>
      <c r="Y68" s="813">
        <f>SUM(V68:X68)</f>
        <v>0</v>
      </c>
      <c r="Z68" s="813">
        <f>U68+Y68</f>
        <v>0</v>
      </c>
      <c r="AA68" s="809">
        <f>ROUND((U68+V68+W68)*33.8%,0)</f>
        <v>0</v>
      </c>
      <c r="AB68" s="809">
        <f>ROUND(U68*2%,0)</f>
        <v>0</v>
      </c>
      <c r="AC68" s="813">
        <v>0</v>
      </c>
      <c r="AD68" s="813">
        <v>0</v>
      </c>
      <c r="AE68" s="813">
        <f>SUM(AC68:AD68)</f>
        <v>0</v>
      </c>
      <c r="AF68" s="813">
        <f>Z68+AA68+AB68+AE68</f>
        <v>0</v>
      </c>
      <c r="AG68" s="836">
        <v>0</v>
      </c>
      <c r="AH68" s="836">
        <v>0</v>
      </c>
      <c r="AI68" s="836">
        <v>0</v>
      </c>
      <c r="AJ68" s="836">
        <v>0</v>
      </c>
      <c r="AK68" s="836">
        <v>0</v>
      </c>
      <c r="AL68" s="836">
        <f>AG68+AI68+AJ68</f>
        <v>0</v>
      </c>
      <c r="AM68" s="836">
        <f>AH68+AK68</f>
        <v>0</v>
      </c>
      <c r="AN68" s="949">
        <f>SUM(AL68:AM68)</f>
        <v>0</v>
      </c>
      <c r="AO68" s="945">
        <f>I68+AF68</f>
        <v>10534</v>
      </c>
      <c r="AP68" s="813">
        <f>J68+U68</f>
        <v>7425</v>
      </c>
      <c r="AQ68" s="813">
        <f>Y68</f>
        <v>0</v>
      </c>
      <c r="AR68" s="813">
        <f t="shared" si="49"/>
        <v>2510</v>
      </c>
      <c r="AS68" s="813">
        <f t="shared" si="49"/>
        <v>149</v>
      </c>
      <c r="AT68" s="813">
        <f>M68+AE68</f>
        <v>450</v>
      </c>
      <c r="AU68" s="836">
        <f>N68+AN68</f>
        <v>0.03</v>
      </c>
      <c r="AV68" s="836">
        <f t="shared" si="50"/>
        <v>0</v>
      </c>
      <c r="AW68" s="837">
        <f t="shared" si="50"/>
        <v>0.03</v>
      </c>
      <c r="AX68" s="925"/>
    </row>
    <row r="69" spans="1:50" ht="12.95" customHeight="1" x14ac:dyDescent="0.25">
      <c r="A69" s="538">
        <v>13</v>
      </c>
      <c r="B69" s="100">
        <v>5492</v>
      </c>
      <c r="C69" s="100">
        <v>691007322</v>
      </c>
      <c r="D69" s="100">
        <v>71294180</v>
      </c>
      <c r="E69" s="1058" t="s">
        <v>514</v>
      </c>
      <c r="F69" s="100"/>
      <c r="G69" s="1058"/>
      <c r="H69" s="449"/>
      <c r="I69" s="1008">
        <f t="shared" ref="I69:AW69" si="51">SUM(I65:I68)</f>
        <v>13069678</v>
      </c>
      <c r="J69" s="1011">
        <f t="shared" si="51"/>
        <v>9537501</v>
      </c>
      <c r="K69" s="1011">
        <f t="shared" si="51"/>
        <v>3223676</v>
      </c>
      <c r="L69" s="1011">
        <f t="shared" si="51"/>
        <v>190751</v>
      </c>
      <c r="M69" s="1011">
        <f t="shared" si="51"/>
        <v>117750</v>
      </c>
      <c r="N69" s="1090">
        <f t="shared" si="51"/>
        <v>18.363999999999997</v>
      </c>
      <c r="O69" s="1090">
        <f t="shared" si="51"/>
        <v>14.095699999999999</v>
      </c>
      <c r="P69" s="1091">
        <f t="shared" si="51"/>
        <v>4.2683</v>
      </c>
      <c r="Q69" s="1011">
        <f t="shared" si="51"/>
        <v>-96000</v>
      </c>
      <c r="R69" s="1009">
        <f t="shared" si="51"/>
        <v>0</v>
      </c>
      <c r="S69" s="1009">
        <f t="shared" si="51"/>
        <v>0</v>
      </c>
      <c r="T69" s="1009">
        <f t="shared" si="51"/>
        <v>0</v>
      </c>
      <c r="U69" s="1009">
        <f t="shared" si="51"/>
        <v>-96000</v>
      </c>
      <c r="V69" s="1009">
        <f t="shared" si="51"/>
        <v>96000</v>
      </c>
      <c r="W69" s="1009">
        <f t="shared" si="51"/>
        <v>0</v>
      </c>
      <c r="X69" s="1009">
        <f t="shared" si="51"/>
        <v>0</v>
      </c>
      <c r="Y69" s="1009">
        <f t="shared" si="51"/>
        <v>96000</v>
      </c>
      <c r="Z69" s="1009">
        <f t="shared" si="51"/>
        <v>0</v>
      </c>
      <c r="AA69" s="1009">
        <f t="shared" si="51"/>
        <v>0</v>
      </c>
      <c r="AB69" s="1009">
        <f t="shared" si="51"/>
        <v>-1920</v>
      </c>
      <c r="AC69" s="1009">
        <f t="shared" si="51"/>
        <v>0</v>
      </c>
      <c r="AD69" s="1009">
        <f t="shared" si="51"/>
        <v>0</v>
      </c>
      <c r="AE69" s="1009">
        <f t="shared" si="51"/>
        <v>0</v>
      </c>
      <c r="AF69" s="1009">
        <f t="shared" si="51"/>
        <v>-1920</v>
      </c>
      <c r="AG69" s="1010">
        <f t="shared" si="51"/>
        <v>0</v>
      </c>
      <c r="AH69" s="1010">
        <f t="shared" si="51"/>
        <v>-0.4</v>
      </c>
      <c r="AI69" s="1010">
        <f t="shared" si="51"/>
        <v>0</v>
      </c>
      <c r="AJ69" s="1010">
        <f t="shared" si="51"/>
        <v>0</v>
      </c>
      <c r="AK69" s="1010">
        <f t="shared" si="51"/>
        <v>0</v>
      </c>
      <c r="AL69" s="1010">
        <f t="shared" si="51"/>
        <v>0</v>
      </c>
      <c r="AM69" s="1010">
        <f t="shared" si="51"/>
        <v>-0.4</v>
      </c>
      <c r="AN69" s="1092">
        <f t="shared" si="51"/>
        <v>-0.4</v>
      </c>
      <c r="AO69" s="1008">
        <f t="shared" si="51"/>
        <v>13067758</v>
      </c>
      <c r="AP69" s="1009">
        <f t="shared" si="51"/>
        <v>9441501</v>
      </c>
      <c r="AQ69" s="1009">
        <f t="shared" si="51"/>
        <v>96000</v>
      </c>
      <c r="AR69" s="1009">
        <f t="shared" si="51"/>
        <v>3223676</v>
      </c>
      <c r="AS69" s="1009">
        <f t="shared" si="51"/>
        <v>188831</v>
      </c>
      <c r="AT69" s="1009">
        <f t="shared" si="51"/>
        <v>117750</v>
      </c>
      <c r="AU69" s="1010">
        <f t="shared" si="51"/>
        <v>17.963999999999999</v>
      </c>
      <c r="AV69" s="1010">
        <f t="shared" si="51"/>
        <v>14.095699999999999</v>
      </c>
      <c r="AW69" s="1012">
        <f t="shared" si="51"/>
        <v>3.8682999999999996</v>
      </c>
      <c r="AX69" s="925"/>
    </row>
    <row r="70" spans="1:50" ht="12.95" customHeight="1" x14ac:dyDescent="0.25">
      <c r="A70" s="827">
        <v>14</v>
      </c>
      <c r="B70" s="536">
        <v>5457</v>
      </c>
      <c r="C70" s="536">
        <v>600099377</v>
      </c>
      <c r="D70" s="536">
        <v>855049</v>
      </c>
      <c r="E70" s="1056" t="s">
        <v>515</v>
      </c>
      <c r="F70" s="536">
        <v>3113</v>
      </c>
      <c r="G70" s="1056" t="s">
        <v>335</v>
      </c>
      <c r="H70" s="832" t="s">
        <v>283</v>
      </c>
      <c r="I70" s="803">
        <f t="shared" ref="I70:I75" si="52">SUM(J70:M70)</f>
        <v>34351869</v>
      </c>
      <c r="J70" s="833">
        <v>24716266</v>
      </c>
      <c r="K70" s="805">
        <f>ROUND((J70)*33.8%,0)</f>
        <v>8354098</v>
      </c>
      <c r="L70" s="805">
        <f>ROUND(J70*2%,0)</f>
        <v>494325</v>
      </c>
      <c r="M70" s="833">
        <v>787180</v>
      </c>
      <c r="N70" s="834">
        <f t="shared" ref="N70:N75" si="53">SUM(O70:P70)</f>
        <v>46.011200000000002</v>
      </c>
      <c r="O70" s="1054">
        <v>36.345700000000001</v>
      </c>
      <c r="P70" s="1055">
        <v>9.6654999999999998</v>
      </c>
      <c r="Q70" s="835">
        <f t="shared" ref="Q70:Q75" si="54">V70*-1</f>
        <v>-153600</v>
      </c>
      <c r="R70" s="813">
        <v>0</v>
      </c>
      <c r="S70" s="813">
        <v>0</v>
      </c>
      <c r="T70" s="813">
        <v>0</v>
      </c>
      <c r="U70" s="813">
        <f t="shared" ref="U70:U75" si="55">SUM(Q70:T70)</f>
        <v>-153600</v>
      </c>
      <c r="V70" s="813">
        <v>153600</v>
      </c>
      <c r="W70" s="813">
        <v>91360</v>
      </c>
      <c r="X70" s="813">
        <v>112000</v>
      </c>
      <c r="Y70" s="813">
        <f t="shared" ref="Y70:Y75" si="56">SUM(V70:X70)</f>
        <v>356960</v>
      </c>
      <c r="Z70" s="813">
        <f t="shared" ref="Z70:Z75" si="57">U70+Y70</f>
        <v>203360</v>
      </c>
      <c r="AA70" s="809">
        <f t="shared" ref="AA70:AA75" si="58">ROUND((U70+V70+W70)*33.8%,0)</f>
        <v>30880</v>
      </c>
      <c r="AB70" s="809">
        <f t="shared" ref="AB70:AB75" si="59">ROUND(U70*2%,0)</f>
        <v>-3072</v>
      </c>
      <c r="AC70" s="813">
        <v>0</v>
      </c>
      <c r="AD70" s="813">
        <v>0</v>
      </c>
      <c r="AE70" s="813">
        <f t="shared" ref="AE70:AE75" si="60">SUM(AC70:AD70)</f>
        <v>0</v>
      </c>
      <c r="AF70" s="813">
        <f t="shared" ref="AF70:AF75" si="61">Z70+AA70+AB70+AE70</f>
        <v>231168</v>
      </c>
      <c r="AG70" s="836">
        <v>-0.13</v>
      </c>
      <c r="AH70" s="836">
        <v>-0.13</v>
      </c>
      <c r="AI70" s="836">
        <v>0</v>
      </c>
      <c r="AJ70" s="836">
        <v>0</v>
      </c>
      <c r="AK70" s="836">
        <v>0</v>
      </c>
      <c r="AL70" s="836">
        <f t="shared" ref="AL70:AL75" si="62">AG70+AI70+AJ70</f>
        <v>-0.13</v>
      </c>
      <c r="AM70" s="836">
        <f t="shared" ref="AM70:AM75" si="63">AH70+AK70</f>
        <v>-0.13</v>
      </c>
      <c r="AN70" s="949">
        <f t="shared" ref="AN70:AN75" si="64">SUM(AL70:AM70)</f>
        <v>-0.26</v>
      </c>
      <c r="AO70" s="945">
        <f t="shared" ref="AO70:AO75" si="65">I70+AF70</f>
        <v>34583037</v>
      </c>
      <c r="AP70" s="813">
        <f t="shared" ref="AP70:AP75" si="66">J70+U70</f>
        <v>24562666</v>
      </c>
      <c r="AQ70" s="813">
        <f t="shared" ref="AQ70:AQ75" si="67">Y70</f>
        <v>356960</v>
      </c>
      <c r="AR70" s="813">
        <f t="shared" ref="AR70:AS75" si="68">K70+AA70</f>
        <v>8384978</v>
      </c>
      <c r="AS70" s="813">
        <f t="shared" si="68"/>
        <v>491253</v>
      </c>
      <c r="AT70" s="813">
        <f t="shared" ref="AT70:AT75" si="69">M70+AE70</f>
        <v>787180</v>
      </c>
      <c r="AU70" s="836">
        <f t="shared" ref="AU70:AU75" si="70">N70+AN70</f>
        <v>45.751200000000004</v>
      </c>
      <c r="AV70" s="836">
        <f t="shared" ref="AV70:AW75" si="71">O70+AL70</f>
        <v>36.215699999999998</v>
      </c>
      <c r="AW70" s="837">
        <f t="shared" si="71"/>
        <v>9.535499999999999</v>
      </c>
      <c r="AX70" s="925"/>
    </row>
    <row r="71" spans="1:50" ht="12.95" customHeight="1" x14ac:dyDescent="0.25">
      <c r="A71" s="827">
        <v>14</v>
      </c>
      <c r="B71" s="536">
        <v>5457</v>
      </c>
      <c r="C71" s="536">
        <v>600099377</v>
      </c>
      <c r="D71" s="536">
        <v>855049</v>
      </c>
      <c r="E71" s="535" t="s">
        <v>515</v>
      </c>
      <c r="F71" s="536">
        <v>3113</v>
      </c>
      <c r="G71" s="948" t="s">
        <v>318</v>
      </c>
      <c r="H71" s="832" t="s">
        <v>284</v>
      </c>
      <c r="I71" s="803">
        <f t="shared" si="52"/>
        <v>0</v>
      </c>
      <c r="J71" s="833">
        <v>0</v>
      </c>
      <c r="K71" s="805">
        <v>0</v>
      </c>
      <c r="L71" s="805">
        <v>0</v>
      </c>
      <c r="M71" s="833">
        <v>0</v>
      </c>
      <c r="N71" s="834">
        <f t="shared" si="53"/>
        <v>0</v>
      </c>
      <c r="O71" s="1054">
        <v>0</v>
      </c>
      <c r="P71" s="1055">
        <v>0</v>
      </c>
      <c r="Q71" s="835">
        <f t="shared" si="54"/>
        <v>0</v>
      </c>
      <c r="R71" s="833">
        <f>2113874+116371+19280+52057</f>
        <v>2301582</v>
      </c>
      <c r="S71" s="813">
        <v>0</v>
      </c>
      <c r="T71" s="813">
        <v>0</v>
      </c>
      <c r="U71" s="813">
        <f t="shared" si="55"/>
        <v>2301582</v>
      </c>
      <c r="V71" s="813">
        <v>0</v>
      </c>
      <c r="W71" s="813">
        <v>0</v>
      </c>
      <c r="X71" s="813">
        <v>0</v>
      </c>
      <c r="Y71" s="813">
        <f t="shared" si="56"/>
        <v>0</v>
      </c>
      <c r="Z71" s="813">
        <f t="shared" si="57"/>
        <v>2301582</v>
      </c>
      <c r="AA71" s="809">
        <f t="shared" si="58"/>
        <v>777935</v>
      </c>
      <c r="AB71" s="809">
        <f t="shared" si="59"/>
        <v>46032</v>
      </c>
      <c r="AC71" s="813">
        <v>0</v>
      </c>
      <c r="AD71" s="813">
        <v>0</v>
      </c>
      <c r="AE71" s="813">
        <f t="shared" si="60"/>
        <v>0</v>
      </c>
      <c r="AF71" s="813">
        <f t="shared" si="61"/>
        <v>3125549</v>
      </c>
      <c r="AG71" s="836">
        <v>0</v>
      </c>
      <c r="AH71" s="836">
        <v>0</v>
      </c>
      <c r="AI71" s="836">
        <f>5.65+0.37+0.04+0.11</f>
        <v>6.1700000000000008</v>
      </c>
      <c r="AJ71" s="836">
        <v>0</v>
      </c>
      <c r="AK71" s="836">
        <v>0</v>
      </c>
      <c r="AL71" s="836">
        <f t="shared" si="62"/>
        <v>6.1700000000000008</v>
      </c>
      <c r="AM71" s="836">
        <f t="shared" si="63"/>
        <v>0</v>
      </c>
      <c r="AN71" s="949">
        <f t="shared" si="64"/>
        <v>6.1700000000000008</v>
      </c>
      <c r="AO71" s="945">
        <f t="shared" si="65"/>
        <v>3125549</v>
      </c>
      <c r="AP71" s="813">
        <f t="shared" si="66"/>
        <v>2301582</v>
      </c>
      <c r="AQ71" s="813">
        <f t="shared" si="67"/>
        <v>0</v>
      </c>
      <c r="AR71" s="813">
        <f t="shared" si="68"/>
        <v>777935</v>
      </c>
      <c r="AS71" s="813">
        <f t="shared" si="68"/>
        <v>46032</v>
      </c>
      <c r="AT71" s="813">
        <f t="shared" si="69"/>
        <v>0</v>
      </c>
      <c r="AU71" s="836">
        <f t="shared" si="70"/>
        <v>6.1700000000000008</v>
      </c>
      <c r="AV71" s="836">
        <f t="shared" si="71"/>
        <v>6.1700000000000008</v>
      </c>
      <c r="AW71" s="837">
        <f t="shared" si="71"/>
        <v>0</v>
      </c>
      <c r="AX71" s="925"/>
    </row>
    <row r="72" spans="1:50" ht="12.95" customHeight="1" x14ac:dyDescent="0.25">
      <c r="A72" s="827">
        <v>14</v>
      </c>
      <c r="B72" s="1052">
        <v>5457</v>
      </c>
      <c r="C72" s="1052">
        <v>600099377</v>
      </c>
      <c r="D72" s="1052">
        <v>855049</v>
      </c>
      <c r="E72" s="1053" t="s">
        <v>515</v>
      </c>
      <c r="F72" s="1052">
        <v>3141</v>
      </c>
      <c r="G72" s="1057" t="s">
        <v>321</v>
      </c>
      <c r="H72" s="832" t="s">
        <v>284</v>
      </c>
      <c r="I72" s="803">
        <f t="shared" si="52"/>
        <v>1174784</v>
      </c>
      <c r="J72" s="833">
        <v>851093</v>
      </c>
      <c r="K72" s="805">
        <f>ROUND((J72)*33.8%,0)</f>
        <v>287669</v>
      </c>
      <c r="L72" s="805">
        <f>ROUND(J72*2%,0)</f>
        <v>17022</v>
      </c>
      <c r="M72" s="833">
        <v>19000</v>
      </c>
      <c r="N72" s="834">
        <f t="shared" si="53"/>
        <v>2.89</v>
      </c>
      <c r="O72" s="1054">
        <v>0</v>
      </c>
      <c r="P72" s="1055">
        <v>2.89</v>
      </c>
      <c r="Q72" s="835">
        <f t="shared" si="54"/>
        <v>0</v>
      </c>
      <c r="R72" s="813">
        <v>0</v>
      </c>
      <c r="S72" s="813">
        <v>0</v>
      </c>
      <c r="T72" s="813">
        <v>0</v>
      </c>
      <c r="U72" s="813">
        <f t="shared" si="55"/>
        <v>0</v>
      </c>
      <c r="V72" s="813">
        <v>0</v>
      </c>
      <c r="W72" s="813">
        <v>0</v>
      </c>
      <c r="X72" s="813">
        <v>0</v>
      </c>
      <c r="Y72" s="813">
        <f t="shared" si="56"/>
        <v>0</v>
      </c>
      <c r="Z72" s="813">
        <f t="shared" si="57"/>
        <v>0</v>
      </c>
      <c r="AA72" s="809">
        <f t="shared" si="58"/>
        <v>0</v>
      </c>
      <c r="AB72" s="809">
        <f t="shared" si="59"/>
        <v>0</v>
      </c>
      <c r="AC72" s="813">
        <v>0</v>
      </c>
      <c r="AD72" s="813">
        <v>0</v>
      </c>
      <c r="AE72" s="813">
        <f t="shared" si="60"/>
        <v>0</v>
      </c>
      <c r="AF72" s="813">
        <f t="shared" si="61"/>
        <v>0</v>
      </c>
      <c r="AG72" s="836">
        <v>0</v>
      </c>
      <c r="AH72" s="836">
        <v>0</v>
      </c>
      <c r="AI72" s="836">
        <v>0</v>
      </c>
      <c r="AJ72" s="836">
        <v>0</v>
      </c>
      <c r="AK72" s="836">
        <v>0</v>
      </c>
      <c r="AL72" s="836">
        <f t="shared" si="62"/>
        <v>0</v>
      </c>
      <c r="AM72" s="836">
        <f t="shared" si="63"/>
        <v>0</v>
      </c>
      <c r="AN72" s="949">
        <f t="shared" si="64"/>
        <v>0</v>
      </c>
      <c r="AO72" s="945">
        <f t="shared" si="65"/>
        <v>1174784</v>
      </c>
      <c r="AP72" s="813">
        <f t="shared" si="66"/>
        <v>851093</v>
      </c>
      <c r="AQ72" s="813">
        <f t="shared" si="67"/>
        <v>0</v>
      </c>
      <c r="AR72" s="813">
        <f t="shared" si="68"/>
        <v>287669</v>
      </c>
      <c r="AS72" s="813">
        <f t="shared" si="68"/>
        <v>17022</v>
      </c>
      <c r="AT72" s="813">
        <f t="shared" si="69"/>
        <v>19000</v>
      </c>
      <c r="AU72" s="836">
        <f t="shared" si="70"/>
        <v>2.89</v>
      </c>
      <c r="AV72" s="836">
        <f t="shared" si="71"/>
        <v>0</v>
      </c>
      <c r="AW72" s="837">
        <f t="shared" si="71"/>
        <v>2.89</v>
      </c>
      <c r="AX72" s="925"/>
    </row>
    <row r="73" spans="1:50" ht="12.95" customHeight="1" x14ac:dyDescent="0.25">
      <c r="A73" s="827">
        <v>14</v>
      </c>
      <c r="B73" s="536">
        <v>5457</v>
      </c>
      <c r="C73" s="536">
        <v>600099377</v>
      </c>
      <c r="D73" s="536">
        <v>855049</v>
      </c>
      <c r="E73" s="1056" t="s">
        <v>515</v>
      </c>
      <c r="F73" s="536">
        <v>3143</v>
      </c>
      <c r="G73" s="948" t="s">
        <v>635</v>
      </c>
      <c r="H73" s="832" t="s">
        <v>283</v>
      </c>
      <c r="I73" s="803">
        <f t="shared" si="52"/>
        <v>3115261</v>
      </c>
      <c r="J73" s="833">
        <v>2294007</v>
      </c>
      <c r="K73" s="805">
        <f>ROUND((J73)*33.8%,0)</f>
        <v>775374</v>
      </c>
      <c r="L73" s="805">
        <f>ROUND(J73*2%,0)</f>
        <v>45880</v>
      </c>
      <c r="M73" s="833">
        <v>0</v>
      </c>
      <c r="N73" s="834">
        <f t="shared" si="53"/>
        <v>4.8883999999999999</v>
      </c>
      <c r="O73" s="1054">
        <v>4.8883999999999999</v>
      </c>
      <c r="P73" s="1055">
        <v>0</v>
      </c>
      <c r="Q73" s="835">
        <f t="shared" si="54"/>
        <v>0</v>
      </c>
      <c r="R73" s="813">
        <v>0</v>
      </c>
      <c r="S73" s="813">
        <v>0</v>
      </c>
      <c r="T73" s="813">
        <v>0</v>
      </c>
      <c r="U73" s="813">
        <f t="shared" si="55"/>
        <v>0</v>
      </c>
      <c r="V73" s="813">
        <v>0</v>
      </c>
      <c r="W73" s="813">
        <v>0</v>
      </c>
      <c r="X73" s="813">
        <v>0</v>
      </c>
      <c r="Y73" s="813">
        <f t="shared" si="56"/>
        <v>0</v>
      </c>
      <c r="Z73" s="813">
        <f t="shared" si="57"/>
        <v>0</v>
      </c>
      <c r="AA73" s="809">
        <f t="shared" si="58"/>
        <v>0</v>
      </c>
      <c r="AB73" s="809">
        <f t="shared" si="59"/>
        <v>0</v>
      </c>
      <c r="AC73" s="813">
        <v>0</v>
      </c>
      <c r="AD73" s="813">
        <v>0</v>
      </c>
      <c r="AE73" s="813">
        <f t="shared" si="60"/>
        <v>0</v>
      </c>
      <c r="AF73" s="813">
        <f t="shared" si="61"/>
        <v>0</v>
      </c>
      <c r="AG73" s="836">
        <v>0</v>
      </c>
      <c r="AH73" s="836">
        <v>0</v>
      </c>
      <c r="AI73" s="836">
        <v>0</v>
      </c>
      <c r="AJ73" s="836">
        <v>0</v>
      </c>
      <c r="AK73" s="836">
        <v>0</v>
      </c>
      <c r="AL73" s="836">
        <f t="shared" si="62"/>
        <v>0</v>
      </c>
      <c r="AM73" s="836">
        <f t="shared" si="63"/>
        <v>0</v>
      </c>
      <c r="AN73" s="949">
        <f t="shared" si="64"/>
        <v>0</v>
      </c>
      <c r="AO73" s="945">
        <f t="shared" si="65"/>
        <v>3115261</v>
      </c>
      <c r="AP73" s="813">
        <f t="shared" si="66"/>
        <v>2294007</v>
      </c>
      <c r="AQ73" s="813">
        <f t="shared" si="67"/>
        <v>0</v>
      </c>
      <c r="AR73" s="813">
        <f t="shared" si="68"/>
        <v>775374</v>
      </c>
      <c r="AS73" s="813">
        <f t="shared" si="68"/>
        <v>45880</v>
      </c>
      <c r="AT73" s="813">
        <f t="shared" si="69"/>
        <v>0</v>
      </c>
      <c r="AU73" s="836">
        <f t="shared" si="70"/>
        <v>4.8883999999999999</v>
      </c>
      <c r="AV73" s="836">
        <f t="shared" si="71"/>
        <v>4.8883999999999999</v>
      </c>
      <c r="AW73" s="837">
        <f t="shared" si="71"/>
        <v>0</v>
      </c>
      <c r="AX73" s="925"/>
    </row>
    <row r="74" spans="1:50" ht="12.95" customHeight="1" x14ac:dyDescent="0.25">
      <c r="A74" s="827">
        <v>14</v>
      </c>
      <c r="B74" s="536">
        <v>5457</v>
      </c>
      <c r="C74" s="536">
        <v>600099377</v>
      </c>
      <c r="D74" s="536">
        <v>855049</v>
      </c>
      <c r="E74" s="1056" t="s">
        <v>515</v>
      </c>
      <c r="F74" s="536">
        <v>3143</v>
      </c>
      <c r="G74" s="948" t="s">
        <v>636</v>
      </c>
      <c r="H74" s="832" t="s">
        <v>284</v>
      </c>
      <c r="I74" s="803">
        <f t="shared" si="52"/>
        <v>103225</v>
      </c>
      <c r="J74" s="833">
        <v>72765</v>
      </c>
      <c r="K74" s="805">
        <f t="shared" ref="K74:K75" si="72">ROUND((J74)*33.8%,0)</f>
        <v>24595</v>
      </c>
      <c r="L74" s="805">
        <f>ROUND(J74*2%,0)</f>
        <v>1455</v>
      </c>
      <c r="M74" s="833">
        <v>4410</v>
      </c>
      <c r="N74" s="834">
        <f t="shared" si="53"/>
        <v>0.31</v>
      </c>
      <c r="O74" s="1054">
        <v>0</v>
      </c>
      <c r="P74" s="1055">
        <v>0.31</v>
      </c>
      <c r="Q74" s="835">
        <f t="shared" si="54"/>
        <v>0</v>
      </c>
      <c r="R74" s="813">
        <v>0</v>
      </c>
      <c r="S74" s="813">
        <v>0</v>
      </c>
      <c r="T74" s="813">
        <v>0</v>
      </c>
      <c r="U74" s="813">
        <f t="shared" si="55"/>
        <v>0</v>
      </c>
      <c r="V74" s="813">
        <v>0</v>
      </c>
      <c r="W74" s="813">
        <v>0</v>
      </c>
      <c r="X74" s="813">
        <v>0</v>
      </c>
      <c r="Y74" s="813">
        <f t="shared" si="56"/>
        <v>0</v>
      </c>
      <c r="Z74" s="813">
        <f t="shared" si="57"/>
        <v>0</v>
      </c>
      <c r="AA74" s="809">
        <f t="shared" si="58"/>
        <v>0</v>
      </c>
      <c r="AB74" s="809">
        <f t="shared" si="59"/>
        <v>0</v>
      </c>
      <c r="AC74" s="813">
        <v>0</v>
      </c>
      <c r="AD74" s="813">
        <v>0</v>
      </c>
      <c r="AE74" s="813">
        <f t="shared" si="60"/>
        <v>0</v>
      </c>
      <c r="AF74" s="813">
        <f t="shared" si="61"/>
        <v>0</v>
      </c>
      <c r="AG74" s="836">
        <v>0</v>
      </c>
      <c r="AH74" s="836">
        <v>0</v>
      </c>
      <c r="AI74" s="836">
        <v>0</v>
      </c>
      <c r="AJ74" s="836">
        <v>0</v>
      </c>
      <c r="AK74" s="836">
        <v>0</v>
      </c>
      <c r="AL74" s="836">
        <f t="shared" si="62"/>
        <v>0</v>
      </c>
      <c r="AM74" s="836">
        <f t="shared" si="63"/>
        <v>0</v>
      </c>
      <c r="AN74" s="949">
        <f t="shared" si="64"/>
        <v>0</v>
      </c>
      <c r="AO74" s="945">
        <f t="shared" si="65"/>
        <v>103225</v>
      </c>
      <c r="AP74" s="813">
        <f t="shared" si="66"/>
        <v>72765</v>
      </c>
      <c r="AQ74" s="813">
        <f t="shared" si="67"/>
        <v>0</v>
      </c>
      <c r="AR74" s="813">
        <f t="shared" si="68"/>
        <v>24595</v>
      </c>
      <c r="AS74" s="813">
        <f t="shared" si="68"/>
        <v>1455</v>
      </c>
      <c r="AT74" s="813">
        <f t="shared" si="69"/>
        <v>4410</v>
      </c>
      <c r="AU74" s="836">
        <f t="shared" si="70"/>
        <v>0.31</v>
      </c>
      <c r="AV74" s="836">
        <f t="shared" si="71"/>
        <v>0</v>
      </c>
      <c r="AW74" s="837">
        <f t="shared" si="71"/>
        <v>0.31</v>
      </c>
      <c r="AX74" s="925"/>
    </row>
    <row r="75" spans="1:50" ht="12.95" customHeight="1" x14ac:dyDescent="0.25">
      <c r="A75" s="827">
        <v>14</v>
      </c>
      <c r="B75" s="536">
        <v>5457</v>
      </c>
      <c r="C75" s="536">
        <v>600099377</v>
      </c>
      <c r="D75" s="536">
        <v>855049</v>
      </c>
      <c r="E75" s="535" t="s">
        <v>515</v>
      </c>
      <c r="F75" s="536">
        <v>3143</v>
      </c>
      <c r="G75" s="948" t="s">
        <v>323</v>
      </c>
      <c r="H75" s="832" t="s">
        <v>284</v>
      </c>
      <c r="I75" s="803">
        <f t="shared" si="52"/>
        <v>590951</v>
      </c>
      <c r="J75" s="833">
        <v>432512</v>
      </c>
      <c r="K75" s="805">
        <f t="shared" si="72"/>
        <v>146189</v>
      </c>
      <c r="L75" s="805">
        <f>ROUND(J75*2%,0)</f>
        <v>8650</v>
      </c>
      <c r="M75" s="833">
        <v>3600</v>
      </c>
      <c r="N75" s="834">
        <f t="shared" si="53"/>
        <v>1.04</v>
      </c>
      <c r="O75" s="1054">
        <v>0.79</v>
      </c>
      <c r="P75" s="1055">
        <v>0.25</v>
      </c>
      <c r="Q75" s="835">
        <f t="shared" si="54"/>
        <v>0</v>
      </c>
      <c r="R75" s="813">
        <v>0</v>
      </c>
      <c r="S75" s="813">
        <v>0</v>
      </c>
      <c r="T75" s="813">
        <v>0</v>
      </c>
      <c r="U75" s="813">
        <f t="shared" si="55"/>
        <v>0</v>
      </c>
      <c r="V75" s="813">
        <v>0</v>
      </c>
      <c r="W75" s="813">
        <v>0</v>
      </c>
      <c r="X75" s="813">
        <v>0</v>
      </c>
      <c r="Y75" s="813">
        <f t="shared" si="56"/>
        <v>0</v>
      </c>
      <c r="Z75" s="813">
        <f t="shared" si="57"/>
        <v>0</v>
      </c>
      <c r="AA75" s="809">
        <f t="shared" si="58"/>
        <v>0</v>
      </c>
      <c r="AB75" s="809">
        <f t="shared" si="59"/>
        <v>0</v>
      </c>
      <c r="AC75" s="813">
        <v>0</v>
      </c>
      <c r="AD75" s="813">
        <v>0</v>
      </c>
      <c r="AE75" s="813">
        <f t="shared" si="60"/>
        <v>0</v>
      </c>
      <c r="AF75" s="813">
        <f t="shared" si="61"/>
        <v>0</v>
      </c>
      <c r="AG75" s="836">
        <v>0</v>
      </c>
      <c r="AH75" s="836">
        <v>0</v>
      </c>
      <c r="AI75" s="836">
        <v>0</v>
      </c>
      <c r="AJ75" s="836">
        <v>0</v>
      </c>
      <c r="AK75" s="836">
        <v>0</v>
      </c>
      <c r="AL75" s="836">
        <f t="shared" si="62"/>
        <v>0</v>
      </c>
      <c r="AM75" s="836">
        <f t="shared" si="63"/>
        <v>0</v>
      </c>
      <c r="AN75" s="949">
        <f t="shared" si="64"/>
        <v>0</v>
      </c>
      <c r="AO75" s="945">
        <f t="shared" si="65"/>
        <v>590951</v>
      </c>
      <c r="AP75" s="813">
        <f t="shared" si="66"/>
        <v>432512</v>
      </c>
      <c r="AQ75" s="813">
        <f t="shared" si="67"/>
        <v>0</v>
      </c>
      <c r="AR75" s="813">
        <f t="shared" si="68"/>
        <v>146189</v>
      </c>
      <c r="AS75" s="813">
        <f t="shared" si="68"/>
        <v>8650</v>
      </c>
      <c r="AT75" s="813">
        <f t="shared" si="69"/>
        <v>3600</v>
      </c>
      <c r="AU75" s="836">
        <f t="shared" si="70"/>
        <v>1.04</v>
      </c>
      <c r="AV75" s="836">
        <f t="shared" si="71"/>
        <v>0.79</v>
      </c>
      <c r="AW75" s="837">
        <f t="shared" si="71"/>
        <v>0.25</v>
      </c>
      <c r="AX75" s="925"/>
    </row>
    <row r="76" spans="1:50" ht="12.95" customHeight="1" x14ac:dyDescent="0.25">
      <c r="A76" s="538">
        <v>14</v>
      </c>
      <c r="B76" s="103">
        <v>5457</v>
      </c>
      <c r="C76" s="103">
        <v>600099377</v>
      </c>
      <c r="D76" s="103">
        <v>855049</v>
      </c>
      <c r="E76" s="1058" t="s">
        <v>516</v>
      </c>
      <c r="F76" s="103"/>
      <c r="G76" s="1089"/>
      <c r="H76" s="452"/>
      <c r="I76" s="1059">
        <f t="shared" ref="I76:AW76" si="73">SUM(I70:I75)</f>
        <v>39336090</v>
      </c>
      <c r="J76" s="1060">
        <f t="shared" si="73"/>
        <v>28366643</v>
      </c>
      <c r="K76" s="1060">
        <f t="shared" si="73"/>
        <v>9587925</v>
      </c>
      <c r="L76" s="1060">
        <f t="shared" si="73"/>
        <v>567332</v>
      </c>
      <c r="M76" s="1060">
        <f t="shared" si="73"/>
        <v>814190</v>
      </c>
      <c r="N76" s="1061">
        <f t="shared" si="73"/>
        <v>55.139600000000002</v>
      </c>
      <c r="O76" s="1061">
        <f t="shared" si="73"/>
        <v>42.024099999999997</v>
      </c>
      <c r="P76" s="1062">
        <f t="shared" si="73"/>
        <v>13.115500000000001</v>
      </c>
      <c r="Q76" s="1060">
        <f t="shared" si="73"/>
        <v>-153600</v>
      </c>
      <c r="R76" s="1063">
        <f t="shared" si="73"/>
        <v>2301582</v>
      </c>
      <c r="S76" s="1063">
        <f t="shared" si="73"/>
        <v>0</v>
      </c>
      <c r="T76" s="1063">
        <f t="shared" si="73"/>
        <v>0</v>
      </c>
      <c r="U76" s="1063">
        <f t="shared" si="73"/>
        <v>2147982</v>
      </c>
      <c r="V76" s="1063">
        <f t="shared" si="73"/>
        <v>153600</v>
      </c>
      <c r="W76" s="1063">
        <f t="shared" si="73"/>
        <v>91360</v>
      </c>
      <c r="X76" s="1063">
        <f t="shared" si="73"/>
        <v>112000</v>
      </c>
      <c r="Y76" s="1063">
        <f t="shared" si="73"/>
        <v>356960</v>
      </c>
      <c r="Z76" s="1063">
        <f t="shared" si="73"/>
        <v>2504942</v>
      </c>
      <c r="AA76" s="1063">
        <f t="shared" si="73"/>
        <v>808815</v>
      </c>
      <c r="AB76" s="1063">
        <f t="shared" si="73"/>
        <v>42960</v>
      </c>
      <c r="AC76" s="1063">
        <f t="shared" si="73"/>
        <v>0</v>
      </c>
      <c r="AD76" s="1063">
        <f t="shared" si="73"/>
        <v>0</v>
      </c>
      <c r="AE76" s="1063">
        <f t="shared" si="73"/>
        <v>0</v>
      </c>
      <c r="AF76" s="1063">
        <f t="shared" si="73"/>
        <v>3356717</v>
      </c>
      <c r="AG76" s="1064">
        <f t="shared" si="73"/>
        <v>-0.13</v>
      </c>
      <c r="AH76" s="1064">
        <f t="shared" si="73"/>
        <v>-0.13</v>
      </c>
      <c r="AI76" s="1064">
        <f t="shared" si="73"/>
        <v>6.1700000000000008</v>
      </c>
      <c r="AJ76" s="1064">
        <f t="shared" si="73"/>
        <v>0</v>
      </c>
      <c r="AK76" s="1064">
        <f t="shared" si="73"/>
        <v>0</v>
      </c>
      <c r="AL76" s="1064">
        <f t="shared" si="73"/>
        <v>6.0400000000000009</v>
      </c>
      <c r="AM76" s="1064">
        <f t="shared" si="73"/>
        <v>-0.13</v>
      </c>
      <c r="AN76" s="1065">
        <f t="shared" si="73"/>
        <v>5.910000000000001</v>
      </c>
      <c r="AO76" s="1059">
        <f t="shared" si="73"/>
        <v>42692807</v>
      </c>
      <c r="AP76" s="1063">
        <f t="shared" si="73"/>
        <v>30514625</v>
      </c>
      <c r="AQ76" s="1063">
        <f t="shared" si="73"/>
        <v>356960</v>
      </c>
      <c r="AR76" s="1063">
        <f t="shared" si="73"/>
        <v>10396740</v>
      </c>
      <c r="AS76" s="1063">
        <f t="shared" si="73"/>
        <v>610292</v>
      </c>
      <c r="AT76" s="1063">
        <f t="shared" si="73"/>
        <v>814190</v>
      </c>
      <c r="AU76" s="1064">
        <f t="shared" si="73"/>
        <v>61.049600000000005</v>
      </c>
      <c r="AV76" s="1064">
        <f t="shared" si="73"/>
        <v>48.064099999999996</v>
      </c>
      <c r="AW76" s="1067">
        <f t="shared" si="73"/>
        <v>12.9855</v>
      </c>
      <c r="AX76" s="925"/>
    </row>
    <row r="77" spans="1:50" ht="12.95" customHeight="1" x14ac:dyDescent="0.25">
      <c r="A77" s="827">
        <v>15</v>
      </c>
      <c r="B77" s="536">
        <v>5459</v>
      </c>
      <c r="C77" s="536">
        <v>600099415</v>
      </c>
      <c r="D77" s="536">
        <v>70946086</v>
      </c>
      <c r="E77" s="1056" t="s">
        <v>517</v>
      </c>
      <c r="F77" s="536">
        <v>3231</v>
      </c>
      <c r="G77" s="1056" t="s">
        <v>517</v>
      </c>
      <c r="H77" s="832" t="s">
        <v>283</v>
      </c>
      <c r="I77" s="803">
        <f>SUM(J77:M77)</f>
        <v>20852522</v>
      </c>
      <c r="J77" s="833">
        <v>15304593</v>
      </c>
      <c r="K77" s="805">
        <f>ROUND((J77)*33.8%,0)</f>
        <v>5172952</v>
      </c>
      <c r="L77" s="805">
        <f>ROUND(J77*2%,0)</f>
        <v>306092</v>
      </c>
      <c r="M77" s="833">
        <v>68885</v>
      </c>
      <c r="N77" s="834">
        <f>SUM(O77:P77)</f>
        <v>29.643699999999999</v>
      </c>
      <c r="O77" s="1054">
        <v>26.3324</v>
      </c>
      <c r="P77" s="1055">
        <v>3.3113000000000001</v>
      </c>
      <c r="Q77" s="835">
        <f>V77*-1</f>
        <v>0</v>
      </c>
      <c r="R77" s="813">
        <v>0</v>
      </c>
      <c r="S77" s="813">
        <v>0</v>
      </c>
      <c r="T77" s="813">
        <v>0</v>
      </c>
      <c r="U77" s="813">
        <f>SUM(Q77:T77)</f>
        <v>0</v>
      </c>
      <c r="V77" s="813">
        <v>0</v>
      </c>
      <c r="W77" s="813">
        <v>0</v>
      </c>
      <c r="X77" s="813">
        <v>0</v>
      </c>
      <c r="Y77" s="813">
        <f>SUM(V77:X77)</f>
        <v>0</v>
      </c>
      <c r="Z77" s="813">
        <f>U77+Y77</f>
        <v>0</v>
      </c>
      <c r="AA77" s="809">
        <f>ROUND((U77+V77+W77)*33.8%,0)</f>
        <v>0</v>
      </c>
      <c r="AB77" s="809">
        <f>ROUND(U77*2%,0)</f>
        <v>0</v>
      </c>
      <c r="AC77" s="813">
        <v>0</v>
      </c>
      <c r="AD77" s="813">
        <v>0</v>
      </c>
      <c r="AE77" s="813">
        <f>SUM(AC77:AD77)</f>
        <v>0</v>
      </c>
      <c r="AF77" s="813">
        <f>Z77+AA77+AB77+AE77</f>
        <v>0</v>
      </c>
      <c r="AG77" s="836">
        <v>0</v>
      </c>
      <c r="AH77" s="836">
        <v>0</v>
      </c>
      <c r="AI77" s="836">
        <v>0</v>
      </c>
      <c r="AJ77" s="836">
        <v>0</v>
      </c>
      <c r="AK77" s="836">
        <v>0</v>
      </c>
      <c r="AL77" s="836">
        <f>AG77+AI77+AJ77</f>
        <v>0</v>
      </c>
      <c r="AM77" s="836">
        <f>AH77+AK77</f>
        <v>0</v>
      </c>
      <c r="AN77" s="949">
        <f>SUM(AL77:AM77)</f>
        <v>0</v>
      </c>
      <c r="AO77" s="945">
        <f>I77+AF77</f>
        <v>20852522</v>
      </c>
      <c r="AP77" s="813">
        <f>J77+U77</f>
        <v>15304593</v>
      </c>
      <c r="AQ77" s="813">
        <f>Y77</f>
        <v>0</v>
      </c>
      <c r="AR77" s="813">
        <f>K77+AA77</f>
        <v>5172952</v>
      </c>
      <c r="AS77" s="813">
        <f>L77+AB77</f>
        <v>306092</v>
      </c>
      <c r="AT77" s="813">
        <f>M77+AE77</f>
        <v>68885</v>
      </c>
      <c r="AU77" s="836">
        <f>N77+AN77</f>
        <v>29.643699999999999</v>
      </c>
      <c r="AV77" s="836">
        <f>O77+AL77</f>
        <v>26.3324</v>
      </c>
      <c r="AW77" s="837">
        <f>P77+AM77</f>
        <v>3.3113000000000001</v>
      </c>
      <c r="AX77" s="925"/>
    </row>
    <row r="78" spans="1:50" ht="12.95" customHeight="1" x14ac:dyDescent="0.25">
      <c r="A78" s="538">
        <v>15</v>
      </c>
      <c r="B78" s="100">
        <v>5459</v>
      </c>
      <c r="C78" s="100">
        <v>600099415</v>
      </c>
      <c r="D78" s="100">
        <v>70946086</v>
      </c>
      <c r="E78" s="1058" t="s">
        <v>518</v>
      </c>
      <c r="F78" s="100"/>
      <c r="G78" s="1058"/>
      <c r="H78" s="449"/>
      <c r="I78" s="820">
        <f t="shared" ref="I78:AW78" si="74">SUM(I77)</f>
        <v>20852522</v>
      </c>
      <c r="J78" s="825">
        <f t="shared" si="74"/>
        <v>15304593</v>
      </c>
      <c r="K78" s="825">
        <f t="shared" si="74"/>
        <v>5172952</v>
      </c>
      <c r="L78" s="825">
        <f t="shared" si="74"/>
        <v>306092</v>
      </c>
      <c r="M78" s="825">
        <f t="shared" si="74"/>
        <v>68885</v>
      </c>
      <c r="N78" s="1070">
        <f t="shared" si="74"/>
        <v>29.643699999999999</v>
      </c>
      <c r="O78" s="1070">
        <f t="shared" si="74"/>
        <v>26.3324</v>
      </c>
      <c r="P78" s="1071">
        <f t="shared" si="74"/>
        <v>3.3113000000000001</v>
      </c>
      <c r="Q78" s="825">
        <f t="shared" si="74"/>
        <v>0</v>
      </c>
      <c r="R78" s="821">
        <f t="shared" si="74"/>
        <v>0</v>
      </c>
      <c r="S78" s="821">
        <f t="shared" si="74"/>
        <v>0</v>
      </c>
      <c r="T78" s="821">
        <f t="shared" si="74"/>
        <v>0</v>
      </c>
      <c r="U78" s="821">
        <f t="shared" si="74"/>
        <v>0</v>
      </c>
      <c r="V78" s="821">
        <f t="shared" si="74"/>
        <v>0</v>
      </c>
      <c r="W78" s="821">
        <f t="shared" si="74"/>
        <v>0</v>
      </c>
      <c r="X78" s="821">
        <f t="shared" si="74"/>
        <v>0</v>
      </c>
      <c r="Y78" s="821">
        <f t="shared" si="74"/>
        <v>0</v>
      </c>
      <c r="Z78" s="821">
        <f t="shared" si="74"/>
        <v>0</v>
      </c>
      <c r="AA78" s="821">
        <f t="shared" si="74"/>
        <v>0</v>
      </c>
      <c r="AB78" s="821">
        <f t="shared" si="74"/>
        <v>0</v>
      </c>
      <c r="AC78" s="821">
        <f t="shared" si="74"/>
        <v>0</v>
      </c>
      <c r="AD78" s="821">
        <f t="shared" si="74"/>
        <v>0</v>
      </c>
      <c r="AE78" s="821">
        <f t="shared" si="74"/>
        <v>0</v>
      </c>
      <c r="AF78" s="821">
        <f t="shared" si="74"/>
        <v>0</v>
      </c>
      <c r="AG78" s="822">
        <f t="shared" si="74"/>
        <v>0</v>
      </c>
      <c r="AH78" s="822">
        <f t="shared" si="74"/>
        <v>0</v>
      </c>
      <c r="AI78" s="822">
        <f t="shared" si="74"/>
        <v>0</v>
      </c>
      <c r="AJ78" s="822">
        <f t="shared" si="74"/>
        <v>0</v>
      </c>
      <c r="AK78" s="822">
        <f t="shared" si="74"/>
        <v>0</v>
      </c>
      <c r="AL78" s="822">
        <f t="shared" si="74"/>
        <v>0</v>
      </c>
      <c r="AM78" s="822">
        <f t="shared" si="74"/>
        <v>0</v>
      </c>
      <c r="AN78" s="1072">
        <f t="shared" si="74"/>
        <v>0</v>
      </c>
      <c r="AO78" s="820">
        <f t="shared" si="74"/>
        <v>20852522</v>
      </c>
      <c r="AP78" s="821">
        <f t="shared" si="74"/>
        <v>15304593</v>
      </c>
      <c r="AQ78" s="821">
        <f t="shared" si="74"/>
        <v>0</v>
      </c>
      <c r="AR78" s="821">
        <f t="shared" si="74"/>
        <v>5172952</v>
      </c>
      <c r="AS78" s="821">
        <f t="shared" si="74"/>
        <v>306092</v>
      </c>
      <c r="AT78" s="821">
        <f t="shared" si="74"/>
        <v>68885</v>
      </c>
      <c r="AU78" s="822">
        <f t="shared" si="74"/>
        <v>29.643699999999999</v>
      </c>
      <c r="AV78" s="822">
        <f t="shared" si="74"/>
        <v>26.3324</v>
      </c>
      <c r="AW78" s="824">
        <f t="shared" si="74"/>
        <v>3.3113000000000001</v>
      </c>
      <c r="AX78" s="925"/>
    </row>
    <row r="79" spans="1:50" ht="12.95" customHeight="1" x14ac:dyDescent="0.25">
      <c r="A79" s="827">
        <v>16</v>
      </c>
      <c r="B79" s="1068">
        <v>5482</v>
      </c>
      <c r="C79" s="1068">
        <v>600098982</v>
      </c>
      <c r="D79" s="1068">
        <v>71006923</v>
      </c>
      <c r="E79" s="1056" t="s">
        <v>519</v>
      </c>
      <c r="F79" s="536">
        <v>3111</v>
      </c>
      <c r="G79" s="1057" t="s">
        <v>331</v>
      </c>
      <c r="H79" s="832" t="s">
        <v>283</v>
      </c>
      <c r="I79" s="803">
        <f t="shared" ref="I79:I84" si="75">SUM(J79:M79)</f>
        <v>1597200</v>
      </c>
      <c r="J79" s="833">
        <v>1166864</v>
      </c>
      <c r="K79" s="805">
        <f>ROUND((J79)*33.8%,0)-1</f>
        <v>394399</v>
      </c>
      <c r="L79" s="805">
        <f t="shared" ref="L79:L84" si="76">ROUND(J79*2%,0)</f>
        <v>23337</v>
      </c>
      <c r="M79" s="833">
        <v>12600</v>
      </c>
      <c r="N79" s="834">
        <f t="shared" ref="N79:N84" si="77">SUM(O79:P79)</f>
        <v>2.4340000000000002</v>
      </c>
      <c r="O79" s="1054">
        <v>1.9231</v>
      </c>
      <c r="P79" s="1055">
        <v>0.51090000000000002</v>
      </c>
      <c r="Q79" s="835">
        <f t="shared" ref="Q79:Q84" si="78">V79*-1</f>
        <v>0</v>
      </c>
      <c r="R79" s="813">
        <v>0</v>
      </c>
      <c r="S79" s="813">
        <v>0</v>
      </c>
      <c r="T79" s="813">
        <v>0</v>
      </c>
      <c r="U79" s="813">
        <f t="shared" ref="U79:U84" si="79">SUM(Q79:T79)</f>
        <v>0</v>
      </c>
      <c r="V79" s="813">
        <v>0</v>
      </c>
      <c r="W79" s="813">
        <v>0</v>
      </c>
      <c r="X79" s="813">
        <v>0</v>
      </c>
      <c r="Y79" s="813">
        <f t="shared" ref="Y79:Y84" si="80">SUM(V79:X79)</f>
        <v>0</v>
      </c>
      <c r="Z79" s="813">
        <f t="shared" ref="Z79:Z84" si="81">U79+Y79</f>
        <v>0</v>
      </c>
      <c r="AA79" s="809">
        <f t="shared" ref="AA79:AA84" si="82">ROUND((U79+V79+W79)*33.8%,0)</f>
        <v>0</v>
      </c>
      <c r="AB79" s="809">
        <f t="shared" ref="AB79:AB84" si="83">ROUND(U79*2%,0)</f>
        <v>0</v>
      </c>
      <c r="AC79" s="813">
        <v>0</v>
      </c>
      <c r="AD79" s="813">
        <v>0</v>
      </c>
      <c r="AE79" s="813">
        <f t="shared" ref="AE79:AE84" si="84">SUM(AC79:AD79)</f>
        <v>0</v>
      </c>
      <c r="AF79" s="813">
        <f t="shared" ref="AF79:AF84" si="85">Z79+AA79+AB79+AE79</f>
        <v>0</v>
      </c>
      <c r="AG79" s="836">
        <v>0</v>
      </c>
      <c r="AH79" s="836">
        <v>0</v>
      </c>
      <c r="AI79" s="836">
        <v>0</v>
      </c>
      <c r="AJ79" s="836">
        <v>0</v>
      </c>
      <c r="AK79" s="836">
        <v>0</v>
      </c>
      <c r="AL79" s="836">
        <f t="shared" ref="AL79:AL84" si="86">AG79+AI79+AJ79</f>
        <v>0</v>
      </c>
      <c r="AM79" s="836">
        <f t="shared" ref="AM79:AM84" si="87">AH79+AK79</f>
        <v>0</v>
      </c>
      <c r="AN79" s="949">
        <f t="shared" ref="AN79:AN84" si="88">SUM(AL79:AM79)</f>
        <v>0</v>
      </c>
      <c r="AO79" s="945">
        <f t="shared" ref="AO79:AO84" si="89">I79+AF79</f>
        <v>1597200</v>
      </c>
      <c r="AP79" s="813">
        <f t="shared" ref="AP79:AP84" si="90">J79+U79</f>
        <v>1166864</v>
      </c>
      <c r="AQ79" s="813">
        <f t="shared" ref="AQ79:AQ84" si="91">Y79</f>
        <v>0</v>
      </c>
      <c r="AR79" s="813">
        <f t="shared" ref="AR79:AS84" si="92">K79+AA79</f>
        <v>394399</v>
      </c>
      <c r="AS79" s="813">
        <f t="shared" si="92"/>
        <v>23337</v>
      </c>
      <c r="AT79" s="813">
        <f t="shared" ref="AT79:AT84" si="93">M79+AE79</f>
        <v>12600</v>
      </c>
      <c r="AU79" s="836">
        <f t="shared" ref="AU79:AU84" si="94">N79+AN79</f>
        <v>2.4340000000000002</v>
      </c>
      <c r="AV79" s="836">
        <f t="shared" ref="AV79:AW84" si="95">O79+AL79</f>
        <v>1.9231</v>
      </c>
      <c r="AW79" s="837">
        <f t="shared" si="95"/>
        <v>0.51090000000000002</v>
      </c>
      <c r="AX79" s="925"/>
    </row>
    <row r="80" spans="1:50" ht="12.95" customHeight="1" x14ac:dyDescent="0.25">
      <c r="A80" s="827">
        <v>16</v>
      </c>
      <c r="B80" s="536">
        <v>5482</v>
      </c>
      <c r="C80" s="536">
        <v>600098982</v>
      </c>
      <c r="D80" s="536">
        <v>71006923</v>
      </c>
      <c r="E80" s="1056" t="s">
        <v>519</v>
      </c>
      <c r="F80" s="536">
        <v>3117</v>
      </c>
      <c r="G80" s="1056" t="s">
        <v>335</v>
      </c>
      <c r="H80" s="832" t="s">
        <v>283</v>
      </c>
      <c r="I80" s="803">
        <f t="shared" si="75"/>
        <v>3682309</v>
      </c>
      <c r="J80" s="833">
        <v>2659940</v>
      </c>
      <c r="K80" s="805">
        <f>ROUND((J80)*33.8%,0)</f>
        <v>899060</v>
      </c>
      <c r="L80" s="805">
        <f t="shared" si="76"/>
        <v>53199</v>
      </c>
      <c r="M80" s="833">
        <v>70110</v>
      </c>
      <c r="N80" s="834">
        <f t="shared" si="77"/>
        <v>4.8180000000000005</v>
      </c>
      <c r="O80" s="1054">
        <v>3.3572000000000002</v>
      </c>
      <c r="P80" s="1055">
        <v>1.4608000000000001</v>
      </c>
      <c r="Q80" s="835">
        <f t="shared" si="78"/>
        <v>0</v>
      </c>
      <c r="R80" s="813">
        <v>0</v>
      </c>
      <c r="S80" s="813">
        <v>0</v>
      </c>
      <c r="T80" s="813">
        <v>0</v>
      </c>
      <c r="U80" s="813">
        <f t="shared" si="79"/>
        <v>0</v>
      </c>
      <c r="V80" s="813">
        <v>0</v>
      </c>
      <c r="W80" s="813">
        <v>0</v>
      </c>
      <c r="X80" s="813">
        <v>0</v>
      </c>
      <c r="Y80" s="813">
        <f t="shared" si="80"/>
        <v>0</v>
      </c>
      <c r="Z80" s="813">
        <f t="shared" si="81"/>
        <v>0</v>
      </c>
      <c r="AA80" s="809">
        <f t="shared" si="82"/>
        <v>0</v>
      </c>
      <c r="AB80" s="809">
        <f t="shared" si="83"/>
        <v>0</v>
      </c>
      <c r="AC80" s="813">
        <v>0</v>
      </c>
      <c r="AD80" s="813">
        <v>0</v>
      </c>
      <c r="AE80" s="813">
        <f t="shared" si="84"/>
        <v>0</v>
      </c>
      <c r="AF80" s="813">
        <f t="shared" si="85"/>
        <v>0</v>
      </c>
      <c r="AG80" s="836">
        <v>0</v>
      </c>
      <c r="AH80" s="836">
        <v>0</v>
      </c>
      <c r="AI80" s="836">
        <v>0</v>
      </c>
      <c r="AJ80" s="836">
        <v>0</v>
      </c>
      <c r="AK80" s="836">
        <v>0</v>
      </c>
      <c r="AL80" s="836">
        <f t="shared" si="86"/>
        <v>0</v>
      </c>
      <c r="AM80" s="836">
        <f t="shared" si="87"/>
        <v>0</v>
      </c>
      <c r="AN80" s="949">
        <f t="shared" si="88"/>
        <v>0</v>
      </c>
      <c r="AO80" s="945">
        <f t="shared" si="89"/>
        <v>3682309</v>
      </c>
      <c r="AP80" s="813">
        <f t="shared" si="90"/>
        <v>2659940</v>
      </c>
      <c r="AQ80" s="813">
        <f t="shared" si="91"/>
        <v>0</v>
      </c>
      <c r="AR80" s="813">
        <f t="shared" si="92"/>
        <v>899060</v>
      </c>
      <c r="AS80" s="813">
        <f t="shared" si="92"/>
        <v>53199</v>
      </c>
      <c r="AT80" s="813">
        <f t="shared" si="93"/>
        <v>70110</v>
      </c>
      <c r="AU80" s="836">
        <f t="shared" si="94"/>
        <v>4.8180000000000005</v>
      </c>
      <c r="AV80" s="836">
        <f t="shared" si="95"/>
        <v>3.3572000000000002</v>
      </c>
      <c r="AW80" s="837">
        <f t="shared" si="95"/>
        <v>1.4608000000000001</v>
      </c>
      <c r="AX80" s="925"/>
    </row>
    <row r="81" spans="1:50" ht="12.95" customHeight="1" x14ac:dyDescent="0.25">
      <c r="A81" s="827">
        <v>16</v>
      </c>
      <c r="B81" s="536">
        <v>5482</v>
      </c>
      <c r="C81" s="536">
        <v>600098982</v>
      </c>
      <c r="D81" s="536">
        <v>71006923</v>
      </c>
      <c r="E81" s="1056" t="s">
        <v>519</v>
      </c>
      <c r="F81" s="536">
        <v>3117</v>
      </c>
      <c r="G81" s="948" t="s">
        <v>318</v>
      </c>
      <c r="H81" s="832" t="s">
        <v>284</v>
      </c>
      <c r="I81" s="803">
        <f t="shared" si="75"/>
        <v>0</v>
      </c>
      <c r="J81" s="833">
        <v>0</v>
      </c>
      <c r="K81" s="805">
        <f>ROUND((J81)*33.8%,0)</f>
        <v>0</v>
      </c>
      <c r="L81" s="805">
        <f t="shared" si="76"/>
        <v>0</v>
      </c>
      <c r="M81" s="833">
        <v>0</v>
      </c>
      <c r="N81" s="834">
        <f t="shared" si="77"/>
        <v>0</v>
      </c>
      <c r="O81" s="1054">
        <v>0</v>
      </c>
      <c r="P81" s="1055">
        <v>0</v>
      </c>
      <c r="Q81" s="835">
        <f t="shared" si="78"/>
        <v>0</v>
      </c>
      <c r="R81" s="813">
        <v>0</v>
      </c>
      <c r="S81" s="813">
        <v>0</v>
      </c>
      <c r="T81" s="813">
        <v>0</v>
      </c>
      <c r="U81" s="813">
        <f t="shared" si="79"/>
        <v>0</v>
      </c>
      <c r="V81" s="813">
        <v>0</v>
      </c>
      <c r="W81" s="813">
        <v>0</v>
      </c>
      <c r="X81" s="813">
        <v>0</v>
      </c>
      <c r="Y81" s="813">
        <f t="shared" si="80"/>
        <v>0</v>
      </c>
      <c r="Z81" s="813">
        <f t="shared" si="81"/>
        <v>0</v>
      </c>
      <c r="AA81" s="809">
        <f t="shared" si="82"/>
        <v>0</v>
      </c>
      <c r="AB81" s="809">
        <f t="shared" si="83"/>
        <v>0</v>
      </c>
      <c r="AC81" s="813">
        <v>0</v>
      </c>
      <c r="AD81" s="813">
        <v>0</v>
      </c>
      <c r="AE81" s="813">
        <f t="shared" si="84"/>
        <v>0</v>
      </c>
      <c r="AF81" s="813">
        <f t="shared" si="85"/>
        <v>0</v>
      </c>
      <c r="AG81" s="836">
        <v>0</v>
      </c>
      <c r="AH81" s="836">
        <v>0</v>
      </c>
      <c r="AI81" s="836">
        <v>0</v>
      </c>
      <c r="AJ81" s="836">
        <v>0</v>
      </c>
      <c r="AK81" s="836">
        <v>0</v>
      </c>
      <c r="AL81" s="836">
        <f t="shared" si="86"/>
        <v>0</v>
      </c>
      <c r="AM81" s="836">
        <f t="shared" si="87"/>
        <v>0</v>
      </c>
      <c r="AN81" s="949">
        <f t="shared" si="88"/>
        <v>0</v>
      </c>
      <c r="AO81" s="945">
        <f t="shared" si="89"/>
        <v>0</v>
      </c>
      <c r="AP81" s="813">
        <f t="shared" si="90"/>
        <v>0</v>
      </c>
      <c r="AQ81" s="813">
        <f t="shared" si="91"/>
        <v>0</v>
      </c>
      <c r="AR81" s="813">
        <f t="shared" si="92"/>
        <v>0</v>
      </c>
      <c r="AS81" s="813">
        <f t="shared" si="92"/>
        <v>0</v>
      </c>
      <c r="AT81" s="813">
        <f t="shared" si="93"/>
        <v>0</v>
      </c>
      <c r="AU81" s="836">
        <f t="shared" si="94"/>
        <v>0</v>
      </c>
      <c r="AV81" s="836">
        <f t="shared" si="95"/>
        <v>0</v>
      </c>
      <c r="AW81" s="837">
        <f t="shared" si="95"/>
        <v>0</v>
      </c>
      <c r="AX81" s="925"/>
    </row>
    <row r="82" spans="1:50" ht="12.95" customHeight="1" x14ac:dyDescent="0.25">
      <c r="A82" s="827">
        <v>16</v>
      </c>
      <c r="B82" s="1068">
        <v>5482</v>
      </c>
      <c r="C82" s="1068">
        <v>600098982</v>
      </c>
      <c r="D82" s="1068">
        <v>71006923</v>
      </c>
      <c r="E82" s="1056" t="s">
        <v>519</v>
      </c>
      <c r="F82" s="536">
        <v>3141</v>
      </c>
      <c r="G82" s="1057" t="s">
        <v>321</v>
      </c>
      <c r="H82" s="832" t="s">
        <v>284</v>
      </c>
      <c r="I82" s="803">
        <f t="shared" si="75"/>
        <v>844089</v>
      </c>
      <c r="J82" s="833">
        <v>618621</v>
      </c>
      <c r="K82" s="805">
        <f>ROUND((J82)*33.8%,0)</f>
        <v>209094</v>
      </c>
      <c r="L82" s="805">
        <f t="shared" si="76"/>
        <v>12372</v>
      </c>
      <c r="M82" s="833">
        <v>4002</v>
      </c>
      <c r="N82" s="834">
        <f t="shared" si="77"/>
        <v>2.1</v>
      </c>
      <c r="O82" s="1054">
        <v>0</v>
      </c>
      <c r="P82" s="1055">
        <v>2.1</v>
      </c>
      <c r="Q82" s="835">
        <f t="shared" si="78"/>
        <v>0</v>
      </c>
      <c r="R82" s="813">
        <v>0</v>
      </c>
      <c r="S82" s="813">
        <v>0</v>
      </c>
      <c r="T82" s="813">
        <v>0</v>
      </c>
      <c r="U82" s="813">
        <f t="shared" si="79"/>
        <v>0</v>
      </c>
      <c r="V82" s="813">
        <v>0</v>
      </c>
      <c r="W82" s="813">
        <v>0</v>
      </c>
      <c r="X82" s="813">
        <v>0</v>
      </c>
      <c r="Y82" s="813">
        <f t="shared" si="80"/>
        <v>0</v>
      </c>
      <c r="Z82" s="813">
        <f t="shared" si="81"/>
        <v>0</v>
      </c>
      <c r="AA82" s="809">
        <f t="shared" si="82"/>
        <v>0</v>
      </c>
      <c r="AB82" s="809">
        <f t="shared" si="83"/>
        <v>0</v>
      </c>
      <c r="AC82" s="813">
        <v>0</v>
      </c>
      <c r="AD82" s="813">
        <v>0</v>
      </c>
      <c r="AE82" s="813">
        <f t="shared" si="84"/>
        <v>0</v>
      </c>
      <c r="AF82" s="813">
        <f t="shared" si="85"/>
        <v>0</v>
      </c>
      <c r="AG82" s="836">
        <v>0</v>
      </c>
      <c r="AH82" s="836">
        <v>0</v>
      </c>
      <c r="AI82" s="836">
        <v>0</v>
      </c>
      <c r="AJ82" s="836">
        <v>0</v>
      </c>
      <c r="AK82" s="836">
        <v>0</v>
      </c>
      <c r="AL82" s="836">
        <f t="shared" si="86"/>
        <v>0</v>
      </c>
      <c r="AM82" s="836">
        <f t="shared" si="87"/>
        <v>0</v>
      </c>
      <c r="AN82" s="949">
        <f t="shared" si="88"/>
        <v>0</v>
      </c>
      <c r="AO82" s="945">
        <f t="shared" si="89"/>
        <v>844089</v>
      </c>
      <c r="AP82" s="813">
        <f t="shared" si="90"/>
        <v>618621</v>
      </c>
      <c r="AQ82" s="813">
        <f t="shared" si="91"/>
        <v>0</v>
      </c>
      <c r="AR82" s="813">
        <f t="shared" si="92"/>
        <v>209094</v>
      </c>
      <c r="AS82" s="813">
        <f t="shared" si="92"/>
        <v>12372</v>
      </c>
      <c r="AT82" s="813">
        <f t="shared" si="93"/>
        <v>4002</v>
      </c>
      <c r="AU82" s="836">
        <f t="shared" si="94"/>
        <v>2.1</v>
      </c>
      <c r="AV82" s="836">
        <f t="shared" si="95"/>
        <v>0</v>
      </c>
      <c r="AW82" s="837">
        <f t="shared" si="95"/>
        <v>2.1</v>
      </c>
      <c r="AX82" s="925"/>
    </row>
    <row r="83" spans="1:50" ht="12.95" customHeight="1" x14ac:dyDescent="0.25">
      <c r="A83" s="827">
        <v>16</v>
      </c>
      <c r="B83" s="536">
        <v>5482</v>
      </c>
      <c r="C83" s="536">
        <v>600098982</v>
      </c>
      <c r="D83" s="536">
        <v>71006923</v>
      </c>
      <c r="E83" s="1056" t="s">
        <v>519</v>
      </c>
      <c r="F83" s="536">
        <v>3143</v>
      </c>
      <c r="G83" s="948" t="s">
        <v>635</v>
      </c>
      <c r="H83" s="832" t="s">
        <v>283</v>
      </c>
      <c r="I83" s="803">
        <f t="shared" si="75"/>
        <v>516698</v>
      </c>
      <c r="J83" s="833">
        <v>380484</v>
      </c>
      <c r="K83" s="805">
        <f>ROUND((J83)*33.8%,0)</f>
        <v>128604</v>
      </c>
      <c r="L83" s="805">
        <f t="shared" si="76"/>
        <v>7610</v>
      </c>
      <c r="M83" s="833">
        <v>0</v>
      </c>
      <c r="N83" s="834">
        <f t="shared" si="77"/>
        <v>0.71430000000000005</v>
      </c>
      <c r="O83" s="1054">
        <v>0.71430000000000005</v>
      </c>
      <c r="P83" s="1055">
        <v>0</v>
      </c>
      <c r="Q83" s="835">
        <f t="shared" si="78"/>
        <v>0</v>
      </c>
      <c r="R83" s="813">
        <v>0</v>
      </c>
      <c r="S83" s="813">
        <v>0</v>
      </c>
      <c r="T83" s="813">
        <v>0</v>
      </c>
      <c r="U83" s="813">
        <f t="shared" si="79"/>
        <v>0</v>
      </c>
      <c r="V83" s="813">
        <v>0</v>
      </c>
      <c r="W83" s="813">
        <v>0</v>
      </c>
      <c r="X83" s="813">
        <v>0</v>
      </c>
      <c r="Y83" s="813">
        <f t="shared" si="80"/>
        <v>0</v>
      </c>
      <c r="Z83" s="813">
        <f t="shared" si="81"/>
        <v>0</v>
      </c>
      <c r="AA83" s="809">
        <f t="shared" si="82"/>
        <v>0</v>
      </c>
      <c r="AB83" s="809">
        <f t="shared" si="83"/>
        <v>0</v>
      </c>
      <c r="AC83" s="813">
        <v>0</v>
      </c>
      <c r="AD83" s="813">
        <v>0</v>
      </c>
      <c r="AE83" s="813">
        <f t="shared" si="84"/>
        <v>0</v>
      </c>
      <c r="AF83" s="813">
        <f t="shared" si="85"/>
        <v>0</v>
      </c>
      <c r="AG83" s="836">
        <v>0</v>
      </c>
      <c r="AH83" s="836">
        <v>0</v>
      </c>
      <c r="AI83" s="836">
        <v>0</v>
      </c>
      <c r="AJ83" s="836">
        <v>0</v>
      </c>
      <c r="AK83" s="836">
        <v>0</v>
      </c>
      <c r="AL83" s="836">
        <f t="shared" si="86"/>
        <v>0</v>
      </c>
      <c r="AM83" s="836">
        <f t="shared" si="87"/>
        <v>0</v>
      </c>
      <c r="AN83" s="949">
        <f t="shared" si="88"/>
        <v>0</v>
      </c>
      <c r="AO83" s="945">
        <f t="shared" si="89"/>
        <v>516698</v>
      </c>
      <c r="AP83" s="813">
        <f t="shared" si="90"/>
        <v>380484</v>
      </c>
      <c r="AQ83" s="813">
        <f t="shared" si="91"/>
        <v>0</v>
      </c>
      <c r="AR83" s="813">
        <f t="shared" si="92"/>
        <v>128604</v>
      </c>
      <c r="AS83" s="813">
        <f t="shared" si="92"/>
        <v>7610</v>
      </c>
      <c r="AT83" s="813">
        <f t="shared" si="93"/>
        <v>0</v>
      </c>
      <c r="AU83" s="836">
        <f t="shared" si="94"/>
        <v>0.71430000000000005</v>
      </c>
      <c r="AV83" s="836">
        <f t="shared" si="95"/>
        <v>0.71430000000000005</v>
      </c>
      <c r="AW83" s="837">
        <f t="shared" si="95"/>
        <v>0</v>
      </c>
      <c r="AX83" s="925"/>
    </row>
    <row r="84" spans="1:50" ht="12.95" customHeight="1" x14ac:dyDescent="0.25">
      <c r="A84" s="827">
        <v>16</v>
      </c>
      <c r="B84" s="536">
        <v>5482</v>
      </c>
      <c r="C84" s="536">
        <v>600098982</v>
      </c>
      <c r="D84" s="536">
        <v>71006923</v>
      </c>
      <c r="E84" s="1056" t="s">
        <v>519</v>
      </c>
      <c r="F84" s="536">
        <v>3143</v>
      </c>
      <c r="G84" s="948" t="s">
        <v>636</v>
      </c>
      <c r="H84" s="832" t="s">
        <v>284</v>
      </c>
      <c r="I84" s="803">
        <f t="shared" si="75"/>
        <v>21066</v>
      </c>
      <c r="J84" s="833">
        <v>14850</v>
      </c>
      <c r="K84" s="805">
        <f>ROUND((J84)*33.8%,0)</f>
        <v>5019</v>
      </c>
      <c r="L84" s="805">
        <f t="shared" si="76"/>
        <v>297</v>
      </c>
      <c r="M84" s="833">
        <v>900</v>
      </c>
      <c r="N84" s="834">
        <f t="shared" si="77"/>
        <v>0.06</v>
      </c>
      <c r="O84" s="1054">
        <v>0</v>
      </c>
      <c r="P84" s="1055">
        <v>0.06</v>
      </c>
      <c r="Q84" s="835">
        <f t="shared" si="78"/>
        <v>0</v>
      </c>
      <c r="R84" s="813">
        <v>0</v>
      </c>
      <c r="S84" s="813">
        <v>0</v>
      </c>
      <c r="T84" s="813">
        <v>0</v>
      </c>
      <c r="U84" s="813">
        <f t="shared" si="79"/>
        <v>0</v>
      </c>
      <c r="V84" s="813">
        <v>0</v>
      </c>
      <c r="W84" s="813">
        <v>0</v>
      </c>
      <c r="X84" s="813">
        <v>0</v>
      </c>
      <c r="Y84" s="813">
        <f t="shared" si="80"/>
        <v>0</v>
      </c>
      <c r="Z84" s="813">
        <f t="shared" si="81"/>
        <v>0</v>
      </c>
      <c r="AA84" s="809">
        <f t="shared" si="82"/>
        <v>0</v>
      </c>
      <c r="AB84" s="809">
        <f t="shared" si="83"/>
        <v>0</v>
      </c>
      <c r="AC84" s="813">
        <v>0</v>
      </c>
      <c r="AD84" s="813">
        <v>0</v>
      </c>
      <c r="AE84" s="813">
        <f t="shared" si="84"/>
        <v>0</v>
      </c>
      <c r="AF84" s="813">
        <f t="shared" si="85"/>
        <v>0</v>
      </c>
      <c r="AG84" s="836">
        <v>0</v>
      </c>
      <c r="AH84" s="836">
        <v>0</v>
      </c>
      <c r="AI84" s="836">
        <v>0</v>
      </c>
      <c r="AJ84" s="836">
        <v>0</v>
      </c>
      <c r="AK84" s="836">
        <v>0</v>
      </c>
      <c r="AL84" s="836">
        <f t="shared" si="86"/>
        <v>0</v>
      </c>
      <c r="AM84" s="836">
        <f t="shared" si="87"/>
        <v>0</v>
      </c>
      <c r="AN84" s="949">
        <f t="shared" si="88"/>
        <v>0</v>
      </c>
      <c r="AO84" s="945">
        <f t="shared" si="89"/>
        <v>21066</v>
      </c>
      <c r="AP84" s="813">
        <f t="shared" si="90"/>
        <v>14850</v>
      </c>
      <c r="AQ84" s="813">
        <f t="shared" si="91"/>
        <v>0</v>
      </c>
      <c r="AR84" s="813">
        <f t="shared" si="92"/>
        <v>5019</v>
      </c>
      <c r="AS84" s="813">
        <f t="shared" si="92"/>
        <v>297</v>
      </c>
      <c r="AT84" s="813">
        <f t="shared" si="93"/>
        <v>900</v>
      </c>
      <c r="AU84" s="836">
        <f t="shared" si="94"/>
        <v>0.06</v>
      </c>
      <c r="AV84" s="836">
        <f t="shared" si="95"/>
        <v>0</v>
      </c>
      <c r="AW84" s="837">
        <f t="shared" si="95"/>
        <v>0.06</v>
      </c>
      <c r="AX84" s="925"/>
    </row>
    <row r="85" spans="1:50" ht="12.95" customHeight="1" x14ac:dyDescent="0.25">
      <c r="A85" s="538">
        <v>16</v>
      </c>
      <c r="B85" s="100">
        <v>5482</v>
      </c>
      <c r="C85" s="100">
        <v>600098982</v>
      </c>
      <c r="D85" s="100">
        <v>71006923</v>
      </c>
      <c r="E85" s="1058" t="s">
        <v>520</v>
      </c>
      <c r="F85" s="100"/>
      <c r="G85" s="1058"/>
      <c r="H85" s="449"/>
      <c r="I85" s="820">
        <f t="shared" ref="I85:AW85" si="96">SUM(I79:I84)</f>
        <v>6661362</v>
      </c>
      <c r="J85" s="825">
        <f t="shared" si="96"/>
        <v>4840759</v>
      </c>
      <c r="K85" s="825">
        <f t="shared" si="96"/>
        <v>1636176</v>
      </c>
      <c r="L85" s="825">
        <f t="shared" si="96"/>
        <v>96815</v>
      </c>
      <c r="M85" s="825">
        <f t="shared" si="96"/>
        <v>87612</v>
      </c>
      <c r="N85" s="1070">
        <f t="shared" si="96"/>
        <v>10.126300000000001</v>
      </c>
      <c r="O85" s="1070">
        <f t="shared" si="96"/>
        <v>5.9946000000000002</v>
      </c>
      <c r="P85" s="1071">
        <f t="shared" si="96"/>
        <v>4.1316999999999995</v>
      </c>
      <c r="Q85" s="825">
        <f t="shared" si="96"/>
        <v>0</v>
      </c>
      <c r="R85" s="821">
        <f t="shared" si="96"/>
        <v>0</v>
      </c>
      <c r="S85" s="821">
        <f t="shared" si="96"/>
        <v>0</v>
      </c>
      <c r="T85" s="821">
        <f t="shared" si="96"/>
        <v>0</v>
      </c>
      <c r="U85" s="821">
        <f t="shared" si="96"/>
        <v>0</v>
      </c>
      <c r="V85" s="821">
        <f t="shared" si="96"/>
        <v>0</v>
      </c>
      <c r="W85" s="821">
        <f t="shared" si="96"/>
        <v>0</v>
      </c>
      <c r="X85" s="821">
        <f t="shared" si="96"/>
        <v>0</v>
      </c>
      <c r="Y85" s="821">
        <f t="shared" si="96"/>
        <v>0</v>
      </c>
      <c r="Z85" s="821">
        <f t="shared" si="96"/>
        <v>0</v>
      </c>
      <c r="AA85" s="821">
        <f t="shared" si="96"/>
        <v>0</v>
      </c>
      <c r="AB85" s="821">
        <f t="shared" si="96"/>
        <v>0</v>
      </c>
      <c r="AC85" s="821">
        <f t="shared" si="96"/>
        <v>0</v>
      </c>
      <c r="AD85" s="821">
        <f t="shared" si="96"/>
        <v>0</v>
      </c>
      <c r="AE85" s="821">
        <f t="shared" si="96"/>
        <v>0</v>
      </c>
      <c r="AF85" s="821">
        <f t="shared" si="96"/>
        <v>0</v>
      </c>
      <c r="AG85" s="822">
        <f t="shared" si="96"/>
        <v>0</v>
      </c>
      <c r="AH85" s="822">
        <f t="shared" si="96"/>
        <v>0</v>
      </c>
      <c r="AI85" s="822">
        <f t="shared" si="96"/>
        <v>0</v>
      </c>
      <c r="AJ85" s="822">
        <f t="shared" si="96"/>
        <v>0</v>
      </c>
      <c r="AK85" s="822">
        <f t="shared" si="96"/>
        <v>0</v>
      </c>
      <c r="AL85" s="822">
        <f t="shared" si="96"/>
        <v>0</v>
      </c>
      <c r="AM85" s="822">
        <f t="shared" si="96"/>
        <v>0</v>
      </c>
      <c r="AN85" s="1072">
        <f t="shared" si="96"/>
        <v>0</v>
      </c>
      <c r="AO85" s="820">
        <f t="shared" si="96"/>
        <v>6661362</v>
      </c>
      <c r="AP85" s="821">
        <f t="shared" si="96"/>
        <v>4840759</v>
      </c>
      <c r="AQ85" s="821">
        <f t="shared" si="96"/>
        <v>0</v>
      </c>
      <c r="AR85" s="821">
        <f t="shared" si="96"/>
        <v>1636176</v>
      </c>
      <c r="AS85" s="821">
        <f t="shared" si="96"/>
        <v>96815</v>
      </c>
      <c r="AT85" s="821">
        <f t="shared" si="96"/>
        <v>87612</v>
      </c>
      <c r="AU85" s="822">
        <f t="shared" si="96"/>
        <v>10.126300000000001</v>
      </c>
      <c r="AV85" s="822">
        <f t="shared" si="96"/>
        <v>5.9946000000000002</v>
      </c>
      <c r="AW85" s="824">
        <f t="shared" si="96"/>
        <v>4.1316999999999995</v>
      </c>
      <c r="AX85" s="925"/>
    </row>
    <row r="86" spans="1:50" ht="12.95" customHeight="1" x14ac:dyDescent="0.25">
      <c r="A86" s="827">
        <v>17</v>
      </c>
      <c r="B86" s="1083">
        <v>3421</v>
      </c>
      <c r="C86" s="1083">
        <v>600077985</v>
      </c>
      <c r="D86" s="828">
        <v>72741651</v>
      </c>
      <c r="E86" s="1082" t="s">
        <v>521</v>
      </c>
      <c r="F86" s="1083">
        <v>3111</v>
      </c>
      <c r="G86" s="1057" t="s">
        <v>331</v>
      </c>
      <c r="H86" s="832" t="s">
        <v>283</v>
      </c>
      <c r="I86" s="803">
        <f>SUM(J86:M86)</f>
        <v>6025874</v>
      </c>
      <c r="J86" s="833">
        <v>4408155</v>
      </c>
      <c r="K86" s="805">
        <f>ROUND((J86)*33.8%,0)</f>
        <v>1489956</v>
      </c>
      <c r="L86" s="805">
        <f>ROUND(J86*2%,0)</f>
        <v>88163</v>
      </c>
      <c r="M86" s="833">
        <v>39600</v>
      </c>
      <c r="N86" s="834">
        <f>SUM(O86:P86)</f>
        <v>10.638199999999999</v>
      </c>
      <c r="O86" s="1054">
        <v>7.77</v>
      </c>
      <c r="P86" s="1055">
        <v>2.8681999999999999</v>
      </c>
      <c r="Q86" s="835">
        <f>V86*-1</f>
        <v>-80000</v>
      </c>
      <c r="R86" s="813">
        <v>0</v>
      </c>
      <c r="S86" s="813">
        <v>0</v>
      </c>
      <c r="T86" s="813">
        <v>0</v>
      </c>
      <c r="U86" s="813">
        <f>SUM(Q86:T86)</f>
        <v>-80000</v>
      </c>
      <c r="V86" s="813">
        <v>80000</v>
      </c>
      <c r="W86" s="813">
        <v>0</v>
      </c>
      <c r="X86" s="813">
        <v>0</v>
      </c>
      <c r="Y86" s="813">
        <f>SUM(V86:X86)</f>
        <v>80000</v>
      </c>
      <c r="Z86" s="813">
        <f>U86+Y86</f>
        <v>0</v>
      </c>
      <c r="AA86" s="809">
        <f>ROUND((U86+V86+W86)*33.8%,0)</f>
        <v>0</v>
      </c>
      <c r="AB86" s="809">
        <f>ROUND(U86*2%,0)</f>
        <v>-1600</v>
      </c>
      <c r="AC86" s="813">
        <v>0</v>
      </c>
      <c r="AD86" s="813">
        <v>0</v>
      </c>
      <c r="AE86" s="813">
        <f>SUM(AC86:AD86)</f>
        <v>0</v>
      </c>
      <c r="AF86" s="813">
        <f>Z86+AA86+AB86+AE86</f>
        <v>-1600</v>
      </c>
      <c r="AG86" s="836">
        <v>-0.13</v>
      </c>
      <c r="AH86" s="836">
        <v>-7.0000000000000007E-2</v>
      </c>
      <c r="AI86" s="836">
        <v>0</v>
      </c>
      <c r="AJ86" s="836">
        <v>0</v>
      </c>
      <c r="AK86" s="836">
        <v>0</v>
      </c>
      <c r="AL86" s="836">
        <f>AG86+AI86+AJ86</f>
        <v>-0.13</v>
      </c>
      <c r="AM86" s="836">
        <f>AH86+AK86</f>
        <v>-7.0000000000000007E-2</v>
      </c>
      <c r="AN86" s="949">
        <f>SUM(AL86:AM86)</f>
        <v>-0.2</v>
      </c>
      <c r="AO86" s="945">
        <f>I86+AF86</f>
        <v>6024274</v>
      </c>
      <c r="AP86" s="813">
        <f>J86+U86</f>
        <v>4328155</v>
      </c>
      <c r="AQ86" s="813">
        <f>Y86</f>
        <v>80000</v>
      </c>
      <c r="AR86" s="813">
        <f t="shared" ref="AR86:AS88" si="97">K86+AA86</f>
        <v>1489956</v>
      </c>
      <c r="AS86" s="813">
        <f t="shared" si="97"/>
        <v>86563</v>
      </c>
      <c r="AT86" s="813">
        <f>M86+AE86</f>
        <v>39600</v>
      </c>
      <c r="AU86" s="836">
        <f>N86+AN86</f>
        <v>10.4382</v>
      </c>
      <c r="AV86" s="836">
        <f t="shared" ref="AV86:AW88" si="98">O86+AL86</f>
        <v>7.64</v>
      </c>
      <c r="AW86" s="837">
        <f t="shared" si="98"/>
        <v>2.7982</v>
      </c>
      <c r="AX86" s="925"/>
    </row>
    <row r="87" spans="1:50" ht="12.95" customHeight="1" x14ac:dyDescent="0.25">
      <c r="A87" s="827">
        <v>17</v>
      </c>
      <c r="B87" s="536">
        <v>3421</v>
      </c>
      <c r="C87" s="536">
        <v>600077985</v>
      </c>
      <c r="D87" s="828">
        <v>72741651</v>
      </c>
      <c r="E87" s="535" t="s">
        <v>521</v>
      </c>
      <c r="F87" s="1083">
        <v>3111</v>
      </c>
      <c r="G87" s="948" t="s">
        <v>318</v>
      </c>
      <c r="H87" s="832" t="s">
        <v>284</v>
      </c>
      <c r="I87" s="803">
        <f>SUM(J87:M87)</f>
        <v>0</v>
      </c>
      <c r="J87" s="833">
        <v>0</v>
      </c>
      <c r="K87" s="805">
        <f>ROUND((J87)*33.8%,0)</f>
        <v>0</v>
      </c>
      <c r="L87" s="805">
        <f>ROUND(J87*2%,0)</f>
        <v>0</v>
      </c>
      <c r="M87" s="833">
        <v>0</v>
      </c>
      <c r="N87" s="834">
        <f>SUM(O87:P87)</f>
        <v>0</v>
      </c>
      <c r="O87" s="1054">
        <v>0</v>
      </c>
      <c r="P87" s="1055">
        <v>0</v>
      </c>
      <c r="Q87" s="835">
        <f>V87*-1</f>
        <v>0</v>
      </c>
      <c r="R87" s="813">
        <v>0</v>
      </c>
      <c r="S87" s="813">
        <v>0</v>
      </c>
      <c r="T87" s="813">
        <v>0</v>
      </c>
      <c r="U87" s="813">
        <f>SUM(Q87:T87)</f>
        <v>0</v>
      </c>
      <c r="V87" s="813">
        <v>0</v>
      </c>
      <c r="W87" s="813">
        <v>0</v>
      </c>
      <c r="X87" s="813">
        <v>0</v>
      </c>
      <c r="Y87" s="813">
        <f>SUM(V87:X87)</f>
        <v>0</v>
      </c>
      <c r="Z87" s="813">
        <f>U87+Y87</f>
        <v>0</v>
      </c>
      <c r="AA87" s="809">
        <f>ROUND((U87+V87+W87)*33.8%,0)</f>
        <v>0</v>
      </c>
      <c r="AB87" s="809">
        <f>ROUND(U87*2%,0)</f>
        <v>0</v>
      </c>
      <c r="AC87" s="813">
        <v>0</v>
      </c>
      <c r="AD87" s="813">
        <v>0</v>
      </c>
      <c r="AE87" s="813">
        <f>SUM(AC87:AD87)</f>
        <v>0</v>
      </c>
      <c r="AF87" s="813">
        <f>Z87+AA87+AB87+AE87</f>
        <v>0</v>
      </c>
      <c r="AG87" s="836">
        <v>0</v>
      </c>
      <c r="AH87" s="836">
        <v>0</v>
      </c>
      <c r="AI87" s="836">
        <v>0</v>
      </c>
      <c r="AJ87" s="836">
        <v>0</v>
      </c>
      <c r="AK87" s="836">
        <v>0</v>
      </c>
      <c r="AL87" s="836">
        <f>AG87+AI87+AJ87</f>
        <v>0</v>
      </c>
      <c r="AM87" s="836">
        <f>AH87+AK87</f>
        <v>0</v>
      </c>
      <c r="AN87" s="949">
        <f>SUM(AL87:AM87)</f>
        <v>0</v>
      </c>
      <c r="AO87" s="945">
        <f>I87+AF87</f>
        <v>0</v>
      </c>
      <c r="AP87" s="813">
        <f>J87+U87</f>
        <v>0</v>
      </c>
      <c r="AQ87" s="813">
        <f>Y87</f>
        <v>0</v>
      </c>
      <c r="AR87" s="813">
        <f t="shared" si="97"/>
        <v>0</v>
      </c>
      <c r="AS87" s="813">
        <f t="shared" si="97"/>
        <v>0</v>
      </c>
      <c r="AT87" s="813">
        <f>M87+AE87</f>
        <v>0</v>
      </c>
      <c r="AU87" s="836">
        <f>N87+AN87</f>
        <v>0</v>
      </c>
      <c r="AV87" s="836">
        <f t="shared" si="98"/>
        <v>0</v>
      </c>
      <c r="AW87" s="837">
        <f t="shared" si="98"/>
        <v>0</v>
      </c>
      <c r="AX87" s="925"/>
    </row>
    <row r="88" spans="1:50" ht="12.95" customHeight="1" x14ac:dyDescent="0.25">
      <c r="A88" s="827">
        <v>17</v>
      </c>
      <c r="B88" s="536">
        <v>3421</v>
      </c>
      <c r="C88" s="536">
        <v>600077985</v>
      </c>
      <c r="D88" s="828">
        <v>72741651</v>
      </c>
      <c r="E88" s="535" t="s">
        <v>521</v>
      </c>
      <c r="F88" s="536">
        <v>3141</v>
      </c>
      <c r="G88" s="1057" t="s">
        <v>321</v>
      </c>
      <c r="H88" s="832" t="s">
        <v>284</v>
      </c>
      <c r="I88" s="803">
        <f>SUM(J88:M88)</f>
        <v>935434</v>
      </c>
      <c r="J88" s="833">
        <v>685074</v>
      </c>
      <c r="K88" s="805">
        <f>ROUND((J88)*33.8%,0)</f>
        <v>231555</v>
      </c>
      <c r="L88" s="805">
        <f>ROUND(J88*2%,0)</f>
        <v>13701</v>
      </c>
      <c r="M88" s="833">
        <v>5104</v>
      </c>
      <c r="N88" s="834">
        <f>SUM(O88:P88)</f>
        <v>2.33</v>
      </c>
      <c r="O88" s="1054">
        <v>0</v>
      </c>
      <c r="P88" s="1055">
        <v>2.33</v>
      </c>
      <c r="Q88" s="835">
        <f>V88*-1</f>
        <v>0</v>
      </c>
      <c r="R88" s="813">
        <v>0</v>
      </c>
      <c r="S88" s="813">
        <v>0</v>
      </c>
      <c r="T88" s="813">
        <v>0</v>
      </c>
      <c r="U88" s="813">
        <f>SUM(Q88:T88)</f>
        <v>0</v>
      </c>
      <c r="V88" s="813">
        <v>0</v>
      </c>
      <c r="W88" s="813">
        <v>0</v>
      </c>
      <c r="X88" s="813">
        <v>0</v>
      </c>
      <c r="Y88" s="813">
        <f>SUM(V88:X88)</f>
        <v>0</v>
      </c>
      <c r="Z88" s="813">
        <f>U88+Y88</f>
        <v>0</v>
      </c>
      <c r="AA88" s="809">
        <f>ROUND((U88+V88+W88)*33.8%,0)</f>
        <v>0</v>
      </c>
      <c r="AB88" s="809">
        <f>ROUND(U88*2%,0)</f>
        <v>0</v>
      </c>
      <c r="AC88" s="813">
        <v>0</v>
      </c>
      <c r="AD88" s="813">
        <v>0</v>
      </c>
      <c r="AE88" s="813">
        <f>SUM(AC88:AD88)</f>
        <v>0</v>
      </c>
      <c r="AF88" s="813">
        <f>Z88+AA88+AB88+AE88</f>
        <v>0</v>
      </c>
      <c r="AG88" s="836">
        <v>0</v>
      </c>
      <c r="AH88" s="836">
        <v>0</v>
      </c>
      <c r="AI88" s="836">
        <v>0</v>
      </c>
      <c r="AJ88" s="836">
        <v>0</v>
      </c>
      <c r="AK88" s="836">
        <v>0</v>
      </c>
      <c r="AL88" s="836">
        <f>AG88+AI88+AJ88</f>
        <v>0</v>
      </c>
      <c r="AM88" s="836">
        <f>AH88+AK88</f>
        <v>0</v>
      </c>
      <c r="AN88" s="949">
        <f>SUM(AL88:AM88)</f>
        <v>0</v>
      </c>
      <c r="AO88" s="945">
        <f>I88+AF88</f>
        <v>935434</v>
      </c>
      <c r="AP88" s="813">
        <f>J88+U88</f>
        <v>685074</v>
      </c>
      <c r="AQ88" s="813">
        <f>Y88</f>
        <v>0</v>
      </c>
      <c r="AR88" s="813">
        <f t="shared" si="97"/>
        <v>231555</v>
      </c>
      <c r="AS88" s="813">
        <f t="shared" si="97"/>
        <v>13701</v>
      </c>
      <c r="AT88" s="813">
        <f>M88+AE88</f>
        <v>5104</v>
      </c>
      <c r="AU88" s="836">
        <f>N88+AN88</f>
        <v>2.33</v>
      </c>
      <c r="AV88" s="836">
        <f t="shared" si="98"/>
        <v>0</v>
      </c>
      <c r="AW88" s="837">
        <f t="shared" si="98"/>
        <v>2.33</v>
      </c>
      <c r="AX88" s="925"/>
    </row>
    <row r="89" spans="1:50" ht="12.95" customHeight="1" x14ac:dyDescent="0.25">
      <c r="A89" s="538">
        <v>17</v>
      </c>
      <c r="B89" s="101">
        <v>3421</v>
      </c>
      <c r="C89" s="101">
        <v>600077985</v>
      </c>
      <c r="D89" s="103">
        <v>72741651</v>
      </c>
      <c r="E89" s="1058" t="s">
        <v>522</v>
      </c>
      <c r="F89" s="103"/>
      <c r="G89" s="1089"/>
      <c r="H89" s="452"/>
      <c r="I89" s="1008">
        <f t="shared" ref="I89:AW89" si="99">SUM(I86:I88)</f>
        <v>6961308</v>
      </c>
      <c r="J89" s="1011">
        <f t="shared" si="99"/>
        <v>5093229</v>
      </c>
      <c r="K89" s="1011">
        <f t="shared" si="99"/>
        <v>1721511</v>
      </c>
      <c r="L89" s="1011">
        <f t="shared" si="99"/>
        <v>101864</v>
      </c>
      <c r="M89" s="1011">
        <f t="shared" si="99"/>
        <v>44704</v>
      </c>
      <c r="N89" s="1090">
        <f t="shared" si="99"/>
        <v>12.9682</v>
      </c>
      <c r="O89" s="1090">
        <f t="shared" si="99"/>
        <v>7.77</v>
      </c>
      <c r="P89" s="1091">
        <f t="shared" si="99"/>
        <v>5.1981999999999999</v>
      </c>
      <c r="Q89" s="1011">
        <f t="shared" si="99"/>
        <v>-80000</v>
      </c>
      <c r="R89" s="1009">
        <f t="shared" si="99"/>
        <v>0</v>
      </c>
      <c r="S89" s="1009">
        <f t="shared" si="99"/>
        <v>0</v>
      </c>
      <c r="T89" s="1009">
        <f t="shared" si="99"/>
        <v>0</v>
      </c>
      <c r="U89" s="1009">
        <f t="shared" si="99"/>
        <v>-80000</v>
      </c>
      <c r="V89" s="1009">
        <f t="shared" si="99"/>
        <v>80000</v>
      </c>
      <c r="W89" s="1009">
        <f t="shared" si="99"/>
        <v>0</v>
      </c>
      <c r="X89" s="1009">
        <f t="shared" si="99"/>
        <v>0</v>
      </c>
      <c r="Y89" s="1009">
        <f t="shared" si="99"/>
        <v>80000</v>
      </c>
      <c r="Z89" s="1009">
        <f t="shared" si="99"/>
        <v>0</v>
      </c>
      <c r="AA89" s="1009">
        <f t="shared" si="99"/>
        <v>0</v>
      </c>
      <c r="AB89" s="1009">
        <f t="shared" si="99"/>
        <v>-1600</v>
      </c>
      <c r="AC89" s="1009">
        <f t="shared" si="99"/>
        <v>0</v>
      </c>
      <c r="AD89" s="1009">
        <f t="shared" si="99"/>
        <v>0</v>
      </c>
      <c r="AE89" s="1009">
        <f t="shared" si="99"/>
        <v>0</v>
      </c>
      <c r="AF89" s="1009">
        <f t="shared" si="99"/>
        <v>-1600</v>
      </c>
      <c r="AG89" s="1010">
        <f t="shared" si="99"/>
        <v>-0.13</v>
      </c>
      <c r="AH89" s="1010">
        <f t="shared" si="99"/>
        <v>-7.0000000000000007E-2</v>
      </c>
      <c r="AI89" s="1010">
        <f t="shared" si="99"/>
        <v>0</v>
      </c>
      <c r="AJ89" s="1010">
        <f t="shared" si="99"/>
        <v>0</v>
      </c>
      <c r="AK89" s="1010">
        <f t="shared" si="99"/>
        <v>0</v>
      </c>
      <c r="AL89" s="1010">
        <f t="shared" si="99"/>
        <v>-0.13</v>
      </c>
      <c r="AM89" s="1010">
        <f t="shared" si="99"/>
        <v>-7.0000000000000007E-2</v>
      </c>
      <c r="AN89" s="1092">
        <f t="shared" si="99"/>
        <v>-0.2</v>
      </c>
      <c r="AO89" s="1008">
        <f t="shared" si="99"/>
        <v>6959708</v>
      </c>
      <c r="AP89" s="1009">
        <f t="shared" si="99"/>
        <v>5013229</v>
      </c>
      <c r="AQ89" s="1009">
        <f t="shared" si="99"/>
        <v>80000</v>
      </c>
      <c r="AR89" s="1009">
        <f t="shared" si="99"/>
        <v>1721511</v>
      </c>
      <c r="AS89" s="1009">
        <f t="shared" si="99"/>
        <v>100264</v>
      </c>
      <c r="AT89" s="1009">
        <f t="shared" si="99"/>
        <v>44704</v>
      </c>
      <c r="AU89" s="1010">
        <f t="shared" si="99"/>
        <v>12.7682</v>
      </c>
      <c r="AV89" s="1010">
        <f t="shared" si="99"/>
        <v>7.64</v>
      </c>
      <c r="AW89" s="1012">
        <f t="shared" si="99"/>
        <v>5.1281999999999996</v>
      </c>
      <c r="AX89" s="925"/>
    </row>
    <row r="90" spans="1:50" ht="12.95" customHeight="1" x14ac:dyDescent="0.25">
      <c r="A90" s="827">
        <v>18</v>
      </c>
      <c r="B90" s="536">
        <v>3420</v>
      </c>
      <c r="C90" s="536">
        <v>600078442</v>
      </c>
      <c r="D90" s="828">
        <v>72741571</v>
      </c>
      <c r="E90" s="1056" t="s">
        <v>523</v>
      </c>
      <c r="F90" s="536">
        <v>3113</v>
      </c>
      <c r="G90" s="1056" t="s">
        <v>335</v>
      </c>
      <c r="H90" s="832" t="s">
        <v>283</v>
      </c>
      <c r="I90" s="803">
        <f>SUM(J90:M90)</f>
        <v>13123450</v>
      </c>
      <c r="J90" s="833">
        <v>9445685</v>
      </c>
      <c r="K90" s="805">
        <f>ROUND((J90)*33.8%,0)-1</f>
        <v>3192641</v>
      </c>
      <c r="L90" s="805">
        <f>ROUND(J90*2%,0)</f>
        <v>188914</v>
      </c>
      <c r="M90" s="833">
        <v>296210</v>
      </c>
      <c r="N90" s="834">
        <f>SUM(O90:P90)</f>
        <v>18.0185</v>
      </c>
      <c r="O90" s="1054">
        <v>13.0909</v>
      </c>
      <c r="P90" s="1055">
        <v>4.9276</v>
      </c>
      <c r="Q90" s="835">
        <f>V90*-1</f>
        <v>-73600</v>
      </c>
      <c r="R90" s="813">
        <v>0</v>
      </c>
      <c r="S90" s="813">
        <v>0</v>
      </c>
      <c r="T90" s="813">
        <v>0</v>
      </c>
      <c r="U90" s="813">
        <f>SUM(Q90:T90)</f>
        <v>-73600</v>
      </c>
      <c r="V90" s="813">
        <v>73600</v>
      </c>
      <c r="W90" s="813">
        <v>54822</v>
      </c>
      <c r="X90" s="813">
        <v>0</v>
      </c>
      <c r="Y90" s="813">
        <f>SUM(V90:X90)</f>
        <v>128422</v>
      </c>
      <c r="Z90" s="813">
        <f>U90+Y90</f>
        <v>54822</v>
      </c>
      <c r="AA90" s="809">
        <f>ROUND((U90+V90+W90)*33.8%,0)</f>
        <v>18530</v>
      </c>
      <c r="AB90" s="809">
        <f>ROUND(U90*2%,0)</f>
        <v>-1472</v>
      </c>
      <c r="AC90" s="813">
        <v>0</v>
      </c>
      <c r="AD90" s="813">
        <v>0</v>
      </c>
      <c r="AE90" s="813">
        <f>SUM(AC90:AD90)</f>
        <v>0</v>
      </c>
      <c r="AF90" s="813">
        <f>Z90+AA90+AB90+AE90</f>
        <v>71880</v>
      </c>
      <c r="AG90" s="836">
        <v>-0.09</v>
      </c>
      <c r="AH90" s="836">
        <v>0</v>
      </c>
      <c r="AI90" s="836">
        <v>0</v>
      </c>
      <c r="AJ90" s="836">
        <v>0</v>
      </c>
      <c r="AK90" s="836">
        <v>0</v>
      </c>
      <c r="AL90" s="836">
        <f>AG90+AI90+AJ90</f>
        <v>-0.09</v>
      </c>
      <c r="AM90" s="836">
        <f>AH90+AK90</f>
        <v>0</v>
      </c>
      <c r="AN90" s="949">
        <f>SUM(AL90:AM90)</f>
        <v>-0.09</v>
      </c>
      <c r="AO90" s="945">
        <f>I90+AF90</f>
        <v>13195330</v>
      </c>
      <c r="AP90" s="813">
        <f>J90+U90</f>
        <v>9372085</v>
      </c>
      <c r="AQ90" s="813">
        <f>Y90</f>
        <v>128422</v>
      </c>
      <c r="AR90" s="813">
        <f t="shared" ref="AR90:AS94" si="100">K90+AA90</f>
        <v>3211171</v>
      </c>
      <c r="AS90" s="813">
        <f t="shared" si="100"/>
        <v>187442</v>
      </c>
      <c r="AT90" s="813">
        <f>M90+AE90</f>
        <v>296210</v>
      </c>
      <c r="AU90" s="836">
        <f>N90+AN90</f>
        <v>17.9285</v>
      </c>
      <c r="AV90" s="836">
        <f t="shared" ref="AV90:AW94" si="101">O90+AL90</f>
        <v>13.0009</v>
      </c>
      <c r="AW90" s="837">
        <f t="shared" si="101"/>
        <v>4.9276</v>
      </c>
      <c r="AX90" s="925"/>
    </row>
    <row r="91" spans="1:50" ht="12.95" customHeight="1" x14ac:dyDescent="0.25">
      <c r="A91" s="827">
        <v>18</v>
      </c>
      <c r="B91" s="1068">
        <v>3420</v>
      </c>
      <c r="C91" s="1068">
        <v>600078442</v>
      </c>
      <c r="D91" s="828">
        <v>72741571</v>
      </c>
      <c r="E91" s="1056" t="s">
        <v>523</v>
      </c>
      <c r="F91" s="536">
        <v>3113</v>
      </c>
      <c r="G91" s="948" t="s">
        <v>318</v>
      </c>
      <c r="H91" s="832" t="s">
        <v>284</v>
      </c>
      <c r="I91" s="803">
        <f>SUM(J91:M91)</f>
        <v>0</v>
      </c>
      <c r="J91" s="833">
        <v>0</v>
      </c>
      <c r="K91" s="805">
        <v>0</v>
      </c>
      <c r="L91" s="805">
        <v>0</v>
      </c>
      <c r="M91" s="833">
        <v>0</v>
      </c>
      <c r="N91" s="834">
        <f>SUM(O91:P91)</f>
        <v>0</v>
      </c>
      <c r="O91" s="1054">
        <v>0</v>
      </c>
      <c r="P91" s="1055">
        <v>0</v>
      </c>
      <c r="Q91" s="835">
        <f>V91*-1</f>
        <v>0</v>
      </c>
      <c r="R91" s="833">
        <v>606277</v>
      </c>
      <c r="S91" s="813">
        <v>0</v>
      </c>
      <c r="T91" s="813">
        <v>0</v>
      </c>
      <c r="U91" s="813">
        <f>SUM(Q91:T91)</f>
        <v>606277</v>
      </c>
      <c r="V91" s="813">
        <v>0</v>
      </c>
      <c r="W91" s="813">
        <v>0</v>
      </c>
      <c r="X91" s="813">
        <v>0</v>
      </c>
      <c r="Y91" s="813">
        <f>SUM(V91:X91)</f>
        <v>0</v>
      </c>
      <c r="Z91" s="813">
        <f>U91+Y91</f>
        <v>606277</v>
      </c>
      <c r="AA91" s="809">
        <f>ROUND((U91+V91+W91)*33.8%,0)</f>
        <v>204922</v>
      </c>
      <c r="AB91" s="809">
        <f>ROUND(U91*2%,0)</f>
        <v>12126</v>
      </c>
      <c r="AC91" s="813">
        <v>0</v>
      </c>
      <c r="AD91" s="813">
        <v>0</v>
      </c>
      <c r="AE91" s="813">
        <f>SUM(AC91:AD91)</f>
        <v>0</v>
      </c>
      <c r="AF91" s="813">
        <f>Z91+AA91+AB91+AE91</f>
        <v>823325</v>
      </c>
      <c r="AG91" s="836">
        <v>0</v>
      </c>
      <c r="AH91" s="836">
        <v>0</v>
      </c>
      <c r="AI91" s="836">
        <v>1.75</v>
      </c>
      <c r="AJ91" s="836">
        <v>0</v>
      </c>
      <c r="AK91" s="836">
        <v>0</v>
      </c>
      <c r="AL91" s="836">
        <f>AG91+AI91+AJ91</f>
        <v>1.75</v>
      </c>
      <c r="AM91" s="836">
        <f>AH91+AK91</f>
        <v>0</v>
      </c>
      <c r="AN91" s="949">
        <f>SUM(AL91:AM91)</f>
        <v>1.75</v>
      </c>
      <c r="AO91" s="945">
        <f>I91+AF91</f>
        <v>823325</v>
      </c>
      <c r="AP91" s="813">
        <f>J91+U91</f>
        <v>606277</v>
      </c>
      <c r="AQ91" s="813">
        <f>Y91</f>
        <v>0</v>
      </c>
      <c r="AR91" s="813">
        <f t="shared" si="100"/>
        <v>204922</v>
      </c>
      <c r="AS91" s="813">
        <f t="shared" si="100"/>
        <v>12126</v>
      </c>
      <c r="AT91" s="813">
        <f>M91+AE91</f>
        <v>0</v>
      </c>
      <c r="AU91" s="836">
        <f>N91+AN91</f>
        <v>1.75</v>
      </c>
      <c r="AV91" s="836">
        <f t="shared" si="101"/>
        <v>1.75</v>
      </c>
      <c r="AW91" s="837">
        <f t="shared" si="101"/>
        <v>0</v>
      </c>
      <c r="AX91" s="925"/>
    </row>
    <row r="92" spans="1:50" ht="12.95" customHeight="1" x14ac:dyDescent="0.25">
      <c r="A92" s="827">
        <v>18</v>
      </c>
      <c r="B92" s="536">
        <v>3420</v>
      </c>
      <c r="C92" s="536">
        <v>600078442</v>
      </c>
      <c r="D92" s="828">
        <v>72741571</v>
      </c>
      <c r="E92" s="535" t="s">
        <v>523</v>
      </c>
      <c r="F92" s="536">
        <v>3141</v>
      </c>
      <c r="G92" s="1057" t="s">
        <v>321</v>
      </c>
      <c r="H92" s="832" t="s">
        <v>284</v>
      </c>
      <c r="I92" s="803">
        <f>SUM(J92:M92)</f>
        <v>1319681</v>
      </c>
      <c r="J92" s="833">
        <v>963881</v>
      </c>
      <c r="K92" s="805">
        <f>ROUND((J92)*33.8%,0)</f>
        <v>325792</v>
      </c>
      <c r="L92" s="805">
        <f>ROUND(J92*2%,0)</f>
        <v>19278</v>
      </c>
      <c r="M92" s="833">
        <v>10730</v>
      </c>
      <c r="N92" s="834">
        <f>SUM(O92:P92)</f>
        <v>3.28</v>
      </c>
      <c r="O92" s="1054">
        <v>0</v>
      </c>
      <c r="P92" s="1055">
        <v>3.28</v>
      </c>
      <c r="Q92" s="835">
        <f>V92*-1</f>
        <v>-8000</v>
      </c>
      <c r="R92" s="813">
        <v>0</v>
      </c>
      <c r="S92" s="813">
        <v>0</v>
      </c>
      <c r="T92" s="813">
        <v>0</v>
      </c>
      <c r="U92" s="813">
        <f>SUM(Q92:T92)</f>
        <v>-8000</v>
      </c>
      <c r="V92" s="813">
        <v>8000</v>
      </c>
      <c r="W92" s="813">
        <v>0</v>
      </c>
      <c r="X92" s="813">
        <v>0</v>
      </c>
      <c r="Y92" s="813">
        <f>SUM(V92:X92)</f>
        <v>8000</v>
      </c>
      <c r="Z92" s="813">
        <f>U92+Y92</f>
        <v>0</v>
      </c>
      <c r="AA92" s="809">
        <f>ROUND((U92+V92+W92)*33.8%,0)</f>
        <v>0</v>
      </c>
      <c r="AB92" s="809">
        <f>ROUND(U92*2%,0)</f>
        <v>-160</v>
      </c>
      <c r="AC92" s="813">
        <v>0</v>
      </c>
      <c r="AD92" s="813">
        <v>0</v>
      </c>
      <c r="AE92" s="813">
        <f>SUM(AC92:AD92)</f>
        <v>0</v>
      </c>
      <c r="AF92" s="813">
        <f>Z92+AA92+AB92+AE92</f>
        <v>-160</v>
      </c>
      <c r="AG92" s="836">
        <v>0</v>
      </c>
      <c r="AH92" s="836">
        <v>0</v>
      </c>
      <c r="AI92" s="836">
        <v>0</v>
      </c>
      <c r="AJ92" s="836">
        <v>0</v>
      </c>
      <c r="AK92" s="836">
        <v>0</v>
      </c>
      <c r="AL92" s="836">
        <f>AG92+AI92+AJ92</f>
        <v>0</v>
      </c>
      <c r="AM92" s="836">
        <f>AH92+AK92</f>
        <v>0</v>
      </c>
      <c r="AN92" s="949">
        <f>SUM(AL92:AM92)</f>
        <v>0</v>
      </c>
      <c r="AO92" s="945">
        <f>I92+AF92</f>
        <v>1319521</v>
      </c>
      <c r="AP92" s="813">
        <f>J92+U92</f>
        <v>955881</v>
      </c>
      <c r="AQ92" s="813">
        <f>Y92</f>
        <v>8000</v>
      </c>
      <c r="AR92" s="813">
        <f t="shared" si="100"/>
        <v>325792</v>
      </c>
      <c r="AS92" s="813">
        <f t="shared" si="100"/>
        <v>19118</v>
      </c>
      <c r="AT92" s="813">
        <f>M92+AE92</f>
        <v>10730</v>
      </c>
      <c r="AU92" s="836">
        <f>N92+AN92</f>
        <v>3.28</v>
      </c>
      <c r="AV92" s="836">
        <f t="shared" si="101"/>
        <v>0</v>
      </c>
      <c r="AW92" s="837">
        <f t="shared" si="101"/>
        <v>3.28</v>
      </c>
      <c r="AX92" s="925"/>
    </row>
    <row r="93" spans="1:50" ht="12.95" customHeight="1" x14ac:dyDescent="0.25">
      <c r="A93" s="827">
        <v>18</v>
      </c>
      <c r="B93" s="1068">
        <v>3420</v>
      </c>
      <c r="C93" s="1068">
        <v>600078442</v>
      </c>
      <c r="D93" s="828">
        <v>72741571</v>
      </c>
      <c r="E93" s="1056" t="s">
        <v>523</v>
      </c>
      <c r="F93" s="536">
        <v>3143</v>
      </c>
      <c r="G93" s="948" t="s">
        <v>635</v>
      </c>
      <c r="H93" s="832" t="s">
        <v>283</v>
      </c>
      <c r="I93" s="803">
        <f>SUM(J93:M93)</f>
        <v>908558</v>
      </c>
      <c r="J93" s="833">
        <v>669041</v>
      </c>
      <c r="K93" s="805">
        <f>ROUND((J93)*33.8%,0)</f>
        <v>226136</v>
      </c>
      <c r="L93" s="805">
        <f>ROUND(J93*2%,0)</f>
        <v>13381</v>
      </c>
      <c r="M93" s="833">
        <v>0</v>
      </c>
      <c r="N93" s="834">
        <f>SUM(O93:P93)</f>
        <v>1.5</v>
      </c>
      <c r="O93" s="1054">
        <v>1.5</v>
      </c>
      <c r="P93" s="1055">
        <v>0</v>
      </c>
      <c r="Q93" s="835">
        <f>V93*-1</f>
        <v>0</v>
      </c>
      <c r="R93" s="813">
        <v>0</v>
      </c>
      <c r="S93" s="813">
        <v>0</v>
      </c>
      <c r="T93" s="813">
        <v>0</v>
      </c>
      <c r="U93" s="813">
        <f>SUM(Q93:T93)</f>
        <v>0</v>
      </c>
      <c r="V93" s="813">
        <v>0</v>
      </c>
      <c r="W93" s="813">
        <v>0</v>
      </c>
      <c r="X93" s="813">
        <v>0</v>
      </c>
      <c r="Y93" s="813">
        <f>SUM(V93:X93)</f>
        <v>0</v>
      </c>
      <c r="Z93" s="813">
        <f>U93+Y93</f>
        <v>0</v>
      </c>
      <c r="AA93" s="809">
        <f>ROUND((U93+V93+W93)*33.8%,0)</f>
        <v>0</v>
      </c>
      <c r="AB93" s="809">
        <f>ROUND(U93*2%,0)</f>
        <v>0</v>
      </c>
      <c r="AC93" s="813">
        <v>0</v>
      </c>
      <c r="AD93" s="813">
        <v>0</v>
      </c>
      <c r="AE93" s="813">
        <f>SUM(AC93:AD93)</f>
        <v>0</v>
      </c>
      <c r="AF93" s="813">
        <f>Z93+AA93+AB93+AE93</f>
        <v>0</v>
      </c>
      <c r="AG93" s="836">
        <v>0</v>
      </c>
      <c r="AH93" s="836">
        <v>0</v>
      </c>
      <c r="AI93" s="836">
        <v>0</v>
      </c>
      <c r="AJ93" s="836">
        <v>0</v>
      </c>
      <c r="AK93" s="836">
        <v>0</v>
      </c>
      <c r="AL93" s="836">
        <f>AG93+AI93+AJ93</f>
        <v>0</v>
      </c>
      <c r="AM93" s="836">
        <f>AH93+AK93</f>
        <v>0</v>
      </c>
      <c r="AN93" s="949">
        <f>SUM(AL93:AM93)</f>
        <v>0</v>
      </c>
      <c r="AO93" s="945">
        <f>I93+AF93</f>
        <v>908558</v>
      </c>
      <c r="AP93" s="813">
        <f>J93+U93</f>
        <v>669041</v>
      </c>
      <c r="AQ93" s="813">
        <f>Y93</f>
        <v>0</v>
      </c>
      <c r="AR93" s="813">
        <f t="shared" si="100"/>
        <v>226136</v>
      </c>
      <c r="AS93" s="813">
        <f t="shared" si="100"/>
        <v>13381</v>
      </c>
      <c r="AT93" s="813">
        <f>M93+AE93</f>
        <v>0</v>
      </c>
      <c r="AU93" s="836">
        <f>N93+AN93</f>
        <v>1.5</v>
      </c>
      <c r="AV93" s="836">
        <f t="shared" si="101"/>
        <v>1.5</v>
      </c>
      <c r="AW93" s="837">
        <f t="shared" si="101"/>
        <v>0</v>
      </c>
      <c r="AX93" s="925"/>
    </row>
    <row r="94" spans="1:50" ht="12.95" customHeight="1" x14ac:dyDescent="0.25">
      <c r="A94" s="827">
        <v>18</v>
      </c>
      <c r="B94" s="1068">
        <v>3420</v>
      </c>
      <c r="C94" s="1068">
        <v>600078442</v>
      </c>
      <c r="D94" s="828">
        <v>72741571</v>
      </c>
      <c r="E94" s="1056" t="s">
        <v>523</v>
      </c>
      <c r="F94" s="536">
        <v>3143</v>
      </c>
      <c r="G94" s="948" t="s">
        <v>636</v>
      </c>
      <c r="H94" s="832" t="s">
        <v>284</v>
      </c>
      <c r="I94" s="803">
        <f>SUM(J94:M94)</f>
        <v>35111</v>
      </c>
      <c r="J94" s="833">
        <v>24750</v>
      </c>
      <c r="K94" s="805">
        <f>ROUND((J94)*33.8%,0)</f>
        <v>8366</v>
      </c>
      <c r="L94" s="805">
        <f>ROUND(J94*2%,0)</f>
        <v>495</v>
      </c>
      <c r="M94" s="833">
        <v>1500</v>
      </c>
      <c r="N94" s="834">
        <f>SUM(O94:P94)</f>
        <v>0.1</v>
      </c>
      <c r="O94" s="1054">
        <v>0</v>
      </c>
      <c r="P94" s="1055">
        <v>0.1</v>
      </c>
      <c r="Q94" s="835">
        <f>V94*-1</f>
        <v>-12000</v>
      </c>
      <c r="R94" s="813">
        <v>0</v>
      </c>
      <c r="S94" s="813">
        <v>0</v>
      </c>
      <c r="T94" s="813">
        <v>0</v>
      </c>
      <c r="U94" s="813">
        <f>SUM(Q94:T94)</f>
        <v>-12000</v>
      </c>
      <c r="V94" s="813">
        <v>12000</v>
      </c>
      <c r="W94" s="813">
        <v>0</v>
      </c>
      <c r="X94" s="813">
        <v>0</v>
      </c>
      <c r="Y94" s="813">
        <f>SUM(V94:X94)</f>
        <v>12000</v>
      </c>
      <c r="Z94" s="813">
        <f>U94+Y94</f>
        <v>0</v>
      </c>
      <c r="AA94" s="809">
        <f>ROUND((U94+V94+W94)*33.8%,0)</f>
        <v>0</v>
      </c>
      <c r="AB94" s="809">
        <f>ROUND(U94*2%,0)</f>
        <v>-240</v>
      </c>
      <c r="AC94" s="813">
        <v>0</v>
      </c>
      <c r="AD94" s="813">
        <v>0</v>
      </c>
      <c r="AE94" s="813">
        <f>SUM(AC94:AD94)</f>
        <v>0</v>
      </c>
      <c r="AF94" s="813">
        <f>Z94+AA94+AB94+AE94</f>
        <v>-240</v>
      </c>
      <c r="AG94" s="836">
        <v>0</v>
      </c>
      <c r="AH94" s="836">
        <v>-0.05</v>
      </c>
      <c r="AI94" s="836">
        <v>0</v>
      </c>
      <c r="AJ94" s="836">
        <v>0</v>
      </c>
      <c r="AK94" s="836">
        <v>0</v>
      </c>
      <c r="AL94" s="836">
        <f>AG94+AI94+AJ94</f>
        <v>0</v>
      </c>
      <c r="AM94" s="836">
        <f>AH94+AK94</f>
        <v>-0.05</v>
      </c>
      <c r="AN94" s="949">
        <f>SUM(AL94:AM94)</f>
        <v>-0.05</v>
      </c>
      <c r="AO94" s="945">
        <f>I94+AF94</f>
        <v>34871</v>
      </c>
      <c r="AP94" s="813">
        <f>J94+U94</f>
        <v>12750</v>
      </c>
      <c r="AQ94" s="813">
        <f>Y94</f>
        <v>12000</v>
      </c>
      <c r="AR94" s="813">
        <f t="shared" si="100"/>
        <v>8366</v>
      </c>
      <c r="AS94" s="813">
        <f t="shared" si="100"/>
        <v>255</v>
      </c>
      <c r="AT94" s="813">
        <f>M94+AE94</f>
        <v>1500</v>
      </c>
      <c r="AU94" s="836">
        <f>N94+AN94</f>
        <v>0.05</v>
      </c>
      <c r="AV94" s="836">
        <f t="shared" si="101"/>
        <v>0</v>
      </c>
      <c r="AW94" s="837">
        <f t="shared" si="101"/>
        <v>0.05</v>
      </c>
      <c r="AX94" s="925"/>
    </row>
    <row r="95" spans="1:50" ht="12.95" customHeight="1" x14ac:dyDescent="0.25">
      <c r="A95" s="538">
        <v>18</v>
      </c>
      <c r="B95" s="101">
        <v>3420</v>
      </c>
      <c r="C95" s="101">
        <v>600078442</v>
      </c>
      <c r="D95" s="101">
        <v>72741571</v>
      </c>
      <c r="E95" s="1058" t="s">
        <v>524</v>
      </c>
      <c r="F95" s="100"/>
      <c r="G95" s="1058"/>
      <c r="H95" s="449"/>
      <c r="I95" s="820">
        <f t="shared" ref="I95:AW95" si="102">SUM(I90:I94)</f>
        <v>15386800</v>
      </c>
      <c r="J95" s="825">
        <f t="shared" si="102"/>
        <v>11103357</v>
      </c>
      <c r="K95" s="825">
        <f t="shared" si="102"/>
        <v>3752935</v>
      </c>
      <c r="L95" s="825">
        <f t="shared" si="102"/>
        <v>222068</v>
      </c>
      <c r="M95" s="825">
        <f t="shared" si="102"/>
        <v>308440</v>
      </c>
      <c r="N95" s="1070">
        <f t="shared" si="102"/>
        <v>22.898500000000002</v>
      </c>
      <c r="O95" s="1070">
        <f t="shared" si="102"/>
        <v>14.5909</v>
      </c>
      <c r="P95" s="1071">
        <f t="shared" si="102"/>
        <v>8.307599999999999</v>
      </c>
      <c r="Q95" s="825">
        <f t="shared" si="102"/>
        <v>-93600</v>
      </c>
      <c r="R95" s="821">
        <f t="shared" si="102"/>
        <v>606277</v>
      </c>
      <c r="S95" s="821">
        <f t="shared" si="102"/>
        <v>0</v>
      </c>
      <c r="T95" s="821">
        <f t="shared" si="102"/>
        <v>0</v>
      </c>
      <c r="U95" s="821">
        <f t="shared" si="102"/>
        <v>512677</v>
      </c>
      <c r="V95" s="821">
        <f t="shared" si="102"/>
        <v>93600</v>
      </c>
      <c r="W95" s="821">
        <f t="shared" si="102"/>
        <v>54822</v>
      </c>
      <c r="X95" s="821">
        <f t="shared" si="102"/>
        <v>0</v>
      </c>
      <c r="Y95" s="821">
        <f t="shared" si="102"/>
        <v>148422</v>
      </c>
      <c r="Z95" s="821">
        <f t="shared" si="102"/>
        <v>661099</v>
      </c>
      <c r="AA95" s="821">
        <f t="shared" si="102"/>
        <v>223452</v>
      </c>
      <c r="AB95" s="821">
        <f t="shared" si="102"/>
        <v>10254</v>
      </c>
      <c r="AC95" s="821">
        <f t="shared" si="102"/>
        <v>0</v>
      </c>
      <c r="AD95" s="821">
        <f t="shared" si="102"/>
        <v>0</v>
      </c>
      <c r="AE95" s="821">
        <f t="shared" si="102"/>
        <v>0</v>
      </c>
      <c r="AF95" s="821">
        <f t="shared" si="102"/>
        <v>894805</v>
      </c>
      <c r="AG95" s="822">
        <f t="shared" si="102"/>
        <v>-0.09</v>
      </c>
      <c r="AH95" s="822">
        <f t="shared" si="102"/>
        <v>-0.05</v>
      </c>
      <c r="AI95" s="822">
        <f t="shared" si="102"/>
        <v>1.75</v>
      </c>
      <c r="AJ95" s="822">
        <f t="shared" si="102"/>
        <v>0</v>
      </c>
      <c r="AK95" s="822">
        <f t="shared" si="102"/>
        <v>0</v>
      </c>
      <c r="AL95" s="822">
        <f t="shared" si="102"/>
        <v>1.66</v>
      </c>
      <c r="AM95" s="822">
        <f t="shared" si="102"/>
        <v>-0.05</v>
      </c>
      <c r="AN95" s="1072">
        <f t="shared" si="102"/>
        <v>1.6099999999999999</v>
      </c>
      <c r="AO95" s="820">
        <f t="shared" si="102"/>
        <v>16281605</v>
      </c>
      <c r="AP95" s="821">
        <f t="shared" si="102"/>
        <v>11616034</v>
      </c>
      <c r="AQ95" s="821">
        <f t="shared" si="102"/>
        <v>148422</v>
      </c>
      <c r="AR95" s="821">
        <f t="shared" si="102"/>
        <v>3976387</v>
      </c>
      <c r="AS95" s="821">
        <f t="shared" si="102"/>
        <v>232322</v>
      </c>
      <c r="AT95" s="821">
        <f t="shared" si="102"/>
        <v>308440</v>
      </c>
      <c r="AU95" s="822">
        <f t="shared" si="102"/>
        <v>24.508500000000002</v>
      </c>
      <c r="AV95" s="822">
        <f t="shared" si="102"/>
        <v>16.250900000000001</v>
      </c>
      <c r="AW95" s="824">
        <f t="shared" si="102"/>
        <v>8.2576000000000001</v>
      </c>
      <c r="AX95" s="925"/>
    </row>
    <row r="96" spans="1:50" ht="12.95" customHeight="1" x14ac:dyDescent="0.25">
      <c r="A96" s="827">
        <v>19</v>
      </c>
      <c r="B96" s="1052">
        <v>5493</v>
      </c>
      <c r="C96" s="1052">
        <v>691009813</v>
      </c>
      <c r="D96" s="828">
        <v>6181457</v>
      </c>
      <c r="E96" s="1053" t="s">
        <v>525</v>
      </c>
      <c r="F96" s="1052">
        <v>3111</v>
      </c>
      <c r="G96" s="1057" t="s">
        <v>331</v>
      </c>
      <c r="H96" s="832" t="s">
        <v>283</v>
      </c>
      <c r="I96" s="803">
        <f>SUM(J96:M96)</f>
        <v>1713452</v>
      </c>
      <c r="J96" s="833">
        <v>1253131</v>
      </c>
      <c r="K96" s="805">
        <f>ROUND((J96)*33.8%,0)</f>
        <v>423558</v>
      </c>
      <c r="L96" s="805">
        <f>ROUND(J96*2%,0)</f>
        <v>25063</v>
      </c>
      <c r="M96" s="833">
        <v>11700</v>
      </c>
      <c r="N96" s="834">
        <f>SUM(O96:P96)</f>
        <v>2.8349000000000002</v>
      </c>
      <c r="O96" s="1054">
        <v>2</v>
      </c>
      <c r="P96" s="1055">
        <v>0.83489999999999998</v>
      </c>
      <c r="Q96" s="835">
        <f>V96*-1</f>
        <v>-20000</v>
      </c>
      <c r="R96" s="813">
        <v>0</v>
      </c>
      <c r="S96" s="813">
        <v>0</v>
      </c>
      <c r="T96" s="813">
        <v>0</v>
      </c>
      <c r="U96" s="813">
        <f>SUM(Q96:T96)</f>
        <v>-20000</v>
      </c>
      <c r="V96" s="813">
        <v>20000</v>
      </c>
      <c r="W96" s="813">
        <v>0</v>
      </c>
      <c r="X96" s="813">
        <v>0</v>
      </c>
      <c r="Y96" s="813">
        <f>SUM(V96:X96)</f>
        <v>20000</v>
      </c>
      <c r="Z96" s="813">
        <f>U96+Y96</f>
        <v>0</v>
      </c>
      <c r="AA96" s="809">
        <f>ROUND((U96+V96+W96)*33.8%,0)</f>
        <v>0</v>
      </c>
      <c r="AB96" s="809">
        <f>ROUND(U96*2%,0)</f>
        <v>-400</v>
      </c>
      <c r="AC96" s="813">
        <v>0</v>
      </c>
      <c r="AD96" s="813">
        <v>0</v>
      </c>
      <c r="AE96" s="813">
        <f>SUM(AC96:AD96)</f>
        <v>0</v>
      </c>
      <c r="AF96" s="813">
        <f>Z96+AA96+AB96+AE96</f>
        <v>-400</v>
      </c>
      <c r="AG96" s="836">
        <v>0</v>
      </c>
      <c r="AH96" s="836">
        <v>-0.01</v>
      </c>
      <c r="AI96" s="836">
        <v>0</v>
      </c>
      <c r="AJ96" s="836">
        <v>0</v>
      </c>
      <c r="AK96" s="836">
        <v>0</v>
      </c>
      <c r="AL96" s="836">
        <f>AG96+AI96+AJ96</f>
        <v>0</v>
      </c>
      <c r="AM96" s="836">
        <f>AH96+AK96</f>
        <v>-0.01</v>
      </c>
      <c r="AN96" s="949">
        <f>SUM(AL96:AM96)</f>
        <v>-0.01</v>
      </c>
      <c r="AO96" s="945">
        <f>I96+AF96</f>
        <v>1713052</v>
      </c>
      <c r="AP96" s="813">
        <f>J96+U96</f>
        <v>1233131</v>
      </c>
      <c r="AQ96" s="813">
        <f>Y96</f>
        <v>20000</v>
      </c>
      <c r="AR96" s="813">
        <f t="shared" ref="AR96:AS98" si="103">K96+AA96</f>
        <v>423558</v>
      </c>
      <c r="AS96" s="813">
        <f t="shared" si="103"/>
        <v>24663</v>
      </c>
      <c r="AT96" s="813">
        <f>M96+AE96</f>
        <v>11700</v>
      </c>
      <c r="AU96" s="836">
        <f>N96+AN96</f>
        <v>2.8249000000000004</v>
      </c>
      <c r="AV96" s="836">
        <f t="shared" ref="AV96:AW98" si="104">O96+AL96</f>
        <v>2</v>
      </c>
      <c r="AW96" s="837">
        <f t="shared" si="104"/>
        <v>0.82489999999999997</v>
      </c>
      <c r="AX96" s="925"/>
    </row>
    <row r="97" spans="1:50" ht="12.95" customHeight="1" x14ac:dyDescent="0.25">
      <c r="A97" s="827">
        <v>19</v>
      </c>
      <c r="B97" s="1052">
        <v>5493</v>
      </c>
      <c r="C97" s="1052">
        <v>691009813</v>
      </c>
      <c r="D97" s="828">
        <v>6181457</v>
      </c>
      <c r="E97" s="1053" t="s">
        <v>525</v>
      </c>
      <c r="F97" s="1052">
        <v>3111</v>
      </c>
      <c r="G97" s="948" t="s">
        <v>318</v>
      </c>
      <c r="H97" s="832" t="s">
        <v>284</v>
      </c>
      <c r="I97" s="803">
        <f>SUM(J97:M97)</f>
        <v>0</v>
      </c>
      <c r="J97" s="833">
        <v>0</v>
      </c>
      <c r="K97" s="805">
        <v>0</v>
      </c>
      <c r="L97" s="805">
        <v>0</v>
      </c>
      <c r="M97" s="833">
        <v>0</v>
      </c>
      <c r="N97" s="834">
        <f>SUM(O97:P97)</f>
        <v>0</v>
      </c>
      <c r="O97" s="1054">
        <v>0</v>
      </c>
      <c r="P97" s="1055">
        <v>0</v>
      </c>
      <c r="Q97" s="835">
        <f>V97*-1</f>
        <v>0</v>
      </c>
      <c r="R97" s="813">
        <v>259833</v>
      </c>
      <c r="S97" s="813">
        <v>0</v>
      </c>
      <c r="T97" s="813">
        <v>0</v>
      </c>
      <c r="U97" s="813">
        <f>SUM(Q97:T97)</f>
        <v>259833</v>
      </c>
      <c r="V97" s="813">
        <v>0</v>
      </c>
      <c r="W97" s="813">
        <v>0</v>
      </c>
      <c r="X97" s="813">
        <v>0</v>
      </c>
      <c r="Y97" s="813">
        <f>SUM(V97:X97)</f>
        <v>0</v>
      </c>
      <c r="Z97" s="813">
        <f>U97+Y97</f>
        <v>259833</v>
      </c>
      <c r="AA97" s="809">
        <f>ROUND((U97+V97+W97)*33.8%,0)</f>
        <v>87824</v>
      </c>
      <c r="AB97" s="809">
        <f>ROUND(U97*2%,0)</f>
        <v>5197</v>
      </c>
      <c r="AC97" s="833">
        <v>3000</v>
      </c>
      <c r="AD97" s="813">
        <v>0</v>
      </c>
      <c r="AE97" s="813">
        <f>SUM(AC97:AD97)</f>
        <v>3000</v>
      </c>
      <c r="AF97" s="813">
        <f>Z97+AA97+AB97+AE97</f>
        <v>355854</v>
      </c>
      <c r="AG97" s="836">
        <v>0</v>
      </c>
      <c r="AH97" s="836">
        <v>0</v>
      </c>
      <c r="AI97" s="836">
        <v>0.75</v>
      </c>
      <c r="AJ97" s="836">
        <v>0</v>
      </c>
      <c r="AK97" s="836">
        <v>0</v>
      </c>
      <c r="AL97" s="836">
        <f>AG97+AI97+AJ97</f>
        <v>0.75</v>
      </c>
      <c r="AM97" s="836">
        <f>AH97+AK97</f>
        <v>0</v>
      </c>
      <c r="AN97" s="949">
        <f>SUM(AL97:AM97)</f>
        <v>0.75</v>
      </c>
      <c r="AO97" s="945">
        <f>I97+AF97</f>
        <v>355854</v>
      </c>
      <c r="AP97" s="813">
        <f>J97+U97</f>
        <v>259833</v>
      </c>
      <c r="AQ97" s="813">
        <f>Y97</f>
        <v>0</v>
      </c>
      <c r="AR97" s="813">
        <f t="shared" si="103"/>
        <v>87824</v>
      </c>
      <c r="AS97" s="813">
        <f t="shared" si="103"/>
        <v>5197</v>
      </c>
      <c r="AT97" s="813">
        <f>M97+AE97</f>
        <v>3000</v>
      </c>
      <c r="AU97" s="836">
        <f>N97+AN97</f>
        <v>0.75</v>
      </c>
      <c r="AV97" s="836">
        <f t="shared" si="104"/>
        <v>0.75</v>
      </c>
      <c r="AW97" s="837">
        <f t="shared" si="104"/>
        <v>0</v>
      </c>
      <c r="AX97" s="925"/>
    </row>
    <row r="98" spans="1:50" ht="12.95" customHeight="1" x14ac:dyDescent="0.25">
      <c r="A98" s="827">
        <v>19</v>
      </c>
      <c r="B98" s="1083">
        <v>5493</v>
      </c>
      <c r="C98" s="1083">
        <v>691009813</v>
      </c>
      <c r="D98" s="828">
        <v>6181457</v>
      </c>
      <c r="E98" s="1082" t="s">
        <v>525</v>
      </c>
      <c r="F98" s="1083">
        <v>3141</v>
      </c>
      <c r="G98" s="1057" t="s">
        <v>321</v>
      </c>
      <c r="H98" s="832" t="s">
        <v>284</v>
      </c>
      <c r="I98" s="803">
        <f>SUM(J98:M98)</f>
        <v>103979</v>
      </c>
      <c r="J98" s="833">
        <v>75840</v>
      </c>
      <c r="K98" s="805">
        <f>ROUND((J98)*33.8%,0)</f>
        <v>25634</v>
      </c>
      <c r="L98" s="805">
        <f>ROUND(J98*2%,0)</f>
        <v>1517</v>
      </c>
      <c r="M98" s="833">
        <v>988</v>
      </c>
      <c r="N98" s="834">
        <f>SUM(O98:P98)</f>
        <v>0.4</v>
      </c>
      <c r="O98" s="1054">
        <v>0</v>
      </c>
      <c r="P98" s="1055">
        <v>0.4</v>
      </c>
      <c r="Q98" s="835">
        <f>V98*-1</f>
        <v>0</v>
      </c>
      <c r="R98" s="813">
        <v>0</v>
      </c>
      <c r="S98" s="813">
        <v>0</v>
      </c>
      <c r="T98" s="813">
        <v>0</v>
      </c>
      <c r="U98" s="813">
        <f>SUM(Q98:T98)</f>
        <v>0</v>
      </c>
      <c r="V98" s="813">
        <v>0</v>
      </c>
      <c r="W98" s="813">
        <v>0</v>
      </c>
      <c r="X98" s="813">
        <v>0</v>
      </c>
      <c r="Y98" s="813">
        <f>SUM(V98:X98)</f>
        <v>0</v>
      </c>
      <c r="Z98" s="813">
        <f>U98+Y98</f>
        <v>0</v>
      </c>
      <c r="AA98" s="809">
        <f>ROUND((U98+V98+W98)*33.8%,0)</f>
        <v>0</v>
      </c>
      <c r="AB98" s="809">
        <f>ROUND(U98*2%,0)</f>
        <v>0</v>
      </c>
      <c r="AC98" s="813">
        <v>0</v>
      </c>
      <c r="AD98" s="813">
        <v>0</v>
      </c>
      <c r="AE98" s="813">
        <f>SUM(AC98:AD98)</f>
        <v>0</v>
      </c>
      <c r="AF98" s="813">
        <f>Z98+AA98+AB98+AE98</f>
        <v>0</v>
      </c>
      <c r="AG98" s="836">
        <v>0</v>
      </c>
      <c r="AH98" s="836">
        <v>0</v>
      </c>
      <c r="AI98" s="836">
        <v>0</v>
      </c>
      <c r="AJ98" s="836">
        <v>0</v>
      </c>
      <c r="AK98" s="836">
        <v>0</v>
      </c>
      <c r="AL98" s="836">
        <f>AG98+AI98+AJ98</f>
        <v>0</v>
      </c>
      <c r="AM98" s="836">
        <f>AH98+AK98</f>
        <v>0</v>
      </c>
      <c r="AN98" s="949">
        <f>SUM(AL98:AM98)</f>
        <v>0</v>
      </c>
      <c r="AO98" s="945">
        <f>I98+AF98</f>
        <v>103979</v>
      </c>
      <c r="AP98" s="813">
        <f>J98+U98</f>
        <v>75840</v>
      </c>
      <c r="AQ98" s="813">
        <f>Y98</f>
        <v>0</v>
      </c>
      <c r="AR98" s="813">
        <f t="shared" si="103"/>
        <v>25634</v>
      </c>
      <c r="AS98" s="813">
        <f t="shared" si="103"/>
        <v>1517</v>
      </c>
      <c r="AT98" s="813">
        <f>M98+AE98</f>
        <v>988</v>
      </c>
      <c r="AU98" s="836">
        <f>N98+AN98</f>
        <v>0.4</v>
      </c>
      <c r="AV98" s="836">
        <f t="shared" si="104"/>
        <v>0</v>
      </c>
      <c r="AW98" s="837">
        <f t="shared" si="104"/>
        <v>0.4</v>
      </c>
      <c r="AX98" s="925"/>
    </row>
    <row r="99" spans="1:50" ht="12.95" customHeight="1" x14ac:dyDescent="0.25">
      <c r="A99" s="538">
        <v>19</v>
      </c>
      <c r="B99" s="102">
        <v>5493</v>
      </c>
      <c r="C99" s="102">
        <v>691009813</v>
      </c>
      <c r="D99" s="102">
        <v>6181457</v>
      </c>
      <c r="E99" s="1088" t="s">
        <v>526</v>
      </c>
      <c r="F99" s="102"/>
      <c r="G99" s="1088"/>
      <c r="H99" s="451"/>
      <c r="I99" s="820">
        <f t="shared" ref="I99:AW99" si="105">SUM(I96:I98)</f>
        <v>1817431</v>
      </c>
      <c r="J99" s="825">
        <f t="shared" si="105"/>
        <v>1328971</v>
      </c>
      <c r="K99" s="825">
        <f t="shared" si="105"/>
        <v>449192</v>
      </c>
      <c r="L99" s="825">
        <f t="shared" si="105"/>
        <v>26580</v>
      </c>
      <c r="M99" s="825">
        <f t="shared" si="105"/>
        <v>12688</v>
      </c>
      <c r="N99" s="1070">
        <f t="shared" si="105"/>
        <v>3.2349000000000001</v>
      </c>
      <c r="O99" s="1070">
        <f t="shared" si="105"/>
        <v>2</v>
      </c>
      <c r="P99" s="1071">
        <f t="shared" si="105"/>
        <v>1.2349000000000001</v>
      </c>
      <c r="Q99" s="825">
        <f t="shared" si="105"/>
        <v>-20000</v>
      </c>
      <c r="R99" s="821">
        <f t="shared" si="105"/>
        <v>259833</v>
      </c>
      <c r="S99" s="821">
        <f t="shared" si="105"/>
        <v>0</v>
      </c>
      <c r="T99" s="821">
        <f t="shared" si="105"/>
        <v>0</v>
      </c>
      <c r="U99" s="821">
        <f t="shared" si="105"/>
        <v>239833</v>
      </c>
      <c r="V99" s="821">
        <f t="shared" si="105"/>
        <v>20000</v>
      </c>
      <c r="W99" s="821">
        <f t="shared" si="105"/>
        <v>0</v>
      </c>
      <c r="X99" s="821">
        <f t="shared" si="105"/>
        <v>0</v>
      </c>
      <c r="Y99" s="821">
        <f t="shared" si="105"/>
        <v>20000</v>
      </c>
      <c r="Z99" s="821">
        <f t="shared" si="105"/>
        <v>259833</v>
      </c>
      <c r="AA99" s="821">
        <f t="shared" si="105"/>
        <v>87824</v>
      </c>
      <c r="AB99" s="821">
        <f t="shared" si="105"/>
        <v>4797</v>
      </c>
      <c r="AC99" s="821">
        <f t="shared" si="105"/>
        <v>3000</v>
      </c>
      <c r="AD99" s="821">
        <f t="shared" si="105"/>
        <v>0</v>
      </c>
      <c r="AE99" s="821">
        <f t="shared" si="105"/>
        <v>3000</v>
      </c>
      <c r="AF99" s="821">
        <f t="shared" si="105"/>
        <v>355454</v>
      </c>
      <c r="AG99" s="822">
        <f t="shared" si="105"/>
        <v>0</v>
      </c>
      <c r="AH99" s="822">
        <f t="shared" si="105"/>
        <v>-0.01</v>
      </c>
      <c r="AI99" s="822">
        <f t="shared" si="105"/>
        <v>0.75</v>
      </c>
      <c r="AJ99" s="822">
        <f t="shared" si="105"/>
        <v>0</v>
      </c>
      <c r="AK99" s="822">
        <f t="shared" si="105"/>
        <v>0</v>
      </c>
      <c r="AL99" s="822">
        <f t="shared" si="105"/>
        <v>0.75</v>
      </c>
      <c r="AM99" s="822">
        <f t="shared" si="105"/>
        <v>-0.01</v>
      </c>
      <c r="AN99" s="1072">
        <f t="shared" si="105"/>
        <v>0.74</v>
      </c>
      <c r="AO99" s="820">
        <f t="shared" si="105"/>
        <v>2172885</v>
      </c>
      <c r="AP99" s="821">
        <f t="shared" si="105"/>
        <v>1568804</v>
      </c>
      <c r="AQ99" s="821">
        <f t="shared" si="105"/>
        <v>20000</v>
      </c>
      <c r="AR99" s="821">
        <f t="shared" si="105"/>
        <v>537016</v>
      </c>
      <c r="AS99" s="821">
        <f t="shared" si="105"/>
        <v>31377</v>
      </c>
      <c r="AT99" s="821">
        <f t="shared" si="105"/>
        <v>15688</v>
      </c>
      <c r="AU99" s="822">
        <f t="shared" si="105"/>
        <v>3.9749000000000003</v>
      </c>
      <c r="AV99" s="822">
        <f t="shared" si="105"/>
        <v>2.75</v>
      </c>
      <c r="AW99" s="824">
        <f t="shared" si="105"/>
        <v>1.2248999999999999</v>
      </c>
      <c r="AX99" s="925"/>
    </row>
    <row r="100" spans="1:50" ht="12.95" customHeight="1" x14ac:dyDescent="0.25">
      <c r="A100" s="827">
        <v>20</v>
      </c>
      <c r="B100" s="536">
        <v>2463</v>
      </c>
      <c r="C100" s="536">
        <v>600080056</v>
      </c>
      <c r="D100" s="828">
        <v>70982066</v>
      </c>
      <c r="E100" s="1056" t="s">
        <v>527</v>
      </c>
      <c r="F100" s="536">
        <v>3113</v>
      </c>
      <c r="G100" s="1056" t="s">
        <v>335</v>
      </c>
      <c r="H100" s="832" t="s">
        <v>283</v>
      </c>
      <c r="I100" s="803">
        <f>SUM(J100:M100)</f>
        <v>7828333</v>
      </c>
      <c r="J100" s="833">
        <v>5666453</v>
      </c>
      <c r="K100" s="805">
        <f>ROUND((J100)*33.8%,0)</f>
        <v>1915261</v>
      </c>
      <c r="L100" s="805">
        <f>ROUND(J100*2%,0)</f>
        <v>113329</v>
      </c>
      <c r="M100" s="833">
        <v>133290</v>
      </c>
      <c r="N100" s="834">
        <f>SUM(O100:P100)</f>
        <v>11.486000000000001</v>
      </c>
      <c r="O100" s="1054">
        <v>8.1836000000000002</v>
      </c>
      <c r="P100" s="1055">
        <v>3.3024</v>
      </c>
      <c r="Q100" s="835">
        <f>V100*-1</f>
        <v>-36000</v>
      </c>
      <c r="R100" s="813">
        <v>0</v>
      </c>
      <c r="S100" s="813">
        <v>0</v>
      </c>
      <c r="T100" s="813">
        <v>0</v>
      </c>
      <c r="U100" s="813">
        <f>SUM(Q100:T100)</f>
        <v>-36000</v>
      </c>
      <c r="V100" s="813">
        <v>36000</v>
      </c>
      <c r="W100" s="813">
        <v>54822</v>
      </c>
      <c r="X100" s="813">
        <v>0</v>
      </c>
      <c r="Y100" s="813">
        <f>SUM(V100:X100)</f>
        <v>90822</v>
      </c>
      <c r="Z100" s="813">
        <f>U100+Y100</f>
        <v>54822</v>
      </c>
      <c r="AA100" s="809">
        <f>ROUND((U100+V100+W100)*33.8%,0)</f>
        <v>18530</v>
      </c>
      <c r="AB100" s="809">
        <f>ROUND(U100*2%,0)</f>
        <v>-720</v>
      </c>
      <c r="AC100" s="813">
        <v>0</v>
      </c>
      <c r="AD100" s="813">
        <v>0</v>
      </c>
      <c r="AE100" s="813">
        <f>SUM(AC100:AD100)</f>
        <v>0</v>
      </c>
      <c r="AF100" s="813">
        <f>Z100+AA100+AB100+AE100</f>
        <v>72632</v>
      </c>
      <c r="AG100" s="836">
        <v>-0.05</v>
      </c>
      <c r="AH100" s="836">
        <v>-0.03</v>
      </c>
      <c r="AI100" s="836">
        <v>0</v>
      </c>
      <c r="AJ100" s="836">
        <v>0</v>
      </c>
      <c r="AK100" s="836">
        <v>0</v>
      </c>
      <c r="AL100" s="836">
        <f>AG100+AI100+AJ100</f>
        <v>-0.05</v>
      </c>
      <c r="AM100" s="836">
        <f>AH100+AK100</f>
        <v>-0.03</v>
      </c>
      <c r="AN100" s="949">
        <f>SUM(AL100:AM100)</f>
        <v>-0.08</v>
      </c>
      <c r="AO100" s="945">
        <f>I100+AF100</f>
        <v>7900965</v>
      </c>
      <c r="AP100" s="813">
        <f>J100+U100</f>
        <v>5630453</v>
      </c>
      <c r="AQ100" s="813">
        <f>Y100</f>
        <v>90822</v>
      </c>
      <c r="AR100" s="813">
        <f t="shared" ref="AR100:AS104" si="106">K100+AA100</f>
        <v>1933791</v>
      </c>
      <c r="AS100" s="813">
        <f t="shared" si="106"/>
        <v>112609</v>
      </c>
      <c r="AT100" s="813">
        <f>M100+AE100</f>
        <v>133290</v>
      </c>
      <c r="AU100" s="836">
        <f>N100+AN100</f>
        <v>11.406000000000001</v>
      </c>
      <c r="AV100" s="836">
        <f t="shared" ref="AV100:AW104" si="107">O100+AL100</f>
        <v>8.1335999999999995</v>
      </c>
      <c r="AW100" s="837">
        <f t="shared" si="107"/>
        <v>3.2724000000000002</v>
      </c>
      <c r="AX100" s="925"/>
    </row>
    <row r="101" spans="1:50" ht="12.95" customHeight="1" x14ac:dyDescent="0.25">
      <c r="A101" s="827">
        <v>20</v>
      </c>
      <c r="B101" s="1068">
        <v>2463</v>
      </c>
      <c r="C101" s="1068">
        <v>600080056</v>
      </c>
      <c r="D101" s="828">
        <v>70982066</v>
      </c>
      <c r="E101" s="1056" t="s">
        <v>527</v>
      </c>
      <c r="F101" s="536">
        <v>3113</v>
      </c>
      <c r="G101" s="948" t="s">
        <v>318</v>
      </c>
      <c r="H101" s="832" t="s">
        <v>284</v>
      </c>
      <c r="I101" s="803">
        <f>SUM(J101:M101)</f>
        <v>0</v>
      </c>
      <c r="J101" s="833">
        <v>0</v>
      </c>
      <c r="K101" s="805">
        <v>0</v>
      </c>
      <c r="L101" s="805">
        <v>0</v>
      </c>
      <c r="M101" s="833">
        <v>0</v>
      </c>
      <c r="N101" s="834">
        <f>SUM(O101:P101)</f>
        <v>0</v>
      </c>
      <c r="O101" s="1054">
        <v>0</v>
      </c>
      <c r="P101" s="1055">
        <v>0</v>
      </c>
      <c r="Q101" s="835">
        <f>V101*-1</f>
        <v>0</v>
      </c>
      <c r="R101" s="833">
        <v>173222</v>
      </c>
      <c r="S101" s="813">
        <v>0</v>
      </c>
      <c r="T101" s="813">
        <v>0</v>
      </c>
      <c r="U101" s="813">
        <f>SUM(Q101:T101)</f>
        <v>173222</v>
      </c>
      <c r="V101" s="813">
        <v>0</v>
      </c>
      <c r="W101" s="813">
        <v>0</v>
      </c>
      <c r="X101" s="813">
        <v>0</v>
      </c>
      <c r="Y101" s="813">
        <f>SUM(V101:X101)</f>
        <v>0</v>
      </c>
      <c r="Z101" s="813">
        <f>U101+Y101</f>
        <v>173222</v>
      </c>
      <c r="AA101" s="809">
        <f>ROUND((U101+V101+W101)*33.8%,0)</f>
        <v>58549</v>
      </c>
      <c r="AB101" s="809">
        <f>ROUND(U101*2%,0)</f>
        <v>3464</v>
      </c>
      <c r="AC101" s="813">
        <v>0</v>
      </c>
      <c r="AD101" s="813">
        <v>0</v>
      </c>
      <c r="AE101" s="813">
        <f>SUM(AC101:AD101)</f>
        <v>0</v>
      </c>
      <c r="AF101" s="813">
        <f>Z101+AA101+AB101+AE101</f>
        <v>235235</v>
      </c>
      <c r="AG101" s="836">
        <v>0</v>
      </c>
      <c r="AH101" s="836">
        <v>0</v>
      </c>
      <c r="AI101" s="836">
        <v>0.5</v>
      </c>
      <c r="AJ101" s="836">
        <v>0</v>
      </c>
      <c r="AK101" s="836">
        <v>0</v>
      </c>
      <c r="AL101" s="836">
        <f>AG101+AI101+AJ101</f>
        <v>0.5</v>
      </c>
      <c r="AM101" s="836">
        <f>AH101+AK101</f>
        <v>0</v>
      </c>
      <c r="AN101" s="949">
        <f>SUM(AL101:AM101)</f>
        <v>0.5</v>
      </c>
      <c r="AO101" s="945">
        <f>I101+AF101</f>
        <v>235235</v>
      </c>
      <c r="AP101" s="813">
        <f>J101+U101</f>
        <v>173222</v>
      </c>
      <c r="AQ101" s="813">
        <f>Y101</f>
        <v>0</v>
      </c>
      <c r="AR101" s="813">
        <f t="shared" si="106"/>
        <v>58549</v>
      </c>
      <c r="AS101" s="813">
        <f t="shared" si="106"/>
        <v>3464</v>
      </c>
      <c r="AT101" s="813">
        <f>M101+AE101</f>
        <v>0</v>
      </c>
      <c r="AU101" s="836">
        <f>N101+AN101</f>
        <v>0.5</v>
      </c>
      <c r="AV101" s="836">
        <f t="shared" si="107"/>
        <v>0.5</v>
      </c>
      <c r="AW101" s="837">
        <f t="shared" si="107"/>
        <v>0</v>
      </c>
      <c r="AX101" s="925"/>
    </row>
    <row r="102" spans="1:50" ht="12.95" customHeight="1" x14ac:dyDescent="0.25">
      <c r="A102" s="827">
        <v>20</v>
      </c>
      <c r="B102" s="536">
        <v>2463</v>
      </c>
      <c r="C102" s="536">
        <v>600080056</v>
      </c>
      <c r="D102" s="828">
        <v>70982066</v>
      </c>
      <c r="E102" s="1056" t="s">
        <v>527</v>
      </c>
      <c r="F102" s="536">
        <v>3141</v>
      </c>
      <c r="G102" s="1057" t="s">
        <v>321</v>
      </c>
      <c r="H102" s="832" t="s">
        <v>284</v>
      </c>
      <c r="I102" s="803">
        <f>SUM(J102:M102)</f>
        <v>716375</v>
      </c>
      <c r="J102" s="833">
        <v>523934</v>
      </c>
      <c r="K102" s="805">
        <f>ROUND((J102)*33.8%,0)</f>
        <v>177090</v>
      </c>
      <c r="L102" s="805">
        <f>ROUND(J102*2%,0)</f>
        <v>10479</v>
      </c>
      <c r="M102" s="833">
        <v>4872</v>
      </c>
      <c r="N102" s="834">
        <f>SUM(O102:P102)</f>
        <v>1.78</v>
      </c>
      <c r="O102" s="1054">
        <v>0</v>
      </c>
      <c r="P102" s="1055">
        <v>1.78</v>
      </c>
      <c r="Q102" s="835">
        <f>V102*-1</f>
        <v>0</v>
      </c>
      <c r="R102" s="813">
        <v>0</v>
      </c>
      <c r="S102" s="813">
        <v>0</v>
      </c>
      <c r="T102" s="813">
        <v>0</v>
      </c>
      <c r="U102" s="813">
        <f>SUM(Q102:T102)</f>
        <v>0</v>
      </c>
      <c r="V102" s="813">
        <v>0</v>
      </c>
      <c r="W102" s="813">
        <v>0</v>
      </c>
      <c r="X102" s="813">
        <v>0</v>
      </c>
      <c r="Y102" s="813">
        <f>SUM(V102:X102)</f>
        <v>0</v>
      </c>
      <c r="Z102" s="813">
        <f>U102+Y102</f>
        <v>0</v>
      </c>
      <c r="AA102" s="809">
        <f>ROUND((U102+V102+W102)*33.8%,0)</f>
        <v>0</v>
      </c>
      <c r="AB102" s="809">
        <f>ROUND(U102*2%,0)</f>
        <v>0</v>
      </c>
      <c r="AC102" s="813">
        <v>0</v>
      </c>
      <c r="AD102" s="813">
        <v>0</v>
      </c>
      <c r="AE102" s="813">
        <f>SUM(AC102:AD102)</f>
        <v>0</v>
      </c>
      <c r="AF102" s="813">
        <f>Z102+AA102+AB102+AE102</f>
        <v>0</v>
      </c>
      <c r="AG102" s="836">
        <v>0</v>
      </c>
      <c r="AH102" s="836">
        <v>0</v>
      </c>
      <c r="AI102" s="836">
        <v>0</v>
      </c>
      <c r="AJ102" s="836">
        <v>0</v>
      </c>
      <c r="AK102" s="836">
        <v>0</v>
      </c>
      <c r="AL102" s="836">
        <f>AG102+AI102+AJ102</f>
        <v>0</v>
      </c>
      <c r="AM102" s="836">
        <f>AH102+AK102</f>
        <v>0</v>
      </c>
      <c r="AN102" s="949">
        <f>SUM(AL102:AM102)</f>
        <v>0</v>
      </c>
      <c r="AO102" s="945">
        <f>I102+AF102</f>
        <v>716375</v>
      </c>
      <c r="AP102" s="813">
        <f>J102+U102</f>
        <v>523934</v>
      </c>
      <c r="AQ102" s="813">
        <f>Y102</f>
        <v>0</v>
      </c>
      <c r="AR102" s="813">
        <f t="shared" si="106"/>
        <v>177090</v>
      </c>
      <c r="AS102" s="813">
        <f t="shared" si="106"/>
        <v>10479</v>
      </c>
      <c r="AT102" s="813">
        <f>M102+AE102</f>
        <v>4872</v>
      </c>
      <c r="AU102" s="836">
        <f>N102+AN102</f>
        <v>1.78</v>
      </c>
      <c r="AV102" s="836">
        <f t="shared" si="107"/>
        <v>0</v>
      </c>
      <c r="AW102" s="837">
        <f t="shared" si="107"/>
        <v>1.78</v>
      </c>
      <c r="AX102" s="925"/>
    </row>
    <row r="103" spans="1:50" ht="12.95" customHeight="1" x14ac:dyDescent="0.25">
      <c r="A103" s="827">
        <v>20</v>
      </c>
      <c r="B103" s="1068">
        <v>2463</v>
      </c>
      <c r="C103" s="1068">
        <v>600080056</v>
      </c>
      <c r="D103" s="828">
        <v>70982066</v>
      </c>
      <c r="E103" s="1056" t="s">
        <v>527</v>
      </c>
      <c r="F103" s="536">
        <v>3143</v>
      </c>
      <c r="G103" s="948" t="s">
        <v>635</v>
      </c>
      <c r="H103" s="832" t="s">
        <v>283</v>
      </c>
      <c r="I103" s="803">
        <f>SUM(J103:M103)</f>
        <v>597390</v>
      </c>
      <c r="J103" s="833">
        <v>439904</v>
      </c>
      <c r="K103" s="805">
        <f>ROUND((J103)*33.8%,0)</f>
        <v>148688</v>
      </c>
      <c r="L103" s="805">
        <f>ROUND(J103*2%,0)</f>
        <v>8798</v>
      </c>
      <c r="M103" s="833">
        <v>0</v>
      </c>
      <c r="N103" s="834">
        <f>SUM(O103:P103)</f>
        <v>0.83330000000000004</v>
      </c>
      <c r="O103" s="1054">
        <v>0.83330000000000004</v>
      </c>
      <c r="P103" s="1055">
        <v>0</v>
      </c>
      <c r="Q103" s="835">
        <f>V103*-1</f>
        <v>0</v>
      </c>
      <c r="R103" s="813">
        <v>0</v>
      </c>
      <c r="S103" s="813">
        <v>0</v>
      </c>
      <c r="T103" s="813">
        <v>0</v>
      </c>
      <c r="U103" s="813">
        <f>SUM(Q103:T103)</f>
        <v>0</v>
      </c>
      <c r="V103" s="813">
        <v>0</v>
      </c>
      <c r="W103" s="813">
        <v>0</v>
      </c>
      <c r="X103" s="813">
        <v>0</v>
      </c>
      <c r="Y103" s="813">
        <f>SUM(V103:X103)</f>
        <v>0</v>
      </c>
      <c r="Z103" s="813">
        <f>U103+Y103</f>
        <v>0</v>
      </c>
      <c r="AA103" s="809">
        <f>ROUND((U103+V103+W103)*33.8%,0)</f>
        <v>0</v>
      </c>
      <c r="AB103" s="809">
        <f>ROUND(U103*2%,0)</f>
        <v>0</v>
      </c>
      <c r="AC103" s="813">
        <v>0</v>
      </c>
      <c r="AD103" s="813">
        <v>0</v>
      </c>
      <c r="AE103" s="813">
        <f>SUM(AC103:AD103)</f>
        <v>0</v>
      </c>
      <c r="AF103" s="813">
        <f>Z103+AA103+AB103+AE103</f>
        <v>0</v>
      </c>
      <c r="AG103" s="836">
        <v>0</v>
      </c>
      <c r="AH103" s="836">
        <v>0</v>
      </c>
      <c r="AI103" s="836">
        <v>0</v>
      </c>
      <c r="AJ103" s="836">
        <v>0</v>
      </c>
      <c r="AK103" s="836">
        <v>0</v>
      </c>
      <c r="AL103" s="836">
        <f>AG103+AI103+AJ103</f>
        <v>0</v>
      </c>
      <c r="AM103" s="836">
        <f>AH103+AK103</f>
        <v>0</v>
      </c>
      <c r="AN103" s="949">
        <f>SUM(AL103:AM103)</f>
        <v>0</v>
      </c>
      <c r="AO103" s="945">
        <f>I103+AF103</f>
        <v>597390</v>
      </c>
      <c r="AP103" s="813">
        <f>J103+U103</f>
        <v>439904</v>
      </c>
      <c r="AQ103" s="813">
        <f>Y103</f>
        <v>0</v>
      </c>
      <c r="AR103" s="813">
        <f t="shared" si="106"/>
        <v>148688</v>
      </c>
      <c r="AS103" s="813">
        <f t="shared" si="106"/>
        <v>8798</v>
      </c>
      <c r="AT103" s="813">
        <f>M103+AE103</f>
        <v>0</v>
      </c>
      <c r="AU103" s="836">
        <f>N103+AN103</f>
        <v>0.83330000000000004</v>
      </c>
      <c r="AV103" s="836">
        <f t="shared" si="107"/>
        <v>0.83330000000000004</v>
      </c>
      <c r="AW103" s="837">
        <f t="shared" si="107"/>
        <v>0</v>
      </c>
      <c r="AX103" s="925"/>
    </row>
    <row r="104" spans="1:50" ht="12.95" customHeight="1" x14ac:dyDescent="0.25">
      <c r="A104" s="827">
        <v>20</v>
      </c>
      <c r="B104" s="1068">
        <v>2463</v>
      </c>
      <c r="C104" s="1068">
        <v>600080056</v>
      </c>
      <c r="D104" s="828">
        <v>70982066</v>
      </c>
      <c r="E104" s="1056" t="s">
        <v>527</v>
      </c>
      <c r="F104" s="536">
        <v>3143</v>
      </c>
      <c r="G104" s="948" t="s">
        <v>636</v>
      </c>
      <c r="H104" s="832" t="s">
        <v>284</v>
      </c>
      <c r="I104" s="803">
        <f>SUM(J104:M104)</f>
        <v>20364</v>
      </c>
      <c r="J104" s="833">
        <v>14355</v>
      </c>
      <c r="K104" s="805">
        <f>ROUND((J104)*33.8%,0)</f>
        <v>4852</v>
      </c>
      <c r="L104" s="805">
        <f>ROUND(J104*2%,0)</f>
        <v>287</v>
      </c>
      <c r="M104" s="833">
        <v>870</v>
      </c>
      <c r="N104" s="834">
        <f>SUM(O104:P104)</f>
        <v>0.06</v>
      </c>
      <c r="O104" s="1054">
        <v>0</v>
      </c>
      <c r="P104" s="1055">
        <v>0.06</v>
      </c>
      <c r="Q104" s="835">
        <f>V104*-1</f>
        <v>0</v>
      </c>
      <c r="R104" s="813">
        <v>0</v>
      </c>
      <c r="S104" s="813">
        <v>0</v>
      </c>
      <c r="T104" s="813">
        <v>0</v>
      </c>
      <c r="U104" s="813">
        <f>SUM(Q104:T104)</f>
        <v>0</v>
      </c>
      <c r="V104" s="813">
        <v>0</v>
      </c>
      <c r="W104" s="813">
        <v>0</v>
      </c>
      <c r="X104" s="813">
        <v>0</v>
      </c>
      <c r="Y104" s="813">
        <f>SUM(V104:X104)</f>
        <v>0</v>
      </c>
      <c r="Z104" s="813">
        <f>U104+Y104</f>
        <v>0</v>
      </c>
      <c r="AA104" s="809">
        <f>ROUND((U104+V104+W104)*33.8%,0)</f>
        <v>0</v>
      </c>
      <c r="AB104" s="809">
        <f>ROUND(U104*2%,0)</f>
        <v>0</v>
      </c>
      <c r="AC104" s="813">
        <v>0</v>
      </c>
      <c r="AD104" s="813">
        <v>0</v>
      </c>
      <c r="AE104" s="813">
        <f>SUM(AC104:AD104)</f>
        <v>0</v>
      </c>
      <c r="AF104" s="813">
        <f>Z104+AA104+AB104+AE104</f>
        <v>0</v>
      </c>
      <c r="AG104" s="836">
        <v>0</v>
      </c>
      <c r="AH104" s="836">
        <v>0</v>
      </c>
      <c r="AI104" s="836">
        <v>0</v>
      </c>
      <c r="AJ104" s="836">
        <v>0</v>
      </c>
      <c r="AK104" s="836">
        <v>0</v>
      </c>
      <c r="AL104" s="836">
        <f>AG104+AI104+AJ104</f>
        <v>0</v>
      </c>
      <c r="AM104" s="836">
        <f>AH104+AK104</f>
        <v>0</v>
      </c>
      <c r="AN104" s="949">
        <f>SUM(AL104:AM104)</f>
        <v>0</v>
      </c>
      <c r="AO104" s="945">
        <f>I104+AF104</f>
        <v>20364</v>
      </c>
      <c r="AP104" s="813">
        <f>J104+U104</f>
        <v>14355</v>
      </c>
      <c r="AQ104" s="813">
        <f>Y104</f>
        <v>0</v>
      </c>
      <c r="AR104" s="813">
        <f t="shared" si="106"/>
        <v>4852</v>
      </c>
      <c r="AS104" s="813">
        <f t="shared" si="106"/>
        <v>287</v>
      </c>
      <c r="AT104" s="813">
        <f>M104+AE104</f>
        <v>870</v>
      </c>
      <c r="AU104" s="836">
        <f>N104+AN104</f>
        <v>0.06</v>
      </c>
      <c r="AV104" s="836">
        <f t="shared" si="107"/>
        <v>0</v>
      </c>
      <c r="AW104" s="837">
        <f t="shared" si="107"/>
        <v>0.06</v>
      </c>
      <c r="AX104" s="925"/>
    </row>
    <row r="105" spans="1:50" ht="12.95" customHeight="1" x14ac:dyDescent="0.25">
      <c r="A105" s="538">
        <v>20</v>
      </c>
      <c r="B105" s="101">
        <v>2463</v>
      </c>
      <c r="C105" s="101">
        <v>600080056</v>
      </c>
      <c r="D105" s="101">
        <v>70982066</v>
      </c>
      <c r="E105" s="1058" t="s">
        <v>528</v>
      </c>
      <c r="F105" s="103"/>
      <c r="G105" s="1089"/>
      <c r="H105" s="452"/>
      <c r="I105" s="1008">
        <f t="shared" ref="I105:AW105" si="108">SUM(I100:I104)</f>
        <v>9162462</v>
      </c>
      <c r="J105" s="1011">
        <f t="shared" si="108"/>
        <v>6644646</v>
      </c>
      <c r="K105" s="1011">
        <f t="shared" si="108"/>
        <v>2245891</v>
      </c>
      <c r="L105" s="1011">
        <f t="shared" si="108"/>
        <v>132893</v>
      </c>
      <c r="M105" s="1011">
        <f t="shared" si="108"/>
        <v>139032</v>
      </c>
      <c r="N105" s="1090">
        <f t="shared" si="108"/>
        <v>14.1593</v>
      </c>
      <c r="O105" s="1090">
        <f t="shared" si="108"/>
        <v>9.0168999999999997</v>
      </c>
      <c r="P105" s="1091">
        <f t="shared" si="108"/>
        <v>5.1423999999999994</v>
      </c>
      <c r="Q105" s="1011">
        <f t="shared" si="108"/>
        <v>-36000</v>
      </c>
      <c r="R105" s="1009">
        <f t="shared" si="108"/>
        <v>173222</v>
      </c>
      <c r="S105" s="1009">
        <f t="shared" si="108"/>
        <v>0</v>
      </c>
      <c r="T105" s="1009">
        <f t="shared" si="108"/>
        <v>0</v>
      </c>
      <c r="U105" s="1009">
        <f t="shared" si="108"/>
        <v>137222</v>
      </c>
      <c r="V105" s="1009">
        <f t="shared" si="108"/>
        <v>36000</v>
      </c>
      <c r="W105" s="1009">
        <f t="shared" si="108"/>
        <v>54822</v>
      </c>
      <c r="X105" s="1009">
        <f t="shared" si="108"/>
        <v>0</v>
      </c>
      <c r="Y105" s="1009">
        <f t="shared" si="108"/>
        <v>90822</v>
      </c>
      <c r="Z105" s="1009">
        <f t="shared" si="108"/>
        <v>228044</v>
      </c>
      <c r="AA105" s="1009">
        <f t="shared" si="108"/>
        <v>77079</v>
      </c>
      <c r="AB105" s="1009">
        <f t="shared" si="108"/>
        <v>2744</v>
      </c>
      <c r="AC105" s="1009">
        <f t="shared" si="108"/>
        <v>0</v>
      </c>
      <c r="AD105" s="1009">
        <f t="shared" si="108"/>
        <v>0</v>
      </c>
      <c r="AE105" s="1009">
        <f t="shared" si="108"/>
        <v>0</v>
      </c>
      <c r="AF105" s="1009">
        <f t="shared" si="108"/>
        <v>307867</v>
      </c>
      <c r="AG105" s="1010">
        <f t="shared" si="108"/>
        <v>-0.05</v>
      </c>
      <c r="AH105" s="1010">
        <f t="shared" si="108"/>
        <v>-0.03</v>
      </c>
      <c r="AI105" s="1010">
        <f t="shared" si="108"/>
        <v>0.5</v>
      </c>
      <c r="AJ105" s="1010">
        <f t="shared" si="108"/>
        <v>0</v>
      </c>
      <c r="AK105" s="1010">
        <f t="shared" si="108"/>
        <v>0</v>
      </c>
      <c r="AL105" s="1010">
        <f t="shared" si="108"/>
        <v>0.45</v>
      </c>
      <c r="AM105" s="1010">
        <f t="shared" si="108"/>
        <v>-0.03</v>
      </c>
      <c r="AN105" s="1092">
        <f t="shared" si="108"/>
        <v>0.42</v>
      </c>
      <c r="AO105" s="1008">
        <f t="shared" si="108"/>
        <v>9470329</v>
      </c>
      <c r="AP105" s="1009">
        <f t="shared" si="108"/>
        <v>6781868</v>
      </c>
      <c r="AQ105" s="1009">
        <f t="shared" si="108"/>
        <v>90822</v>
      </c>
      <c r="AR105" s="1009">
        <f t="shared" si="108"/>
        <v>2322970</v>
      </c>
      <c r="AS105" s="1009">
        <f t="shared" si="108"/>
        <v>135637</v>
      </c>
      <c r="AT105" s="1009">
        <f t="shared" si="108"/>
        <v>139032</v>
      </c>
      <c r="AU105" s="1010">
        <f t="shared" si="108"/>
        <v>14.5793</v>
      </c>
      <c r="AV105" s="1010">
        <f t="shared" si="108"/>
        <v>9.466899999999999</v>
      </c>
      <c r="AW105" s="1012">
        <f t="shared" si="108"/>
        <v>5.1124000000000001</v>
      </c>
      <c r="AX105" s="925"/>
    </row>
    <row r="106" spans="1:50" ht="12.95" customHeight="1" x14ac:dyDescent="0.25">
      <c r="A106" s="827">
        <v>21</v>
      </c>
      <c r="B106" s="536">
        <v>3427</v>
      </c>
      <c r="C106" s="536">
        <v>650023340</v>
      </c>
      <c r="D106" s="828">
        <v>70982988</v>
      </c>
      <c r="E106" s="535" t="s">
        <v>529</v>
      </c>
      <c r="F106" s="536">
        <v>3111</v>
      </c>
      <c r="G106" s="1057" t="s">
        <v>331</v>
      </c>
      <c r="H106" s="832" t="s">
        <v>283</v>
      </c>
      <c r="I106" s="803">
        <f t="shared" ref="I106:I111" si="109">SUM(J106:M106)</f>
        <v>2801292</v>
      </c>
      <c r="J106" s="833">
        <v>2047895</v>
      </c>
      <c r="K106" s="805">
        <f>ROUND((J106)*33.8%,0)</f>
        <v>692189</v>
      </c>
      <c r="L106" s="805">
        <f>ROUND(J106*2%,0)</f>
        <v>40958</v>
      </c>
      <c r="M106" s="833">
        <v>20250</v>
      </c>
      <c r="N106" s="834">
        <f t="shared" ref="N106:N111" si="110">SUM(O106:P106)</f>
        <v>4.7218</v>
      </c>
      <c r="O106" s="1054">
        <v>3.7</v>
      </c>
      <c r="P106" s="1055">
        <v>1.0218</v>
      </c>
      <c r="Q106" s="835">
        <f t="shared" ref="Q106:Q111" si="111">V106*-1</f>
        <v>0</v>
      </c>
      <c r="R106" s="813">
        <v>0</v>
      </c>
      <c r="S106" s="813">
        <v>0</v>
      </c>
      <c r="T106" s="813">
        <v>0</v>
      </c>
      <c r="U106" s="813">
        <f t="shared" ref="U106:U111" si="112">SUM(Q106:T106)</f>
        <v>0</v>
      </c>
      <c r="V106" s="813">
        <v>0</v>
      </c>
      <c r="W106" s="813">
        <v>0</v>
      </c>
      <c r="X106" s="813">
        <v>0</v>
      </c>
      <c r="Y106" s="813">
        <f t="shared" ref="Y106:Y111" si="113">SUM(V106:X106)</f>
        <v>0</v>
      </c>
      <c r="Z106" s="813">
        <f t="shared" ref="Z106:Z111" si="114">U106+Y106</f>
        <v>0</v>
      </c>
      <c r="AA106" s="809">
        <f t="shared" ref="AA106:AA111" si="115">ROUND((U106+V106+W106)*33.8%,0)</f>
        <v>0</v>
      </c>
      <c r="AB106" s="809">
        <f t="shared" ref="AB106:AB111" si="116">ROUND(U106*2%,0)</f>
        <v>0</v>
      </c>
      <c r="AC106" s="813">
        <v>0</v>
      </c>
      <c r="AD106" s="813">
        <v>0</v>
      </c>
      <c r="AE106" s="813">
        <f t="shared" ref="AE106:AE111" si="117">SUM(AC106:AD106)</f>
        <v>0</v>
      </c>
      <c r="AF106" s="813">
        <f t="shared" ref="AF106:AF111" si="118">Z106+AA106+AB106+AE106</f>
        <v>0</v>
      </c>
      <c r="AG106" s="836">
        <v>0</v>
      </c>
      <c r="AH106" s="836">
        <v>0</v>
      </c>
      <c r="AI106" s="836">
        <v>0</v>
      </c>
      <c r="AJ106" s="836">
        <v>0</v>
      </c>
      <c r="AK106" s="836">
        <v>0</v>
      </c>
      <c r="AL106" s="836">
        <f t="shared" ref="AL106:AL111" si="119">AG106+AI106+AJ106</f>
        <v>0</v>
      </c>
      <c r="AM106" s="836">
        <f t="shared" ref="AM106:AM111" si="120">AH106+AK106</f>
        <v>0</v>
      </c>
      <c r="AN106" s="949">
        <f t="shared" ref="AN106:AN111" si="121">SUM(AL106:AM106)</f>
        <v>0</v>
      </c>
      <c r="AO106" s="945">
        <f t="shared" ref="AO106:AO111" si="122">I106+AF106</f>
        <v>2801292</v>
      </c>
      <c r="AP106" s="813">
        <f t="shared" ref="AP106:AP111" si="123">J106+U106</f>
        <v>2047895</v>
      </c>
      <c r="AQ106" s="813">
        <f t="shared" ref="AQ106:AQ111" si="124">Y106</f>
        <v>0</v>
      </c>
      <c r="AR106" s="813">
        <f t="shared" ref="AR106:AS111" si="125">K106+AA106</f>
        <v>692189</v>
      </c>
      <c r="AS106" s="813">
        <f t="shared" si="125"/>
        <v>40958</v>
      </c>
      <c r="AT106" s="813">
        <f t="shared" ref="AT106:AT111" si="126">M106+AE106</f>
        <v>20250</v>
      </c>
      <c r="AU106" s="836">
        <f t="shared" ref="AU106:AU111" si="127">N106+AN106</f>
        <v>4.7218</v>
      </c>
      <c r="AV106" s="836">
        <f t="shared" ref="AV106:AW111" si="128">O106+AL106</f>
        <v>3.7</v>
      </c>
      <c r="AW106" s="837">
        <f t="shared" si="128"/>
        <v>1.0218</v>
      </c>
      <c r="AX106" s="925"/>
    </row>
    <row r="107" spans="1:50" ht="12.95" customHeight="1" x14ac:dyDescent="0.25">
      <c r="A107" s="827">
        <v>21</v>
      </c>
      <c r="B107" s="536">
        <v>3427</v>
      </c>
      <c r="C107" s="536">
        <v>650023340</v>
      </c>
      <c r="D107" s="828">
        <v>70982988</v>
      </c>
      <c r="E107" s="1056" t="s">
        <v>529</v>
      </c>
      <c r="F107" s="536">
        <v>3113</v>
      </c>
      <c r="G107" s="1056" t="s">
        <v>335</v>
      </c>
      <c r="H107" s="832" t="s">
        <v>283</v>
      </c>
      <c r="I107" s="803">
        <f t="shared" si="109"/>
        <v>12326649</v>
      </c>
      <c r="J107" s="833">
        <v>8896899</v>
      </c>
      <c r="K107" s="805">
        <f>ROUND((J107)*33.8%,0)</f>
        <v>3007152</v>
      </c>
      <c r="L107" s="805">
        <f>ROUND(J107*2%,0)</f>
        <v>177938</v>
      </c>
      <c r="M107" s="833">
        <v>244660</v>
      </c>
      <c r="N107" s="834">
        <f t="shared" si="110"/>
        <v>18.019099999999998</v>
      </c>
      <c r="O107" s="1054">
        <v>12.908899999999999</v>
      </c>
      <c r="P107" s="1055">
        <v>5.1101999999999999</v>
      </c>
      <c r="Q107" s="835">
        <f t="shared" si="111"/>
        <v>0</v>
      </c>
      <c r="R107" s="813">
        <v>0</v>
      </c>
      <c r="S107" s="813">
        <v>0</v>
      </c>
      <c r="T107" s="813">
        <v>0</v>
      </c>
      <c r="U107" s="813">
        <f t="shared" si="112"/>
        <v>0</v>
      </c>
      <c r="V107" s="813">
        <v>0</v>
      </c>
      <c r="W107" s="813">
        <v>0</v>
      </c>
      <c r="X107" s="813">
        <v>0</v>
      </c>
      <c r="Y107" s="813">
        <f t="shared" si="113"/>
        <v>0</v>
      </c>
      <c r="Z107" s="813">
        <f t="shared" si="114"/>
        <v>0</v>
      </c>
      <c r="AA107" s="809">
        <f t="shared" si="115"/>
        <v>0</v>
      </c>
      <c r="AB107" s="809">
        <f t="shared" si="116"/>
        <v>0</v>
      </c>
      <c r="AC107" s="813">
        <v>0</v>
      </c>
      <c r="AD107" s="813">
        <v>0</v>
      </c>
      <c r="AE107" s="813">
        <f t="shared" si="117"/>
        <v>0</v>
      </c>
      <c r="AF107" s="813">
        <f t="shared" si="118"/>
        <v>0</v>
      </c>
      <c r="AG107" s="836">
        <v>0</v>
      </c>
      <c r="AH107" s="836">
        <v>0</v>
      </c>
      <c r="AI107" s="836">
        <v>0</v>
      </c>
      <c r="AJ107" s="836">
        <v>0</v>
      </c>
      <c r="AK107" s="836">
        <v>0</v>
      </c>
      <c r="AL107" s="836">
        <f t="shared" si="119"/>
        <v>0</v>
      </c>
      <c r="AM107" s="836">
        <f t="shared" si="120"/>
        <v>0</v>
      </c>
      <c r="AN107" s="949">
        <f t="shared" si="121"/>
        <v>0</v>
      </c>
      <c r="AO107" s="945">
        <f t="shared" si="122"/>
        <v>12326649</v>
      </c>
      <c r="AP107" s="813">
        <f t="shared" si="123"/>
        <v>8896899</v>
      </c>
      <c r="AQ107" s="813">
        <f t="shared" si="124"/>
        <v>0</v>
      </c>
      <c r="AR107" s="813">
        <f t="shared" si="125"/>
        <v>3007152</v>
      </c>
      <c r="AS107" s="813">
        <f t="shared" si="125"/>
        <v>177938</v>
      </c>
      <c r="AT107" s="813">
        <f t="shared" si="126"/>
        <v>244660</v>
      </c>
      <c r="AU107" s="836">
        <f t="shared" si="127"/>
        <v>18.019099999999998</v>
      </c>
      <c r="AV107" s="836">
        <f t="shared" si="128"/>
        <v>12.908899999999999</v>
      </c>
      <c r="AW107" s="837">
        <f t="shared" si="128"/>
        <v>5.1101999999999999</v>
      </c>
      <c r="AX107" s="925"/>
    </row>
    <row r="108" spans="1:50" ht="12.95" customHeight="1" x14ac:dyDescent="0.25">
      <c r="A108" s="827">
        <v>21</v>
      </c>
      <c r="B108" s="536">
        <v>3427</v>
      </c>
      <c r="C108" s="536">
        <v>650023340</v>
      </c>
      <c r="D108" s="828">
        <v>70982988</v>
      </c>
      <c r="E108" s="1056" t="s">
        <v>529</v>
      </c>
      <c r="F108" s="536">
        <v>3113</v>
      </c>
      <c r="G108" s="948" t="s">
        <v>318</v>
      </c>
      <c r="H108" s="832" t="s">
        <v>284</v>
      </c>
      <c r="I108" s="803">
        <f t="shared" si="109"/>
        <v>0</v>
      </c>
      <c r="J108" s="833">
        <v>0</v>
      </c>
      <c r="K108" s="805">
        <v>0</v>
      </c>
      <c r="L108" s="805">
        <v>0</v>
      </c>
      <c r="M108" s="833">
        <v>0</v>
      </c>
      <c r="N108" s="834">
        <f t="shared" si="110"/>
        <v>0</v>
      </c>
      <c r="O108" s="1054">
        <v>0</v>
      </c>
      <c r="P108" s="1055">
        <v>0</v>
      </c>
      <c r="Q108" s="835">
        <f t="shared" si="111"/>
        <v>0</v>
      </c>
      <c r="R108" s="833">
        <v>1367287</v>
      </c>
      <c r="S108" s="813">
        <v>0</v>
      </c>
      <c r="T108" s="813">
        <v>0</v>
      </c>
      <c r="U108" s="813">
        <f t="shared" si="112"/>
        <v>1367287</v>
      </c>
      <c r="V108" s="813">
        <v>0</v>
      </c>
      <c r="W108" s="813">
        <v>0</v>
      </c>
      <c r="X108" s="813">
        <v>0</v>
      </c>
      <c r="Y108" s="813">
        <f t="shared" si="113"/>
        <v>0</v>
      </c>
      <c r="Z108" s="813">
        <f t="shared" si="114"/>
        <v>1367287</v>
      </c>
      <c r="AA108" s="809">
        <f t="shared" si="115"/>
        <v>462143</v>
      </c>
      <c r="AB108" s="809">
        <f t="shared" si="116"/>
        <v>27346</v>
      </c>
      <c r="AC108" s="813">
        <v>0</v>
      </c>
      <c r="AD108" s="813">
        <v>0</v>
      </c>
      <c r="AE108" s="813">
        <f t="shared" si="117"/>
        <v>0</v>
      </c>
      <c r="AF108" s="813">
        <f t="shared" si="118"/>
        <v>1856776</v>
      </c>
      <c r="AG108" s="836">
        <v>0</v>
      </c>
      <c r="AH108" s="836">
        <v>0</v>
      </c>
      <c r="AI108" s="836">
        <v>4.07</v>
      </c>
      <c r="AJ108" s="836">
        <v>0</v>
      </c>
      <c r="AK108" s="836">
        <v>0</v>
      </c>
      <c r="AL108" s="836">
        <f t="shared" si="119"/>
        <v>4.07</v>
      </c>
      <c r="AM108" s="836">
        <f t="shared" si="120"/>
        <v>0</v>
      </c>
      <c r="AN108" s="949">
        <f t="shared" si="121"/>
        <v>4.07</v>
      </c>
      <c r="AO108" s="945">
        <f t="shared" si="122"/>
        <v>1856776</v>
      </c>
      <c r="AP108" s="813">
        <f t="shared" si="123"/>
        <v>1367287</v>
      </c>
      <c r="AQ108" s="813">
        <f t="shared" si="124"/>
        <v>0</v>
      </c>
      <c r="AR108" s="813">
        <f t="shared" si="125"/>
        <v>462143</v>
      </c>
      <c r="AS108" s="813">
        <f t="shared" si="125"/>
        <v>27346</v>
      </c>
      <c r="AT108" s="813">
        <f t="shared" si="126"/>
        <v>0</v>
      </c>
      <c r="AU108" s="836">
        <f t="shared" si="127"/>
        <v>4.07</v>
      </c>
      <c r="AV108" s="836">
        <f t="shared" si="128"/>
        <v>4.07</v>
      </c>
      <c r="AW108" s="837">
        <f t="shared" si="128"/>
        <v>0</v>
      </c>
      <c r="AX108" s="925"/>
    </row>
    <row r="109" spans="1:50" ht="12.95" customHeight="1" x14ac:dyDescent="0.25">
      <c r="A109" s="827">
        <v>21</v>
      </c>
      <c r="B109" s="536">
        <v>3427</v>
      </c>
      <c r="C109" s="536">
        <v>650023340</v>
      </c>
      <c r="D109" s="828">
        <v>70982988</v>
      </c>
      <c r="E109" s="1053" t="s">
        <v>529</v>
      </c>
      <c r="F109" s="1084">
        <v>3141</v>
      </c>
      <c r="G109" s="1057" t="s">
        <v>321</v>
      </c>
      <c r="H109" s="832" t="s">
        <v>284</v>
      </c>
      <c r="I109" s="803">
        <f t="shared" si="109"/>
        <v>1741775</v>
      </c>
      <c r="J109" s="833">
        <v>1273465</v>
      </c>
      <c r="K109" s="805">
        <f>ROUND((J109)*33.8%,0)</f>
        <v>430431</v>
      </c>
      <c r="L109" s="805">
        <f>ROUND(J109*2%,0)</f>
        <v>25469</v>
      </c>
      <c r="M109" s="833">
        <v>12410</v>
      </c>
      <c r="N109" s="834">
        <f t="shared" si="110"/>
        <v>4.33</v>
      </c>
      <c r="O109" s="1054">
        <v>0</v>
      </c>
      <c r="P109" s="1055">
        <v>4.33</v>
      </c>
      <c r="Q109" s="835">
        <f t="shared" si="111"/>
        <v>0</v>
      </c>
      <c r="R109" s="813">
        <v>0</v>
      </c>
      <c r="S109" s="813">
        <v>0</v>
      </c>
      <c r="T109" s="813">
        <v>0</v>
      </c>
      <c r="U109" s="813">
        <f t="shared" si="112"/>
        <v>0</v>
      </c>
      <c r="V109" s="813">
        <v>0</v>
      </c>
      <c r="W109" s="813">
        <v>0</v>
      </c>
      <c r="X109" s="813">
        <v>0</v>
      </c>
      <c r="Y109" s="813">
        <f t="shared" si="113"/>
        <v>0</v>
      </c>
      <c r="Z109" s="813">
        <f t="shared" si="114"/>
        <v>0</v>
      </c>
      <c r="AA109" s="809">
        <f t="shared" si="115"/>
        <v>0</v>
      </c>
      <c r="AB109" s="809">
        <f t="shared" si="116"/>
        <v>0</v>
      </c>
      <c r="AC109" s="813">
        <v>0</v>
      </c>
      <c r="AD109" s="813">
        <v>0</v>
      </c>
      <c r="AE109" s="813">
        <f t="shared" si="117"/>
        <v>0</v>
      </c>
      <c r="AF109" s="813">
        <f t="shared" si="118"/>
        <v>0</v>
      </c>
      <c r="AG109" s="836">
        <v>0</v>
      </c>
      <c r="AH109" s="836">
        <v>0</v>
      </c>
      <c r="AI109" s="836">
        <v>0</v>
      </c>
      <c r="AJ109" s="836">
        <v>0</v>
      </c>
      <c r="AK109" s="836">
        <v>0</v>
      </c>
      <c r="AL109" s="836">
        <f t="shared" si="119"/>
        <v>0</v>
      </c>
      <c r="AM109" s="836">
        <f t="shared" si="120"/>
        <v>0</v>
      </c>
      <c r="AN109" s="949">
        <f t="shared" si="121"/>
        <v>0</v>
      </c>
      <c r="AO109" s="945">
        <f t="shared" si="122"/>
        <v>1741775</v>
      </c>
      <c r="AP109" s="813">
        <f t="shared" si="123"/>
        <v>1273465</v>
      </c>
      <c r="AQ109" s="813">
        <f t="shared" si="124"/>
        <v>0</v>
      </c>
      <c r="AR109" s="813">
        <f t="shared" si="125"/>
        <v>430431</v>
      </c>
      <c r="AS109" s="813">
        <f t="shared" si="125"/>
        <v>25469</v>
      </c>
      <c r="AT109" s="813">
        <f t="shared" si="126"/>
        <v>12410</v>
      </c>
      <c r="AU109" s="836">
        <f t="shared" si="127"/>
        <v>4.33</v>
      </c>
      <c r="AV109" s="836">
        <f t="shared" si="128"/>
        <v>0</v>
      </c>
      <c r="AW109" s="837">
        <f t="shared" si="128"/>
        <v>4.33</v>
      </c>
      <c r="AX109" s="925"/>
    </row>
    <row r="110" spans="1:50" ht="12.95" customHeight="1" x14ac:dyDescent="0.25">
      <c r="A110" s="827">
        <v>21</v>
      </c>
      <c r="B110" s="536">
        <v>3427</v>
      </c>
      <c r="C110" s="536">
        <v>650023340</v>
      </c>
      <c r="D110" s="828">
        <v>70982988</v>
      </c>
      <c r="E110" s="1056" t="s">
        <v>529</v>
      </c>
      <c r="F110" s="536">
        <v>3143</v>
      </c>
      <c r="G110" s="948" t="s">
        <v>635</v>
      </c>
      <c r="H110" s="832" t="s">
        <v>283</v>
      </c>
      <c r="I110" s="803">
        <f t="shared" si="109"/>
        <v>1100334</v>
      </c>
      <c r="J110" s="833">
        <v>810261</v>
      </c>
      <c r="K110" s="805">
        <f>ROUND((J110)*33.8%,0)</f>
        <v>273868</v>
      </c>
      <c r="L110" s="805">
        <f>ROUND(J110*2%,0)</f>
        <v>16205</v>
      </c>
      <c r="M110" s="833">
        <v>0</v>
      </c>
      <c r="N110" s="834">
        <f t="shared" si="110"/>
        <v>1.7142999999999999</v>
      </c>
      <c r="O110" s="1054">
        <v>1.7142999999999999</v>
      </c>
      <c r="P110" s="1055">
        <v>0</v>
      </c>
      <c r="Q110" s="835">
        <f t="shared" si="111"/>
        <v>0</v>
      </c>
      <c r="R110" s="813">
        <v>0</v>
      </c>
      <c r="S110" s="813">
        <v>0</v>
      </c>
      <c r="T110" s="813">
        <v>0</v>
      </c>
      <c r="U110" s="813">
        <f t="shared" si="112"/>
        <v>0</v>
      </c>
      <c r="V110" s="813">
        <v>0</v>
      </c>
      <c r="W110" s="813">
        <v>0</v>
      </c>
      <c r="X110" s="813">
        <v>0</v>
      </c>
      <c r="Y110" s="813">
        <f t="shared" si="113"/>
        <v>0</v>
      </c>
      <c r="Z110" s="813">
        <f t="shared" si="114"/>
        <v>0</v>
      </c>
      <c r="AA110" s="809">
        <f t="shared" si="115"/>
        <v>0</v>
      </c>
      <c r="AB110" s="809">
        <f t="shared" si="116"/>
        <v>0</v>
      </c>
      <c r="AC110" s="813">
        <v>0</v>
      </c>
      <c r="AD110" s="813">
        <v>0</v>
      </c>
      <c r="AE110" s="813">
        <f t="shared" si="117"/>
        <v>0</v>
      </c>
      <c r="AF110" s="813">
        <f t="shared" si="118"/>
        <v>0</v>
      </c>
      <c r="AG110" s="836">
        <v>0</v>
      </c>
      <c r="AH110" s="836">
        <v>0</v>
      </c>
      <c r="AI110" s="836">
        <v>0</v>
      </c>
      <c r="AJ110" s="836">
        <v>0</v>
      </c>
      <c r="AK110" s="836">
        <v>0</v>
      </c>
      <c r="AL110" s="836">
        <f t="shared" si="119"/>
        <v>0</v>
      </c>
      <c r="AM110" s="836">
        <f t="shared" si="120"/>
        <v>0</v>
      </c>
      <c r="AN110" s="949">
        <f t="shared" si="121"/>
        <v>0</v>
      </c>
      <c r="AO110" s="945">
        <f t="shared" si="122"/>
        <v>1100334</v>
      </c>
      <c r="AP110" s="813">
        <f t="shared" si="123"/>
        <v>810261</v>
      </c>
      <c r="AQ110" s="813">
        <f t="shared" si="124"/>
        <v>0</v>
      </c>
      <c r="AR110" s="813">
        <f t="shared" si="125"/>
        <v>273868</v>
      </c>
      <c r="AS110" s="813">
        <f t="shared" si="125"/>
        <v>16205</v>
      </c>
      <c r="AT110" s="813">
        <f t="shared" si="126"/>
        <v>0</v>
      </c>
      <c r="AU110" s="836">
        <f t="shared" si="127"/>
        <v>1.7142999999999999</v>
      </c>
      <c r="AV110" s="836">
        <f t="shared" si="128"/>
        <v>1.7142999999999999</v>
      </c>
      <c r="AW110" s="837">
        <f t="shared" si="128"/>
        <v>0</v>
      </c>
      <c r="AX110" s="925"/>
    </row>
    <row r="111" spans="1:50" ht="12.95" customHeight="1" x14ac:dyDescent="0.25">
      <c r="A111" s="827">
        <v>21</v>
      </c>
      <c r="B111" s="536">
        <v>3427</v>
      </c>
      <c r="C111" s="536">
        <v>650023340</v>
      </c>
      <c r="D111" s="828">
        <v>70982988</v>
      </c>
      <c r="E111" s="1056" t="s">
        <v>529</v>
      </c>
      <c r="F111" s="536">
        <v>3143</v>
      </c>
      <c r="G111" s="948" t="s">
        <v>636</v>
      </c>
      <c r="H111" s="832" t="s">
        <v>284</v>
      </c>
      <c r="I111" s="803">
        <f t="shared" si="109"/>
        <v>30898</v>
      </c>
      <c r="J111" s="833">
        <v>21780</v>
      </c>
      <c r="K111" s="805">
        <f>ROUND((J111)*33.8%,0)</f>
        <v>7362</v>
      </c>
      <c r="L111" s="805">
        <f>ROUND(J111*2%,0)</f>
        <v>436</v>
      </c>
      <c r="M111" s="833">
        <v>1320</v>
      </c>
      <c r="N111" s="834">
        <f t="shared" si="110"/>
        <v>0.09</v>
      </c>
      <c r="O111" s="1054">
        <v>0</v>
      </c>
      <c r="P111" s="1055">
        <v>0.09</v>
      </c>
      <c r="Q111" s="835">
        <f t="shared" si="111"/>
        <v>0</v>
      </c>
      <c r="R111" s="813">
        <v>0</v>
      </c>
      <c r="S111" s="813">
        <v>0</v>
      </c>
      <c r="T111" s="813">
        <v>0</v>
      </c>
      <c r="U111" s="813">
        <f t="shared" si="112"/>
        <v>0</v>
      </c>
      <c r="V111" s="813">
        <v>0</v>
      </c>
      <c r="W111" s="813">
        <v>0</v>
      </c>
      <c r="X111" s="813">
        <v>0</v>
      </c>
      <c r="Y111" s="813">
        <f t="shared" si="113"/>
        <v>0</v>
      </c>
      <c r="Z111" s="813">
        <f t="shared" si="114"/>
        <v>0</v>
      </c>
      <c r="AA111" s="809">
        <f t="shared" si="115"/>
        <v>0</v>
      </c>
      <c r="AB111" s="809">
        <f t="shared" si="116"/>
        <v>0</v>
      </c>
      <c r="AC111" s="813">
        <v>0</v>
      </c>
      <c r="AD111" s="813">
        <v>0</v>
      </c>
      <c r="AE111" s="813">
        <f t="shared" si="117"/>
        <v>0</v>
      </c>
      <c r="AF111" s="813">
        <f t="shared" si="118"/>
        <v>0</v>
      </c>
      <c r="AG111" s="836">
        <v>0</v>
      </c>
      <c r="AH111" s="836">
        <v>0</v>
      </c>
      <c r="AI111" s="836">
        <v>0</v>
      </c>
      <c r="AJ111" s="836">
        <v>0</v>
      </c>
      <c r="AK111" s="836">
        <v>0</v>
      </c>
      <c r="AL111" s="836">
        <f t="shared" si="119"/>
        <v>0</v>
      </c>
      <c r="AM111" s="836">
        <f t="shared" si="120"/>
        <v>0</v>
      </c>
      <c r="AN111" s="949">
        <f t="shared" si="121"/>
        <v>0</v>
      </c>
      <c r="AO111" s="945">
        <f t="shared" si="122"/>
        <v>30898</v>
      </c>
      <c r="AP111" s="813">
        <f t="shared" si="123"/>
        <v>21780</v>
      </c>
      <c r="AQ111" s="813">
        <f t="shared" si="124"/>
        <v>0</v>
      </c>
      <c r="AR111" s="813">
        <f t="shared" si="125"/>
        <v>7362</v>
      </c>
      <c r="AS111" s="813">
        <f t="shared" si="125"/>
        <v>436</v>
      </c>
      <c r="AT111" s="813">
        <f t="shared" si="126"/>
        <v>1320</v>
      </c>
      <c r="AU111" s="836">
        <f t="shared" si="127"/>
        <v>0.09</v>
      </c>
      <c r="AV111" s="836">
        <f t="shared" si="128"/>
        <v>0</v>
      </c>
      <c r="AW111" s="837">
        <f t="shared" si="128"/>
        <v>0.09</v>
      </c>
      <c r="AX111" s="925"/>
    </row>
    <row r="112" spans="1:50" ht="12.95" customHeight="1" x14ac:dyDescent="0.25">
      <c r="A112" s="538">
        <v>21</v>
      </c>
      <c r="B112" s="101">
        <v>3427</v>
      </c>
      <c r="C112" s="101">
        <v>650023340</v>
      </c>
      <c r="D112" s="101">
        <v>70982988</v>
      </c>
      <c r="E112" s="1058" t="s">
        <v>530</v>
      </c>
      <c r="F112" s="100"/>
      <c r="G112" s="1058"/>
      <c r="H112" s="449"/>
      <c r="I112" s="1074">
        <f t="shared" ref="I112:AW112" si="129">SUM(I106:I111)</f>
        <v>18000948</v>
      </c>
      <c r="J112" s="1075">
        <f t="shared" si="129"/>
        <v>13050300</v>
      </c>
      <c r="K112" s="1075">
        <f t="shared" si="129"/>
        <v>4411002</v>
      </c>
      <c r="L112" s="1075">
        <f t="shared" si="129"/>
        <v>261006</v>
      </c>
      <c r="M112" s="1075">
        <f t="shared" si="129"/>
        <v>278640</v>
      </c>
      <c r="N112" s="1076">
        <f t="shared" si="129"/>
        <v>28.875199999999996</v>
      </c>
      <c r="O112" s="1076">
        <f t="shared" si="129"/>
        <v>18.3232</v>
      </c>
      <c r="P112" s="1077">
        <f t="shared" si="129"/>
        <v>10.552</v>
      </c>
      <c r="Q112" s="1075">
        <f t="shared" si="129"/>
        <v>0</v>
      </c>
      <c r="R112" s="1078">
        <f t="shared" si="129"/>
        <v>1367287</v>
      </c>
      <c r="S112" s="1078">
        <f t="shared" si="129"/>
        <v>0</v>
      </c>
      <c r="T112" s="1078">
        <f t="shared" si="129"/>
        <v>0</v>
      </c>
      <c r="U112" s="1078">
        <f t="shared" si="129"/>
        <v>1367287</v>
      </c>
      <c r="V112" s="1078">
        <f t="shared" si="129"/>
        <v>0</v>
      </c>
      <c r="W112" s="1078">
        <f t="shared" si="129"/>
        <v>0</v>
      </c>
      <c r="X112" s="1078">
        <f t="shared" si="129"/>
        <v>0</v>
      </c>
      <c r="Y112" s="1078">
        <f t="shared" si="129"/>
        <v>0</v>
      </c>
      <c r="Z112" s="1078">
        <f t="shared" si="129"/>
        <v>1367287</v>
      </c>
      <c r="AA112" s="1078">
        <f t="shared" si="129"/>
        <v>462143</v>
      </c>
      <c r="AB112" s="1078">
        <f t="shared" si="129"/>
        <v>27346</v>
      </c>
      <c r="AC112" s="1078">
        <f t="shared" si="129"/>
        <v>0</v>
      </c>
      <c r="AD112" s="1078">
        <f t="shared" si="129"/>
        <v>0</v>
      </c>
      <c r="AE112" s="1078">
        <f t="shared" si="129"/>
        <v>0</v>
      </c>
      <c r="AF112" s="1078">
        <f t="shared" si="129"/>
        <v>1856776</v>
      </c>
      <c r="AG112" s="1079">
        <f t="shared" si="129"/>
        <v>0</v>
      </c>
      <c r="AH112" s="1079">
        <f t="shared" si="129"/>
        <v>0</v>
      </c>
      <c r="AI112" s="1079">
        <f t="shared" si="129"/>
        <v>4.07</v>
      </c>
      <c r="AJ112" s="1079">
        <f t="shared" si="129"/>
        <v>0</v>
      </c>
      <c r="AK112" s="1079">
        <f t="shared" si="129"/>
        <v>0</v>
      </c>
      <c r="AL112" s="1079">
        <f t="shared" si="129"/>
        <v>4.07</v>
      </c>
      <c r="AM112" s="1079">
        <f t="shared" si="129"/>
        <v>0</v>
      </c>
      <c r="AN112" s="1080">
        <f t="shared" si="129"/>
        <v>4.07</v>
      </c>
      <c r="AO112" s="1074">
        <f t="shared" si="129"/>
        <v>19857724</v>
      </c>
      <c r="AP112" s="1078">
        <f t="shared" si="129"/>
        <v>14417587</v>
      </c>
      <c r="AQ112" s="1078">
        <f t="shared" si="129"/>
        <v>0</v>
      </c>
      <c r="AR112" s="1078">
        <f t="shared" si="129"/>
        <v>4873145</v>
      </c>
      <c r="AS112" s="1078">
        <f t="shared" si="129"/>
        <v>288352</v>
      </c>
      <c r="AT112" s="1078">
        <f t="shared" si="129"/>
        <v>278640</v>
      </c>
      <c r="AU112" s="1079">
        <f t="shared" si="129"/>
        <v>32.9452</v>
      </c>
      <c r="AV112" s="1079">
        <f t="shared" si="129"/>
        <v>22.3932</v>
      </c>
      <c r="AW112" s="1081">
        <f t="shared" si="129"/>
        <v>10.552</v>
      </c>
      <c r="AX112" s="925"/>
    </row>
    <row r="113" spans="1:50" ht="12.95" customHeight="1" x14ac:dyDescent="0.25">
      <c r="A113" s="827">
        <v>22</v>
      </c>
      <c r="B113" s="536">
        <v>5484</v>
      </c>
      <c r="C113" s="536">
        <v>600098532</v>
      </c>
      <c r="D113" s="828">
        <v>72743255</v>
      </c>
      <c r="E113" s="1056" t="s">
        <v>531</v>
      </c>
      <c r="F113" s="536">
        <v>3111</v>
      </c>
      <c r="G113" s="1057" t="s">
        <v>331</v>
      </c>
      <c r="H113" s="832" t="s">
        <v>283</v>
      </c>
      <c r="I113" s="803">
        <f>SUM(J113:M113)</f>
        <v>4723865</v>
      </c>
      <c r="J113" s="833">
        <v>3456675</v>
      </c>
      <c r="K113" s="805">
        <f>ROUND((J113)*33.8%,0)</f>
        <v>1168356</v>
      </c>
      <c r="L113" s="805">
        <f>ROUND(J113*2%,0)</f>
        <v>69134</v>
      </c>
      <c r="M113" s="833">
        <v>29700</v>
      </c>
      <c r="N113" s="834">
        <f>SUM(O113:P113)</f>
        <v>8.1341999999999999</v>
      </c>
      <c r="O113" s="1054">
        <v>6</v>
      </c>
      <c r="P113" s="1055">
        <v>2.1341999999999999</v>
      </c>
      <c r="Q113" s="835">
        <f>V113*-1</f>
        <v>0</v>
      </c>
      <c r="R113" s="813">
        <v>0</v>
      </c>
      <c r="S113" s="813">
        <v>0</v>
      </c>
      <c r="T113" s="813">
        <v>0</v>
      </c>
      <c r="U113" s="813">
        <f>SUM(Q113:T113)</f>
        <v>0</v>
      </c>
      <c r="V113" s="813">
        <v>0</v>
      </c>
      <c r="W113" s="813">
        <v>0</v>
      </c>
      <c r="X113" s="813">
        <v>0</v>
      </c>
      <c r="Y113" s="813">
        <f>SUM(V113:X113)</f>
        <v>0</v>
      </c>
      <c r="Z113" s="813">
        <f>U113+Y113</f>
        <v>0</v>
      </c>
      <c r="AA113" s="809">
        <f>ROUND((U113+V113+W113)*33.8%,0)</f>
        <v>0</v>
      </c>
      <c r="AB113" s="809">
        <f>ROUND(U113*2%,0)</f>
        <v>0</v>
      </c>
      <c r="AC113" s="813">
        <v>0</v>
      </c>
      <c r="AD113" s="813">
        <v>0</v>
      </c>
      <c r="AE113" s="813">
        <f>SUM(AC113:AD113)</f>
        <v>0</v>
      </c>
      <c r="AF113" s="813">
        <f>Z113+AA113+AB113+AE113</f>
        <v>0</v>
      </c>
      <c r="AG113" s="836">
        <v>0</v>
      </c>
      <c r="AH113" s="836">
        <v>0</v>
      </c>
      <c r="AI113" s="836">
        <v>0</v>
      </c>
      <c r="AJ113" s="836">
        <v>0</v>
      </c>
      <c r="AK113" s="836">
        <v>0</v>
      </c>
      <c r="AL113" s="836">
        <f>AG113+AI113+AJ113</f>
        <v>0</v>
      </c>
      <c r="AM113" s="836">
        <f>AH113+AK113</f>
        <v>0</v>
      </c>
      <c r="AN113" s="949">
        <f>SUM(AL113:AM113)</f>
        <v>0</v>
      </c>
      <c r="AO113" s="945">
        <f>I113+AF113</f>
        <v>4723865</v>
      </c>
      <c r="AP113" s="813">
        <f>J113+U113</f>
        <v>3456675</v>
      </c>
      <c r="AQ113" s="813">
        <f>Y113</f>
        <v>0</v>
      </c>
      <c r="AR113" s="813">
        <f>K113+AA113</f>
        <v>1168356</v>
      </c>
      <c r="AS113" s="813">
        <f>L113+AB113</f>
        <v>69134</v>
      </c>
      <c r="AT113" s="813">
        <f>M113+AE113</f>
        <v>29700</v>
      </c>
      <c r="AU113" s="836">
        <f>N113+AN113</f>
        <v>8.1341999999999999</v>
      </c>
      <c r="AV113" s="836">
        <f>O113+AL113</f>
        <v>6</v>
      </c>
      <c r="AW113" s="837">
        <f>P113+AM113</f>
        <v>2.1341999999999999</v>
      </c>
      <c r="AX113" s="925"/>
    </row>
    <row r="114" spans="1:50" ht="12.95" customHeight="1" x14ac:dyDescent="0.25">
      <c r="A114" s="827">
        <v>22</v>
      </c>
      <c r="B114" s="536">
        <v>5484</v>
      </c>
      <c r="C114" s="536">
        <v>600098532</v>
      </c>
      <c r="D114" s="828">
        <v>72743255</v>
      </c>
      <c r="E114" s="1056" t="s">
        <v>531</v>
      </c>
      <c r="F114" s="536">
        <v>3141</v>
      </c>
      <c r="G114" s="1057" t="s">
        <v>321</v>
      </c>
      <c r="H114" s="832" t="s">
        <v>284</v>
      </c>
      <c r="I114" s="803">
        <f>SUM(J114:M114)</f>
        <v>1147684</v>
      </c>
      <c r="J114" s="833">
        <v>840323</v>
      </c>
      <c r="K114" s="805">
        <f>ROUND((J114)*33.8%,0)</f>
        <v>284029</v>
      </c>
      <c r="L114" s="805">
        <f>ROUND(J114*2%,0)</f>
        <v>16806</v>
      </c>
      <c r="M114" s="833">
        <v>6526</v>
      </c>
      <c r="N114" s="834">
        <f>SUM(O114:P114)</f>
        <v>2.86</v>
      </c>
      <c r="O114" s="1054">
        <v>0</v>
      </c>
      <c r="P114" s="1055">
        <v>2.86</v>
      </c>
      <c r="Q114" s="835">
        <f>V114*-1</f>
        <v>0</v>
      </c>
      <c r="R114" s="813">
        <v>0</v>
      </c>
      <c r="S114" s="813">
        <v>0</v>
      </c>
      <c r="T114" s="813">
        <v>0</v>
      </c>
      <c r="U114" s="813">
        <f>SUM(Q114:T114)</f>
        <v>0</v>
      </c>
      <c r="V114" s="813">
        <v>0</v>
      </c>
      <c r="W114" s="813">
        <v>0</v>
      </c>
      <c r="X114" s="813">
        <v>0</v>
      </c>
      <c r="Y114" s="813">
        <f>SUM(V114:X114)</f>
        <v>0</v>
      </c>
      <c r="Z114" s="813">
        <f>U114+Y114</f>
        <v>0</v>
      </c>
      <c r="AA114" s="809">
        <f>ROUND((U114+V114+W114)*33.8%,0)</f>
        <v>0</v>
      </c>
      <c r="AB114" s="809">
        <f>ROUND(U114*2%,0)</f>
        <v>0</v>
      </c>
      <c r="AC114" s="813">
        <v>0</v>
      </c>
      <c r="AD114" s="813">
        <v>0</v>
      </c>
      <c r="AE114" s="813">
        <f>SUM(AC114:AD114)</f>
        <v>0</v>
      </c>
      <c r="AF114" s="813">
        <f>Z114+AA114+AB114+AE114</f>
        <v>0</v>
      </c>
      <c r="AG114" s="836">
        <v>0</v>
      </c>
      <c r="AH114" s="836">
        <v>0</v>
      </c>
      <c r="AI114" s="836">
        <v>0</v>
      </c>
      <c r="AJ114" s="836">
        <v>0</v>
      </c>
      <c r="AK114" s="836">
        <v>0</v>
      </c>
      <c r="AL114" s="836">
        <f>AG114+AI114+AJ114</f>
        <v>0</v>
      </c>
      <c r="AM114" s="836">
        <f>AH114+AK114</f>
        <v>0</v>
      </c>
      <c r="AN114" s="949">
        <f>SUM(AL114:AM114)</f>
        <v>0</v>
      </c>
      <c r="AO114" s="945">
        <f>I114+AF114</f>
        <v>1147684</v>
      </c>
      <c r="AP114" s="813">
        <f>J114+U114</f>
        <v>840323</v>
      </c>
      <c r="AQ114" s="813">
        <f>Y114</f>
        <v>0</v>
      </c>
      <c r="AR114" s="813">
        <f>K114+AA114</f>
        <v>284029</v>
      </c>
      <c r="AS114" s="813">
        <f>L114+AB114</f>
        <v>16806</v>
      </c>
      <c r="AT114" s="813">
        <f>M114+AE114</f>
        <v>6526</v>
      </c>
      <c r="AU114" s="836">
        <f>N114+AN114</f>
        <v>2.86</v>
      </c>
      <c r="AV114" s="836">
        <f>O114+AL114</f>
        <v>0</v>
      </c>
      <c r="AW114" s="837">
        <f>P114+AM114</f>
        <v>2.86</v>
      </c>
      <c r="AX114" s="925"/>
    </row>
    <row r="115" spans="1:50" ht="12.95" customHeight="1" x14ac:dyDescent="0.25">
      <c r="A115" s="538">
        <v>22</v>
      </c>
      <c r="B115" s="100">
        <v>5484</v>
      </c>
      <c r="C115" s="100">
        <v>600098532</v>
      </c>
      <c r="D115" s="100">
        <v>72743255</v>
      </c>
      <c r="E115" s="1058" t="s">
        <v>532</v>
      </c>
      <c r="F115" s="100"/>
      <c r="G115" s="1058"/>
      <c r="H115" s="449"/>
      <c r="I115" s="820">
        <f t="shared" ref="I115:AW115" si="130">SUM(I113:I114)</f>
        <v>5871549</v>
      </c>
      <c r="J115" s="825">
        <f t="shared" si="130"/>
        <v>4296998</v>
      </c>
      <c r="K115" s="825">
        <f t="shared" si="130"/>
        <v>1452385</v>
      </c>
      <c r="L115" s="825">
        <f t="shared" si="130"/>
        <v>85940</v>
      </c>
      <c r="M115" s="825">
        <f t="shared" si="130"/>
        <v>36226</v>
      </c>
      <c r="N115" s="1070">
        <f t="shared" si="130"/>
        <v>10.994199999999999</v>
      </c>
      <c r="O115" s="1070">
        <f t="shared" si="130"/>
        <v>6</v>
      </c>
      <c r="P115" s="1071">
        <f t="shared" si="130"/>
        <v>4.9941999999999993</v>
      </c>
      <c r="Q115" s="825">
        <f t="shared" si="130"/>
        <v>0</v>
      </c>
      <c r="R115" s="821">
        <f t="shared" si="130"/>
        <v>0</v>
      </c>
      <c r="S115" s="821">
        <f t="shared" si="130"/>
        <v>0</v>
      </c>
      <c r="T115" s="821">
        <f t="shared" si="130"/>
        <v>0</v>
      </c>
      <c r="U115" s="821">
        <f t="shared" si="130"/>
        <v>0</v>
      </c>
      <c r="V115" s="821">
        <f t="shared" si="130"/>
        <v>0</v>
      </c>
      <c r="W115" s="821">
        <f t="shared" si="130"/>
        <v>0</v>
      </c>
      <c r="X115" s="821">
        <f t="shared" si="130"/>
        <v>0</v>
      </c>
      <c r="Y115" s="821">
        <f t="shared" si="130"/>
        <v>0</v>
      </c>
      <c r="Z115" s="821">
        <f t="shared" si="130"/>
        <v>0</v>
      </c>
      <c r="AA115" s="821">
        <f t="shared" si="130"/>
        <v>0</v>
      </c>
      <c r="AB115" s="821">
        <f t="shared" si="130"/>
        <v>0</v>
      </c>
      <c r="AC115" s="821">
        <f t="shared" si="130"/>
        <v>0</v>
      </c>
      <c r="AD115" s="821">
        <f t="shared" si="130"/>
        <v>0</v>
      </c>
      <c r="AE115" s="821">
        <f t="shared" si="130"/>
        <v>0</v>
      </c>
      <c r="AF115" s="821">
        <f t="shared" si="130"/>
        <v>0</v>
      </c>
      <c r="AG115" s="822">
        <f t="shared" si="130"/>
        <v>0</v>
      </c>
      <c r="AH115" s="822">
        <f t="shared" si="130"/>
        <v>0</v>
      </c>
      <c r="AI115" s="822">
        <f t="shared" si="130"/>
        <v>0</v>
      </c>
      <c r="AJ115" s="822">
        <f t="shared" si="130"/>
        <v>0</v>
      </c>
      <c r="AK115" s="822">
        <f t="shared" si="130"/>
        <v>0</v>
      </c>
      <c r="AL115" s="822">
        <f t="shared" si="130"/>
        <v>0</v>
      </c>
      <c r="AM115" s="822">
        <f t="shared" si="130"/>
        <v>0</v>
      </c>
      <c r="AN115" s="1072">
        <f t="shared" si="130"/>
        <v>0</v>
      </c>
      <c r="AO115" s="820">
        <f t="shared" si="130"/>
        <v>5871549</v>
      </c>
      <c r="AP115" s="821">
        <f t="shared" si="130"/>
        <v>4296998</v>
      </c>
      <c r="AQ115" s="821">
        <f t="shared" si="130"/>
        <v>0</v>
      </c>
      <c r="AR115" s="821">
        <f t="shared" si="130"/>
        <v>1452385</v>
      </c>
      <c r="AS115" s="821">
        <f t="shared" si="130"/>
        <v>85940</v>
      </c>
      <c r="AT115" s="821">
        <f t="shared" si="130"/>
        <v>36226</v>
      </c>
      <c r="AU115" s="822">
        <f t="shared" si="130"/>
        <v>10.994199999999999</v>
      </c>
      <c r="AV115" s="822">
        <f t="shared" si="130"/>
        <v>6</v>
      </c>
      <c r="AW115" s="824">
        <f t="shared" si="130"/>
        <v>4.9941999999999993</v>
      </c>
      <c r="AX115" s="925"/>
    </row>
    <row r="116" spans="1:50" ht="12.95" customHeight="1" x14ac:dyDescent="0.25">
      <c r="A116" s="827">
        <v>23</v>
      </c>
      <c r="B116" s="536">
        <v>5485</v>
      </c>
      <c r="C116" s="536">
        <v>600099300</v>
      </c>
      <c r="D116" s="828">
        <v>72743174</v>
      </c>
      <c r="E116" s="1056" t="s">
        <v>533</v>
      </c>
      <c r="F116" s="536">
        <v>3117</v>
      </c>
      <c r="G116" s="1056" t="s">
        <v>335</v>
      </c>
      <c r="H116" s="832" t="s">
        <v>283</v>
      </c>
      <c r="I116" s="803">
        <f>SUM(J116:M116)</f>
        <v>5373232</v>
      </c>
      <c r="J116" s="833">
        <v>3863544</v>
      </c>
      <c r="K116" s="805">
        <f>ROUND((J116)*33.8%,0)-1</f>
        <v>1305877</v>
      </c>
      <c r="L116" s="805">
        <f>ROUND(J116*2%,0)</f>
        <v>77271</v>
      </c>
      <c r="M116" s="833">
        <v>126540</v>
      </c>
      <c r="N116" s="834">
        <f>SUM(O116:P116)</f>
        <v>8.0487000000000002</v>
      </c>
      <c r="O116" s="1054">
        <v>5.6645000000000003</v>
      </c>
      <c r="P116" s="1055">
        <v>2.3841999999999999</v>
      </c>
      <c r="Q116" s="835">
        <f>V116*-1</f>
        <v>0</v>
      </c>
      <c r="R116" s="813">
        <v>0</v>
      </c>
      <c r="S116" s="813">
        <v>0</v>
      </c>
      <c r="T116" s="813">
        <v>0</v>
      </c>
      <c r="U116" s="813">
        <f>SUM(Q116:T116)</f>
        <v>0</v>
      </c>
      <c r="V116" s="813">
        <v>0</v>
      </c>
      <c r="W116" s="813">
        <v>0</v>
      </c>
      <c r="X116" s="813">
        <v>0</v>
      </c>
      <c r="Y116" s="813">
        <f>SUM(V116:X116)</f>
        <v>0</v>
      </c>
      <c r="Z116" s="813">
        <f>U116+Y116</f>
        <v>0</v>
      </c>
      <c r="AA116" s="809">
        <f>ROUND((U116+V116+W116)*33.8%,0)</f>
        <v>0</v>
      </c>
      <c r="AB116" s="809">
        <f>ROUND(U116*2%,0)</f>
        <v>0</v>
      </c>
      <c r="AC116" s="813">
        <v>0</v>
      </c>
      <c r="AD116" s="813">
        <v>0</v>
      </c>
      <c r="AE116" s="813">
        <f>SUM(AC116:AD116)</f>
        <v>0</v>
      </c>
      <c r="AF116" s="813">
        <f>Z116+AA116+AB116+AE116</f>
        <v>0</v>
      </c>
      <c r="AG116" s="836">
        <v>0</v>
      </c>
      <c r="AH116" s="836">
        <v>0</v>
      </c>
      <c r="AI116" s="836">
        <v>0</v>
      </c>
      <c r="AJ116" s="836">
        <v>0</v>
      </c>
      <c r="AK116" s="836">
        <v>0</v>
      </c>
      <c r="AL116" s="836">
        <f>AG116+AI116+AJ116</f>
        <v>0</v>
      </c>
      <c r="AM116" s="836">
        <f>AH116+AK116</f>
        <v>0</v>
      </c>
      <c r="AN116" s="949">
        <f>SUM(AL116:AM116)</f>
        <v>0</v>
      </c>
      <c r="AO116" s="945">
        <f>I116+AF116</f>
        <v>5373232</v>
      </c>
      <c r="AP116" s="813">
        <f>J116+U116</f>
        <v>3863544</v>
      </c>
      <c r="AQ116" s="813">
        <f>Y116</f>
        <v>0</v>
      </c>
      <c r="AR116" s="813">
        <f t="shared" ref="AR116:AS120" si="131">K116+AA116</f>
        <v>1305877</v>
      </c>
      <c r="AS116" s="813">
        <f t="shared" si="131"/>
        <v>77271</v>
      </c>
      <c r="AT116" s="813">
        <f>M116+AE116</f>
        <v>126540</v>
      </c>
      <c r="AU116" s="836">
        <f>N116+AN116</f>
        <v>8.0487000000000002</v>
      </c>
      <c r="AV116" s="836">
        <f t="shared" ref="AV116:AW120" si="132">O116+AL116</f>
        <v>5.6645000000000003</v>
      </c>
      <c r="AW116" s="837">
        <f t="shared" si="132"/>
        <v>2.3841999999999999</v>
      </c>
      <c r="AX116" s="925"/>
    </row>
    <row r="117" spans="1:50" ht="12.95" customHeight="1" x14ac:dyDescent="0.25">
      <c r="A117" s="827">
        <v>23</v>
      </c>
      <c r="B117" s="536">
        <v>5485</v>
      </c>
      <c r="C117" s="536">
        <v>600099300</v>
      </c>
      <c r="D117" s="828">
        <v>72743174</v>
      </c>
      <c r="E117" s="1053" t="s">
        <v>533</v>
      </c>
      <c r="F117" s="536">
        <v>3117</v>
      </c>
      <c r="G117" s="948" t="s">
        <v>318</v>
      </c>
      <c r="H117" s="832" t="s">
        <v>284</v>
      </c>
      <c r="I117" s="803">
        <f>SUM(J117:M117)</f>
        <v>0</v>
      </c>
      <c r="J117" s="833">
        <v>0</v>
      </c>
      <c r="K117" s="805">
        <v>0</v>
      </c>
      <c r="L117" s="805">
        <v>0</v>
      </c>
      <c r="M117" s="833">
        <v>0</v>
      </c>
      <c r="N117" s="834">
        <f>SUM(O117:P117)</f>
        <v>0</v>
      </c>
      <c r="O117" s="1054">
        <v>0</v>
      </c>
      <c r="P117" s="1055">
        <v>0</v>
      </c>
      <c r="Q117" s="835">
        <f>V117*-1</f>
        <v>0</v>
      </c>
      <c r="R117" s="833">
        <f>762296-130806</f>
        <v>631490</v>
      </c>
      <c r="S117" s="813">
        <v>0</v>
      </c>
      <c r="T117" s="813">
        <v>0</v>
      </c>
      <c r="U117" s="813">
        <f>SUM(Q117:T117)</f>
        <v>631490</v>
      </c>
      <c r="V117" s="813">
        <v>0</v>
      </c>
      <c r="W117" s="813">
        <v>0</v>
      </c>
      <c r="X117" s="813">
        <v>0</v>
      </c>
      <c r="Y117" s="813">
        <f>SUM(V117:X117)</f>
        <v>0</v>
      </c>
      <c r="Z117" s="813">
        <f>U117+Y117</f>
        <v>631490</v>
      </c>
      <c r="AA117" s="809">
        <f>ROUND((U117+V117+W117)*33.8%,0)</f>
        <v>213444</v>
      </c>
      <c r="AB117" s="809">
        <f>ROUND(U117*2%,0)</f>
        <v>12630</v>
      </c>
      <c r="AC117" s="813">
        <v>0</v>
      </c>
      <c r="AD117" s="813">
        <v>0</v>
      </c>
      <c r="AE117" s="813">
        <f>SUM(AC117:AD117)</f>
        <v>0</v>
      </c>
      <c r="AF117" s="813">
        <f>Z117+AA117+AB117+AE117</f>
        <v>857564</v>
      </c>
      <c r="AG117" s="836">
        <v>0</v>
      </c>
      <c r="AH117" s="836">
        <v>0</v>
      </c>
      <c r="AI117" s="836">
        <v>2.15</v>
      </c>
      <c r="AJ117" s="836">
        <v>0</v>
      </c>
      <c r="AK117" s="836">
        <v>0</v>
      </c>
      <c r="AL117" s="836">
        <f>AG117+AI117+AJ117</f>
        <v>2.15</v>
      </c>
      <c r="AM117" s="836">
        <f>AH117+AK117</f>
        <v>0</v>
      </c>
      <c r="AN117" s="949">
        <f>SUM(AL117:AM117)</f>
        <v>2.15</v>
      </c>
      <c r="AO117" s="945">
        <f>I117+AF117</f>
        <v>857564</v>
      </c>
      <c r="AP117" s="813">
        <f>J117+U117</f>
        <v>631490</v>
      </c>
      <c r="AQ117" s="813">
        <f>Y117</f>
        <v>0</v>
      </c>
      <c r="AR117" s="813">
        <f t="shared" si="131"/>
        <v>213444</v>
      </c>
      <c r="AS117" s="813">
        <f t="shared" si="131"/>
        <v>12630</v>
      </c>
      <c r="AT117" s="813">
        <f>M117+AE117</f>
        <v>0</v>
      </c>
      <c r="AU117" s="836">
        <f>N117+AN117</f>
        <v>2.15</v>
      </c>
      <c r="AV117" s="836">
        <f t="shared" si="132"/>
        <v>2.15</v>
      </c>
      <c r="AW117" s="837">
        <f t="shared" si="132"/>
        <v>0</v>
      </c>
      <c r="AX117" s="925"/>
    </row>
    <row r="118" spans="1:50" ht="12.95" customHeight="1" x14ac:dyDescent="0.25">
      <c r="A118" s="827">
        <v>23</v>
      </c>
      <c r="B118" s="536">
        <v>5485</v>
      </c>
      <c r="C118" s="536">
        <v>600099300</v>
      </c>
      <c r="D118" s="828">
        <v>72743174</v>
      </c>
      <c r="E118" s="1056" t="s">
        <v>533</v>
      </c>
      <c r="F118" s="536">
        <v>3141</v>
      </c>
      <c r="G118" s="1057" t="s">
        <v>321</v>
      </c>
      <c r="H118" s="832" t="s">
        <v>284</v>
      </c>
      <c r="I118" s="803">
        <f>SUM(J118:M118)</f>
        <v>253555</v>
      </c>
      <c r="J118" s="833">
        <v>184725</v>
      </c>
      <c r="K118" s="805">
        <f>ROUND((J118)*33.8%,0)</f>
        <v>62437</v>
      </c>
      <c r="L118" s="805">
        <f>ROUND(J118*2%,0)</f>
        <v>3695</v>
      </c>
      <c r="M118" s="833">
        <v>2698</v>
      </c>
      <c r="N118" s="834">
        <f>SUM(O118:P118)</f>
        <v>0.63</v>
      </c>
      <c r="O118" s="1054">
        <v>0</v>
      </c>
      <c r="P118" s="1055">
        <v>0.63</v>
      </c>
      <c r="Q118" s="835">
        <f>V118*-1</f>
        <v>0</v>
      </c>
      <c r="R118" s="813">
        <v>0</v>
      </c>
      <c r="S118" s="813">
        <v>0</v>
      </c>
      <c r="T118" s="813">
        <v>0</v>
      </c>
      <c r="U118" s="813">
        <f>SUM(Q118:T118)</f>
        <v>0</v>
      </c>
      <c r="V118" s="813">
        <v>0</v>
      </c>
      <c r="W118" s="813">
        <v>0</v>
      </c>
      <c r="X118" s="813">
        <v>0</v>
      </c>
      <c r="Y118" s="813">
        <f>SUM(V118:X118)</f>
        <v>0</v>
      </c>
      <c r="Z118" s="813">
        <f>U118+Y118</f>
        <v>0</v>
      </c>
      <c r="AA118" s="809">
        <f>ROUND((U118+V118+W118)*33.8%,0)</f>
        <v>0</v>
      </c>
      <c r="AB118" s="809">
        <f>ROUND(U118*2%,0)</f>
        <v>0</v>
      </c>
      <c r="AC118" s="813">
        <v>0</v>
      </c>
      <c r="AD118" s="813">
        <v>0</v>
      </c>
      <c r="AE118" s="813">
        <f>SUM(AC118:AD118)</f>
        <v>0</v>
      </c>
      <c r="AF118" s="813">
        <f>Z118+AA118+AB118+AE118</f>
        <v>0</v>
      </c>
      <c r="AG118" s="836">
        <v>0</v>
      </c>
      <c r="AH118" s="836">
        <v>0</v>
      </c>
      <c r="AI118" s="836">
        <v>0</v>
      </c>
      <c r="AJ118" s="836">
        <v>0</v>
      </c>
      <c r="AK118" s="836">
        <v>0</v>
      </c>
      <c r="AL118" s="836">
        <f>AG118+AI118+AJ118</f>
        <v>0</v>
      </c>
      <c r="AM118" s="836">
        <f>AH118+AK118</f>
        <v>0</v>
      </c>
      <c r="AN118" s="949">
        <f>SUM(AL118:AM118)</f>
        <v>0</v>
      </c>
      <c r="AO118" s="945">
        <f>I118+AF118</f>
        <v>253555</v>
      </c>
      <c r="AP118" s="813">
        <f>J118+U118</f>
        <v>184725</v>
      </c>
      <c r="AQ118" s="813">
        <f>Y118</f>
        <v>0</v>
      </c>
      <c r="AR118" s="813">
        <f t="shared" si="131"/>
        <v>62437</v>
      </c>
      <c r="AS118" s="813">
        <f t="shared" si="131"/>
        <v>3695</v>
      </c>
      <c r="AT118" s="813">
        <f>M118+AE118</f>
        <v>2698</v>
      </c>
      <c r="AU118" s="836">
        <f>N118+AN118</f>
        <v>0.63</v>
      </c>
      <c r="AV118" s="836">
        <f t="shared" si="132"/>
        <v>0</v>
      </c>
      <c r="AW118" s="837">
        <f t="shared" si="132"/>
        <v>0.63</v>
      </c>
      <c r="AX118" s="925"/>
    </row>
    <row r="119" spans="1:50" ht="12.95" customHeight="1" x14ac:dyDescent="0.25">
      <c r="A119" s="827">
        <v>23</v>
      </c>
      <c r="B119" s="536">
        <v>5485</v>
      </c>
      <c r="C119" s="536">
        <v>600099300</v>
      </c>
      <c r="D119" s="828">
        <v>72743174</v>
      </c>
      <c r="E119" s="1053" t="s">
        <v>533</v>
      </c>
      <c r="F119" s="1084">
        <v>3143</v>
      </c>
      <c r="G119" s="948" t="s">
        <v>635</v>
      </c>
      <c r="H119" s="832" t="s">
        <v>283</v>
      </c>
      <c r="I119" s="803">
        <f>SUM(J119:M119)</f>
        <v>627186</v>
      </c>
      <c r="J119" s="833">
        <v>461845</v>
      </c>
      <c r="K119" s="805">
        <f>ROUND((J119)*33.8%,0)</f>
        <v>156104</v>
      </c>
      <c r="L119" s="805">
        <f>ROUND(J119*2%,0)</f>
        <v>9237</v>
      </c>
      <c r="M119" s="833">
        <v>0</v>
      </c>
      <c r="N119" s="834">
        <f>SUM(O119:P119)</f>
        <v>0.99</v>
      </c>
      <c r="O119" s="1054">
        <v>0.99</v>
      </c>
      <c r="P119" s="1055">
        <v>0</v>
      </c>
      <c r="Q119" s="835">
        <f>V119*-1</f>
        <v>0</v>
      </c>
      <c r="R119" s="813">
        <v>0</v>
      </c>
      <c r="S119" s="813">
        <v>0</v>
      </c>
      <c r="T119" s="813">
        <v>0</v>
      </c>
      <c r="U119" s="813">
        <f>SUM(Q119:T119)</f>
        <v>0</v>
      </c>
      <c r="V119" s="813">
        <v>0</v>
      </c>
      <c r="W119" s="813">
        <v>0</v>
      </c>
      <c r="X119" s="813">
        <v>0</v>
      </c>
      <c r="Y119" s="813">
        <f>SUM(V119:X119)</f>
        <v>0</v>
      </c>
      <c r="Z119" s="813">
        <f>U119+Y119</f>
        <v>0</v>
      </c>
      <c r="AA119" s="809">
        <f>ROUND((U119+V119+W119)*33.8%,0)</f>
        <v>0</v>
      </c>
      <c r="AB119" s="809">
        <f>ROUND(U119*2%,0)</f>
        <v>0</v>
      </c>
      <c r="AC119" s="813">
        <v>0</v>
      </c>
      <c r="AD119" s="813">
        <v>0</v>
      </c>
      <c r="AE119" s="813">
        <f>SUM(AC119:AD119)</f>
        <v>0</v>
      </c>
      <c r="AF119" s="813">
        <f>Z119+AA119+AB119+AE119</f>
        <v>0</v>
      </c>
      <c r="AG119" s="836">
        <v>0</v>
      </c>
      <c r="AH119" s="836">
        <v>0</v>
      </c>
      <c r="AI119" s="836">
        <v>0</v>
      </c>
      <c r="AJ119" s="836">
        <v>0</v>
      </c>
      <c r="AK119" s="836">
        <v>0</v>
      </c>
      <c r="AL119" s="836">
        <f>AG119+AI119+AJ119</f>
        <v>0</v>
      </c>
      <c r="AM119" s="836">
        <f>AH119+AK119</f>
        <v>0</v>
      </c>
      <c r="AN119" s="949">
        <f>SUM(AL119:AM119)</f>
        <v>0</v>
      </c>
      <c r="AO119" s="945">
        <f>I119+AF119</f>
        <v>627186</v>
      </c>
      <c r="AP119" s="813">
        <f>J119+U119</f>
        <v>461845</v>
      </c>
      <c r="AQ119" s="813">
        <f>Y119</f>
        <v>0</v>
      </c>
      <c r="AR119" s="813">
        <f t="shared" si="131"/>
        <v>156104</v>
      </c>
      <c r="AS119" s="813">
        <f t="shared" si="131"/>
        <v>9237</v>
      </c>
      <c r="AT119" s="813">
        <f>M119+AE119</f>
        <v>0</v>
      </c>
      <c r="AU119" s="836">
        <f>N119+AN119</f>
        <v>0.99</v>
      </c>
      <c r="AV119" s="836">
        <f t="shared" si="132"/>
        <v>0.99</v>
      </c>
      <c r="AW119" s="837">
        <f t="shared" si="132"/>
        <v>0</v>
      </c>
      <c r="AX119" s="925"/>
    </row>
    <row r="120" spans="1:50" ht="12.95" customHeight="1" x14ac:dyDescent="0.25">
      <c r="A120" s="827">
        <v>23</v>
      </c>
      <c r="B120" s="536">
        <v>5485</v>
      </c>
      <c r="C120" s="536">
        <v>600099300</v>
      </c>
      <c r="D120" s="828">
        <v>72743174</v>
      </c>
      <c r="E120" s="1053" t="s">
        <v>533</v>
      </c>
      <c r="F120" s="1084">
        <v>3143</v>
      </c>
      <c r="G120" s="948" t="s">
        <v>636</v>
      </c>
      <c r="H120" s="832" t="s">
        <v>284</v>
      </c>
      <c r="I120" s="803">
        <f>SUM(J120:M120)</f>
        <v>25981</v>
      </c>
      <c r="J120" s="833">
        <v>18315</v>
      </c>
      <c r="K120" s="805">
        <f>ROUND((J120)*33.8%,0)</f>
        <v>6190</v>
      </c>
      <c r="L120" s="805">
        <f>ROUND(J120*2%,0)</f>
        <v>366</v>
      </c>
      <c r="M120" s="833">
        <v>1110</v>
      </c>
      <c r="N120" s="834">
        <f>SUM(O120:P120)</f>
        <v>0.08</v>
      </c>
      <c r="O120" s="1054">
        <v>0</v>
      </c>
      <c r="P120" s="1055">
        <v>0.08</v>
      </c>
      <c r="Q120" s="835">
        <f>V120*-1</f>
        <v>0</v>
      </c>
      <c r="R120" s="813">
        <v>0</v>
      </c>
      <c r="S120" s="813">
        <v>0</v>
      </c>
      <c r="T120" s="813">
        <v>0</v>
      </c>
      <c r="U120" s="813">
        <f>SUM(Q120:T120)</f>
        <v>0</v>
      </c>
      <c r="V120" s="813">
        <v>0</v>
      </c>
      <c r="W120" s="813">
        <v>0</v>
      </c>
      <c r="X120" s="813">
        <v>0</v>
      </c>
      <c r="Y120" s="813">
        <f>SUM(V120:X120)</f>
        <v>0</v>
      </c>
      <c r="Z120" s="813">
        <f>U120+Y120</f>
        <v>0</v>
      </c>
      <c r="AA120" s="809">
        <f>ROUND((U120+V120+W120)*33.8%,0)</f>
        <v>0</v>
      </c>
      <c r="AB120" s="809">
        <f>ROUND(U120*2%,0)</f>
        <v>0</v>
      </c>
      <c r="AC120" s="813">
        <v>0</v>
      </c>
      <c r="AD120" s="813">
        <v>0</v>
      </c>
      <c r="AE120" s="813">
        <f>SUM(AC120:AD120)</f>
        <v>0</v>
      </c>
      <c r="AF120" s="813">
        <f>Z120+AA120+AB120+AE120</f>
        <v>0</v>
      </c>
      <c r="AG120" s="836">
        <v>0</v>
      </c>
      <c r="AH120" s="836">
        <v>0</v>
      </c>
      <c r="AI120" s="836">
        <v>0</v>
      </c>
      <c r="AJ120" s="836">
        <v>0</v>
      </c>
      <c r="AK120" s="836">
        <v>0</v>
      </c>
      <c r="AL120" s="836">
        <f>AG120+AI120+AJ120</f>
        <v>0</v>
      </c>
      <c r="AM120" s="836">
        <f>AH120+AK120</f>
        <v>0</v>
      </c>
      <c r="AN120" s="949">
        <f>SUM(AL120:AM120)</f>
        <v>0</v>
      </c>
      <c r="AO120" s="945">
        <f>I120+AF120</f>
        <v>25981</v>
      </c>
      <c r="AP120" s="813">
        <f>J120+U120</f>
        <v>18315</v>
      </c>
      <c r="AQ120" s="813">
        <f>Y120</f>
        <v>0</v>
      </c>
      <c r="AR120" s="813">
        <f t="shared" si="131"/>
        <v>6190</v>
      </c>
      <c r="AS120" s="813">
        <f t="shared" si="131"/>
        <v>366</v>
      </c>
      <c r="AT120" s="813">
        <f>M120+AE120</f>
        <v>1110</v>
      </c>
      <c r="AU120" s="836">
        <f>N120+AN120</f>
        <v>0.08</v>
      </c>
      <c r="AV120" s="836">
        <f t="shared" si="132"/>
        <v>0</v>
      </c>
      <c r="AW120" s="837">
        <f t="shared" si="132"/>
        <v>0.08</v>
      </c>
      <c r="AX120" s="925"/>
    </row>
    <row r="121" spans="1:50" ht="12.95" customHeight="1" x14ac:dyDescent="0.25">
      <c r="A121" s="538">
        <v>23</v>
      </c>
      <c r="B121" s="101">
        <v>5485</v>
      </c>
      <c r="C121" s="101">
        <v>600099300</v>
      </c>
      <c r="D121" s="101">
        <v>72743174</v>
      </c>
      <c r="E121" s="1085" t="s">
        <v>534</v>
      </c>
      <c r="F121" s="1093"/>
      <c r="G121" s="1089"/>
      <c r="H121" s="452"/>
      <c r="I121" s="820">
        <f t="shared" ref="I121:AW121" si="133">SUM(I116:I120)</f>
        <v>6279954</v>
      </c>
      <c r="J121" s="825">
        <f t="shared" si="133"/>
        <v>4528429</v>
      </c>
      <c r="K121" s="825">
        <f t="shared" si="133"/>
        <v>1530608</v>
      </c>
      <c r="L121" s="825">
        <f t="shared" si="133"/>
        <v>90569</v>
      </c>
      <c r="M121" s="825">
        <f t="shared" si="133"/>
        <v>130348</v>
      </c>
      <c r="N121" s="1070">
        <f t="shared" si="133"/>
        <v>9.7487000000000013</v>
      </c>
      <c r="O121" s="1070">
        <f t="shared" si="133"/>
        <v>6.6545000000000005</v>
      </c>
      <c r="P121" s="1071">
        <f t="shared" si="133"/>
        <v>3.0941999999999998</v>
      </c>
      <c r="Q121" s="825">
        <f t="shared" si="133"/>
        <v>0</v>
      </c>
      <c r="R121" s="821">
        <f t="shared" si="133"/>
        <v>631490</v>
      </c>
      <c r="S121" s="821">
        <f t="shared" si="133"/>
        <v>0</v>
      </c>
      <c r="T121" s="821">
        <f t="shared" si="133"/>
        <v>0</v>
      </c>
      <c r="U121" s="821">
        <f t="shared" si="133"/>
        <v>631490</v>
      </c>
      <c r="V121" s="821">
        <f t="shared" si="133"/>
        <v>0</v>
      </c>
      <c r="W121" s="821">
        <f t="shared" si="133"/>
        <v>0</v>
      </c>
      <c r="X121" s="821">
        <f t="shared" si="133"/>
        <v>0</v>
      </c>
      <c r="Y121" s="821">
        <f t="shared" si="133"/>
        <v>0</v>
      </c>
      <c r="Z121" s="821">
        <f t="shared" si="133"/>
        <v>631490</v>
      </c>
      <c r="AA121" s="821">
        <f t="shared" si="133"/>
        <v>213444</v>
      </c>
      <c r="AB121" s="821">
        <f t="shared" si="133"/>
        <v>12630</v>
      </c>
      <c r="AC121" s="821">
        <f t="shared" si="133"/>
        <v>0</v>
      </c>
      <c r="AD121" s="821">
        <f t="shared" si="133"/>
        <v>0</v>
      </c>
      <c r="AE121" s="821">
        <f t="shared" si="133"/>
        <v>0</v>
      </c>
      <c r="AF121" s="821">
        <f t="shared" si="133"/>
        <v>857564</v>
      </c>
      <c r="AG121" s="822">
        <f t="shared" si="133"/>
        <v>0</v>
      </c>
      <c r="AH121" s="822">
        <f t="shared" si="133"/>
        <v>0</v>
      </c>
      <c r="AI121" s="822">
        <f t="shared" si="133"/>
        <v>2.15</v>
      </c>
      <c r="AJ121" s="822">
        <f t="shared" si="133"/>
        <v>0</v>
      </c>
      <c r="AK121" s="822">
        <f t="shared" si="133"/>
        <v>0</v>
      </c>
      <c r="AL121" s="822">
        <f t="shared" si="133"/>
        <v>2.15</v>
      </c>
      <c r="AM121" s="822">
        <f t="shared" si="133"/>
        <v>0</v>
      </c>
      <c r="AN121" s="1072">
        <f t="shared" si="133"/>
        <v>2.15</v>
      </c>
      <c r="AO121" s="820">
        <f t="shared" si="133"/>
        <v>7137518</v>
      </c>
      <c r="AP121" s="821">
        <f t="shared" si="133"/>
        <v>5159919</v>
      </c>
      <c r="AQ121" s="821">
        <f t="shared" si="133"/>
        <v>0</v>
      </c>
      <c r="AR121" s="821">
        <f t="shared" si="133"/>
        <v>1744052</v>
      </c>
      <c r="AS121" s="821">
        <f t="shared" si="133"/>
        <v>103199</v>
      </c>
      <c r="AT121" s="821">
        <f t="shared" si="133"/>
        <v>130348</v>
      </c>
      <c r="AU121" s="822">
        <f t="shared" si="133"/>
        <v>11.898700000000002</v>
      </c>
      <c r="AV121" s="822">
        <f t="shared" si="133"/>
        <v>8.8045000000000009</v>
      </c>
      <c r="AW121" s="824">
        <f t="shared" si="133"/>
        <v>3.0941999999999998</v>
      </c>
      <c r="AX121" s="925"/>
    </row>
    <row r="122" spans="1:50" ht="12.95" customHeight="1" x14ac:dyDescent="0.25">
      <c r="A122" s="827">
        <v>24</v>
      </c>
      <c r="B122" s="536">
        <v>5434</v>
      </c>
      <c r="C122" s="536">
        <v>600098923</v>
      </c>
      <c r="D122" s="828">
        <v>70695318</v>
      </c>
      <c r="E122" s="1056" t="s">
        <v>535</v>
      </c>
      <c r="F122" s="536">
        <v>3111</v>
      </c>
      <c r="G122" s="1057" t="s">
        <v>331</v>
      </c>
      <c r="H122" s="832" t="s">
        <v>283</v>
      </c>
      <c r="I122" s="803">
        <f>SUM(J122:M122)</f>
        <v>3031100</v>
      </c>
      <c r="J122" s="833">
        <v>2219109</v>
      </c>
      <c r="K122" s="805">
        <f>ROUND((J122)*33.8%,0)</f>
        <v>750059</v>
      </c>
      <c r="L122" s="805">
        <f>ROUND(J122*2%,0)</f>
        <v>44382</v>
      </c>
      <c r="M122" s="833">
        <v>17550</v>
      </c>
      <c r="N122" s="834">
        <f>SUM(O122:P122)</f>
        <v>5.3898000000000001</v>
      </c>
      <c r="O122" s="1054">
        <v>4</v>
      </c>
      <c r="P122" s="1055">
        <v>1.3897999999999999</v>
      </c>
      <c r="Q122" s="835">
        <f>V122*-1</f>
        <v>0</v>
      </c>
      <c r="R122" s="813">
        <v>0</v>
      </c>
      <c r="S122" s="813">
        <v>0</v>
      </c>
      <c r="T122" s="813">
        <v>0</v>
      </c>
      <c r="U122" s="813">
        <f>SUM(Q122:T122)</f>
        <v>0</v>
      </c>
      <c r="V122" s="813">
        <v>0</v>
      </c>
      <c r="W122" s="813">
        <v>0</v>
      </c>
      <c r="X122" s="813">
        <v>0</v>
      </c>
      <c r="Y122" s="813">
        <f>SUM(V122:X122)</f>
        <v>0</v>
      </c>
      <c r="Z122" s="813">
        <f>U122+Y122</f>
        <v>0</v>
      </c>
      <c r="AA122" s="809">
        <f>ROUND((U122+V122+W122)*33.8%,0)</f>
        <v>0</v>
      </c>
      <c r="AB122" s="809">
        <f>ROUND(U122*2%,0)</f>
        <v>0</v>
      </c>
      <c r="AC122" s="813">
        <v>0</v>
      </c>
      <c r="AD122" s="813">
        <v>0</v>
      </c>
      <c r="AE122" s="813">
        <f>SUM(AC122:AD122)</f>
        <v>0</v>
      </c>
      <c r="AF122" s="813">
        <f>Z122+AA122+AB122+AE122</f>
        <v>0</v>
      </c>
      <c r="AG122" s="836">
        <v>0</v>
      </c>
      <c r="AH122" s="836">
        <v>0</v>
      </c>
      <c r="AI122" s="836">
        <v>0</v>
      </c>
      <c r="AJ122" s="836">
        <v>0</v>
      </c>
      <c r="AK122" s="836">
        <v>0</v>
      </c>
      <c r="AL122" s="836">
        <f>AG122+AI122+AJ122</f>
        <v>0</v>
      </c>
      <c r="AM122" s="836">
        <f>AH122+AK122</f>
        <v>0</v>
      </c>
      <c r="AN122" s="949">
        <f>SUM(AL122:AM122)</f>
        <v>0</v>
      </c>
      <c r="AO122" s="945">
        <f>I122+AF122</f>
        <v>3031100</v>
      </c>
      <c r="AP122" s="813">
        <f>J122+U122</f>
        <v>2219109</v>
      </c>
      <c r="AQ122" s="813">
        <f>Y122</f>
        <v>0</v>
      </c>
      <c r="AR122" s="813">
        <f t="shared" ref="AR122:AS124" si="134">K122+AA122</f>
        <v>750059</v>
      </c>
      <c r="AS122" s="813">
        <f t="shared" si="134"/>
        <v>44382</v>
      </c>
      <c r="AT122" s="813">
        <f>M122+AE122</f>
        <v>17550</v>
      </c>
      <c r="AU122" s="836">
        <f>N122+AN122</f>
        <v>5.3898000000000001</v>
      </c>
      <c r="AV122" s="836">
        <f t="shared" ref="AV122:AW124" si="135">O122+AL122</f>
        <v>4</v>
      </c>
      <c r="AW122" s="837">
        <f t="shared" si="135"/>
        <v>1.3897999999999999</v>
      </c>
      <c r="AX122" s="925"/>
    </row>
    <row r="123" spans="1:50" ht="12.95" customHeight="1" x14ac:dyDescent="0.25">
      <c r="A123" s="827">
        <v>24</v>
      </c>
      <c r="B123" s="536">
        <v>5434</v>
      </c>
      <c r="C123" s="536">
        <v>600098923</v>
      </c>
      <c r="D123" s="828">
        <v>70695318</v>
      </c>
      <c r="E123" s="1053" t="s">
        <v>535</v>
      </c>
      <c r="F123" s="536">
        <v>3111</v>
      </c>
      <c r="G123" s="948" t="s">
        <v>318</v>
      </c>
      <c r="H123" s="832" t="s">
        <v>284</v>
      </c>
      <c r="I123" s="803">
        <f>SUM(J123:M123)</f>
        <v>0</v>
      </c>
      <c r="J123" s="833">
        <v>0</v>
      </c>
      <c r="K123" s="805">
        <v>0</v>
      </c>
      <c r="L123" s="805">
        <v>0</v>
      </c>
      <c r="M123" s="833">
        <v>0</v>
      </c>
      <c r="N123" s="834">
        <f>SUM(O123:P123)</f>
        <v>0</v>
      </c>
      <c r="O123" s="1054">
        <v>0</v>
      </c>
      <c r="P123" s="1055">
        <v>0</v>
      </c>
      <c r="Q123" s="835">
        <f>V123*-1</f>
        <v>0</v>
      </c>
      <c r="R123" s="833">
        <v>173222</v>
      </c>
      <c r="S123" s="813">
        <v>0</v>
      </c>
      <c r="T123" s="813">
        <v>0</v>
      </c>
      <c r="U123" s="813">
        <f>SUM(Q123:T123)</f>
        <v>173222</v>
      </c>
      <c r="V123" s="813">
        <v>0</v>
      </c>
      <c r="W123" s="813">
        <v>0</v>
      </c>
      <c r="X123" s="813">
        <v>0</v>
      </c>
      <c r="Y123" s="813">
        <f>SUM(V123:X123)</f>
        <v>0</v>
      </c>
      <c r="Z123" s="813">
        <f>U123+Y123</f>
        <v>173222</v>
      </c>
      <c r="AA123" s="809">
        <f>ROUND((U123+V123+W123)*33.8%,0)</f>
        <v>58549</v>
      </c>
      <c r="AB123" s="809">
        <f>ROUND(U123*2%,0)</f>
        <v>3464</v>
      </c>
      <c r="AC123" s="813">
        <v>0</v>
      </c>
      <c r="AD123" s="813">
        <v>0</v>
      </c>
      <c r="AE123" s="813">
        <f>SUM(AC123:AD123)</f>
        <v>0</v>
      </c>
      <c r="AF123" s="813">
        <f>Z123+AA123+AB123+AE123</f>
        <v>235235</v>
      </c>
      <c r="AG123" s="836">
        <v>0</v>
      </c>
      <c r="AH123" s="836">
        <v>0</v>
      </c>
      <c r="AI123" s="836">
        <f>0.5-0.41</f>
        <v>9.0000000000000024E-2</v>
      </c>
      <c r="AJ123" s="836">
        <v>0</v>
      </c>
      <c r="AK123" s="836">
        <v>0</v>
      </c>
      <c r="AL123" s="836">
        <f>AG123+AI123+AJ123</f>
        <v>9.0000000000000024E-2</v>
      </c>
      <c r="AM123" s="836">
        <f>AH123+AK123</f>
        <v>0</v>
      </c>
      <c r="AN123" s="949">
        <f>SUM(AL123:AM123)</f>
        <v>9.0000000000000024E-2</v>
      </c>
      <c r="AO123" s="945">
        <f>I123+AF123</f>
        <v>235235</v>
      </c>
      <c r="AP123" s="813">
        <f>J123+U123</f>
        <v>173222</v>
      </c>
      <c r="AQ123" s="813">
        <f>Y123</f>
        <v>0</v>
      </c>
      <c r="AR123" s="813">
        <f t="shared" si="134"/>
        <v>58549</v>
      </c>
      <c r="AS123" s="813">
        <f t="shared" si="134"/>
        <v>3464</v>
      </c>
      <c r="AT123" s="813">
        <f>M123+AE123</f>
        <v>0</v>
      </c>
      <c r="AU123" s="836">
        <f>N123+AN123</f>
        <v>9.0000000000000024E-2</v>
      </c>
      <c r="AV123" s="836">
        <f t="shared" si="135"/>
        <v>9.0000000000000024E-2</v>
      </c>
      <c r="AW123" s="837">
        <f t="shared" si="135"/>
        <v>0</v>
      </c>
      <c r="AX123" s="925"/>
    </row>
    <row r="124" spans="1:50" ht="12.95" customHeight="1" x14ac:dyDescent="0.25">
      <c r="A124" s="827">
        <v>24</v>
      </c>
      <c r="B124" s="536">
        <v>5434</v>
      </c>
      <c r="C124" s="536">
        <v>600098923</v>
      </c>
      <c r="D124" s="828">
        <v>70695318</v>
      </c>
      <c r="E124" s="1053" t="s">
        <v>535</v>
      </c>
      <c r="F124" s="1084">
        <v>3141</v>
      </c>
      <c r="G124" s="1057" t="s">
        <v>321</v>
      </c>
      <c r="H124" s="832" t="s">
        <v>284</v>
      </c>
      <c r="I124" s="803">
        <f>SUM(J124:M124)</f>
        <v>536081</v>
      </c>
      <c r="J124" s="833">
        <v>393092</v>
      </c>
      <c r="K124" s="805">
        <f>ROUND((J124)*33.8%,0)</f>
        <v>132865</v>
      </c>
      <c r="L124" s="805">
        <f>ROUND(J124*2%,0)</f>
        <v>7862</v>
      </c>
      <c r="M124" s="833">
        <v>2262</v>
      </c>
      <c r="N124" s="834">
        <f>SUM(O124:P124)</f>
        <v>1.34</v>
      </c>
      <c r="O124" s="1054">
        <v>0</v>
      </c>
      <c r="P124" s="1055">
        <v>1.34</v>
      </c>
      <c r="Q124" s="835">
        <f>V124*-1</f>
        <v>0</v>
      </c>
      <c r="R124" s="813">
        <v>0</v>
      </c>
      <c r="S124" s="813">
        <v>0</v>
      </c>
      <c r="T124" s="813">
        <v>0</v>
      </c>
      <c r="U124" s="813">
        <f>SUM(Q124:T124)</f>
        <v>0</v>
      </c>
      <c r="V124" s="813">
        <v>0</v>
      </c>
      <c r="W124" s="813">
        <v>0</v>
      </c>
      <c r="X124" s="813">
        <v>0</v>
      </c>
      <c r="Y124" s="813">
        <f>SUM(V124:X124)</f>
        <v>0</v>
      </c>
      <c r="Z124" s="813">
        <f>U124+Y124</f>
        <v>0</v>
      </c>
      <c r="AA124" s="809">
        <f>ROUND((U124+V124+W124)*33.8%,0)</f>
        <v>0</v>
      </c>
      <c r="AB124" s="809">
        <f>ROUND(U124*2%,0)</f>
        <v>0</v>
      </c>
      <c r="AC124" s="813">
        <v>0</v>
      </c>
      <c r="AD124" s="813">
        <v>0</v>
      </c>
      <c r="AE124" s="813">
        <f>SUM(AC124:AD124)</f>
        <v>0</v>
      </c>
      <c r="AF124" s="813">
        <f>Z124+AA124+AB124+AE124</f>
        <v>0</v>
      </c>
      <c r="AG124" s="836">
        <v>0</v>
      </c>
      <c r="AH124" s="836">
        <v>0</v>
      </c>
      <c r="AI124" s="836">
        <v>0</v>
      </c>
      <c r="AJ124" s="836">
        <v>0</v>
      </c>
      <c r="AK124" s="836">
        <v>0</v>
      </c>
      <c r="AL124" s="836">
        <f>AG124+AI124+AJ124</f>
        <v>0</v>
      </c>
      <c r="AM124" s="836">
        <f>AH124+AK124</f>
        <v>0</v>
      </c>
      <c r="AN124" s="949">
        <f>SUM(AL124:AM124)</f>
        <v>0</v>
      </c>
      <c r="AO124" s="945">
        <f>I124+AF124</f>
        <v>536081</v>
      </c>
      <c r="AP124" s="813">
        <f>J124+U124</f>
        <v>393092</v>
      </c>
      <c r="AQ124" s="813">
        <f>Y124</f>
        <v>0</v>
      </c>
      <c r="AR124" s="813">
        <f t="shared" si="134"/>
        <v>132865</v>
      </c>
      <c r="AS124" s="813">
        <f t="shared" si="134"/>
        <v>7862</v>
      </c>
      <c r="AT124" s="813">
        <f>M124+AE124</f>
        <v>2262</v>
      </c>
      <c r="AU124" s="836">
        <f>N124+AN124</f>
        <v>1.34</v>
      </c>
      <c r="AV124" s="836">
        <f t="shared" si="135"/>
        <v>0</v>
      </c>
      <c r="AW124" s="837">
        <f t="shared" si="135"/>
        <v>1.34</v>
      </c>
      <c r="AX124" s="925"/>
    </row>
    <row r="125" spans="1:50" ht="12.95" customHeight="1" x14ac:dyDescent="0.25">
      <c r="A125" s="538">
        <v>24</v>
      </c>
      <c r="B125" s="101">
        <v>5434</v>
      </c>
      <c r="C125" s="101">
        <v>600098923</v>
      </c>
      <c r="D125" s="101">
        <v>70695318</v>
      </c>
      <c r="E125" s="1085" t="s">
        <v>536</v>
      </c>
      <c r="F125" s="1086"/>
      <c r="G125" s="1085"/>
      <c r="H125" s="1087"/>
      <c r="I125" s="820">
        <f t="shared" ref="I125:AW125" si="136">SUM(I122:I124)</f>
        <v>3567181</v>
      </c>
      <c r="J125" s="825">
        <f t="shared" si="136"/>
        <v>2612201</v>
      </c>
      <c r="K125" s="825">
        <f t="shared" si="136"/>
        <v>882924</v>
      </c>
      <c r="L125" s="825">
        <f t="shared" si="136"/>
        <v>52244</v>
      </c>
      <c r="M125" s="825">
        <f t="shared" si="136"/>
        <v>19812</v>
      </c>
      <c r="N125" s="1070">
        <f t="shared" si="136"/>
        <v>6.7298</v>
      </c>
      <c r="O125" s="1070">
        <f t="shared" si="136"/>
        <v>4</v>
      </c>
      <c r="P125" s="1071">
        <f t="shared" si="136"/>
        <v>2.7298</v>
      </c>
      <c r="Q125" s="825">
        <f t="shared" si="136"/>
        <v>0</v>
      </c>
      <c r="R125" s="821">
        <f t="shared" si="136"/>
        <v>173222</v>
      </c>
      <c r="S125" s="821">
        <f t="shared" si="136"/>
        <v>0</v>
      </c>
      <c r="T125" s="821">
        <f t="shared" si="136"/>
        <v>0</v>
      </c>
      <c r="U125" s="821">
        <f t="shared" si="136"/>
        <v>173222</v>
      </c>
      <c r="V125" s="821">
        <f t="shared" si="136"/>
        <v>0</v>
      </c>
      <c r="W125" s="821">
        <f t="shared" si="136"/>
        <v>0</v>
      </c>
      <c r="X125" s="821">
        <f t="shared" si="136"/>
        <v>0</v>
      </c>
      <c r="Y125" s="821">
        <f t="shared" si="136"/>
        <v>0</v>
      </c>
      <c r="Z125" s="821">
        <f t="shared" si="136"/>
        <v>173222</v>
      </c>
      <c r="AA125" s="821">
        <f t="shared" si="136"/>
        <v>58549</v>
      </c>
      <c r="AB125" s="821">
        <f t="shared" si="136"/>
        <v>3464</v>
      </c>
      <c r="AC125" s="821">
        <f t="shared" si="136"/>
        <v>0</v>
      </c>
      <c r="AD125" s="821">
        <f t="shared" si="136"/>
        <v>0</v>
      </c>
      <c r="AE125" s="821">
        <f t="shared" si="136"/>
        <v>0</v>
      </c>
      <c r="AF125" s="821">
        <f t="shared" si="136"/>
        <v>235235</v>
      </c>
      <c r="AG125" s="822">
        <f t="shared" si="136"/>
        <v>0</v>
      </c>
      <c r="AH125" s="822">
        <f t="shared" si="136"/>
        <v>0</v>
      </c>
      <c r="AI125" s="822">
        <f t="shared" si="136"/>
        <v>9.0000000000000024E-2</v>
      </c>
      <c r="AJ125" s="822">
        <f t="shared" si="136"/>
        <v>0</v>
      </c>
      <c r="AK125" s="822">
        <f t="shared" si="136"/>
        <v>0</v>
      </c>
      <c r="AL125" s="822">
        <f t="shared" si="136"/>
        <v>9.0000000000000024E-2</v>
      </c>
      <c r="AM125" s="822">
        <f t="shared" si="136"/>
        <v>0</v>
      </c>
      <c r="AN125" s="1072">
        <f t="shared" si="136"/>
        <v>9.0000000000000024E-2</v>
      </c>
      <c r="AO125" s="820">
        <f t="shared" si="136"/>
        <v>3802416</v>
      </c>
      <c r="AP125" s="821">
        <f t="shared" si="136"/>
        <v>2785423</v>
      </c>
      <c r="AQ125" s="821">
        <f t="shared" si="136"/>
        <v>0</v>
      </c>
      <c r="AR125" s="821">
        <f t="shared" si="136"/>
        <v>941473</v>
      </c>
      <c r="AS125" s="821">
        <f t="shared" si="136"/>
        <v>55708</v>
      </c>
      <c r="AT125" s="821">
        <f t="shared" si="136"/>
        <v>19812</v>
      </c>
      <c r="AU125" s="822">
        <f t="shared" si="136"/>
        <v>6.8197999999999999</v>
      </c>
      <c r="AV125" s="822">
        <f t="shared" si="136"/>
        <v>4.09</v>
      </c>
      <c r="AW125" s="824">
        <f t="shared" si="136"/>
        <v>2.7298</v>
      </c>
      <c r="AX125" s="925"/>
    </row>
    <row r="126" spans="1:50" ht="12.95" customHeight="1" x14ac:dyDescent="0.25">
      <c r="A126" s="827">
        <v>25</v>
      </c>
      <c r="B126" s="536">
        <v>5433</v>
      </c>
      <c r="C126" s="536">
        <v>600099253</v>
      </c>
      <c r="D126" s="828">
        <v>70695300</v>
      </c>
      <c r="E126" s="535" t="s">
        <v>537</v>
      </c>
      <c r="F126" s="536">
        <v>3117</v>
      </c>
      <c r="G126" s="1056" t="s">
        <v>335</v>
      </c>
      <c r="H126" s="832" t="s">
        <v>283</v>
      </c>
      <c r="I126" s="803">
        <f>SUM(J126:M126)</f>
        <v>3476295</v>
      </c>
      <c r="J126" s="833">
        <v>2512013</v>
      </c>
      <c r="K126" s="805">
        <f>ROUND((J126)*33.8%,0)+1</f>
        <v>849061</v>
      </c>
      <c r="L126" s="805">
        <f>ROUND(J126*2%,0)+1</f>
        <v>50241</v>
      </c>
      <c r="M126" s="833">
        <v>64980</v>
      </c>
      <c r="N126" s="834">
        <f>SUM(O126:P126)</f>
        <v>4.4928999999999997</v>
      </c>
      <c r="O126" s="1054">
        <v>3.2688999999999999</v>
      </c>
      <c r="P126" s="1055">
        <v>1.224</v>
      </c>
      <c r="Q126" s="835">
        <f>V126*-1</f>
        <v>0</v>
      </c>
      <c r="R126" s="813">
        <v>0</v>
      </c>
      <c r="S126" s="813">
        <v>0</v>
      </c>
      <c r="T126" s="813">
        <v>0</v>
      </c>
      <c r="U126" s="813">
        <f>SUM(Q126:T126)</f>
        <v>0</v>
      </c>
      <c r="V126" s="813">
        <v>0</v>
      </c>
      <c r="W126" s="813">
        <v>0</v>
      </c>
      <c r="X126" s="813">
        <v>0</v>
      </c>
      <c r="Y126" s="813">
        <f>SUM(V126:X126)</f>
        <v>0</v>
      </c>
      <c r="Z126" s="813">
        <f>U126+Y126</f>
        <v>0</v>
      </c>
      <c r="AA126" s="809">
        <f>ROUND((U126+V126+W126)*33.8%,0)</f>
        <v>0</v>
      </c>
      <c r="AB126" s="809">
        <f>ROUND(U126*2%,0)</f>
        <v>0</v>
      </c>
      <c r="AC126" s="813">
        <v>0</v>
      </c>
      <c r="AD126" s="813">
        <v>0</v>
      </c>
      <c r="AE126" s="813">
        <f>SUM(AC126:AD126)</f>
        <v>0</v>
      </c>
      <c r="AF126" s="813">
        <f>Z126+AA126+AB126+AE126</f>
        <v>0</v>
      </c>
      <c r="AG126" s="836">
        <v>0</v>
      </c>
      <c r="AH126" s="836">
        <v>0</v>
      </c>
      <c r="AI126" s="836">
        <v>0</v>
      </c>
      <c r="AJ126" s="836">
        <v>0</v>
      </c>
      <c r="AK126" s="836">
        <v>0</v>
      </c>
      <c r="AL126" s="836">
        <f>AG126+AI126+AJ126</f>
        <v>0</v>
      </c>
      <c r="AM126" s="836">
        <f>AH126+AK126</f>
        <v>0</v>
      </c>
      <c r="AN126" s="949">
        <f>SUM(AL126:AM126)</f>
        <v>0</v>
      </c>
      <c r="AO126" s="945">
        <f>I126+AF126</f>
        <v>3476295</v>
      </c>
      <c r="AP126" s="813">
        <f>J126+U126</f>
        <v>2512013</v>
      </c>
      <c r="AQ126" s="813">
        <f>Y126</f>
        <v>0</v>
      </c>
      <c r="AR126" s="813">
        <f t="shared" ref="AR126:AS130" si="137">K126+AA126</f>
        <v>849061</v>
      </c>
      <c r="AS126" s="813">
        <f t="shared" si="137"/>
        <v>50241</v>
      </c>
      <c r="AT126" s="813">
        <f>M126+AE126</f>
        <v>64980</v>
      </c>
      <c r="AU126" s="836">
        <f>N126+AN126</f>
        <v>4.4928999999999997</v>
      </c>
      <c r="AV126" s="836">
        <f t="shared" ref="AV126:AW130" si="138">O126+AL126</f>
        <v>3.2688999999999999</v>
      </c>
      <c r="AW126" s="837">
        <f t="shared" si="138"/>
        <v>1.224</v>
      </c>
      <c r="AX126" s="925"/>
    </row>
    <row r="127" spans="1:50" ht="12.95" customHeight="1" x14ac:dyDescent="0.25">
      <c r="A127" s="827">
        <v>25</v>
      </c>
      <c r="B127" s="536">
        <v>5433</v>
      </c>
      <c r="C127" s="536">
        <v>600099253</v>
      </c>
      <c r="D127" s="828">
        <v>70695300</v>
      </c>
      <c r="E127" s="1053" t="s">
        <v>537</v>
      </c>
      <c r="F127" s="536">
        <v>3117</v>
      </c>
      <c r="G127" s="948" t="s">
        <v>318</v>
      </c>
      <c r="H127" s="832" t="s">
        <v>284</v>
      </c>
      <c r="I127" s="803">
        <f>SUM(J127:M127)</f>
        <v>0</v>
      </c>
      <c r="J127" s="833">
        <v>0</v>
      </c>
      <c r="K127" s="805">
        <f>ROUND((J127)*33.8%,0)</f>
        <v>0</v>
      </c>
      <c r="L127" s="805">
        <f>ROUND(J127*2%,0)</f>
        <v>0</v>
      </c>
      <c r="M127" s="833">
        <v>0</v>
      </c>
      <c r="N127" s="834">
        <f>SUM(O127:P127)</f>
        <v>0</v>
      </c>
      <c r="O127" s="1054">
        <v>0</v>
      </c>
      <c r="P127" s="1055">
        <v>0</v>
      </c>
      <c r="Q127" s="835">
        <f>V127*-1</f>
        <v>0</v>
      </c>
      <c r="R127" s="813">
        <v>0</v>
      </c>
      <c r="S127" s="813">
        <v>0</v>
      </c>
      <c r="T127" s="813">
        <v>0</v>
      </c>
      <c r="U127" s="813">
        <f>SUM(Q127:T127)</f>
        <v>0</v>
      </c>
      <c r="V127" s="813">
        <v>0</v>
      </c>
      <c r="W127" s="813">
        <v>0</v>
      </c>
      <c r="X127" s="813">
        <v>0</v>
      </c>
      <c r="Y127" s="813">
        <f>SUM(V127:X127)</f>
        <v>0</v>
      </c>
      <c r="Z127" s="813">
        <f>U127+Y127</f>
        <v>0</v>
      </c>
      <c r="AA127" s="809">
        <f>ROUND((U127+V127+W127)*33.8%,0)</f>
        <v>0</v>
      </c>
      <c r="AB127" s="809">
        <f>ROUND(U127*2%,0)</f>
        <v>0</v>
      </c>
      <c r="AC127" s="813">
        <v>0</v>
      </c>
      <c r="AD127" s="813">
        <v>0</v>
      </c>
      <c r="AE127" s="813">
        <f>SUM(AC127:AD127)</f>
        <v>0</v>
      </c>
      <c r="AF127" s="813">
        <f>Z127+AA127+AB127+AE127</f>
        <v>0</v>
      </c>
      <c r="AG127" s="836">
        <v>0</v>
      </c>
      <c r="AH127" s="836">
        <v>0</v>
      </c>
      <c r="AI127" s="836">
        <v>0</v>
      </c>
      <c r="AJ127" s="836">
        <v>0</v>
      </c>
      <c r="AK127" s="836">
        <v>0</v>
      </c>
      <c r="AL127" s="836">
        <f>AG127+AI127+AJ127</f>
        <v>0</v>
      </c>
      <c r="AM127" s="836">
        <f>AH127+AK127</f>
        <v>0</v>
      </c>
      <c r="AN127" s="949">
        <f>SUM(AL127:AM127)</f>
        <v>0</v>
      </c>
      <c r="AO127" s="945">
        <f>I127+AF127</f>
        <v>0</v>
      </c>
      <c r="AP127" s="813">
        <f>J127+U127</f>
        <v>0</v>
      </c>
      <c r="AQ127" s="813">
        <f>Y127</f>
        <v>0</v>
      </c>
      <c r="AR127" s="813">
        <f t="shared" si="137"/>
        <v>0</v>
      </c>
      <c r="AS127" s="813">
        <f t="shared" si="137"/>
        <v>0</v>
      </c>
      <c r="AT127" s="813">
        <f>M127+AE127</f>
        <v>0</v>
      </c>
      <c r="AU127" s="836">
        <f>N127+AN127</f>
        <v>0</v>
      </c>
      <c r="AV127" s="836">
        <f t="shared" si="138"/>
        <v>0</v>
      </c>
      <c r="AW127" s="837">
        <f t="shared" si="138"/>
        <v>0</v>
      </c>
      <c r="AX127" s="925"/>
    </row>
    <row r="128" spans="1:50" ht="12.95" customHeight="1" x14ac:dyDescent="0.25">
      <c r="A128" s="827">
        <v>25</v>
      </c>
      <c r="B128" s="536">
        <v>5433</v>
      </c>
      <c r="C128" s="536">
        <v>600099253</v>
      </c>
      <c r="D128" s="828">
        <v>70695300</v>
      </c>
      <c r="E128" s="1056" t="s">
        <v>537</v>
      </c>
      <c r="F128" s="536">
        <v>3141</v>
      </c>
      <c r="G128" s="1057" t="s">
        <v>321</v>
      </c>
      <c r="H128" s="832" t="s">
        <v>284</v>
      </c>
      <c r="I128" s="803">
        <f>SUM(J128:M128)</f>
        <v>400588</v>
      </c>
      <c r="J128" s="833">
        <v>293361</v>
      </c>
      <c r="K128" s="805">
        <f>ROUND((J128)*33.8%,0)</f>
        <v>99156</v>
      </c>
      <c r="L128" s="805">
        <f>ROUND(J128*2%,0)</f>
        <v>5867</v>
      </c>
      <c r="M128" s="833">
        <v>2204</v>
      </c>
      <c r="N128" s="834">
        <f>SUM(O128:P128)</f>
        <v>1</v>
      </c>
      <c r="O128" s="1054">
        <v>0</v>
      </c>
      <c r="P128" s="1055">
        <v>1</v>
      </c>
      <c r="Q128" s="835">
        <f>V128*-1</f>
        <v>0</v>
      </c>
      <c r="R128" s="813">
        <v>0</v>
      </c>
      <c r="S128" s="813">
        <v>0</v>
      </c>
      <c r="T128" s="813">
        <v>0</v>
      </c>
      <c r="U128" s="813">
        <f>SUM(Q128:T128)</f>
        <v>0</v>
      </c>
      <c r="V128" s="813">
        <v>0</v>
      </c>
      <c r="W128" s="813">
        <v>0</v>
      </c>
      <c r="X128" s="813">
        <v>0</v>
      </c>
      <c r="Y128" s="813">
        <f>SUM(V128:X128)</f>
        <v>0</v>
      </c>
      <c r="Z128" s="813">
        <f>U128+Y128</f>
        <v>0</v>
      </c>
      <c r="AA128" s="809">
        <f>ROUND((U128+V128+W128)*33.8%,0)</f>
        <v>0</v>
      </c>
      <c r="AB128" s="809">
        <f>ROUND(U128*2%,0)</f>
        <v>0</v>
      </c>
      <c r="AC128" s="813">
        <v>0</v>
      </c>
      <c r="AD128" s="813">
        <v>0</v>
      </c>
      <c r="AE128" s="813">
        <f>SUM(AC128:AD128)</f>
        <v>0</v>
      </c>
      <c r="AF128" s="813">
        <f>Z128+AA128+AB128+AE128</f>
        <v>0</v>
      </c>
      <c r="AG128" s="836">
        <v>0</v>
      </c>
      <c r="AH128" s="836">
        <v>0</v>
      </c>
      <c r="AI128" s="836">
        <v>0</v>
      </c>
      <c r="AJ128" s="836">
        <v>0</v>
      </c>
      <c r="AK128" s="836">
        <v>0</v>
      </c>
      <c r="AL128" s="836">
        <f>AG128+AI128+AJ128</f>
        <v>0</v>
      </c>
      <c r="AM128" s="836">
        <f>AH128+AK128</f>
        <v>0</v>
      </c>
      <c r="AN128" s="949">
        <f>SUM(AL128:AM128)</f>
        <v>0</v>
      </c>
      <c r="AO128" s="945">
        <f>I128+AF128</f>
        <v>400588</v>
      </c>
      <c r="AP128" s="813">
        <f>J128+U128</f>
        <v>293361</v>
      </c>
      <c r="AQ128" s="813">
        <f>Y128</f>
        <v>0</v>
      </c>
      <c r="AR128" s="813">
        <f t="shared" si="137"/>
        <v>99156</v>
      </c>
      <c r="AS128" s="813">
        <f t="shared" si="137"/>
        <v>5867</v>
      </c>
      <c r="AT128" s="813">
        <f>M128+AE128</f>
        <v>2204</v>
      </c>
      <c r="AU128" s="836">
        <f>N128+AN128</f>
        <v>1</v>
      </c>
      <c r="AV128" s="836">
        <f t="shared" si="138"/>
        <v>0</v>
      </c>
      <c r="AW128" s="837">
        <f t="shared" si="138"/>
        <v>1</v>
      </c>
      <c r="AX128" s="925"/>
    </row>
    <row r="129" spans="1:50" ht="12.95" customHeight="1" x14ac:dyDescent="0.25">
      <c r="A129" s="827">
        <v>25</v>
      </c>
      <c r="B129" s="536">
        <v>5433</v>
      </c>
      <c r="C129" s="536">
        <v>600099253</v>
      </c>
      <c r="D129" s="828">
        <v>70695300</v>
      </c>
      <c r="E129" s="1053" t="s">
        <v>537</v>
      </c>
      <c r="F129" s="1084">
        <v>3143</v>
      </c>
      <c r="G129" s="948" t="s">
        <v>635</v>
      </c>
      <c r="H129" s="832" t="s">
        <v>283</v>
      </c>
      <c r="I129" s="803">
        <f>SUM(J129:M129)</f>
        <v>565290</v>
      </c>
      <c r="J129" s="833">
        <v>416267</v>
      </c>
      <c r="K129" s="805">
        <f>ROUND((J129)*33.8%,0)</f>
        <v>140698</v>
      </c>
      <c r="L129" s="805">
        <f>ROUND(J129*2%,0)</f>
        <v>8325</v>
      </c>
      <c r="M129" s="833">
        <v>0</v>
      </c>
      <c r="N129" s="834">
        <f>SUM(O129:P129)</f>
        <v>1</v>
      </c>
      <c r="O129" s="1054">
        <v>1</v>
      </c>
      <c r="P129" s="1055">
        <v>0</v>
      </c>
      <c r="Q129" s="835">
        <f>V129*-1</f>
        <v>0</v>
      </c>
      <c r="R129" s="813">
        <v>0</v>
      </c>
      <c r="S129" s="813">
        <v>0</v>
      </c>
      <c r="T129" s="813">
        <v>0</v>
      </c>
      <c r="U129" s="813">
        <f>SUM(Q129:T129)</f>
        <v>0</v>
      </c>
      <c r="V129" s="813">
        <v>0</v>
      </c>
      <c r="W129" s="813">
        <v>0</v>
      </c>
      <c r="X129" s="813">
        <v>0</v>
      </c>
      <c r="Y129" s="813">
        <f>SUM(V129:X129)</f>
        <v>0</v>
      </c>
      <c r="Z129" s="813">
        <f>U129+Y129</f>
        <v>0</v>
      </c>
      <c r="AA129" s="809">
        <f>ROUND((U129+V129+W129)*33.8%,0)</f>
        <v>0</v>
      </c>
      <c r="AB129" s="809">
        <f>ROUND(U129*2%,0)</f>
        <v>0</v>
      </c>
      <c r="AC129" s="813">
        <v>0</v>
      </c>
      <c r="AD129" s="813">
        <v>0</v>
      </c>
      <c r="AE129" s="813">
        <f>SUM(AC129:AD129)</f>
        <v>0</v>
      </c>
      <c r="AF129" s="813">
        <f>Z129+AA129+AB129+AE129</f>
        <v>0</v>
      </c>
      <c r="AG129" s="836">
        <v>0</v>
      </c>
      <c r="AH129" s="836">
        <v>0</v>
      </c>
      <c r="AI129" s="836">
        <v>0</v>
      </c>
      <c r="AJ129" s="836">
        <v>0</v>
      </c>
      <c r="AK129" s="836">
        <v>0</v>
      </c>
      <c r="AL129" s="836">
        <f>AG129+AI129+AJ129</f>
        <v>0</v>
      </c>
      <c r="AM129" s="836">
        <f>AH129+AK129</f>
        <v>0</v>
      </c>
      <c r="AN129" s="949">
        <f>SUM(AL129:AM129)</f>
        <v>0</v>
      </c>
      <c r="AO129" s="945">
        <f>I129+AF129</f>
        <v>565290</v>
      </c>
      <c r="AP129" s="813">
        <f>J129+U129</f>
        <v>416267</v>
      </c>
      <c r="AQ129" s="813">
        <f>Y129</f>
        <v>0</v>
      </c>
      <c r="AR129" s="813">
        <f t="shared" si="137"/>
        <v>140698</v>
      </c>
      <c r="AS129" s="813">
        <f t="shared" si="137"/>
        <v>8325</v>
      </c>
      <c r="AT129" s="813">
        <f>M129+AE129</f>
        <v>0</v>
      </c>
      <c r="AU129" s="836">
        <f>N129+AN129</f>
        <v>1</v>
      </c>
      <c r="AV129" s="836">
        <f t="shared" si="138"/>
        <v>1</v>
      </c>
      <c r="AW129" s="837">
        <f t="shared" si="138"/>
        <v>0</v>
      </c>
      <c r="AX129" s="925"/>
    </row>
    <row r="130" spans="1:50" ht="12.95" customHeight="1" x14ac:dyDescent="0.25">
      <c r="A130" s="827">
        <v>25</v>
      </c>
      <c r="B130" s="536">
        <v>5433</v>
      </c>
      <c r="C130" s="536">
        <v>600099253</v>
      </c>
      <c r="D130" s="828">
        <v>70695300</v>
      </c>
      <c r="E130" s="1053" t="s">
        <v>537</v>
      </c>
      <c r="F130" s="1084">
        <v>3143</v>
      </c>
      <c r="G130" s="948" t="s">
        <v>636</v>
      </c>
      <c r="H130" s="832" t="s">
        <v>284</v>
      </c>
      <c r="I130" s="803">
        <f>SUM(J130:M130)</f>
        <v>21066</v>
      </c>
      <c r="J130" s="833">
        <v>14850</v>
      </c>
      <c r="K130" s="805">
        <f>ROUND((J130)*33.8%,0)</f>
        <v>5019</v>
      </c>
      <c r="L130" s="805">
        <f>ROUND(J130*2%,0)</f>
        <v>297</v>
      </c>
      <c r="M130" s="833">
        <v>900</v>
      </c>
      <c r="N130" s="834">
        <f>SUM(O130:P130)</f>
        <v>0.06</v>
      </c>
      <c r="O130" s="1054">
        <v>0</v>
      </c>
      <c r="P130" s="1055">
        <v>0.06</v>
      </c>
      <c r="Q130" s="835">
        <f>V130*-1</f>
        <v>0</v>
      </c>
      <c r="R130" s="813">
        <v>0</v>
      </c>
      <c r="S130" s="813">
        <v>0</v>
      </c>
      <c r="T130" s="813">
        <v>0</v>
      </c>
      <c r="U130" s="813">
        <f>SUM(Q130:T130)</f>
        <v>0</v>
      </c>
      <c r="V130" s="813">
        <v>0</v>
      </c>
      <c r="W130" s="813">
        <v>0</v>
      </c>
      <c r="X130" s="813">
        <v>0</v>
      </c>
      <c r="Y130" s="813">
        <f>SUM(V130:X130)</f>
        <v>0</v>
      </c>
      <c r="Z130" s="813">
        <f>U130+Y130</f>
        <v>0</v>
      </c>
      <c r="AA130" s="809">
        <f>ROUND((U130+V130+W130)*33.8%,0)</f>
        <v>0</v>
      </c>
      <c r="AB130" s="809">
        <f>ROUND(U130*2%,0)</f>
        <v>0</v>
      </c>
      <c r="AC130" s="813">
        <v>0</v>
      </c>
      <c r="AD130" s="813">
        <v>0</v>
      </c>
      <c r="AE130" s="813">
        <f>SUM(AC130:AD130)</f>
        <v>0</v>
      </c>
      <c r="AF130" s="813">
        <f>Z130+AA130+AB130+AE130</f>
        <v>0</v>
      </c>
      <c r="AG130" s="836">
        <v>0</v>
      </c>
      <c r="AH130" s="836">
        <v>0</v>
      </c>
      <c r="AI130" s="836">
        <v>0</v>
      </c>
      <c r="AJ130" s="836">
        <v>0</v>
      </c>
      <c r="AK130" s="836">
        <v>0</v>
      </c>
      <c r="AL130" s="836">
        <f>AG130+AI130+AJ130</f>
        <v>0</v>
      </c>
      <c r="AM130" s="836">
        <f>AH130+AK130</f>
        <v>0</v>
      </c>
      <c r="AN130" s="949">
        <f>SUM(AL130:AM130)</f>
        <v>0</v>
      </c>
      <c r="AO130" s="945">
        <f>I130+AF130</f>
        <v>21066</v>
      </c>
      <c r="AP130" s="813">
        <f>J130+U130</f>
        <v>14850</v>
      </c>
      <c r="AQ130" s="813">
        <f>Y130</f>
        <v>0</v>
      </c>
      <c r="AR130" s="813">
        <f t="shared" si="137"/>
        <v>5019</v>
      </c>
      <c r="AS130" s="813">
        <f t="shared" si="137"/>
        <v>297</v>
      </c>
      <c r="AT130" s="813">
        <f>M130+AE130</f>
        <v>900</v>
      </c>
      <c r="AU130" s="836">
        <f>N130+AN130</f>
        <v>0.06</v>
      </c>
      <c r="AV130" s="836">
        <f t="shared" si="138"/>
        <v>0</v>
      </c>
      <c r="AW130" s="837">
        <f t="shared" si="138"/>
        <v>0.06</v>
      </c>
      <c r="AX130" s="925"/>
    </row>
    <row r="131" spans="1:50" ht="12.95" customHeight="1" x14ac:dyDescent="0.25">
      <c r="A131" s="538">
        <v>25</v>
      </c>
      <c r="B131" s="100">
        <v>5433</v>
      </c>
      <c r="C131" s="100">
        <v>600099253</v>
      </c>
      <c r="D131" s="100">
        <v>70695300</v>
      </c>
      <c r="E131" s="1085" t="s">
        <v>538</v>
      </c>
      <c r="F131" s="1086"/>
      <c r="G131" s="1085"/>
      <c r="H131" s="1087"/>
      <c r="I131" s="820">
        <f t="shared" ref="I131:AW131" si="139">SUM(I126:I130)</f>
        <v>4463239</v>
      </c>
      <c r="J131" s="825">
        <f t="shared" si="139"/>
        <v>3236491</v>
      </c>
      <c r="K131" s="825">
        <f t="shared" si="139"/>
        <v>1093934</v>
      </c>
      <c r="L131" s="825">
        <f t="shared" si="139"/>
        <v>64730</v>
      </c>
      <c r="M131" s="825">
        <f t="shared" si="139"/>
        <v>68084</v>
      </c>
      <c r="N131" s="1070">
        <f t="shared" si="139"/>
        <v>6.5528999999999993</v>
      </c>
      <c r="O131" s="1070">
        <f t="shared" si="139"/>
        <v>4.2689000000000004</v>
      </c>
      <c r="P131" s="1071">
        <f t="shared" si="139"/>
        <v>2.2840000000000003</v>
      </c>
      <c r="Q131" s="825">
        <f t="shared" si="139"/>
        <v>0</v>
      </c>
      <c r="R131" s="821">
        <f t="shared" si="139"/>
        <v>0</v>
      </c>
      <c r="S131" s="821">
        <f t="shared" si="139"/>
        <v>0</v>
      </c>
      <c r="T131" s="821">
        <f t="shared" si="139"/>
        <v>0</v>
      </c>
      <c r="U131" s="821">
        <f t="shared" si="139"/>
        <v>0</v>
      </c>
      <c r="V131" s="821">
        <f t="shared" si="139"/>
        <v>0</v>
      </c>
      <c r="W131" s="821">
        <f t="shared" si="139"/>
        <v>0</v>
      </c>
      <c r="X131" s="821">
        <f t="shared" si="139"/>
        <v>0</v>
      </c>
      <c r="Y131" s="821">
        <f t="shared" si="139"/>
        <v>0</v>
      </c>
      <c r="Z131" s="821">
        <f t="shared" si="139"/>
        <v>0</v>
      </c>
      <c r="AA131" s="821">
        <f t="shared" si="139"/>
        <v>0</v>
      </c>
      <c r="AB131" s="821">
        <f t="shared" si="139"/>
        <v>0</v>
      </c>
      <c r="AC131" s="821">
        <f t="shared" si="139"/>
        <v>0</v>
      </c>
      <c r="AD131" s="821">
        <f t="shared" si="139"/>
        <v>0</v>
      </c>
      <c r="AE131" s="821">
        <f t="shared" si="139"/>
        <v>0</v>
      </c>
      <c r="AF131" s="821">
        <f t="shared" si="139"/>
        <v>0</v>
      </c>
      <c r="AG131" s="822">
        <f t="shared" si="139"/>
        <v>0</v>
      </c>
      <c r="AH131" s="822">
        <f t="shared" si="139"/>
        <v>0</v>
      </c>
      <c r="AI131" s="822">
        <f t="shared" si="139"/>
        <v>0</v>
      </c>
      <c r="AJ131" s="822">
        <f t="shared" si="139"/>
        <v>0</v>
      </c>
      <c r="AK131" s="822">
        <f t="shared" si="139"/>
        <v>0</v>
      </c>
      <c r="AL131" s="822">
        <f t="shared" si="139"/>
        <v>0</v>
      </c>
      <c r="AM131" s="822">
        <f t="shared" si="139"/>
        <v>0</v>
      </c>
      <c r="AN131" s="1072">
        <f t="shared" si="139"/>
        <v>0</v>
      </c>
      <c r="AO131" s="820">
        <f t="shared" si="139"/>
        <v>4463239</v>
      </c>
      <c r="AP131" s="821">
        <f t="shared" si="139"/>
        <v>3236491</v>
      </c>
      <c r="AQ131" s="821">
        <f t="shared" si="139"/>
        <v>0</v>
      </c>
      <c r="AR131" s="821">
        <f t="shared" si="139"/>
        <v>1093934</v>
      </c>
      <c r="AS131" s="821">
        <f t="shared" si="139"/>
        <v>64730</v>
      </c>
      <c r="AT131" s="821">
        <f t="shared" si="139"/>
        <v>68084</v>
      </c>
      <c r="AU131" s="822">
        <f t="shared" si="139"/>
        <v>6.5528999999999993</v>
      </c>
      <c r="AV131" s="822">
        <f t="shared" si="139"/>
        <v>4.2689000000000004</v>
      </c>
      <c r="AW131" s="824">
        <f t="shared" si="139"/>
        <v>2.2840000000000003</v>
      </c>
      <c r="AX131" s="925"/>
    </row>
    <row r="132" spans="1:50" ht="12.95" customHeight="1" x14ac:dyDescent="0.25">
      <c r="A132" s="827">
        <v>26</v>
      </c>
      <c r="B132" s="536">
        <v>5486</v>
      </c>
      <c r="C132" s="536">
        <v>600098711</v>
      </c>
      <c r="D132" s="828">
        <v>72744022</v>
      </c>
      <c r="E132" s="1056" t="s">
        <v>539</v>
      </c>
      <c r="F132" s="536">
        <v>3111</v>
      </c>
      <c r="G132" s="1057" t="s">
        <v>331</v>
      </c>
      <c r="H132" s="832" t="s">
        <v>283</v>
      </c>
      <c r="I132" s="803">
        <f>SUM(J132:M132)</f>
        <v>2013114</v>
      </c>
      <c r="J132" s="833">
        <v>1474789</v>
      </c>
      <c r="K132" s="805">
        <f>ROUND((J132)*33.8%,0)</f>
        <v>498479</v>
      </c>
      <c r="L132" s="805">
        <f>ROUND(J132*2%,0)</f>
        <v>29496</v>
      </c>
      <c r="M132" s="833">
        <v>10350</v>
      </c>
      <c r="N132" s="834">
        <f>SUM(O132:P132)</f>
        <v>3.1251999999999995</v>
      </c>
      <c r="O132" s="1054">
        <v>2.2902999999999998</v>
      </c>
      <c r="P132" s="1055">
        <v>0.83489999999999998</v>
      </c>
      <c r="Q132" s="835">
        <f>V132*-1</f>
        <v>0</v>
      </c>
      <c r="R132" s="813">
        <v>0</v>
      </c>
      <c r="S132" s="813">
        <v>0</v>
      </c>
      <c r="T132" s="813">
        <v>0</v>
      </c>
      <c r="U132" s="813">
        <f>SUM(Q132:T132)</f>
        <v>0</v>
      </c>
      <c r="V132" s="813">
        <v>0</v>
      </c>
      <c r="W132" s="813">
        <v>0</v>
      </c>
      <c r="X132" s="813">
        <v>0</v>
      </c>
      <c r="Y132" s="813">
        <f>SUM(V132:X132)</f>
        <v>0</v>
      </c>
      <c r="Z132" s="813">
        <f>U132+Y132</f>
        <v>0</v>
      </c>
      <c r="AA132" s="809">
        <f>ROUND((U132+V132+W132)*33.8%,0)</f>
        <v>0</v>
      </c>
      <c r="AB132" s="809">
        <f>ROUND(U132*2%,0)</f>
        <v>0</v>
      </c>
      <c r="AC132" s="813">
        <v>0</v>
      </c>
      <c r="AD132" s="813">
        <v>0</v>
      </c>
      <c r="AE132" s="813">
        <f>SUM(AC132:AD132)</f>
        <v>0</v>
      </c>
      <c r="AF132" s="813">
        <f>Z132+AA132+AB132+AE132</f>
        <v>0</v>
      </c>
      <c r="AG132" s="836">
        <v>0</v>
      </c>
      <c r="AH132" s="836">
        <v>0</v>
      </c>
      <c r="AI132" s="836">
        <v>0</v>
      </c>
      <c r="AJ132" s="836">
        <v>0</v>
      </c>
      <c r="AK132" s="836">
        <v>0</v>
      </c>
      <c r="AL132" s="836">
        <f>AG132+AI132+AJ132</f>
        <v>0</v>
      </c>
      <c r="AM132" s="836">
        <f>AH132+AK132</f>
        <v>0</v>
      </c>
      <c r="AN132" s="949">
        <f>SUM(AL132:AM132)</f>
        <v>0</v>
      </c>
      <c r="AO132" s="945">
        <f>I132+AF132</f>
        <v>2013114</v>
      </c>
      <c r="AP132" s="813">
        <f>J132+U132</f>
        <v>1474789</v>
      </c>
      <c r="AQ132" s="813">
        <f>Y132</f>
        <v>0</v>
      </c>
      <c r="AR132" s="813">
        <f>K132+AA132</f>
        <v>498479</v>
      </c>
      <c r="AS132" s="813">
        <f>L132+AB132</f>
        <v>29496</v>
      </c>
      <c r="AT132" s="813">
        <f>M132+AE132</f>
        <v>10350</v>
      </c>
      <c r="AU132" s="836">
        <f>N132+AN132</f>
        <v>3.1251999999999995</v>
      </c>
      <c r="AV132" s="836">
        <f>O132+AL132</f>
        <v>2.2902999999999998</v>
      </c>
      <c r="AW132" s="837">
        <f>P132+AM132</f>
        <v>0.83489999999999998</v>
      </c>
      <c r="AX132" s="925"/>
    </row>
    <row r="133" spans="1:50" ht="12.95" customHeight="1" x14ac:dyDescent="0.25">
      <c r="A133" s="827">
        <v>26</v>
      </c>
      <c r="B133" s="536">
        <v>5486</v>
      </c>
      <c r="C133" s="536">
        <v>600098711</v>
      </c>
      <c r="D133" s="828">
        <v>72744022</v>
      </c>
      <c r="E133" s="1056" t="s">
        <v>539</v>
      </c>
      <c r="F133" s="536">
        <v>3141</v>
      </c>
      <c r="G133" s="1057" t="s">
        <v>321</v>
      </c>
      <c r="H133" s="832" t="s">
        <v>284</v>
      </c>
      <c r="I133" s="803">
        <f>SUM(J133:M133)</f>
        <v>362762</v>
      </c>
      <c r="J133" s="833">
        <v>266147</v>
      </c>
      <c r="K133" s="805">
        <f>ROUND((J133)*33.8%,0)</f>
        <v>89958</v>
      </c>
      <c r="L133" s="805">
        <f>ROUND(J133*2%,0)</f>
        <v>5323</v>
      </c>
      <c r="M133" s="833">
        <v>1334</v>
      </c>
      <c r="N133" s="834">
        <f>SUM(O133:P133)</f>
        <v>0.91</v>
      </c>
      <c r="O133" s="1054">
        <v>0</v>
      </c>
      <c r="P133" s="1055">
        <v>0.91</v>
      </c>
      <c r="Q133" s="835">
        <f>V133*-1</f>
        <v>0</v>
      </c>
      <c r="R133" s="813">
        <v>0</v>
      </c>
      <c r="S133" s="813">
        <v>0</v>
      </c>
      <c r="T133" s="813">
        <v>0</v>
      </c>
      <c r="U133" s="813">
        <f>SUM(Q133:T133)</f>
        <v>0</v>
      </c>
      <c r="V133" s="813">
        <v>0</v>
      </c>
      <c r="W133" s="813">
        <v>0</v>
      </c>
      <c r="X133" s="813">
        <v>0</v>
      </c>
      <c r="Y133" s="813">
        <f>SUM(V133:X133)</f>
        <v>0</v>
      </c>
      <c r="Z133" s="813">
        <f>U133+Y133</f>
        <v>0</v>
      </c>
      <c r="AA133" s="809">
        <f>ROUND((U133+V133+W133)*33.8%,0)</f>
        <v>0</v>
      </c>
      <c r="AB133" s="809">
        <f>ROUND(U133*2%,0)</f>
        <v>0</v>
      </c>
      <c r="AC133" s="813">
        <v>0</v>
      </c>
      <c r="AD133" s="813">
        <v>0</v>
      </c>
      <c r="AE133" s="813">
        <f>SUM(AC133:AD133)</f>
        <v>0</v>
      </c>
      <c r="AF133" s="813">
        <f>Z133+AA133+AB133+AE133</f>
        <v>0</v>
      </c>
      <c r="AG133" s="836">
        <v>0</v>
      </c>
      <c r="AH133" s="836">
        <v>0</v>
      </c>
      <c r="AI133" s="836">
        <v>0</v>
      </c>
      <c r="AJ133" s="836">
        <v>0</v>
      </c>
      <c r="AK133" s="836">
        <v>0</v>
      </c>
      <c r="AL133" s="836">
        <f>AG133+AI133+AJ133</f>
        <v>0</v>
      </c>
      <c r="AM133" s="836">
        <f>AH133+AK133</f>
        <v>0</v>
      </c>
      <c r="AN133" s="949">
        <f>SUM(AL133:AM133)</f>
        <v>0</v>
      </c>
      <c r="AO133" s="945">
        <f>I133+AF133</f>
        <v>362762</v>
      </c>
      <c r="AP133" s="813">
        <f>J133+U133</f>
        <v>266147</v>
      </c>
      <c r="AQ133" s="813">
        <f>Y133</f>
        <v>0</v>
      </c>
      <c r="AR133" s="813">
        <f>K133+AA133</f>
        <v>89958</v>
      </c>
      <c r="AS133" s="813">
        <f>L133+AB133</f>
        <v>5323</v>
      </c>
      <c r="AT133" s="813">
        <f>M133+AE133</f>
        <v>1334</v>
      </c>
      <c r="AU133" s="836">
        <f>N133+AN133</f>
        <v>0.91</v>
      </c>
      <c r="AV133" s="836">
        <f>O133+AL133</f>
        <v>0</v>
      </c>
      <c r="AW133" s="837">
        <f>P133+AM133</f>
        <v>0.91</v>
      </c>
      <c r="AX133" s="925"/>
    </row>
    <row r="134" spans="1:50" ht="12.95" customHeight="1" x14ac:dyDescent="0.25">
      <c r="A134" s="538">
        <v>26</v>
      </c>
      <c r="B134" s="100">
        <v>5486</v>
      </c>
      <c r="C134" s="100">
        <v>600098711</v>
      </c>
      <c r="D134" s="100">
        <v>72744022</v>
      </c>
      <c r="E134" s="1058" t="s">
        <v>540</v>
      </c>
      <c r="F134" s="100"/>
      <c r="G134" s="1058"/>
      <c r="H134" s="449"/>
      <c r="I134" s="1074">
        <f t="shared" ref="I134:AW134" si="140">SUM(I132:I133)</f>
        <v>2375876</v>
      </c>
      <c r="J134" s="1075">
        <f t="shared" si="140"/>
        <v>1740936</v>
      </c>
      <c r="K134" s="1075">
        <f t="shared" si="140"/>
        <v>588437</v>
      </c>
      <c r="L134" s="1075">
        <f t="shared" si="140"/>
        <v>34819</v>
      </c>
      <c r="M134" s="1075">
        <f t="shared" si="140"/>
        <v>11684</v>
      </c>
      <c r="N134" s="1076">
        <f t="shared" si="140"/>
        <v>4.0351999999999997</v>
      </c>
      <c r="O134" s="1076">
        <f t="shared" si="140"/>
        <v>2.2902999999999998</v>
      </c>
      <c r="P134" s="1077">
        <f t="shared" si="140"/>
        <v>1.7448999999999999</v>
      </c>
      <c r="Q134" s="1075">
        <f t="shared" si="140"/>
        <v>0</v>
      </c>
      <c r="R134" s="1078">
        <f t="shared" si="140"/>
        <v>0</v>
      </c>
      <c r="S134" s="1078">
        <f t="shared" si="140"/>
        <v>0</v>
      </c>
      <c r="T134" s="1078">
        <f t="shared" si="140"/>
        <v>0</v>
      </c>
      <c r="U134" s="1078">
        <f t="shared" si="140"/>
        <v>0</v>
      </c>
      <c r="V134" s="1078">
        <f t="shared" si="140"/>
        <v>0</v>
      </c>
      <c r="W134" s="1078">
        <f t="shared" si="140"/>
        <v>0</v>
      </c>
      <c r="X134" s="1078">
        <f t="shared" si="140"/>
        <v>0</v>
      </c>
      <c r="Y134" s="1078">
        <f t="shared" si="140"/>
        <v>0</v>
      </c>
      <c r="Z134" s="1078">
        <f t="shared" si="140"/>
        <v>0</v>
      </c>
      <c r="AA134" s="1078">
        <f t="shared" si="140"/>
        <v>0</v>
      </c>
      <c r="AB134" s="1078">
        <f t="shared" si="140"/>
        <v>0</v>
      </c>
      <c r="AC134" s="1078">
        <f t="shared" si="140"/>
        <v>0</v>
      </c>
      <c r="AD134" s="1078">
        <f t="shared" si="140"/>
        <v>0</v>
      </c>
      <c r="AE134" s="1078">
        <f t="shared" si="140"/>
        <v>0</v>
      </c>
      <c r="AF134" s="1078">
        <f t="shared" si="140"/>
        <v>0</v>
      </c>
      <c r="AG134" s="1079">
        <f t="shared" si="140"/>
        <v>0</v>
      </c>
      <c r="AH134" s="1079">
        <f t="shared" si="140"/>
        <v>0</v>
      </c>
      <c r="AI134" s="1079">
        <f t="shared" si="140"/>
        <v>0</v>
      </c>
      <c r="AJ134" s="1079">
        <f t="shared" si="140"/>
        <v>0</v>
      </c>
      <c r="AK134" s="1079">
        <f t="shared" si="140"/>
        <v>0</v>
      </c>
      <c r="AL134" s="1079">
        <f t="shared" si="140"/>
        <v>0</v>
      </c>
      <c r="AM134" s="1079">
        <f t="shared" si="140"/>
        <v>0</v>
      </c>
      <c r="AN134" s="1080">
        <f t="shared" si="140"/>
        <v>0</v>
      </c>
      <c r="AO134" s="1074">
        <f t="shared" si="140"/>
        <v>2375876</v>
      </c>
      <c r="AP134" s="1078">
        <f t="shared" si="140"/>
        <v>1740936</v>
      </c>
      <c r="AQ134" s="1078">
        <f t="shared" si="140"/>
        <v>0</v>
      </c>
      <c r="AR134" s="1078">
        <f t="shared" si="140"/>
        <v>588437</v>
      </c>
      <c r="AS134" s="1078">
        <f t="shared" si="140"/>
        <v>34819</v>
      </c>
      <c r="AT134" s="1078">
        <f t="shared" si="140"/>
        <v>11684</v>
      </c>
      <c r="AU134" s="1079">
        <f t="shared" si="140"/>
        <v>4.0351999999999997</v>
      </c>
      <c r="AV134" s="1079">
        <f t="shared" si="140"/>
        <v>2.2902999999999998</v>
      </c>
      <c r="AW134" s="1081">
        <f t="shared" si="140"/>
        <v>1.7448999999999999</v>
      </c>
      <c r="AX134" s="925"/>
    </row>
    <row r="135" spans="1:50" ht="12.95" customHeight="1" x14ac:dyDescent="0.25">
      <c r="A135" s="827">
        <v>27</v>
      </c>
      <c r="B135" s="1068">
        <v>2440</v>
      </c>
      <c r="C135" s="1068">
        <v>600079392</v>
      </c>
      <c r="D135" s="828">
        <v>70981183</v>
      </c>
      <c r="E135" s="1056" t="s">
        <v>541</v>
      </c>
      <c r="F135" s="536">
        <v>3111</v>
      </c>
      <c r="G135" s="1057" t="s">
        <v>331</v>
      </c>
      <c r="H135" s="832" t="s">
        <v>283</v>
      </c>
      <c r="I135" s="803">
        <f>SUM(J135:M135)</f>
        <v>2215219</v>
      </c>
      <c r="J135" s="833">
        <v>1620632</v>
      </c>
      <c r="K135" s="805">
        <f>ROUND((J135)*33.8%,0)</f>
        <v>547774</v>
      </c>
      <c r="L135" s="805">
        <f>ROUND(J135*2%,0)</f>
        <v>32413</v>
      </c>
      <c r="M135" s="833">
        <v>14400</v>
      </c>
      <c r="N135" s="834">
        <f>SUM(O135:P135)</f>
        <v>4.1398000000000001</v>
      </c>
      <c r="O135" s="1054">
        <v>2.75</v>
      </c>
      <c r="P135" s="1055">
        <v>1.3897999999999999</v>
      </c>
      <c r="Q135" s="835">
        <f>V135*-1</f>
        <v>0</v>
      </c>
      <c r="R135" s="813">
        <v>0</v>
      </c>
      <c r="S135" s="813">
        <v>0</v>
      </c>
      <c r="T135" s="813">
        <v>0</v>
      </c>
      <c r="U135" s="813">
        <f>SUM(Q135:T135)</f>
        <v>0</v>
      </c>
      <c r="V135" s="813">
        <v>0</v>
      </c>
      <c r="W135" s="813">
        <v>0</v>
      </c>
      <c r="X135" s="813">
        <v>0</v>
      </c>
      <c r="Y135" s="813">
        <f>SUM(V135:X135)</f>
        <v>0</v>
      </c>
      <c r="Z135" s="813">
        <f>U135+Y135</f>
        <v>0</v>
      </c>
      <c r="AA135" s="809">
        <f>ROUND((U135+V135+W135)*33.8%,0)</f>
        <v>0</v>
      </c>
      <c r="AB135" s="809">
        <f>ROUND(U135*2%,0)</f>
        <v>0</v>
      </c>
      <c r="AC135" s="813">
        <v>0</v>
      </c>
      <c r="AD135" s="813">
        <v>0</v>
      </c>
      <c r="AE135" s="813">
        <f>SUM(AC135:AD135)</f>
        <v>0</v>
      </c>
      <c r="AF135" s="813">
        <f>Z135+AA135+AB135+AE135</f>
        <v>0</v>
      </c>
      <c r="AG135" s="836">
        <v>0</v>
      </c>
      <c r="AH135" s="836">
        <v>0</v>
      </c>
      <c r="AI135" s="836">
        <v>0</v>
      </c>
      <c r="AJ135" s="836">
        <v>0</v>
      </c>
      <c r="AK135" s="836">
        <v>0</v>
      </c>
      <c r="AL135" s="836">
        <f>AG135+AI135+AJ135</f>
        <v>0</v>
      </c>
      <c r="AM135" s="836">
        <f>AH135+AK135</f>
        <v>0</v>
      </c>
      <c r="AN135" s="949">
        <f>SUM(AL135:AM135)</f>
        <v>0</v>
      </c>
      <c r="AO135" s="945">
        <f>I135+AF135</f>
        <v>2215219</v>
      </c>
      <c r="AP135" s="813">
        <f>J135+U135</f>
        <v>1620632</v>
      </c>
      <c r="AQ135" s="813">
        <f>Y135</f>
        <v>0</v>
      </c>
      <c r="AR135" s="813">
        <f>K135+AA135</f>
        <v>547774</v>
      </c>
      <c r="AS135" s="813">
        <f>L135+AB135</f>
        <v>32413</v>
      </c>
      <c r="AT135" s="813">
        <f>M135+AE135</f>
        <v>14400</v>
      </c>
      <c r="AU135" s="836">
        <f>N135+AN135</f>
        <v>4.1398000000000001</v>
      </c>
      <c r="AV135" s="836">
        <f>O135+AL135</f>
        <v>2.75</v>
      </c>
      <c r="AW135" s="837">
        <f>P135+AM135</f>
        <v>1.3897999999999999</v>
      </c>
      <c r="AX135" s="925"/>
    </row>
    <row r="136" spans="1:50" ht="12.95" customHeight="1" x14ac:dyDescent="0.25">
      <c r="A136" s="827">
        <v>27</v>
      </c>
      <c r="B136" s="536">
        <v>2440</v>
      </c>
      <c r="C136" s="536">
        <v>600079392</v>
      </c>
      <c r="D136" s="828">
        <v>70981183</v>
      </c>
      <c r="E136" s="1056" t="s">
        <v>541</v>
      </c>
      <c r="F136" s="536">
        <v>3141</v>
      </c>
      <c r="G136" s="1057" t="s">
        <v>321</v>
      </c>
      <c r="H136" s="832" t="s">
        <v>284</v>
      </c>
      <c r="I136" s="803">
        <f>SUM(J136:M136)</f>
        <v>465079</v>
      </c>
      <c r="J136" s="833">
        <v>341107</v>
      </c>
      <c r="K136" s="805">
        <f>ROUND((J136)*33.8%,0)</f>
        <v>115294</v>
      </c>
      <c r="L136" s="805">
        <f>ROUND(J136*2%,0)</f>
        <v>6822</v>
      </c>
      <c r="M136" s="833">
        <v>1856</v>
      </c>
      <c r="N136" s="834">
        <f>SUM(O136:P136)</f>
        <v>1.1599999999999999</v>
      </c>
      <c r="O136" s="1054">
        <v>0</v>
      </c>
      <c r="P136" s="1055">
        <v>1.1599999999999999</v>
      </c>
      <c r="Q136" s="835">
        <f>V136*-1</f>
        <v>0</v>
      </c>
      <c r="R136" s="813">
        <v>0</v>
      </c>
      <c r="S136" s="813">
        <v>0</v>
      </c>
      <c r="T136" s="813">
        <v>0</v>
      </c>
      <c r="U136" s="813">
        <f>SUM(Q136:T136)</f>
        <v>0</v>
      </c>
      <c r="V136" s="813">
        <v>0</v>
      </c>
      <c r="W136" s="813">
        <v>0</v>
      </c>
      <c r="X136" s="813">
        <v>0</v>
      </c>
      <c r="Y136" s="813">
        <f>SUM(V136:X136)</f>
        <v>0</v>
      </c>
      <c r="Z136" s="813">
        <f>U136+Y136</f>
        <v>0</v>
      </c>
      <c r="AA136" s="809">
        <f>ROUND((U136+V136+W136)*33.8%,0)</f>
        <v>0</v>
      </c>
      <c r="AB136" s="809">
        <f>ROUND(U136*2%,0)</f>
        <v>0</v>
      </c>
      <c r="AC136" s="813">
        <v>0</v>
      </c>
      <c r="AD136" s="813">
        <v>0</v>
      </c>
      <c r="AE136" s="813">
        <f>SUM(AC136:AD136)</f>
        <v>0</v>
      </c>
      <c r="AF136" s="813">
        <f>Z136+AA136+AB136+AE136</f>
        <v>0</v>
      </c>
      <c r="AG136" s="836">
        <v>0</v>
      </c>
      <c r="AH136" s="836">
        <v>0</v>
      </c>
      <c r="AI136" s="836">
        <v>0</v>
      </c>
      <c r="AJ136" s="836">
        <v>0</v>
      </c>
      <c r="AK136" s="836">
        <v>0</v>
      </c>
      <c r="AL136" s="836">
        <f>AG136+AI136+AJ136</f>
        <v>0</v>
      </c>
      <c r="AM136" s="836">
        <f>AH136+AK136</f>
        <v>0</v>
      </c>
      <c r="AN136" s="949">
        <f>SUM(AL136:AM136)</f>
        <v>0</v>
      </c>
      <c r="AO136" s="945">
        <f>I136+AF136</f>
        <v>465079</v>
      </c>
      <c r="AP136" s="813">
        <f>J136+U136</f>
        <v>341107</v>
      </c>
      <c r="AQ136" s="813">
        <f>Y136</f>
        <v>0</v>
      </c>
      <c r="AR136" s="813">
        <f>K136+AA136</f>
        <v>115294</v>
      </c>
      <c r="AS136" s="813">
        <f>L136+AB136</f>
        <v>6822</v>
      </c>
      <c r="AT136" s="813">
        <f>M136+AE136</f>
        <v>1856</v>
      </c>
      <c r="AU136" s="836">
        <f>N136+AN136</f>
        <v>1.1599999999999999</v>
      </c>
      <c r="AV136" s="836">
        <f>O136+AL136</f>
        <v>0</v>
      </c>
      <c r="AW136" s="837">
        <f>P136+AM136</f>
        <v>1.1599999999999999</v>
      </c>
      <c r="AX136" s="925"/>
    </row>
    <row r="137" spans="1:50" ht="12.95" customHeight="1" x14ac:dyDescent="0.25">
      <c r="A137" s="538">
        <v>27</v>
      </c>
      <c r="B137" s="100">
        <v>2440</v>
      </c>
      <c r="C137" s="100">
        <v>600079392</v>
      </c>
      <c r="D137" s="100">
        <v>70981183</v>
      </c>
      <c r="E137" s="1058" t="s">
        <v>542</v>
      </c>
      <c r="F137" s="100"/>
      <c r="G137" s="1058"/>
      <c r="H137" s="449"/>
      <c r="I137" s="1074">
        <f t="shared" ref="I137:AW137" si="141">SUM(I135:I136)</f>
        <v>2680298</v>
      </c>
      <c r="J137" s="1075">
        <f t="shared" si="141"/>
        <v>1961739</v>
      </c>
      <c r="K137" s="1075">
        <f t="shared" si="141"/>
        <v>663068</v>
      </c>
      <c r="L137" s="1075">
        <f t="shared" si="141"/>
        <v>39235</v>
      </c>
      <c r="M137" s="1075">
        <f t="shared" si="141"/>
        <v>16256</v>
      </c>
      <c r="N137" s="1076">
        <f t="shared" si="141"/>
        <v>5.2998000000000003</v>
      </c>
      <c r="O137" s="1076">
        <f t="shared" si="141"/>
        <v>2.75</v>
      </c>
      <c r="P137" s="1077">
        <f t="shared" si="141"/>
        <v>2.5497999999999998</v>
      </c>
      <c r="Q137" s="1075">
        <f t="shared" si="141"/>
        <v>0</v>
      </c>
      <c r="R137" s="1078">
        <f t="shared" si="141"/>
        <v>0</v>
      </c>
      <c r="S137" s="1078">
        <f t="shared" si="141"/>
        <v>0</v>
      </c>
      <c r="T137" s="1078">
        <f t="shared" si="141"/>
        <v>0</v>
      </c>
      <c r="U137" s="1078">
        <f t="shared" si="141"/>
        <v>0</v>
      </c>
      <c r="V137" s="1078">
        <f t="shared" si="141"/>
        <v>0</v>
      </c>
      <c r="W137" s="1078">
        <f t="shared" si="141"/>
        <v>0</v>
      </c>
      <c r="X137" s="1078">
        <f t="shared" si="141"/>
        <v>0</v>
      </c>
      <c r="Y137" s="1078">
        <f t="shared" si="141"/>
        <v>0</v>
      </c>
      <c r="Z137" s="1078">
        <f t="shared" si="141"/>
        <v>0</v>
      </c>
      <c r="AA137" s="1078">
        <f t="shared" si="141"/>
        <v>0</v>
      </c>
      <c r="AB137" s="1078">
        <f t="shared" si="141"/>
        <v>0</v>
      </c>
      <c r="AC137" s="1078">
        <f t="shared" si="141"/>
        <v>0</v>
      </c>
      <c r="AD137" s="1078">
        <f t="shared" si="141"/>
        <v>0</v>
      </c>
      <c r="AE137" s="1078">
        <f t="shared" si="141"/>
        <v>0</v>
      </c>
      <c r="AF137" s="1078">
        <f t="shared" si="141"/>
        <v>0</v>
      </c>
      <c r="AG137" s="1079">
        <f t="shared" si="141"/>
        <v>0</v>
      </c>
      <c r="AH137" s="1079">
        <f t="shared" si="141"/>
        <v>0</v>
      </c>
      <c r="AI137" s="1079">
        <f t="shared" si="141"/>
        <v>0</v>
      </c>
      <c r="AJ137" s="1079">
        <f t="shared" si="141"/>
        <v>0</v>
      </c>
      <c r="AK137" s="1079">
        <f t="shared" si="141"/>
        <v>0</v>
      </c>
      <c r="AL137" s="1079">
        <f t="shared" si="141"/>
        <v>0</v>
      </c>
      <c r="AM137" s="1079">
        <f t="shared" si="141"/>
        <v>0</v>
      </c>
      <c r="AN137" s="1080">
        <f t="shared" si="141"/>
        <v>0</v>
      </c>
      <c r="AO137" s="1074">
        <f t="shared" si="141"/>
        <v>2680298</v>
      </c>
      <c r="AP137" s="1078">
        <f t="shared" si="141"/>
        <v>1961739</v>
      </c>
      <c r="AQ137" s="1078">
        <f t="shared" si="141"/>
        <v>0</v>
      </c>
      <c r="AR137" s="1078">
        <f t="shared" si="141"/>
        <v>663068</v>
      </c>
      <c r="AS137" s="1078">
        <f t="shared" si="141"/>
        <v>39235</v>
      </c>
      <c r="AT137" s="1078">
        <f t="shared" si="141"/>
        <v>16256</v>
      </c>
      <c r="AU137" s="1079">
        <f t="shared" si="141"/>
        <v>5.2998000000000003</v>
      </c>
      <c r="AV137" s="1079">
        <f t="shared" si="141"/>
        <v>2.75</v>
      </c>
      <c r="AW137" s="1081">
        <f t="shared" si="141"/>
        <v>2.5497999999999998</v>
      </c>
      <c r="AX137" s="925"/>
    </row>
    <row r="138" spans="1:50" ht="12.95" customHeight="1" x14ac:dyDescent="0.25">
      <c r="A138" s="827">
        <v>28</v>
      </c>
      <c r="B138" s="1052">
        <v>2303</v>
      </c>
      <c r="C138" s="1052">
        <v>600080048</v>
      </c>
      <c r="D138" s="828">
        <v>72743689</v>
      </c>
      <c r="E138" s="1053" t="s">
        <v>543</v>
      </c>
      <c r="F138" s="1052">
        <v>3111</v>
      </c>
      <c r="G138" s="1057" t="s">
        <v>331</v>
      </c>
      <c r="H138" s="832" t="s">
        <v>283</v>
      </c>
      <c r="I138" s="803">
        <f t="shared" ref="I138:I143" si="142">SUM(J138:M138)</f>
        <v>2921593</v>
      </c>
      <c r="J138" s="833">
        <v>2137808</v>
      </c>
      <c r="K138" s="805">
        <f>ROUND((J138)*33.8%,0)</f>
        <v>722579</v>
      </c>
      <c r="L138" s="805">
        <f>ROUND(J138*2%,0)</f>
        <v>42756</v>
      </c>
      <c r="M138" s="833">
        <v>18450</v>
      </c>
      <c r="N138" s="834">
        <f t="shared" ref="N138:N143" si="143">SUM(O138:P138)</f>
        <v>4.8235999999999999</v>
      </c>
      <c r="O138" s="1054">
        <v>3.9018000000000002</v>
      </c>
      <c r="P138" s="1055">
        <v>0.92179999999999995</v>
      </c>
      <c r="Q138" s="835">
        <f t="shared" ref="Q138:Q143" si="144">V138*-1</f>
        <v>-16000</v>
      </c>
      <c r="R138" s="813">
        <v>0</v>
      </c>
      <c r="S138" s="813">
        <v>0</v>
      </c>
      <c r="T138" s="813">
        <v>0</v>
      </c>
      <c r="U138" s="813">
        <f t="shared" ref="U138:U143" si="145">SUM(Q138:T138)</f>
        <v>-16000</v>
      </c>
      <c r="V138" s="813">
        <v>16000</v>
      </c>
      <c r="W138" s="813">
        <v>0</v>
      </c>
      <c r="X138" s="813">
        <v>0</v>
      </c>
      <c r="Y138" s="813">
        <f t="shared" ref="Y138:Y143" si="146">SUM(V138:X138)</f>
        <v>16000</v>
      </c>
      <c r="Z138" s="813">
        <f t="shared" ref="Z138:Z143" si="147">U138+Y138</f>
        <v>0</v>
      </c>
      <c r="AA138" s="809">
        <f t="shared" ref="AA138:AA143" si="148">ROUND((U138+V138+W138)*33.8%,0)</f>
        <v>0</v>
      </c>
      <c r="AB138" s="809">
        <f t="shared" ref="AB138:AB143" si="149">ROUND(U138*2%,0)</f>
        <v>-320</v>
      </c>
      <c r="AC138" s="813">
        <v>0</v>
      </c>
      <c r="AD138" s="813">
        <v>0</v>
      </c>
      <c r="AE138" s="813">
        <f t="shared" ref="AE138:AE143" si="150">SUM(AC138:AD138)</f>
        <v>0</v>
      </c>
      <c r="AF138" s="813">
        <f t="shared" ref="AF138:AF143" si="151">Z138+AA138+AB138+AE138</f>
        <v>-320</v>
      </c>
      <c r="AG138" s="836">
        <v>0</v>
      </c>
      <c r="AH138" s="836">
        <v>0</v>
      </c>
      <c r="AI138" s="836">
        <v>0</v>
      </c>
      <c r="AJ138" s="836">
        <v>0</v>
      </c>
      <c r="AK138" s="836">
        <v>0</v>
      </c>
      <c r="AL138" s="836">
        <f t="shared" ref="AL138:AL143" si="152">AG138+AI138+AJ138</f>
        <v>0</v>
      </c>
      <c r="AM138" s="836">
        <f t="shared" ref="AM138:AM143" si="153">AH138+AK138</f>
        <v>0</v>
      </c>
      <c r="AN138" s="949">
        <f t="shared" ref="AN138:AN143" si="154">SUM(AL138:AM138)</f>
        <v>0</v>
      </c>
      <c r="AO138" s="945">
        <f t="shared" ref="AO138:AO143" si="155">I138+AF138</f>
        <v>2921273</v>
      </c>
      <c r="AP138" s="813">
        <f t="shared" ref="AP138:AP143" si="156">J138+U138</f>
        <v>2121808</v>
      </c>
      <c r="AQ138" s="813">
        <f t="shared" ref="AQ138:AQ143" si="157">Y138</f>
        <v>16000</v>
      </c>
      <c r="AR138" s="813">
        <f t="shared" ref="AR138:AS143" si="158">K138+AA138</f>
        <v>722579</v>
      </c>
      <c r="AS138" s="813">
        <f t="shared" si="158"/>
        <v>42436</v>
      </c>
      <c r="AT138" s="813">
        <f t="shared" ref="AT138:AT143" si="159">M138+AE138</f>
        <v>18450</v>
      </c>
      <c r="AU138" s="836">
        <f t="shared" ref="AU138:AU143" si="160">N138+AN138</f>
        <v>4.8235999999999999</v>
      </c>
      <c r="AV138" s="836">
        <f t="shared" ref="AV138:AW143" si="161">O138+AL138</f>
        <v>3.9018000000000002</v>
      </c>
      <c r="AW138" s="837">
        <f t="shared" si="161"/>
        <v>0.92179999999999995</v>
      </c>
      <c r="AX138" s="925"/>
    </row>
    <row r="139" spans="1:50" ht="12.95" customHeight="1" x14ac:dyDescent="0.25">
      <c r="A139" s="827">
        <v>28</v>
      </c>
      <c r="B139" s="1068">
        <v>2303</v>
      </c>
      <c r="C139" s="1068">
        <v>600080048</v>
      </c>
      <c r="D139" s="828">
        <v>72743689</v>
      </c>
      <c r="E139" s="535" t="s">
        <v>543</v>
      </c>
      <c r="F139" s="1068">
        <v>3117</v>
      </c>
      <c r="G139" s="1056" t="s">
        <v>335</v>
      </c>
      <c r="H139" s="832" t="s">
        <v>283</v>
      </c>
      <c r="I139" s="803">
        <f t="shared" si="142"/>
        <v>3668438</v>
      </c>
      <c r="J139" s="833">
        <v>2653504</v>
      </c>
      <c r="K139" s="805">
        <f>ROUND((J139)*33.8%,0)</f>
        <v>896884</v>
      </c>
      <c r="L139" s="805">
        <f>ROUND(J139*2%,0)</f>
        <v>53070</v>
      </c>
      <c r="M139" s="833">
        <v>64980</v>
      </c>
      <c r="N139" s="834">
        <f t="shared" si="143"/>
        <v>5.4353999999999996</v>
      </c>
      <c r="O139" s="1054">
        <v>3.4152</v>
      </c>
      <c r="P139" s="1055">
        <v>2.0202</v>
      </c>
      <c r="Q139" s="835">
        <f t="shared" si="144"/>
        <v>-12800</v>
      </c>
      <c r="R139" s="813">
        <v>0</v>
      </c>
      <c r="S139" s="813">
        <v>0</v>
      </c>
      <c r="T139" s="813">
        <v>0</v>
      </c>
      <c r="U139" s="813">
        <f t="shared" si="145"/>
        <v>-12800</v>
      </c>
      <c r="V139" s="813">
        <v>12800</v>
      </c>
      <c r="W139" s="813">
        <v>0</v>
      </c>
      <c r="X139" s="813">
        <v>0</v>
      </c>
      <c r="Y139" s="813">
        <f t="shared" si="146"/>
        <v>12800</v>
      </c>
      <c r="Z139" s="813">
        <f t="shared" si="147"/>
        <v>0</v>
      </c>
      <c r="AA139" s="809">
        <f t="shared" si="148"/>
        <v>0</v>
      </c>
      <c r="AB139" s="809">
        <f t="shared" si="149"/>
        <v>-256</v>
      </c>
      <c r="AC139" s="813">
        <v>0</v>
      </c>
      <c r="AD139" s="813">
        <v>0</v>
      </c>
      <c r="AE139" s="813">
        <f t="shared" si="150"/>
        <v>0</v>
      </c>
      <c r="AF139" s="813">
        <f t="shared" si="151"/>
        <v>-256</v>
      </c>
      <c r="AG139" s="836">
        <v>-0.02</v>
      </c>
      <c r="AH139" s="836">
        <v>0</v>
      </c>
      <c r="AI139" s="836">
        <v>0</v>
      </c>
      <c r="AJ139" s="836">
        <v>0</v>
      </c>
      <c r="AK139" s="836">
        <v>0</v>
      </c>
      <c r="AL139" s="836">
        <f t="shared" si="152"/>
        <v>-0.02</v>
      </c>
      <c r="AM139" s="836">
        <f t="shared" si="153"/>
        <v>0</v>
      </c>
      <c r="AN139" s="949">
        <f t="shared" si="154"/>
        <v>-0.02</v>
      </c>
      <c r="AO139" s="945">
        <f t="shared" si="155"/>
        <v>3668182</v>
      </c>
      <c r="AP139" s="813">
        <f t="shared" si="156"/>
        <v>2640704</v>
      </c>
      <c r="AQ139" s="813">
        <f t="shared" si="157"/>
        <v>12800</v>
      </c>
      <c r="AR139" s="813">
        <f t="shared" si="158"/>
        <v>896884</v>
      </c>
      <c r="AS139" s="813">
        <f t="shared" si="158"/>
        <v>52814</v>
      </c>
      <c r="AT139" s="813">
        <f t="shared" si="159"/>
        <v>64980</v>
      </c>
      <c r="AU139" s="836">
        <f t="shared" si="160"/>
        <v>5.4154</v>
      </c>
      <c r="AV139" s="836">
        <f t="shared" si="161"/>
        <v>3.3952</v>
      </c>
      <c r="AW139" s="837">
        <f t="shared" si="161"/>
        <v>2.0202</v>
      </c>
      <c r="AX139" s="925"/>
    </row>
    <row r="140" spans="1:50" ht="12.95" customHeight="1" x14ac:dyDescent="0.25">
      <c r="A140" s="827">
        <v>28</v>
      </c>
      <c r="B140" s="536">
        <v>2303</v>
      </c>
      <c r="C140" s="536">
        <v>600080048</v>
      </c>
      <c r="D140" s="828">
        <v>72743689</v>
      </c>
      <c r="E140" s="1053" t="s">
        <v>543</v>
      </c>
      <c r="F140" s="1068">
        <v>3117</v>
      </c>
      <c r="G140" s="948" t="s">
        <v>318</v>
      </c>
      <c r="H140" s="832" t="s">
        <v>284</v>
      </c>
      <c r="I140" s="803">
        <f t="shared" si="142"/>
        <v>0</v>
      </c>
      <c r="J140" s="833">
        <v>0</v>
      </c>
      <c r="K140" s="805">
        <v>0</v>
      </c>
      <c r="L140" s="805">
        <v>0</v>
      </c>
      <c r="M140" s="833">
        <v>0</v>
      </c>
      <c r="N140" s="834">
        <f t="shared" si="143"/>
        <v>0</v>
      </c>
      <c r="O140" s="1054">
        <v>0</v>
      </c>
      <c r="P140" s="1055">
        <v>0</v>
      </c>
      <c r="Q140" s="835">
        <f t="shared" si="144"/>
        <v>0</v>
      </c>
      <c r="R140" s="833">
        <v>23136</v>
      </c>
      <c r="S140" s="813">
        <v>0</v>
      </c>
      <c r="T140" s="813">
        <v>0</v>
      </c>
      <c r="U140" s="813">
        <f t="shared" si="145"/>
        <v>23136</v>
      </c>
      <c r="V140" s="813">
        <v>0</v>
      </c>
      <c r="W140" s="813">
        <v>0</v>
      </c>
      <c r="X140" s="813">
        <v>0</v>
      </c>
      <c r="Y140" s="813">
        <f t="shared" si="146"/>
        <v>0</v>
      </c>
      <c r="Z140" s="813">
        <f t="shared" si="147"/>
        <v>23136</v>
      </c>
      <c r="AA140" s="809">
        <f t="shared" si="148"/>
        <v>7820</v>
      </c>
      <c r="AB140" s="809">
        <f t="shared" si="149"/>
        <v>463</v>
      </c>
      <c r="AC140" s="813">
        <v>0</v>
      </c>
      <c r="AD140" s="813">
        <v>0</v>
      </c>
      <c r="AE140" s="813">
        <f t="shared" si="150"/>
        <v>0</v>
      </c>
      <c r="AF140" s="813">
        <f t="shared" si="151"/>
        <v>31419</v>
      </c>
      <c r="AG140" s="836">
        <v>0</v>
      </c>
      <c r="AH140" s="836">
        <v>0</v>
      </c>
      <c r="AI140" s="836">
        <v>0.05</v>
      </c>
      <c r="AJ140" s="836">
        <v>0</v>
      </c>
      <c r="AK140" s="836">
        <v>0</v>
      </c>
      <c r="AL140" s="836">
        <f t="shared" si="152"/>
        <v>0.05</v>
      </c>
      <c r="AM140" s="836">
        <f t="shared" si="153"/>
        <v>0</v>
      </c>
      <c r="AN140" s="949">
        <f t="shared" si="154"/>
        <v>0.05</v>
      </c>
      <c r="AO140" s="945">
        <f t="shared" si="155"/>
        <v>31419</v>
      </c>
      <c r="AP140" s="813">
        <f t="shared" si="156"/>
        <v>23136</v>
      </c>
      <c r="AQ140" s="813">
        <f t="shared" si="157"/>
        <v>0</v>
      </c>
      <c r="AR140" s="813">
        <f t="shared" si="158"/>
        <v>7820</v>
      </c>
      <c r="AS140" s="813">
        <f t="shared" si="158"/>
        <v>463</v>
      </c>
      <c r="AT140" s="813">
        <f t="shared" si="159"/>
        <v>0</v>
      </c>
      <c r="AU140" s="836">
        <f t="shared" si="160"/>
        <v>0.05</v>
      </c>
      <c r="AV140" s="836">
        <f t="shared" si="161"/>
        <v>0.05</v>
      </c>
      <c r="AW140" s="837">
        <f t="shared" si="161"/>
        <v>0</v>
      </c>
      <c r="AX140" s="925"/>
    </row>
    <row r="141" spans="1:50" ht="12.95" customHeight="1" x14ac:dyDescent="0.25">
      <c r="A141" s="827">
        <v>28</v>
      </c>
      <c r="B141" s="536">
        <v>2303</v>
      </c>
      <c r="C141" s="536">
        <v>600080048</v>
      </c>
      <c r="D141" s="828">
        <v>72743689</v>
      </c>
      <c r="E141" s="1056" t="s">
        <v>543</v>
      </c>
      <c r="F141" s="536">
        <v>3141</v>
      </c>
      <c r="G141" s="1057" t="s">
        <v>321</v>
      </c>
      <c r="H141" s="832" t="s">
        <v>284</v>
      </c>
      <c r="I141" s="803">
        <f t="shared" si="142"/>
        <v>955874</v>
      </c>
      <c r="J141" s="833">
        <v>700510</v>
      </c>
      <c r="K141" s="805">
        <f>ROUND((J141)*33.8%,0)</f>
        <v>236772</v>
      </c>
      <c r="L141" s="805">
        <f>ROUND(J141*2%,0)</f>
        <v>14010</v>
      </c>
      <c r="M141" s="833">
        <v>4582</v>
      </c>
      <c r="N141" s="834">
        <f t="shared" si="143"/>
        <v>2.38</v>
      </c>
      <c r="O141" s="1054">
        <v>0</v>
      </c>
      <c r="P141" s="1055">
        <v>2.38</v>
      </c>
      <c r="Q141" s="835">
        <f t="shared" si="144"/>
        <v>-51200</v>
      </c>
      <c r="R141" s="813">
        <v>0</v>
      </c>
      <c r="S141" s="813">
        <v>0</v>
      </c>
      <c r="T141" s="813">
        <v>0</v>
      </c>
      <c r="U141" s="813">
        <f t="shared" si="145"/>
        <v>-51200</v>
      </c>
      <c r="V141" s="813">
        <v>51200</v>
      </c>
      <c r="W141" s="813">
        <v>0</v>
      </c>
      <c r="X141" s="813">
        <v>0</v>
      </c>
      <c r="Y141" s="813">
        <f t="shared" si="146"/>
        <v>51200</v>
      </c>
      <c r="Z141" s="813">
        <f t="shared" si="147"/>
        <v>0</v>
      </c>
      <c r="AA141" s="809">
        <f t="shared" si="148"/>
        <v>0</v>
      </c>
      <c r="AB141" s="809">
        <f t="shared" si="149"/>
        <v>-1024</v>
      </c>
      <c r="AC141" s="813">
        <v>0</v>
      </c>
      <c r="AD141" s="813">
        <v>0</v>
      </c>
      <c r="AE141" s="813">
        <f t="shared" si="150"/>
        <v>0</v>
      </c>
      <c r="AF141" s="813">
        <f t="shared" si="151"/>
        <v>-1024</v>
      </c>
      <c r="AG141" s="836">
        <v>0</v>
      </c>
      <c r="AH141" s="836">
        <v>-0.17</v>
      </c>
      <c r="AI141" s="836">
        <v>0</v>
      </c>
      <c r="AJ141" s="836">
        <v>0</v>
      </c>
      <c r="AK141" s="836">
        <v>0</v>
      </c>
      <c r="AL141" s="836">
        <f t="shared" si="152"/>
        <v>0</v>
      </c>
      <c r="AM141" s="836">
        <f t="shared" si="153"/>
        <v>-0.17</v>
      </c>
      <c r="AN141" s="949">
        <f t="shared" si="154"/>
        <v>-0.17</v>
      </c>
      <c r="AO141" s="945">
        <f t="shared" si="155"/>
        <v>954850</v>
      </c>
      <c r="AP141" s="813">
        <f t="shared" si="156"/>
        <v>649310</v>
      </c>
      <c r="AQ141" s="813">
        <f t="shared" si="157"/>
        <v>51200</v>
      </c>
      <c r="AR141" s="813">
        <f t="shared" si="158"/>
        <v>236772</v>
      </c>
      <c r="AS141" s="813">
        <f t="shared" si="158"/>
        <v>12986</v>
      </c>
      <c r="AT141" s="813">
        <f t="shared" si="159"/>
        <v>4582</v>
      </c>
      <c r="AU141" s="836">
        <f t="shared" si="160"/>
        <v>2.21</v>
      </c>
      <c r="AV141" s="836">
        <f t="shared" si="161"/>
        <v>0</v>
      </c>
      <c r="AW141" s="837">
        <f t="shared" si="161"/>
        <v>2.21</v>
      </c>
      <c r="AX141" s="925"/>
    </row>
    <row r="142" spans="1:50" ht="12.95" customHeight="1" x14ac:dyDescent="0.25">
      <c r="A142" s="827">
        <v>28</v>
      </c>
      <c r="B142" s="536">
        <v>2303</v>
      </c>
      <c r="C142" s="536">
        <v>600080048</v>
      </c>
      <c r="D142" s="828">
        <v>72743689</v>
      </c>
      <c r="E142" s="1053" t="s">
        <v>543</v>
      </c>
      <c r="F142" s="1084">
        <v>3143</v>
      </c>
      <c r="G142" s="948" t="s">
        <v>635</v>
      </c>
      <c r="H142" s="832" t="s">
        <v>283</v>
      </c>
      <c r="I142" s="803">
        <f t="shared" si="142"/>
        <v>594670</v>
      </c>
      <c r="J142" s="833">
        <v>437901</v>
      </c>
      <c r="K142" s="805">
        <f>ROUND((J142)*33.8%,0)</f>
        <v>148011</v>
      </c>
      <c r="L142" s="805">
        <f>ROUND(J142*2%,0)</f>
        <v>8758</v>
      </c>
      <c r="M142" s="833">
        <v>0</v>
      </c>
      <c r="N142" s="834">
        <f t="shared" si="143"/>
        <v>0.86</v>
      </c>
      <c r="O142" s="1054">
        <v>0.86</v>
      </c>
      <c r="P142" s="1055">
        <v>0</v>
      </c>
      <c r="Q142" s="835">
        <f t="shared" si="144"/>
        <v>0</v>
      </c>
      <c r="R142" s="813">
        <v>0</v>
      </c>
      <c r="S142" s="813">
        <v>0</v>
      </c>
      <c r="T142" s="813">
        <v>0</v>
      </c>
      <c r="U142" s="813">
        <f t="shared" si="145"/>
        <v>0</v>
      </c>
      <c r="V142" s="813">
        <v>0</v>
      </c>
      <c r="W142" s="813">
        <v>0</v>
      </c>
      <c r="X142" s="813">
        <v>0</v>
      </c>
      <c r="Y142" s="813">
        <f t="shared" si="146"/>
        <v>0</v>
      </c>
      <c r="Z142" s="813">
        <f t="shared" si="147"/>
        <v>0</v>
      </c>
      <c r="AA142" s="809">
        <f t="shared" si="148"/>
        <v>0</v>
      </c>
      <c r="AB142" s="809">
        <f t="shared" si="149"/>
        <v>0</v>
      </c>
      <c r="AC142" s="813">
        <v>0</v>
      </c>
      <c r="AD142" s="813">
        <v>0</v>
      </c>
      <c r="AE142" s="813">
        <f t="shared" si="150"/>
        <v>0</v>
      </c>
      <c r="AF142" s="813">
        <f t="shared" si="151"/>
        <v>0</v>
      </c>
      <c r="AG142" s="836">
        <v>0</v>
      </c>
      <c r="AH142" s="836">
        <v>0</v>
      </c>
      <c r="AI142" s="836">
        <v>0</v>
      </c>
      <c r="AJ142" s="836">
        <v>0</v>
      </c>
      <c r="AK142" s="836">
        <v>0</v>
      </c>
      <c r="AL142" s="836">
        <f t="shared" si="152"/>
        <v>0</v>
      </c>
      <c r="AM142" s="836">
        <f t="shared" si="153"/>
        <v>0</v>
      </c>
      <c r="AN142" s="949">
        <f t="shared" si="154"/>
        <v>0</v>
      </c>
      <c r="AO142" s="945">
        <f t="shared" si="155"/>
        <v>594670</v>
      </c>
      <c r="AP142" s="813">
        <f t="shared" si="156"/>
        <v>437901</v>
      </c>
      <c r="AQ142" s="813">
        <f t="shared" si="157"/>
        <v>0</v>
      </c>
      <c r="AR142" s="813">
        <f t="shared" si="158"/>
        <v>148011</v>
      </c>
      <c r="AS142" s="813">
        <f t="shared" si="158"/>
        <v>8758</v>
      </c>
      <c r="AT142" s="813">
        <f t="shared" si="159"/>
        <v>0</v>
      </c>
      <c r="AU142" s="836">
        <f t="shared" si="160"/>
        <v>0.86</v>
      </c>
      <c r="AV142" s="836">
        <f t="shared" si="161"/>
        <v>0.86</v>
      </c>
      <c r="AW142" s="837">
        <f t="shared" si="161"/>
        <v>0</v>
      </c>
      <c r="AX142" s="925"/>
    </row>
    <row r="143" spans="1:50" ht="12.95" customHeight="1" x14ac:dyDescent="0.25">
      <c r="A143" s="827">
        <v>28</v>
      </c>
      <c r="B143" s="536">
        <v>2303</v>
      </c>
      <c r="C143" s="536">
        <v>600080048</v>
      </c>
      <c r="D143" s="828">
        <v>72743689</v>
      </c>
      <c r="E143" s="1053" t="s">
        <v>543</v>
      </c>
      <c r="F143" s="1084">
        <v>3143</v>
      </c>
      <c r="G143" s="948" t="s">
        <v>636</v>
      </c>
      <c r="H143" s="832" t="s">
        <v>284</v>
      </c>
      <c r="I143" s="803">
        <f t="shared" si="142"/>
        <v>17556</v>
      </c>
      <c r="J143" s="833">
        <v>12375</v>
      </c>
      <c r="K143" s="805">
        <f>ROUND((J143)*33.8%,0)</f>
        <v>4183</v>
      </c>
      <c r="L143" s="805">
        <f>ROUND(J143*2%,0)</f>
        <v>248</v>
      </c>
      <c r="M143" s="833">
        <v>750</v>
      </c>
      <c r="N143" s="834">
        <f t="shared" si="143"/>
        <v>0.05</v>
      </c>
      <c r="O143" s="1054">
        <v>0</v>
      </c>
      <c r="P143" s="1055">
        <v>0.05</v>
      </c>
      <c r="Q143" s="835">
        <f t="shared" si="144"/>
        <v>0</v>
      </c>
      <c r="R143" s="813">
        <v>0</v>
      </c>
      <c r="S143" s="813">
        <v>0</v>
      </c>
      <c r="T143" s="813">
        <v>0</v>
      </c>
      <c r="U143" s="813">
        <f t="shared" si="145"/>
        <v>0</v>
      </c>
      <c r="V143" s="813">
        <v>0</v>
      </c>
      <c r="W143" s="813">
        <v>0</v>
      </c>
      <c r="X143" s="813">
        <v>0</v>
      </c>
      <c r="Y143" s="813">
        <f t="shared" si="146"/>
        <v>0</v>
      </c>
      <c r="Z143" s="813">
        <f t="shared" si="147"/>
        <v>0</v>
      </c>
      <c r="AA143" s="809">
        <f t="shared" si="148"/>
        <v>0</v>
      </c>
      <c r="AB143" s="809">
        <f t="shared" si="149"/>
        <v>0</v>
      </c>
      <c r="AC143" s="813">
        <v>0</v>
      </c>
      <c r="AD143" s="813">
        <v>0</v>
      </c>
      <c r="AE143" s="813">
        <f t="shared" si="150"/>
        <v>0</v>
      </c>
      <c r="AF143" s="813">
        <f t="shared" si="151"/>
        <v>0</v>
      </c>
      <c r="AG143" s="836">
        <v>0</v>
      </c>
      <c r="AH143" s="836">
        <v>0</v>
      </c>
      <c r="AI143" s="836">
        <v>0</v>
      </c>
      <c r="AJ143" s="836">
        <v>0</v>
      </c>
      <c r="AK143" s="836">
        <v>0</v>
      </c>
      <c r="AL143" s="836">
        <f t="shared" si="152"/>
        <v>0</v>
      </c>
      <c r="AM143" s="836">
        <f t="shared" si="153"/>
        <v>0</v>
      </c>
      <c r="AN143" s="949">
        <f t="shared" si="154"/>
        <v>0</v>
      </c>
      <c r="AO143" s="945">
        <f t="shared" si="155"/>
        <v>17556</v>
      </c>
      <c r="AP143" s="813">
        <f t="shared" si="156"/>
        <v>12375</v>
      </c>
      <c r="AQ143" s="813">
        <f t="shared" si="157"/>
        <v>0</v>
      </c>
      <c r="AR143" s="813">
        <f t="shared" si="158"/>
        <v>4183</v>
      </c>
      <c r="AS143" s="813">
        <f t="shared" si="158"/>
        <v>248</v>
      </c>
      <c r="AT143" s="813">
        <f t="shared" si="159"/>
        <v>750</v>
      </c>
      <c r="AU143" s="836">
        <f t="shared" si="160"/>
        <v>0.05</v>
      </c>
      <c r="AV143" s="836">
        <f t="shared" si="161"/>
        <v>0</v>
      </c>
      <c r="AW143" s="837">
        <f t="shared" si="161"/>
        <v>0.05</v>
      </c>
      <c r="AX143" s="925"/>
    </row>
    <row r="144" spans="1:50" ht="12.95" customHeight="1" x14ac:dyDescent="0.25">
      <c r="A144" s="538">
        <v>28</v>
      </c>
      <c r="B144" s="100">
        <v>2303</v>
      </c>
      <c r="C144" s="100">
        <v>600080048</v>
      </c>
      <c r="D144" s="100">
        <v>72743689</v>
      </c>
      <c r="E144" s="1085" t="s">
        <v>544</v>
      </c>
      <c r="F144" s="1086"/>
      <c r="G144" s="1085"/>
      <c r="H144" s="1087"/>
      <c r="I144" s="1074">
        <f t="shared" ref="I144:AW144" si="162">SUM(I138:I143)</f>
        <v>8158131</v>
      </c>
      <c r="J144" s="1075">
        <f t="shared" si="162"/>
        <v>5942098</v>
      </c>
      <c r="K144" s="1075">
        <f t="shared" si="162"/>
        <v>2008429</v>
      </c>
      <c r="L144" s="1075">
        <f t="shared" si="162"/>
        <v>118842</v>
      </c>
      <c r="M144" s="1075">
        <f t="shared" si="162"/>
        <v>88762</v>
      </c>
      <c r="N144" s="1076">
        <f t="shared" si="162"/>
        <v>13.548999999999999</v>
      </c>
      <c r="O144" s="1076">
        <f t="shared" si="162"/>
        <v>8.1769999999999996</v>
      </c>
      <c r="P144" s="1077">
        <f t="shared" si="162"/>
        <v>5.3719999999999999</v>
      </c>
      <c r="Q144" s="1075">
        <f t="shared" si="162"/>
        <v>-80000</v>
      </c>
      <c r="R144" s="1078">
        <f t="shared" si="162"/>
        <v>23136</v>
      </c>
      <c r="S144" s="1078">
        <f t="shared" si="162"/>
        <v>0</v>
      </c>
      <c r="T144" s="1078">
        <f t="shared" si="162"/>
        <v>0</v>
      </c>
      <c r="U144" s="1078">
        <f t="shared" si="162"/>
        <v>-56864</v>
      </c>
      <c r="V144" s="1078">
        <f t="shared" si="162"/>
        <v>80000</v>
      </c>
      <c r="W144" s="1078">
        <f t="shared" si="162"/>
        <v>0</v>
      </c>
      <c r="X144" s="1078">
        <f t="shared" si="162"/>
        <v>0</v>
      </c>
      <c r="Y144" s="1078">
        <f t="shared" si="162"/>
        <v>80000</v>
      </c>
      <c r="Z144" s="1078">
        <f t="shared" si="162"/>
        <v>23136</v>
      </c>
      <c r="AA144" s="1078">
        <f t="shared" si="162"/>
        <v>7820</v>
      </c>
      <c r="AB144" s="1078">
        <f t="shared" si="162"/>
        <v>-1137</v>
      </c>
      <c r="AC144" s="1078">
        <f t="shared" si="162"/>
        <v>0</v>
      </c>
      <c r="AD144" s="1078">
        <f t="shared" si="162"/>
        <v>0</v>
      </c>
      <c r="AE144" s="1078">
        <f t="shared" si="162"/>
        <v>0</v>
      </c>
      <c r="AF144" s="1078">
        <f t="shared" si="162"/>
        <v>29819</v>
      </c>
      <c r="AG144" s="1079">
        <f t="shared" si="162"/>
        <v>-0.02</v>
      </c>
      <c r="AH144" s="1079">
        <f t="shared" si="162"/>
        <v>-0.17</v>
      </c>
      <c r="AI144" s="1079">
        <f t="shared" si="162"/>
        <v>0.05</v>
      </c>
      <c r="AJ144" s="1079">
        <f t="shared" si="162"/>
        <v>0</v>
      </c>
      <c r="AK144" s="1079">
        <f t="shared" si="162"/>
        <v>0</v>
      </c>
      <c r="AL144" s="1079">
        <f t="shared" si="162"/>
        <v>3.0000000000000002E-2</v>
      </c>
      <c r="AM144" s="1079">
        <f t="shared" si="162"/>
        <v>-0.17</v>
      </c>
      <c r="AN144" s="1080">
        <f t="shared" si="162"/>
        <v>-0.14000000000000001</v>
      </c>
      <c r="AO144" s="1074">
        <f t="shared" si="162"/>
        <v>8187950</v>
      </c>
      <c r="AP144" s="1078">
        <f t="shared" si="162"/>
        <v>5885234</v>
      </c>
      <c r="AQ144" s="1078">
        <f t="shared" si="162"/>
        <v>80000</v>
      </c>
      <c r="AR144" s="1078">
        <f t="shared" si="162"/>
        <v>2016249</v>
      </c>
      <c r="AS144" s="1078">
        <f t="shared" si="162"/>
        <v>117705</v>
      </c>
      <c r="AT144" s="1078">
        <f t="shared" si="162"/>
        <v>88762</v>
      </c>
      <c r="AU144" s="1079">
        <f t="shared" si="162"/>
        <v>13.409000000000002</v>
      </c>
      <c r="AV144" s="1079">
        <f t="shared" si="162"/>
        <v>8.2070000000000007</v>
      </c>
      <c r="AW144" s="1081">
        <f t="shared" si="162"/>
        <v>5.202</v>
      </c>
      <c r="AX144" s="925"/>
    </row>
    <row r="145" spans="1:50" ht="12.95" customHeight="1" x14ac:dyDescent="0.25">
      <c r="A145" s="827">
        <v>29</v>
      </c>
      <c r="B145" s="536">
        <v>5437</v>
      </c>
      <c r="C145" s="536">
        <v>600098931</v>
      </c>
      <c r="D145" s="828">
        <v>72742135</v>
      </c>
      <c r="E145" s="1056" t="s">
        <v>545</v>
      </c>
      <c r="F145" s="536">
        <v>3111</v>
      </c>
      <c r="G145" s="1057" t="s">
        <v>331</v>
      </c>
      <c r="H145" s="832" t="s">
        <v>283</v>
      </c>
      <c r="I145" s="803">
        <f>SUM(J145:M145)</f>
        <v>4618178</v>
      </c>
      <c r="J145" s="833">
        <v>3380838</v>
      </c>
      <c r="K145" s="805">
        <f>ROUND((J145)*33.8%,0)</f>
        <v>1142723</v>
      </c>
      <c r="L145" s="805">
        <f>ROUND(J145*2%,0)</f>
        <v>67617</v>
      </c>
      <c r="M145" s="833">
        <v>27000</v>
      </c>
      <c r="N145" s="834">
        <f>SUM(O145:P145)</f>
        <v>7.9841999999999995</v>
      </c>
      <c r="O145" s="1054">
        <v>6</v>
      </c>
      <c r="P145" s="1055">
        <v>1.9842</v>
      </c>
      <c r="Q145" s="835">
        <f>V145*-1</f>
        <v>0</v>
      </c>
      <c r="R145" s="813">
        <v>0</v>
      </c>
      <c r="S145" s="813">
        <v>0</v>
      </c>
      <c r="T145" s="813">
        <v>0</v>
      </c>
      <c r="U145" s="813">
        <f>SUM(Q145:T145)</f>
        <v>0</v>
      </c>
      <c r="V145" s="813">
        <v>0</v>
      </c>
      <c r="W145" s="813">
        <v>0</v>
      </c>
      <c r="X145" s="813">
        <v>0</v>
      </c>
      <c r="Y145" s="813">
        <f>SUM(V145:X145)</f>
        <v>0</v>
      </c>
      <c r="Z145" s="813">
        <f>U145+Y145</f>
        <v>0</v>
      </c>
      <c r="AA145" s="809">
        <f>ROUND((U145+V145+W145)*33.8%,0)</f>
        <v>0</v>
      </c>
      <c r="AB145" s="809">
        <f>ROUND(U145*2%,0)</f>
        <v>0</v>
      </c>
      <c r="AC145" s="813">
        <v>0</v>
      </c>
      <c r="AD145" s="813">
        <v>0</v>
      </c>
      <c r="AE145" s="813">
        <f>SUM(AC145:AD145)</f>
        <v>0</v>
      </c>
      <c r="AF145" s="813">
        <f>Z145+AA145+AB145+AE145</f>
        <v>0</v>
      </c>
      <c r="AG145" s="836">
        <v>0</v>
      </c>
      <c r="AH145" s="836">
        <v>0</v>
      </c>
      <c r="AI145" s="836">
        <v>0</v>
      </c>
      <c r="AJ145" s="836">
        <v>0</v>
      </c>
      <c r="AK145" s="836">
        <v>0</v>
      </c>
      <c r="AL145" s="836">
        <f>AG145+AI145+AJ145</f>
        <v>0</v>
      </c>
      <c r="AM145" s="836">
        <f>AH145+AK145</f>
        <v>0</v>
      </c>
      <c r="AN145" s="949">
        <f>SUM(AL145:AM145)</f>
        <v>0</v>
      </c>
      <c r="AO145" s="945">
        <f>I145+AF145</f>
        <v>4618178</v>
      </c>
      <c r="AP145" s="813">
        <f>J145+U145</f>
        <v>3380838</v>
      </c>
      <c r="AQ145" s="813">
        <f>Y145</f>
        <v>0</v>
      </c>
      <c r="AR145" s="813">
        <f>K145+AA145</f>
        <v>1142723</v>
      </c>
      <c r="AS145" s="813">
        <f>L145+AB145</f>
        <v>67617</v>
      </c>
      <c r="AT145" s="813">
        <f>M145+AE145</f>
        <v>27000</v>
      </c>
      <c r="AU145" s="836">
        <f>N145+AN145</f>
        <v>7.9841999999999995</v>
      </c>
      <c r="AV145" s="836">
        <f>O145+AL145</f>
        <v>6</v>
      </c>
      <c r="AW145" s="837">
        <f>P145+AM145</f>
        <v>1.9842</v>
      </c>
      <c r="AX145" s="925"/>
    </row>
    <row r="146" spans="1:50" ht="12.95" customHeight="1" x14ac:dyDescent="0.25">
      <c r="A146" s="827">
        <v>29</v>
      </c>
      <c r="B146" s="536">
        <v>5437</v>
      </c>
      <c r="C146" s="536">
        <v>600098931</v>
      </c>
      <c r="D146" s="828">
        <v>72742135</v>
      </c>
      <c r="E146" s="1056" t="s">
        <v>545</v>
      </c>
      <c r="F146" s="536">
        <v>3141</v>
      </c>
      <c r="G146" s="1057" t="s">
        <v>321</v>
      </c>
      <c r="H146" s="832" t="s">
        <v>284</v>
      </c>
      <c r="I146" s="803">
        <f>SUM(J146:M146)</f>
        <v>1179839</v>
      </c>
      <c r="J146" s="833">
        <v>864279</v>
      </c>
      <c r="K146" s="805">
        <f>ROUND((J146)*33.8%,0)</f>
        <v>292126</v>
      </c>
      <c r="L146" s="805">
        <f>ROUND(J146*2%,0)</f>
        <v>17286</v>
      </c>
      <c r="M146" s="833">
        <v>6148</v>
      </c>
      <c r="N146" s="834">
        <f>SUM(O146:P146)</f>
        <v>2.94</v>
      </c>
      <c r="O146" s="1054">
        <v>0</v>
      </c>
      <c r="P146" s="1055">
        <v>2.94</v>
      </c>
      <c r="Q146" s="835">
        <f>V146*-1</f>
        <v>0</v>
      </c>
      <c r="R146" s="813">
        <v>0</v>
      </c>
      <c r="S146" s="813">
        <v>0</v>
      </c>
      <c r="T146" s="813">
        <v>0</v>
      </c>
      <c r="U146" s="813">
        <f>SUM(Q146:T146)</f>
        <v>0</v>
      </c>
      <c r="V146" s="813">
        <v>0</v>
      </c>
      <c r="W146" s="813">
        <v>0</v>
      </c>
      <c r="X146" s="813">
        <v>0</v>
      </c>
      <c r="Y146" s="813">
        <f>SUM(V146:X146)</f>
        <v>0</v>
      </c>
      <c r="Z146" s="813">
        <f>U146+Y146</f>
        <v>0</v>
      </c>
      <c r="AA146" s="809">
        <f>ROUND((U146+V146+W146)*33.8%,0)</f>
        <v>0</v>
      </c>
      <c r="AB146" s="809">
        <f>ROUND(U146*2%,0)</f>
        <v>0</v>
      </c>
      <c r="AC146" s="813">
        <v>0</v>
      </c>
      <c r="AD146" s="813">
        <v>0</v>
      </c>
      <c r="AE146" s="813">
        <f>SUM(AC146:AD146)</f>
        <v>0</v>
      </c>
      <c r="AF146" s="813">
        <f>Z146+AA146+AB146+AE146</f>
        <v>0</v>
      </c>
      <c r="AG146" s="836">
        <v>0</v>
      </c>
      <c r="AH146" s="836">
        <v>0</v>
      </c>
      <c r="AI146" s="836">
        <v>0</v>
      </c>
      <c r="AJ146" s="836">
        <v>0</v>
      </c>
      <c r="AK146" s="836">
        <v>0</v>
      </c>
      <c r="AL146" s="836">
        <f>AG146+AI146+AJ146</f>
        <v>0</v>
      </c>
      <c r="AM146" s="836">
        <f>AH146+AK146</f>
        <v>0</v>
      </c>
      <c r="AN146" s="949">
        <f>SUM(AL146:AM146)</f>
        <v>0</v>
      </c>
      <c r="AO146" s="945">
        <f>I146+AF146</f>
        <v>1179839</v>
      </c>
      <c r="AP146" s="813">
        <f>J146+U146</f>
        <v>864279</v>
      </c>
      <c r="AQ146" s="813">
        <f>Y146</f>
        <v>0</v>
      </c>
      <c r="AR146" s="813">
        <f>K146+AA146</f>
        <v>292126</v>
      </c>
      <c r="AS146" s="813">
        <f>L146+AB146</f>
        <v>17286</v>
      </c>
      <c r="AT146" s="813">
        <f>M146+AE146</f>
        <v>6148</v>
      </c>
      <c r="AU146" s="836">
        <f>N146+AN146</f>
        <v>2.94</v>
      </c>
      <c r="AV146" s="836">
        <f>O146+AL146</f>
        <v>0</v>
      </c>
      <c r="AW146" s="837">
        <f>P146+AM146</f>
        <v>2.94</v>
      </c>
      <c r="AX146" s="925"/>
    </row>
    <row r="147" spans="1:50" ht="12.95" customHeight="1" x14ac:dyDescent="0.25">
      <c r="A147" s="538">
        <v>29</v>
      </c>
      <c r="B147" s="100">
        <v>5437</v>
      </c>
      <c r="C147" s="100">
        <v>600098931</v>
      </c>
      <c r="D147" s="100">
        <v>72742135</v>
      </c>
      <c r="E147" s="1058" t="s">
        <v>546</v>
      </c>
      <c r="F147" s="100"/>
      <c r="G147" s="1058"/>
      <c r="H147" s="449"/>
      <c r="I147" s="1074">
        <f t="shared" ref="I147:AW147" si="163">SUM(I145:I146)</f>
        <v>5798017</v>
      </c>
      <c r="J147" s="1075">
        <f t="shared" si="163"/>
        <v>4245117</v>
      </c>
      <c r="K147" s="1075">
        <f t="shared" si="163"/>
        <v>1434849</v>
      </c>
      <c r="L147" s="1075">
        <f t="shared" si="163"/>
        <v>84903</v>
      </c>
      <c r="M147" s="1075">
        <f t="shared" si="163"/>
        <v>33148</v>
      </c>
      <c r="N147" s="1076">
        <f t="shared" si="163"/>
        <v>10.924199999999999</v>
      </c>
      <c r="O147" s="1076">
        <f t="shared" si="163"/>
        <v>6</v>
      </c>
      <c r="P147" s="1077">
        <f t="shared" si="163"/>
        <v>4.9241999999999999</v>
      </c>
      <c r="Q147" s="1075">
        <f t="shared" si="163"/>
        <v>0</v>
      </c>
      <c r="R147" s="1078">
        <f t="shared" si="163"/>
        <v>0</v>
      </c>
      <c r="S147" s="1078">
        <f t="shared" si="163"/>
        <v>0</v>
      </c>
      <c r="T147" s="1078">
        <f t="shared" si="163"/>
        <v>0</v>
      </c>
      <c r="U147" s="1078">
        <f t="shared" si="163"/>
        <v>0</v>
      </c>
      <c r="V147" s="1078">
        <f t="shared" si="163"/>
        <v>0</v>
      </c>
      <c r="W147" s="1078">
        <f t="shared" si="163"/>
        <v>0</v>
      </c>
      <c r="X147" s="1078">
        <f t="shared" si="163"/>
        <v>0</v>
      </c>
      <c r="Y147" s="1078">
        <f t="shared" si="163"/>
        <v>0</v>
      </c>
      <c r="Z147" s="1078">
        <f t="shared" si="163"/>
        <v>0</v>
      </c>
      <c r="AA147" s="1078">
        <f t="shared" si="163"/>
        <v>0</v>
      </c>
      <c r="AB147" s="1078">
        <f t="shared" si="163"/>
        <v>0</v>
      </c>
      <c r="AC147" s="1078">
        <f t="shared" si="163"/>
        <v>0</v>
      </c>
      <c r="AD147" s="1078">
        <f t="shared" si="163"/>
        <v>0</v>
      </c>
      <c r="AE147" s="1078">
        <f t="shared" si="163"/>
        <v>0</v>
      </c>
      <c r="AF147" s="1078">
        <f t="shared" si="163"/>
        <v>0</v>
      </c>
      <c r="AG147" s="1079">
        <f t="shared" si="163"/>
        <v>0</v>
      </c>
      <c r="AH147" s="1079">
        <f t="shared" si="163"/>
        <v>0</v>
      </c>
      <c r="AI147" s="1079">
        <f t="shared" si="163"/>
        <v>0</v>
      </c>
      <c r="AJ147" s="1079">
        <f t="shared" si="163"/>
        <v>0</v>
      </c>
      <c r="AK147" s="1079">
        <f t="shared" si="163"/>
        <v>0</v>
      </c>
      <c r="AL147" s="1079">
        <f t="shared" si="163"/>
        <v>0</v>
      </c>
      <c r="AM147" s="1079">
        <f t="shared" si="163"/>
        <v>0</v>
      </c>
      <c r="AN147" s="1080">
        <f t="shared" si="163"/>
        <v>0</v>
      </c>
      <c r="AO147" s="1074">
        <f t="shared" si="163"/>
        <v>5798017</v>
      </c>
      <c r="AP147" s="1078">
        <f t="shared" si="163"/>
        <v>4245117</v>
      </c>
      <c r="AQ147" s="1078">
        <f t="shared" si="163"/>
        <v>0</v>
      </c>
      <c r="AR147" s="1078">
        <f t="shared" si="163"/>
        <v>1434849</v>
      </c>
      <c r="AS147" s="1078">
        <f t="shared" si="163"/>
        <v>84903</v>
      </c>
      <c r="AT147" s="1078">
        <f t="shared" si="163"/>
        <v>33148</v>
      </c>
      <c r="AU147" s="1079">
        <f t="shared" si="163"/>
        <v>10.924199999999999</v>
      </c>
      <c r="AV147" s="1079">
        <f t="shared" si="163"/>
        <v>6</v>
      </c>
      <c r="AW147" s="1081">
        <f t="shared" si="163"/>
        <v>4.9241999999999999</v>
      </c>
      <c r="AX147" s="925"/>
    </row>
    <row r="148" spans="1:50" ht="12.95" customHeight="1" x14ac:dyDescent="0.25">
      <c r="A148" s="827">
        <v>30</v>
      </c>
      <c r="B148" s="1068">
        <v>5438</v>
      </c>
      <c r="C148" s="1068">
        <v>600099032</v>
      </c>
      <c r="D148" s="828">
        <v>72742054</v>
      </c>
      <c r="E148" s="535" t="s">
        <v>547</v>
      </c>
      <c r="F148" s="536">
        <v>3117</v>
      </c>
      <c r="G148" s="1056" t="s">
        <v>335</v>
      </c>
      <c r="H148" s="832" t="s">
        <v>283</v>
      </c>
      <c r="I148" s="803">
        <f>SUM(J148:M148)</f>
        <v>4078966</v>
      </c>
      <c r="J148" s="833">
        <v>2943215</v>
      </c>
      <c r="K148" s="805">
        <f>ROUND((J148)*33.8%,0)</f>
        <v>994807</v>
      </c>
      <c r="L148" s="805">
        <f>ROUND(J148*2%,0)</f>
        <v>58864</v>
      </c>
      <c r="M148" s="833">
        <v>82080</v>
      </c>
      <c r="N148" s="834">
        <f>SUM(O148:P148)</f>
        <v>5.3839000000000006</v>
      </c>
      <c r="O148" s="1054">
        <v>3.6886000000000001</v>
      </c>
      <c r="P148" s="1055">
        <v>1.6953</v>
      </c>
      <c r="Q148" s="835">
        <f>V148*-1</f>
        <v>0</v>
      </c>
      <c r="R148" s="813">
        <v>0</v>
      </c>
      <c r="S148" s="813">
        <v>0</v>
      </c>
      <c r="T148" s="813">
        <v>0</v>
      </c>
      <c r="U148" s="813">
        <f>SUM(Q148:T148)</f>
        <v>0</v>
      </c>
      <c r="V148" s="813">
        <v>0</v>
      </c>
      <c r="W148" s="813">
        <v>0</v>
      </c>
      <c r="X148" s="813">
        <v>0</v>
      </c>
      <c r="Y148" s="813">
        <f>SUM(V148:X148)</f>
        <v>0</v>
      </c>
      <c r="Z148" s="813">
        <f>U148+Y148</f>
        <v>0</v>
      </c>
      <c r="AA148" s="809">
        <f>ROUND((U148+V148+W148)*33.8%,0)</f>
        <v>0</v>
      </c>
      <c r="AB148" s="809">
        <f>ROUND(U148*2%,0)</f>
        <v>0</v>
      </c>
      <c r="AC148" s="813">
        <v>0</v>
      </c>
      <c r="AD148" s="813">
        <v>0</v>
      </c>
      <c r="AE148" s="813">
        <f>SUM(AC148:AD148)</f>
        <v>0</v>
      </c>
      <c r="AF148" s="813">
        <f>Z148+AA148+AB148+AE148</f>
        <v>0</v>
      </c>
      <c r="AG148" s="836">
        <v>0</v>
      </c>
      <c r="AH148" s="836">
        <v>0</v>
      </c>
      <c r="AI148" s="836">
        <v>0</v>
      </c>
      <c r="AJ148" s="836">
        <v>0</v>
      </c>
      <c r="AK148" s="836">
        <v>0</v>
      </c>
      <c r="AL148" s="836">
        <f>AG148+AI148+AJ148</f>
        <v>0</v>
      </c>
      <c r="AM148" s="836">
        <f>AH148+AK148</f>
        <v>0</v>
      </c>
      <c r="AN148" s="949">
        <f>SUM(AL148:AM148)</f>
        <v>0</v>
      </c>
      <c r="AO148" s="945">
        <f>I148+AF148</f>
        <v>4078966</v>
      </c>
      <c r="AP148" s="813">
        <f>J148+U148</f>
        <v>2943215</v>
      </c>
      <c r="AQ148" s="813">
        <f>Y148</f>
        <v>0</v>
      </c>
      <c r="AR148" s="813">
        <f t="shared" ref="AR148:AS151" si="164">K148+AA148</f>
        <v>994807</v>
      </c>
      <c r="AS148" s="813">
        <f t="shared" si="164"/>
        <v>58864</v>
      </c>
      <c r="AT148" s="813">
        <f>M148+AE148</f>
        <v>82080</v>
      </c>
      <c r="AU148" s="836">
        <f>N148+AN148</f>
        <v>5.3839000000000006</v>
      </c>
      <c r="AV148" s="836">
        <f t="shared" ref="AV148:AW151" si="165">O148+AL148</f>
        <v>3.6886000000000001</v>
      </c>
      <c r="AW148" s="837">
        <f t="shared" si="165"/>
        <v>1.6953</v>
      </c>
      <c r="AX148" s="925"/>
    </row>
    <row r="149" spans="1:50" ht="12.95" customHeight="1" x14ac:dyDescent="0.25">
      <c r="A149" s="827">
        <v>30</v>
      </c>
      <c r="B149" s="536">
        <v>5438</v>
      </c>
      <c r="C149" s="536">
        <v>600099032</v>
      </c>
      <c r="D149" s="828">
        <v>72742054</v>
      </c>
      <c r="E149" s="1053" t="s">
        <v>547</v>
      </c>
      <c r="F149" s="536">
        <v>3117</v>
      </c>
      <c r="G149" s="948" t="s">
        <v>318</v>
      </c>
      <c r="H149" s="832" t="s">
        <v>284</v>
      </c>
      <c r="I149" s="803">
        <f>SUM(J149:M149)</f>
        <v>0</v>
      </c>
      <c r="J149" s="833">
        <v>0</v>
      </c>
      <c r="K149" s="805">
        <f>ROUND((J149)*33.8%,0)</f>
        <v>0</v>
      </c>
      <c r="L149" s="805">
        <f>ROUND(J149*2%,0)</f>
        <v>0</v>
      </c>
      <c r="M149" s="833">
        <v>0</v>
      </c>
      <c r="N149" s="834">
        <f>SUM(O149:P149)</f>
        <v>0</v>
      </c>
      <c r="O149" s="1054">
        <v>0</v>
      </c>
      <c r="P149" s="1055">
        <v>0</v>
      </c>
      <c r="Q149" s="835">
        <f>V149*-1</f>
        <v>0</v>
      </c>
      <c r="R149" s="813">
        <v>0</v>
      </c>
      <c r="S149" s="813">
        <v>0</v>
      </c>
      <c r="T149" s="813">
        <v>0</v>
      </c>
      <c r="U149" s="813">
        <f>SUM(Q149:T149)</f>
        <v>0</v>
      </c>
      <c r="V149" s="813">
        <v>0</v>
      </c>
      <c r="W149" s="813">
        <v>0</v>
      </c>
      <c r="X149" s="813">
        <v>0</v>
      </c>
      <c r="Y149" s="813">
        <f>SUM(V149:X149)</f>
        <v>0</v>
      </c>
      <c r="Z149" s="813">
        <f>U149+Y149</f>
        <v>0</v>
      </c>
      <c r="AA149" s="809">
        <f>ROUND((U149+V149+W149)*33.8%,0)</f>
        <v>0</v>
      </c>
      <c r="AB149" s="809">
        <f>ROUND(U149*2%,0)</f>
        <v>0</v>
      </c>
      <c r="AC149" s="813">
        <v>0</v>
      </c>
      <c r="AD149" s="813">
        <v>0</v>
      </c>
      <c r="AE149" s="813">
        <f>SUM(AC149:AD149)</f>
        <v>0</v>
      </c>
      <c r="AF149" s="813">
        <f>Z149+AA149+AB149+AE149</f>
        <v>0</v>
      </c>
      <c r="AG149" s="836">
        <v>0</v>
      </c>
      <c r="AH149" s="836">
        <v>0</v>
      </c>
      <c r="AI149" s="836">
        <v>0</v>
      </c>
      <c r="AJ149" s="836">
        <v>0</v>
      </c>
      <c r="AK149" s="836">
        <v>0</v>
      </c>
      <c r="AL149" s="836">
        <f>AG149+AI149+AJ149</f>
        <v>0</v>
      </c>
      <c r="AM149" s="836">
        <f>AH149+AK149</f>
        <v>0</v>
      </c>
      <c r="AN149" s="949">
        <f>SUM(AL149:AM149)</f>
        <v>0</v>
      </c>
      <c r="AO149" s="945">
        <f>I149+AF149</f>
        <v>0</v>
      </c>
      <c r="AP149" s="813">
        <f>J149+U149</f>
        <v>0</v>
      </c>
      <c r="AQ149" s="813">
        <f>Y149</f>
        <v>0</v>
      </c>
      <c r="AR149" s="813">
        <f t="shared" si="164"/>
        <v>0</v>
      </c>
      <c r="AS149" s="813">
        <f t="shared" si="164"/>
        <v>0</v>
      </c>
      <c r="AT149" s="813">
        <f>M149+AE149</f>
        <v>0</v>
      </c>
      <c r="AU149" s="836">
        <f>N149+AN149</f>
        <v>0</v>
      </c>
      <c r="AV149" s="836">
        <f t="shared" si="165"/>
        <v>0</v>
      </c>
      <c r="AW149" s="837">
        <f t="shared" si="165"/>
        <v>0</v>
      </c>
      <c r="AX149" s="925"/>
    </row>
    <row r="150" spans="1:50" ht="12.95" customHeight="1" x14ac:dyDescent="0.25">
      <c r="A150" s="827">
        <v>30</v>
      </c>
      <c r="B150" s="536">
        <v>5438</v>
      </c>
      <c r="C150" s="536">
        <v>600099032</v>
      </c>
      <c r="D150" s="828">
        <v>72742054</v>
      </c>
      <c r="E150" s="1053" t="s">
        <v>547</v>
      </c>
      <c r="F150" s="1084">
        <v>3143</v>
      </c>
      <c r="G150" s="948" t="s">
        <v>635</v>
      </c>
      <c r="H150" s="832" t="s">
        <v>283</v>
      </c>
      <c r="I150" s="803">
        <f>SUM(J150:M150)</f>
        <v>727448</v>
      </c>
      <c r="J150" s="833">
        <v>535676</v>
      </c>
      <c r="K150" s="805">
        <f>ROUND((J150)*33.8%,0)</f>
        <v>181058</v>
      </c>
      <c r="L150" s="805">
        <f>ROUND(J150*2%,0)</f>
        <v>10714</v>
      </c>
      <c r="M150" s="833">
        <v>0</v>
      </c>
      <c r="N150" s="834">
        <f>SUM(O150:P150)</f>
        <v>1.1072</v>
      </c>
      <c r="O150" s="1054">
        <v>1.1072</v>
      </c>
      <c r="P150" s="1055">
        <v>0</v>
      </c>
      <c r="Q150" s="835">
        <f>V150*-1</f>
        <v>0</v>
      </c>
      <c r="R150" s="813">
        <v>0</v>
      </c>
      <c r="S150" s="813">
        <v>0</v>
      </c>
      <c r="T150" s="813">
        <v>0</v>
      </c>
      <c r="U150" s="813">
        <f>SUM(Q150:T150)</f>
        <v>0</v>
      </c>
      <c r="V150" s="813">
        <v>0</v>
      </c>
      <c r="W150" s="813">
        <v>0</v>
      </c>
      <c r="X150" s="813">
        <v>0</v>
      </c>
      <c r="Y150" s="813">
        <f>SUM(V150:X150)</f>
        <v>0</v>
      </c>
      <c r="Z150" s="813">
        <f>U150+Y150</f>
        <v>0</v>
      </c>
      <c r="AA150" s="809">
        <f>ROUND((U150+V150+W150)*33.8%,0)</f>
        <v>0</v>
      </c>
      <c r="AB150" s="809">
        <f>ROUND(U150*2%,0)</f>
        <v>0</v>
      </c>
      <c r="AC150" s="813">
        <v>0</v>
      </c>
      <c r="AD150" s="813">
        <v>0</v>
      </c>
      <c r="AE150" s="813">
        <f>SUM(AC150:AD150)</f>
        <v>0</v>
      </c>
      <c r="AF150" s="813">
        <f>Z150+AA150+AB150+AE150</f>
        <v>0</v>
      </c>
      <c r="AG150" s="836">
        <v>0</v>
      </c>
      <c r="AH150" s="836">
        <v>0</v>
      </c>
      <c r="AI150" s="836">
        <v>0</v>
      </c>
      <c r="AJ150" s="836">
        <v>0</v>
      </c>
      <c r="AK150" s="836">
        <v>0</v>
      </c>
      <c r="AL150" s="836">
        <f>AG150+AI150+AJ150</f>
        <v>0</v>
      </c>
      <c r="AM150" s="836">
        <f>AH150+AK150</f>
        <v>0</v>
      </c>
      <c r="AN150" s="949">
        <f>SUM(AL150:AM150)</f>
        <v>0</v>
      </c>
      <c r="AO150" s="945">
        <f>I150+AF150</f>
        <v>727448</v>
      </c>
      <c r="AP150" s="813">
        <f>J150+U150</f>
        <v>535676</v>
      </c>
      <c r="AQ150" s="813">
        <f>Y150</f>
        <v>0</v>
      </c>
      <c r="AR150" s="813">
        <f t="shared" si="164"/>
        <v>181058</v>
      </c>
      <c r="AS150" s="813">
        <f t="shared" si="164"/>
        <v>10714</v>
      </c>
      <c r="AT150" s="813">
        <f>M150+AE150</f>
        <v>0</v>
      </c>
      <c r="AU150" s="836">
        <f>N150+AN150</f>
        <v>1.1072</v>
      </c>
      <c r="AV150" s="836">
        <f t="shared" si="165"/>
        <v>1.1072</v>
      </c>
      <c r="AW150" s="837">
        <f t="shared" si="165"/>
        <v>0</v>
      </c>
      <c r="AX150" s="925"/>
    </row>
    <row r="151" spans="1:50" ht="12.95" customHeight="1" x14ac:dyDescent="0.25">
      <c r="A151" s="827">
        <v>30</v>
      </c>
      <c r="B151" s="536">
        <v>5438</v>
      </c>
      <c r="C151" s="536">
        <v>600099032</v>
      </c>
      <c r="D151" s="828">
        <v>72742054</v>
      </c>
      <c r="E151" s="1053" t="s">
        <v>547</v>
      </c>
      <c r="F151" s="1084">
        <v>3143</v>
      </c>
      <c r="G151" s="948" t="s">
        <v>636</v>
      </c>
      <c r="H151" s="832" t="s">
        <v>284</v>
      </c>
      <c r="I151" s="803">
        <f>SUM(J151:M151)</f>
        <v>20364</v>
      </c>
      <c r="J151" s="833">
        <v>14355</v>
      </c>
      <c r="K151" s="805">
        <f>ROUND((J151)*33.8%,0)</f>
        <v>4852</v>
      </c>
      <c r="L151" s="805">
        <f>ROUND(J151*2%,0)</f>
        <v>287</v>
      </c>
      <c r="M151" s="833">
        <v>870</v>
      </c>
      <c r="N151" s="834">
        <f>SUM(O151:P151)</f>
        <v>0.06</v>
      </c>
      <c r="O151" s="1054">
        <v>0</v>
      </c>
      <c r="P151" s="1055">
        <v>0.06</v>
      </c>
      <c r="Q151" s="835">
        <f>V151*-1</f>
        <v>0</v>
      </c>
      <c r="R151" s="813">
        <v>0</v>
      </c>
      <c r="S151" s="813">
        <v>0</v>
      </c>
      <c r="T151" s="813">
        <v>0</v>
      </c>
      <c r="U151" s="813">
        <f>SUM(Q151:T151)</f>
        <v>0</v>
      </c>
      <c r="V151" s="813">
        <v>0</v>
      </c>
      <c r="W151" s="813">
        <v>0</v>
      </c>
      <c r="X151" s="813">
        <v>0</v>
      </c>
      <c r="Y151" s="813">
        <f>SUM(V151:X151)</f>
        <v>0</v>
      </c>
      <c r="Z151" s="813">
        <f>U151+Y151</f>
        <v>0</v>
      </c>
      <c r="AA151" s="809">
        <f>ROUND((U151+V151+W151)*33.8%,0)</f>
        <v>0</v>
      </c>
      <c r="AB151" s="809">
        <f>ROUND(U151*2%,0)</f>
        <v>0</v>
      </c>
      <c r="AC151" s="813">
        <v>0</v>
      </c>
      <c r="AD151" s="813">
        <v>0</v>
      </c>
      <c r="AE151" s="813">
        <f>SUM(AC151:AD151)</f>
        <v>0</v>
      </c>
      <c r="AF151" s="813">
        <f>Z151+AA151+AB151+AE151</f>
        <v>0</v>
      </c>
      <c r="AG151" s="836">
        <v>0</v>
      </c>
      <c r="AH151" s="836">
        <v>0</v>
      </c>
      <c r="AI151" s="836">
        <v>0</v>
      </c>
      <c r="AJ151" s="836">
        <v>0</v>
      </c>
      <c r="AK151" s="836">
        <v>0</v>
      </c>
      <c r="AL151" s="836">
        <f>AG151+AI151+AJ151</f>
        <v>0</v>
      </c>
      <c r="AM151" s="836">
        <f>AH151+AK151</f>
        <v>0</v>
      </c>
      <c r="AN151" s="949">
        <f>SUM(AL151:AM151)</f>
        <v>0</v>
      </c>
      <c r="AO151" s="945">
        <f>I151+AF151</f>
        <v>20364</v>
      </c>
      <c r="AP151" s="813">
        <f>J151+U151</f>
        <v>14355</v>
      </c>
      <c r="AQ151" s="813">
        <f>Y151</f>
        <v>0</v>
      </c>
      <c r="AR151" s="813">
        <f t="shared" si="164"/>
        <v>4852</v>
      </c>
      <c r="AS151" s="813">
        <f t="shared" si="164"/>
        <v>287</v>
      </c>
      <c r="AT151" s="813">
        <f>M151+AE151</f>
        <v>870</v>
      </c>
      <c r="AU151" s="836">
        <f>N151+AN151</f>
        <v>0.06</v>
      </c>
      <c r="AV151" s="836">
        <f t="shared" si="165"/>
        <v>0</v>
      </c>
      <c r="AW151" s="837">
        <f t="shared" si="165"/>
        <v>0.06</v>
      </c>
      <c r="AX151" s="925"/>
    </row>
    <row r="152" spans="1:50" ht="12.95" customHeight="1" x14ac:dyDescent="0.25">
      <c r="A152" s="538">
        <v>30</v>
      </c>
      <c r="B152" s="100">
        <v>5438</v>
      </c>
      <c r="C152" s="100">
        <v>600099032</v>
      </c>
      <c r="D152" s="100">
        <v>72742054</v>
      </c>
      <c r="E152" s="1085" t="s">
        <v>548</v>
      </c>
      <c r="F152" s="1086"/>
      <c r="G152" s="1085"/>
      <c r="H152" s="1087"/>
      <c r="I152" s="1074">
        <f t="shared" ref="I152:AW152" si="166">SUM(I148:I151)</f>
        <v>4826778</v>
      </c>
      <c r="J152" s="1075">
        <f t="shared" si="166"/>
        <v>3493246</v>
      </c>
      <c r="K152" s="1075">
        <f t="shared" si="166"/>
        <v>1180717</v>
      </c>
      <c r="L152" s="1075">
        <f t="shared" si="166"/>
        <v>69865</v>
      </c>
      <c r="M152" s="1075">
        <f t="shared" si="166"/>
        <v>82950</v>
      </c>
      <c r="N152" s="1076">
        <f t="shared" si="166"/>
        <v>6.5510999999999999</v>
      </c>
      <c r="O152" s="1076">
        <f t="shared" si="166"/>
        <v>4.7957999999999998</v>
      </c>
      <c r="P152" s="1077">
        <f t="shared" si="166"/>
        <v>1.7553000000000001</v>
      </c>
      <c r="Q152" s="1075">
        <f t="shared" si="166"/>
        <v>0</v>
      </c>
      <c r="R152" s="1078">
        <f t="shared" si="166"/>
        <v>0</v>
      </c>
      <c r="S152" s="1078">
        <f t="shared" si="166"/>
        <v>0</v>
      </c>
      <c r="T152" s="1078">
        <f t="shared" si="166"/>
        <v>0</v>
      </c>
      <c r="U152" s="1078">
        <f t="shared" si="166"/>
        <v>0</v>
      </c>
      <c r="V152" s="1078">
        <f t="shared" si="166"/>
        <v>0</v>
      </c>
      <c r="W152" s="1078">
        <f t="shared" si="166"/>
        <v>0</v>
      </c>
      <c r="X152" s="1078">
        <f t="shared" si="166"/>
        <v>0</v>
      </c>
      <c r="Y152" s="1078">
        <f t="shared" si="166"/>
        <v>0</v>
      </c>
      <c r="Z152" s="1078">
        <f t="shared" si="166"/>
        <v>0</v>
      </c>
      <c r="AA152" s="1078">
        <f t="shared" si="166"/>
        <v>0</v>
      </c>
      <c r="AB152" s="1078">
        <f t="shared" si="166"/>
        <v>0</v>
      </c>
      <c r="AC152" s="1078">
        <f t="shared" si="166"/>
        <v>0</v>
      </c>
      <c r="AD152" s="1078">
        <f t="shared" si="166"/>
        <v>0</v>
      </c>
      <c r="AE152" s="1078">
        <f t="shared" si="166"/>
        <v>0</v>
      </c>
      <c r="AF152" s="1078">
        <f t="shared" si="166"/>
        <v>0</v>
      </c>
      <c r="AG152" s="1079">
        <f t="shared" si="166"/>
        <v>0</v>
      </c>
      <c r="AH152" s="1079">
        <f t="shared" si="166"/>
        <v>0</v>
      </c>
      <c r="AI152" s="1079">
        <f t="shared" si="166"/>
        <v>0</v>
      </c>
      <c r="AJ152" s="1079">
        <f t="shared" si="166"/>
        <v>0</v>
      </c>
      <c r="AK152" s="1079">
        <f t="shared" si="166"/>
        <v>0</v>
      </c>
      <c r="AL152" s="1079">
        <f t="shared" si="166"/>
        <v>0</v>
      </c>
      <c r="AM152" s="1079">
        <f t="shared" si="166"/>
        <v>0</v>
      </c>
      <c r="AN152" s="1080">
        <f t="shared" si="166"/>
        <v>0</v>
      </c>
      <c r="AO152" s="1074">
        <f t="shared" si="166"/>
        <v>4826778</v>
      </c>
      <c r="AP152" s="1078">
        <f t="shared" si="166"/>
        <v>3493246</v>
      </c>
      <c r="AQ152" s="1078">
        <f t="shared" si="166"/>
        <v>0</v>
      </c>
      <c r="AR152" s="1078">
        <f t="shared" si="166"/>
        <v>1180717</v>
      </c>
      <c r="AS152" s="1078">
        <f t="shared" si="166"/>
        <v>69865</v>
      </c>
      <c r="AT152" s="1078">
        <f t="shared" si="166"/>
        <v>82950</v>
      </c>
      <c r="AU152" s="1079">
        <f t="shared" si="166"/>
        <v>6.5510999999999999</v>
      </c>
      <c r="AV152" s="1079">
        <f t="shared" si="166"/>
        <v>4.7957999999999998</v>
      </c>
      <c r="AW152" s="1081">
        <f t="shared" si="166"/>
        <v>1.7553000000000001</v>
      </c>
      <c r="AX152" s="925"/>
    </row>
    <row r="153" spans="1:50" ht="12.95" customHeight="1" x14ac:dyDescent="0.25">
      <c r="A153" s="827">
        <v>31</v>
      </c>
      <c r="B153" s="536">
        <v>2441</v>
      </c>
      <c r="C153" s="536">
        <v>600079406</v>
      </c>
      <c r="D153" s="828">
        <v>70695920</v>
      </c>
      <c r="E153" s="1056" t="s">
        <v>549</v>
      </c>
      <c r="F153" s="536">
        <v>3111</v>
      </c>
      <c r="G153" s="1057" t="s">
        <v>331</v>
      </c>
      <c r="H153" s="832" t="s">
        <v>283</v>
      </c>
      <c r="I153" s="803">
        <f>SUM(J153:M153)</f>
        <v>3374904</v>
      </c>
      <c r="J153" s="833">
        <v>2469627</v>
      </c>
      <c r="K153" s="805">
        <f>ROUND((J153)*33.8%,0)</f>
        <v>834734</v>
      </c>
      <c r="L153" s="805">
        <f>ROUND(J153*2%,0)</f>
        <v>49393</v>
      </c>
      <c r="M153" s="833">
        <v>21150</v>
      </c>
      <c r="N153" s="834">
        <f>SUM(O153:P153)</f>
        <v>5.4897999999999998</v>
      </c>
      <c r="O153" s="1054">
        <v>4</v>
      </c>
      <c r="P153" s="1055">
        <v>1.4898</v>
      </c>
      <c r="Q153" s="835">
        <f>V153*-1</f>
        <v>0</v>
      </c>
      <c r="R153" s="813">
        <v>0</v>
      </c>
      <c r="S153" s="813">
        <v>0</v>
      </c>
      <c r="T153" s="813">
        <v>0</v>
      </c>
      <c r="U153" s="813">
        <f>SUM(Q153:T153)</f>
        <v>0</v>
      </c>
      <c r="V153" s="813">
        <v>0</v>
      </c>
      <c r="W153" s="813">
        <v>0</v>
      </c>
      <c r="X153" s="813">
        <v>0</v>
      </c>
      <c r="Y153" s="813">
        <f>SUM(V153:X153)</f>
        <v>0</v>
      </c>
      <c r="Z153" s="813">
        <f>U153+Y153</f>
        <v>0</v>
      </c>
      <c r="AA153" s="809">
        <f>ROUND((U153+V153+W153)*33.8%,0)</f>
        <v>0</v>
      </c>
      <c r="AB153" s="809">
        <f>ROUND(U153*2%,0)</f>
        <v>0</v>
      </c>
      <c r="AC153" s="813">
        <v>0</v>
      </c>
      <c r="AD153" s="813">
        <v>0</v>
      </c>
      <c r="AE153" s="813">
        <f>SUM(AC153:AD153)</f>
        <v>0</v>
      </c>
      <c r="AF153" s="813">
        <f>Z153+AA153+AB153+AE153</f>
        <v>0</v>
      </c>
      <c r="AG153" s="836">
        <v>0</v>
      </c>
      <c r="AH153" s="836">
        <v>0</v>
      </c>
      <c r="AI153" s="836">
        <v>0</v>
      </c>
      <c r="AJ153" s="836">
        <v>0</v>
      </c>
      <c r="AK153" s="836">
        <v>0</v>
      </c>
      <c r="AL153" s="836">
        <f>AG153+AI153+AJ153</f>
        <v>0</v>
      </c>
      <c r="AM153" s="836">
        <f>AH153+AK153</f>
        <v>0</v>
      </c>
      <c r="AN153" s="949">
        <f>SUM(AL153:AM153)</f>
        <v>0</v>
      </c>
      <c r="AO153" s="945">
        <f>I153+AF153</f>
        <v>3374904</v>
      </c>
      <c r="AP153" s="813">
        <f>J153+U153</f>
        <v>2469627</v>
      </c>
      <c r="AQ153" s="813">
        <f>Y153</f>
        <v>0</v>
      </c>
      <c r="AR153" s="813">
        <f>K153+AA153</f>
        <v>834734</v>
      </c>
      <c r="AS153" s="813">
        <f>L153+AB153</f>
        <v>49393</v>
      </c>
      <c r="AT153" s="813">
        <f>M153+AE153</f>
        <v>21150</v>
      </c>
      <c r="AU153" s="836">
        <f>N153+AN153</f>
        <v>5.4897999999999998</v>
      </c>
      <c r="AV153" s="836">
        <f>O153+AL153</f>
        <v>4</v>
      </c>
      <c r="AW153" s="837">
        <f>P153+AM153</f>
        <v>1.4898</v>
      </c>
      <c r="AX153" s="925"/>
    </row>
    <row r="154" spans="1:50" ht="12.95" customHeight="1" x14ac:dyDescent="0.25">
      <c r="A154" s="827">
        <v>31</v>
      </c>
      <c r="B154" s="1068">
        <v>2441</v>
      </c>
      <c r="C154" s="1068">
        <v>600079406</v>
      </c>
      <c r="D154" s="828">
        <v>70695920</v>
      </c>
      <c r="E154" s="535" t="s">
        <v>549</v>
      </c>
      <c r="F154" s="536">
        <v>3141</v>
      </c>
      <c r="G154" s="1057" t="s">
        <v>321</v>
      </c>
      <c r="H154" s="832" t="s">
        <v>284</v>
      </c>
      <c r="I154" s="803">
        <f>SUM(J154:M154)</f>
        <v>610527</v>
      </c>
      <c r="J154" s="833">
        <v>447571</v>
      </c>
      <c r="K154" s="805">
        <f>ROUND((J154)*33.8%,0)</f>
        <v>151279</v>
      </c>
      <c r="L154" s="805">
        <f>ROUND(J154*2%,0)</f>
        <v>8951</v>
      </c>
      <c r="M154" s="833">
        <v>2726</v>
      </c>
      <c r="N154" s="834">
        <f>SUM(O154:P154)</f>
        <v>1.52</v>
      </c>
      <c r="O154" s="1054">
        <v>0</v>
      </c>
      <c r="P154" s="1055">
        <v>1.52</v>
      </c>
      <c r="Q154" s="835">
        <f>V154*-1</f>
        <v>0</v>
      </c>
      <c r="R154" s="813">
        <v>0</v>
      </c>
      <c r="S154" s="813">
        <v>0</v>
      </c>
      <c r="T154" s="813">
        <v>0</v>
      </c>
      <c r="U154" s="813">
        <f>SUM(Q154:T154)</f>
        <v>0</v>
      </c>
      <c r="V154" s="813">
        <v>0</v>
      </c>
      <c r="W154" s="813">
        <v>0</v>
      </c>
      <c r="X154" s="813">
        <v>0</v>
      </c>
      <c r="Y154" s="813">
        <f>SUM(V154:X154)</f>
        <v>0</v>
      </c>
      <c r="Z154" s="813">
        <f>U154+Y154</f>
        <v>0</v>
      </c>
      <c r="AA154" s="809">
        <f>ROUND((U154+V154+W154)*33.8%,0)</f>
        <v>0</v>
      </c>
      <c r="AB154" s="809">
        <f>ROUND(U154*2%,0)</f>
        <v>0</v>
      </c>
      <c r="AC154" s="813">
        <v>0</v>
      </c>
      <c r="AD154" s="813">
        <v>0</v>
      </c>
      <c r="AE154" s="813">
        <f>SUM(AC154:AD154)</f>
        <v>0</v>
      </c>
      <c r="AF154" s="813">
        <f>Z154+AA154+AB154+AE154</f>
        <v>0</v>
      </c>
      <c r="AG154" s="836">
        <v>0</v>
      </c>
      <c r="AH154" s="836">
        <v>0</v>
      </c>
      <c r="AI154" s="836">
        <v>0</v>
      </c>
      <c r="AJ154" s="836">
        <v>0</v>
      </c>
      <c r="AK154" s="836">
        <v>0</v>
      </c>
      <c r="AL154" s="836">
        <f>AG154+AI154+AJ154</f>
        <v>0</v>
      </c>
      <c r="AM154" s="836">
        <f>AH154+AK154</f>
        <v>0</v>
      </c>
      <c r="AN154" s="949">
        <f>SUM(AL154:AM154)</f>
        <v>0</v>
      </c>
      <c r="AO154" s="945">
        <f>I154+AF154</f>
        <v>610527</v>
      </c>
      <c r="AP154" s="813">
        <f>J154+U154</f>
        <v>447571</v>
      </c>
      <c r="AQ154" s="813">
        <f>Y154</f>
        <v>0</v>
      </c>
      <c r="AR154" s="813">
        <f>K154+AA154</f>
        <v>151279</v>
      </c>
      <c r="AS154" s="813">
        <f>L154+AB154</f>
        <v>8951</v>
      </c>
      <c r="AT154" s="813">
        <f>M154+AE154</f>
        <v>2726</v>
      </c>
      <c r="AU154" s="836">
        <f>N154+AN154</f>
        <v>1.52</v>
      </c>
      <c r="AV154" s="836">
        <f>O154+AL154</f>
        <v>0</v>
      </c>
      <c r="AW154" s="837">
        <f>P154+AM154</f>
        <v>1.52</v>
      </c>
      <c r="AX154" s="925"/>
    </row>
    <row r="155" spans="1:50" ht="12.95" customHeight="1" x14ac:dyDescent="0.25">
      <c r="A155" s="538">
        <v>31</v>
      </c>
      <c r="B155" s="101">
        <v>2441</v>
      </c>
      <c r="C155" s="101">
        <v>600079406</v>
      </c>
      <c r="D155" s="101">
        <v>70695920</v>
      </c>
      <c r="E155" s="1058" t="s">
        <v>550</v>
      </c>
      <c r="F155" s="103"/>
      <c r="G155" s="1089"/>
      <c r="H155" s="452"/>
      <c r="I155" s="1074">
        <f t="shared" ref="I155:AW155" si="167">SUM(I153:I154)</f>
        <v>3985431</v>
      </c>
      <c r="J155" s="1075">
        <f t="shared" si="167"/>
        <v>2917198</v>
      </c>
      <c r="K155" s="1075">
        <f t="shared" si="167"/>
        <v>986013</v>
      </c>
      <c r="L155" s="1075">
        <f t="shared" si="167"/>
        <v>58344</v>
      </c>
      <c r="M155" s="1075">
        <f t="shared" si="167"/>
        <v>23876</v>
      </c>
      <c r="N155" s="1076">
        <f t="shared" si="167"/>
        <v>7.0098000000000003</v>
      </c>
      <c r="O155" s="1076">
        <f t="shared" si="167"/>
        <v>4</v>
      </c>
      <c r="P155" s="1077">
        <f t="shared" si="167"/>
        <v>3.0098000000000003</v>
      </c>
      <c r="Q155" s="1075">
        <f t="shared" si="167"/>
        <v>0</v>
      </c>
      <c r="R155" s="1078">
        <f t="shared" si="167"/>
        <v>0</v>
      </c>
      <c r="S155" s="1078">
        <f t="shared" si="167"/>
        <v>0</v>
      </c>
      <c r="T155" s="1078">
        <f t="shared" si="167"/>
        <v>0</v>
      </c>
      <c r="U155" s="1078">
        <f t="shared" si="167"/>
        <v>0</v>
      </c>
      <c r="V155" s="1078">
        <f t="shared" si="167"/>
        <v>0</v>
      </c>
      <c r="W155" s="1078">
        <f t="shared" si="167"/>
        <v>0</v>
      </c>
      <c r="X155" s="1078">
        <f t="shared" si="167"/>
        <v>0</v>
      </c>
      <c r="Y155" s="1078">
        <f t="shared" si="167"/>
        <v>0</v>
      </c>
      <c r="Z155" s="1078">
        <f t="shared" si="167"/>
        <v>0</v>
      </c>
      <c r="AA155" s="1078">
        <f t="shared" si="167"/>
        <v>0</v>
      </c>
      <c r="AB155" s="1078">
        <f t="shared" si="167"/>
        <v>0</v>
      </c>
      <c r="AC155" s="1078">
        <f t="shared" si="167"/>
        <v>0</v>
      </c>
      <c r="AD155" s="1078">
        <f t="shared" si="167"/>
        <v>0</v>
      </c>
      <c r="AE155" s="1078">
        <f t="shared" si="167"/>
        <v>0</v>
      </c>
      <c r="AF155" s="1078">
        <f t="shared" si="167"/>
        <v>0</v>
      </c>
      <c r="AG155" s="1079">
        <f t="shared" si="167"/>
        <v>0</v>
      </c>
      <c r="AH155" s="1079">
        <f t="shared" si="167"/>
        <v>0</v>
      </c>
      <c r="AI155" s="1079">
        <f t="shared" si="167"/>
        <v>0</v>
      </c>
      <c r="AJ155" s="1079">
        <f t="shared" si="167"/>
        <v>0</v>
      </c>
      <c r="AK155" s="1079">
        <f t="shared" si="167"/>
        <v>0</v>
      </c>
      <c r="AL155" s="1079">
        <f t="shared" si="167"/>
        <v>0</v>
      </c>
      <c r="AM155" s="1079">
        <f t="shared" si="167"/>
        <v>0</v>
      </c>
      <c r="AN155" s="1080">
        <f t="shared" si="167"/>
        <v>0</v>
      </c>
      <c r="AO155" s="1074">
        <f t="shared" si="167"/>
        <v>3985431</v>
      </c>
      <c r="AP155" s="1078">
        <f t="shared" si="167"/>
        <v>2917198</v>
      </c>
      <c r="AQ155" s="1078">
        <f t="shared" si="167"/>
        <v>0</v>
      </c>
      <c r="AR155" s="1078">
        <f t="shared" si="167"/>
        <v>986013</v>
      </c>
      <c r="AS155" s="1078">
        <f t="shared" si="167"/>
        <v>58344</v>
      </c>
      <c r="AT155" s="1078">
        <f t="shared" si="167"/>
        <v>23876</v>
      </c>
      <c r="AU155" s="1079">
        <f t="shared" si="167"/>
        <v>7.0098000000000003</v>
      </c>
      <c r="AV155" s="1079">
        <f t="shared" si="167"/>
        <v>4</v>
      </c>
      <c r="AW155" s="1081">
        <f t="shared" si="167"/>
        <v>3.0098000000000003</v>
      </c>
      <c r="AX155" s="925"/>
    </row>
    <row r="156" spans="1:50" ht="12.95" customHeight="1" x14ac:dyDescent="0.25">
      <c r="A156" s="827">
        <v>32</v>
      </c>
      <c r="B156" s="536">
        <v>2496</v>
      </c>
      <c r="C156" s="536">
        <v>600080251</v>
      </c>
      <c r="D156" s="828">
        <v>70695938</v>
      </c>
      <c r="E156" s="1056" t="s">
        <v>551</v>
      </c>
      <c r="F156" s="536">
        <v>3117</v>
      </c>
      <c r="G156" s="1056" t="s">
        <v>335</v>
      </c>
      <c r="H156" s="832" t="s">
        <v>283</v>
      </c>
      <c r="I156" s="803">
        <f>SUM(J156:M156)</f>
        <v>5593589</v>
      </c>
      <c r="J156" s="833">
        <v>4045956</v>
      </c>
      <c r="K156" s="805">
        <f>ROUND((J156)*33.8%,0)+1</f>
        <v>1367534</v>
      </c>
      <c r="L156" s="805">
        <f>ROUND(J156*2%,0)</f>
        <v>80919</v>
      </c>
      <c r="M156" s="833">
        <v>99180</v>
      </c>
      <c r="N156" s="834">
        <f>SUM(O156:P156)</f>
        <v>7.9101999999999997</v>
      </c>
      <c r="O156" s="1054">
        <v>5.91</v>
      </c>
      <c r="P156" s="1055">
        <v>2.0002</v>
      </c>
      <c r="Q156" s="835">
        <f>V156*-1</f>
        <v>-4000</v>
      </c>
      <c r="R156" s="813">
        <v>0</v>
      </c>
      <c r="S156" s="813">
        <v>0</v>
      </c>
      <c r="T156" s="813">
        <v>0</v>
      </c>
      <c r="U156" s="813">
        <f>SUM(Q156:T156)</f>
        <v>-4000</v>
      </c>
      <c r="V156" s="813">
        <v>4000</v>
      </c>
      <c r="W156" s="813">
        <v>0</v>
      </c>
      <c r="X156" s="813">
        <v>0</v>
      </c>
      <c r="Y156" s="813">
        <f>SUM(V156:X156)</f>
        <v>4000</v>
      </c>
      <c r="Z156" s="813">
        <f>U156+Y156</f>
        <v>0</v>
      </c>
      <c r="AA156" s="809">
        <f>ROUND((U156+V156+W156)*33.8%,0)</f>
        <v>0</v>
      </c>
      <c r="AB156" s="809">
        <f>ROUND(U156*2%,0)</f>
        <v>-80</v>
      </c>
      <c r="AC156" s="813">
        <v>0</v>
      </c>
      <c r="AD156" s="813">
        <v>0</v>
      </c>
      <c r="AE156" s="813">
        <f>SUM(AC156:AD156)</f>
        <v>0</v>
      </c>
      <c r="AF156" s="813">
        <f>Z156+AA156+AB156+AE156</f>
        <v>-80</v>
      </c>
      <c r="AG156" s="836">
        <v>0</v>
      </c>
      <c r="AH156" s="836">
        <v>-0.02</v>
      </c>
      <c r="AI156" s="836">
        <v>0</v>
      </c>
      <c r="AJ156" s="836">
        <v>0</v>
      </c>
      <c r="AK156" s="836">
        <v>0</v>
      </c>
      <c r="AL156" s="836">
        <f>AG156+AI156+AJ156</f>
        <v>0</v>
      </c>
      <c r="AM156" s="836">
        <f>AH156+AK156</f>
        <v>-0.02</v>
      </c>
      <c r="AN156" s="949">
        <f>SUM(AL156:AM156)</f>
        <v>-0.02</v>
      </c>
      <c r="AO156" s="945">
        <f>I156+AF156</f>
        <v>5593509</v>
      </c>
      <c r="AP156" s="813">
        <f>J156+U156</f>
        <v>4041956</v>
      </c>
      <c r="AQ156" s="813">
        <f>Y156</f>
        <v>4000</v>
      </c>
      <c r="AR156" s="813">
        <f t="shared" ref="AR156:AS160" si="168">K156+AA156</f>
        <v>1367534</v>
      </c>
      <c r="AS156" s="813">
        <f t="shared" si="168"/>
        <v>80839</v>
      </c>
      <c r="AT156" s="813">
        <f>M156+AE156</f>
        <v>99180</v>
      </c>
      <c r="AU156" s="836">
        <f>N156+AN156</f>
        <v>7.8902000000000001</v>
      </c>
      <c r="AV156" s="836">
        <f t="shared" ref="AV156:AW160" si="169">O156+AL156</f>
        <v>5.91</v>
      </c>
      <c r="AW156" s="837">
        <f t="shared" si="169"/>
        <v>1.9802</v>
      </c>
      <c r="AX156" s="925"/>
    </row>
    <row r="157" spans="1:50" ht="12.95" customHeight="1" x14ac:dyDescent="0.25">
      <c r="A157" s="827">
        <v>32</v>
      </c>
      <c r="B157" s="536">
        <v>2496</v>
      </c>
      <c r="C157" s="536">
        <v>600080251</v>
      </c>
      <c r="D157" s="828">
        <v>70695938</v>
      </c>
      <c r="E157" s="1056" t="s">
        <v>551</v>
      </c>
      <c r="F157" s="536">
        <v>3117</v>
      </c>
      <c r="G157" s="948" t="s">
        <v>318</v>
      </c>
      <c r="H157" s="832" t="s">
        <v>284</v>
      </c>
      <c r="I157" s="803">
        <f>SUM(J157:M157)</f>
        <v>0</v>
      </c>
      <c r="J157" s="833">
        <v>0</v>
      </c>
      <c r="K157" s="805">
        <v>0</v>
      </c>
      <c r="L157" s="805">
        <v>0</v>
      </c>
      <c r="M157" s="833">
        <v>0</v>
      </c>
      <c r="N157" s="834">
        <f>SUM(O157:P157)</f>
        <v>0</v>
      </c>
      <c r="O157" s="1054">
        <v>0</v>
      </c>
      <c r="P157" s="1055">
        <v>0</v>
      </c>
      <c r="Q157" s="835">
        <f>V157*-1</f>
        <v>0</v>
      </c>
      <c r="R157" s="833">
        <f>173222+44111</f>
        <v>217333</v>
      </c>
      <c r="S157" s="813">
        <v>0</v>
      </c>
      <c r="T157" s="813">
        <v>0</v>
      </c>
      <c r="U157" s="813">
        <f>SUM(Q157:T157)</f>
        <v>217333</v>
      </c>
      <c r="V157" s="813">
        <v>0</v>
      </c>
      <c r="W157" s="813">
        <v>0</v>
      </c>
      <c r="X157" s="813">
        <v>0</v>
      </c>
      <c r="Y157" s="813">
        <f>SUM(V157:X157)</f>
        <v>0</v>
      </c>
      <c r="Z157" s="813">
        <f>U157+Y157</f>
        <v>217333</v>
      </c>
      <c r="AA157" s="809">
        <f>ROUND((U157+V157+W157)*33.8%,0)</f>
        <v>73459</v>
      </c>
      <c r="AB157" s="809">
        <f>ROUND(U157*2%,0)</f>
        <v>4347</v>
      </c>
      <c r="AC157" s="813">
        <v>0</v>
      </c>
      <c r="AD157" s="813">
        <v>0</v>
      </c>
      <c r="AE157" s="813">
        <f>SUM(AC157:AD157)</f>
        <v>0</v>
      </c>
      <c r="AF157" s="813">
        <f>Z157+AA157+AB157+AE157</f>
        <v>295139</v>
      </c>
      <c r="AG157" s="836">
        <v>0</v>
      </c>
      <c r="AH157" s="836">
        <v>0</v>
      </c>
      <c r="AI157" s="836">
        <f>0.5+0.13</f>
        <v>0.63</v>
      </c>
      <c r="AJ157" s="836">
        <v>0</v>
      </c>
      <c r="AK157" s="836">
        <v>0</v>
      </c>
      <c r="AL157" s="836">
        <f>AG157+AI157+AJ157</f>
        <v>0.63</v>
      </c>
      <c r="AM157" s="836">
        <f>AH157+AK157</f>
        <v>0</v>
      </c>
      <c r="AN157" s="949">
        <f>SUM(AL157:AM157)</f>
        <v>0.63</v>
      </c>
      <c r="AO157" s="945">
        <f>I157+AF157</f>
        <v>295139</v>
      </c>
      <c r="AP157" s="813">
        <f>J157+U157</f>
        <v>217333</v>
      </c>
      <c r="AQ157" s="813">
        <f>Y157</f>
        <v>0</v>
      </c>
      <c r="AR157" s="813">
        <f t="shared" si="168"/>
        <v>73459</v>
      </c>
      <c r="AS157" s="813">
        <f t="shared" si="168"/>
        <v>4347</v>
      </c>
      <c r="AT157" s="813">
        <f>M157+AE157</f>
        <v>0</v>
      </c>
      <c r="AU157" s="836">
        <f>N157+AN157</f>
        <v>0.63</v>
      </c>
      <c r="AV157" s="836">
        <f t="shared" si="169"/>
        <v>0.63</v>
      </c>
      <c r="AW157" s="837">
        <f t="shared" si="169"/>
        <v>0</v>
      </c>
      <c r="AX157" s="925"/>
    </row>
    <row r="158" spans="1:50" ht="12.95" customHeight="1" x14ac:dyDescent="0.25">
      <c r="A158" s="827">
        <v>32</v>
      </c>
      <c r="B158" s="1068">
        <v>2496</v>
      </c>
      <c r="C158" s="1068">
        <v>600080251</v>
      </c>
      <c r="D158" s="828">
        <v>70695938</v>
      </c>
      <c r="E158" s="535" t="s">
        <v>551</v>
      </c>
      <c r="F158" s="536">
        <v>3141</v>
      </c>
      <c r="G158" s="1057" t="s">
        <v>321</v>
      </c>
      <c r="H158" s="832" t="s">
        <v>284</v>
      </c>
      <c r="I158" s="803">
        <f>SUM(J158:M158)</f>
        <v>543326</v>
      </c>
      <c r="J158" s="833">
        <v>397616</v>
      </c>
      <c r="K158" s="805">
        <f>ROUND((J158)*33.8%,0)</f>
        <v>134394</v>
      </c>
      <c r="L158" s="805">
        <f>ROUND(J158*2%,0)</f>
        <v>7952</v>
      </c>
      <c r="M158" s="833">
        <v>3364</v>
      </c>
      <c r="N158" s="834">
        <f>SUM(O158:P158)</f>
        <v>1.35</v>
      </c>
      <c r="O158" s="1054">
        <v>0</v>
      </c>
      <c r="P158" s="1055">
        <v>1.35</v>
      </c>
      <c r="Q158" s="835">
        <f>V158*-1</f>
        <v>0</v>
      </c>
      <c r="R158" s="813">
        <v>0</v>
      </c>
      <c r="S158" s="813">
        <v>0</v>
      </c>
      <c r="T158" s="813">
        <v>0</v>
      </c>
      <c r="U158" s="813">
        <f>SUM(Q158:T158)</f>
        <v>0</v>
      </c>
      <c r="V158" s="813">
        <v>0</v>
      </c>
      <c r="W158" s="813">
        <v>0</v>
      </c>
      <c r="X158" s="813">
        <v>0</v>
      </c>
      <c r="Y158" s="813">
        <f>SUM(V158:X158)</f>
        <v>0</v>
      </c>
      <c r="Z158" s="813">
        <f>U158+Y158</f>
        <v>0</v>
      </c>
      <c r="AA158" s="809">
        <f>ROUND((U158+V158+W158)*33.8%,0)</f>
        <v>0</v>
      </c>
      <c r="AB158" s="809">
        <f>ROUND(U158*2%,0)</f>
        <v>0</v>
      </c>
      <c r="AC158" s="813">
        <v>0</v>
      </c>
      <c r="AD158" s="813">
        <v>0</v>
      </c>
      <c r="AE158" s="813">
        <f>SUM(AC158:AD158)</f>
        <v>0</v>
      </c>
      <c r="AF158" s="813">
        <f>Z158+AA158+AB158+AE158</f>
        <v>0</v>
      </c>
      <c r="AG158" s="836">
        <v>0</v>
      </c>
      <c r="AH158" s="836">
        <v>0</v>
      </c>
      <c r="AI158" s="836">
        <v>0</v>
      </c>
      <c r="AJ158" s="836">
        <v>0</v>
      </c>
      <c r="AK158" s="836">
        <v>0</v>
      </c>
      <c r="AL158" s="836">
        <f>AG158+AI158+AJ158</f>
        <v>0</v>
      </c>
      <c r="AM158" s="836">
        <f>AH158+AK158</f>
        <v>0</v>
      </c>
      <c r="AN158" s="949">
        <f>SUM(AL158:AM158)</f>
        <v>0</v>
      </c>
      <c r="AO158" s="945">
        <f>I158+AF158</f>
        <v>543326</v>
      </c>
      <c r="AP158" s="813">
        <f>J158+U158</f>
        <v>397616</v>
      </c>
      <c r="AQ158" s="813">
        <f>Y158</f>
        <v>0</v>
      </c>
      <c r="AR158" s="813">
        <f t="shared" si="168"/>
        <v>134394</v>
      </c>
      <c r="AS158" s="813">
        <f t="shared" si="168"/>
        <v>7952</v>
      </c>
      <c r="AT158" s="813">
        <f>M158+AE158</f>
        <v>3364</v>
      </c>
      <c r="AU158" s="836">
        <f>N158+AN158</f>
        <v>1.35</v>
      </c>
      <c r="AV158" s="836">
        <f t="shared" si="169"/>
        <v>0</v>
      </c>
      <c r="AW158" s="837">
        <f t="shared" si="169"/>
        <v>1.35</v>
      </c>
      <c r="AX158" s="925"/>
    </row>
    <row r="159" spans="1:50" ht="12.95" customHeight="1" x14ac:dyDescent="0.25">
      <c r="A159" s="827">
        <v>32</v>
      </c>
      <c r="B159" s="536">
        <v>2496</v>
      </c>
      <c r="C159" s="536">
        <v>600080251</v>
      </c>
      <c r="D159" s="828">
        <v>70695938</v>
      </c>
      <c r="E159" s="1056" t="s">
        <v>551</v>
      </c>
      <c r="F159" s="536">
        <v>3143</v>
      </c>
      <c r="G159" s="948" t="s">
        <v>635</v>
      </c>
      <c r="H159" s="832" t="s">
        <v>283</v>
      </c>
      <c r="I159" s="803">
        <f>SUM(J159:M159)</f>
        <v>1013885</v>
      </c>
      <c r="J159" s="833">
        <v>746602</v>
      </c>
      <c r="K159" s="805">
        <f>ROUND((J159)*33.8%,0)</f>
        <v>252351</v>
      </c>
      <c r="L159" s="805">
        <f>ROUND(J159*2%,0)</f>
        <v>14932</v>
      </c>
      <c r="M159" s="833">
        <v>0</v>
      </c>
      <c r="N159" s="834">
        <f>SUM(O159:P159)</f>
        <v>1.6</v>
      </c>
      <c r="O159" s="1054">
        <v>1.6</v>
      </c>
      <c r="P159" s="1055">
        <v>0</v>
      </c>
      <c r="Q159" s="835">
        <f>V159*-1</f>
        <v>0</v>
      </c>
      <c r="R159" s="813">
        <v>0</v>
      </c>
      <c r="S159" s="813">
        <v>0</v>
      </c>
      <c r="T159" s="813">
        <v>0</v>
      </c>
      <c r="U159" s="813">
        <f>SUM(Q159:T159)</f>
        <v>0</v>
      </c>
      <c r="V159" s="813">
        <v>0</v>
      </c>
      <c r="W159" s="813">
        <v>0</v>
      </c>
      <c r="X159" s="813">
        <v>0</v>
      </c>
      <c r="Y159" s="813">
        <f>SUM(V159:X159)</f>
        <v>0</v>
      </c>
      <c r="Z159" s="813">
        <f>U159+Y159</f>
        <v>0</v>
      </c>
      <c r="AA159" s="809">
        <f>ROUND((U159+V159+W159)*33.8%,0)</f>
        <v>0</v>
      </c>
      <c r="AB159" s="809">
        <f>ROUND(U159*2%,0)</f>
        <v>0</v>
      </c>
      <c r="AC159" s="813">
        <v>0</v>
      </c>
      <c r="AD159" s="813">
        <v>0</v>
      </c>
      <c r="AE159" s="813">
        <f>SUM(AC159:AD159)</f>
        <v>0</v>
      </c>
      <c r="AF159" s="813">
        <f>Z159+AA159+AB159+AE159</f>
        <v>0</v>
      </c>
      <c r="AG159" s="836">
        <v>0</v>
      </c>
      <c r="AH159" s="836">
        <v>0</v>
      </c>
      <c r="AI159" s="836">
        <v>0</v>
      </c>
      <c r="AJ159" s="836">
        <v>0</v>
      </c>
      <c r="AK159" s="836">
        <v>0</v>
      </c>
      <c r="AL159" s="836">
        <f>AG159+AI159+AJ159</f>
        <v>0</v>
      </c>
      <c r="AM159" s="836">
        <f>AH159+AK159</f>
        <v>0</v>
      </c>
      <c r="AN159" s="949">
        <f>SUM(AL159:AM159)</f>
        <v>0</v>
      </c>
      <c r="AO159" s="945">
        <f>I159+AF159</f>
        <v>1013885</v>
      </c>
      <c r="AP159" s="813">
        <f>J159+U159</f>
        <v>746602</v>
      </c>
      <c r="AQ159" s="813">
        <f>Y159</f>
        <v>0</v>
      </c>
      <c r="AR159" s="813">
        <f t="shared" si="168"/>
        <v>252351</v>
      </c>
      <c r="AS159" s="813">
        <f t="shared" si="168"/>
        <v>14932</v>
      </c>
      <c r="AT159" s="813">
        <f>M159+AE159</f>
        <v>0</v>
      </c>
      <c r="AU159" s="836">
        <f>N159+AN159</f>
        <v>1.6</v>
      </c>
      <c r="AV159" s="836">
        <f t="shared" si="169"/>
        <v>1.6</v>
      </c>
      <c r="AW159" s="837">
        <f t="shared" si="169"/>
        <v>0</v>
      </c>
      <c r="AX159" s="925"/>
    </row>
    <row r="160" spans="1:50" ht="12.95" customHeight="1" x14ac:dyDescent="0.25">
      <c r="A160" s="827">
        <v>32</v>
      </c>
      <c r="B160" s="536">
        <v>2496</v>
      </c>
      <c r="C160" s="536">
        <v>600080251</v>
      </c>
      <c r="D160" s="828">
        <v>70695938</v>
      </c>
      <c r="E160" s="1056" t="s">
        <v>551</v>
      </c>
      <c r="F160" s="536">
        <v>3143</v>
      </c>
      <c r="G160" s="948" t="s">
        <v>636</v>
      </c>
      <c r="H160" s="832" t="s">
        <v>284</v>
      </c>
      <c r="I160" s="803">
        <f>SUM(J160:M160)</f>
        <v>32301</v>
      </c>
      <c r="J160" s="833">
        <v>22770</v>
      </c>
      <c r="K160" s="805">
        <f>ROUND((J160)*33.8%,0)</f>
        <v>7696</v>
      </c>
      <c r="L160" s="805">
        <f>ROUND(J160*2%,0)</f>
        <v>455</v>
      </c>
      <c r="M160" s="833">
        <v>1380</v>
      </c>
      <c r="N160" s="834">
        <f>SUM(O160:P160)</f>
        <v>0.1</v>
      </c>
      <c r="O160" s="1054">
        <v>0</v>
      </c>
      <c r="P160" s="1055">
        <v>0.1</v>
      </c>
      <c r="Q160" s="835">
        <f>V160*-1</f>
        <v>0</v>
      </c>
      <c r="R160" s="813">
        <v>0</v>
      </c>
      <c r="S160" s="813">
        <v>0</v>
      </c>
      <c r="T160" s="813">
        <v>0</v>
      </c>
      <c r="U160" s="813">
        <f>SUM(Q160:T160)</f>
        <v>0</v>
      </c>
      <c r="V160" s="813">
        <v>0</v>
      </c>
      <c r="W160" s="813">
        <v>0</v>
      </c>
      <c r="X160" s="813">
        <v>0</v>
      </c>
      <c r="Y160" s="813">
        <f>SUM(V160:X160)</f>
        <v>0</v>
      </c>
      <c r="Z160" s="813">
        <f>U160+Y160</f>
        <v>0</v>
      </c>
      <c r="AA160" s="809">
        <f>ROUND((U160+V160+W160)*33.8%,0)</f>
        <v>0</v>
      </c>
      <c r="AB160" s="809">
        <f>ROUND(U160*2%,0)</f>
        <v>0</v>
      </c>
      <c r="AC160" s="813">
        <v>0</v>
      </c>
      <c r="AD160" s="813">
        <v>0</v>
      </c>
      <c r="AE160" s="813">
        <f>SUM(AC160:AD160)</f>
        <v>0</v>
      </c>
      <c r="AF160" s="813">
        <f>Z160+AA160+AB160+AE160</f>
        <v>0</v>
      </c>
      <c r="AG160" s="836">
        <v>0</v>
      </c>
      <c r="AH160" s="836">
        <v>0</v>
      </c>
      <c r="AI160" s="836">
        <v>0</v>
      </c>
      <c r="AJ160" s="836">
        <v>0</v>
      </c>
      <c r="AK160" s="836">
        <v>0</v>
      </c>
      <c r="AL160" s="836">
        <f>AG160+AI160+AJ160</f>
        <v>0</v>
      </c>
      <c r="AM160" s="836">
        <f>AH160+AK160</f>
        <v>0</v>
      </c>
      <c r="AN160" s="949">
        <f>SUM(AL160:AM160)</f>
        <v>0</v>
      </c>
      <c r="AO160" s="945">
        <f>I160+AF160</f>
        <v>32301</v>
      </c>
      <c r="AP160" s="813">
        <f>J160+U160</f>
        <v>22770</v>
      </c>
      <c r="AQ160" s="813">
        <f>Y160</f>
        <v>0</v>
      </c>
      <c r="AR160" s="813">
        <f t="shared" si="168"/>
        <v>7696</v>
      </c>
      <c r="AS160" s="813">
        <f t="shared" si="168"/>
        <v>455</v>
      </c>
      <c r="AT160" s="813">
        <f>M160+AE160</f>
        <v>1380</v>
      </c>
      <c r="AU160" s="836">
        <f>N160+AN160</f>
        <v>0.1</v>
      </c>
      <c r="AV160" s="836">
        <f t="shared" si="169"/>
        <v>0</v>
      </c>
      <c r="AW160" s="837">
        <f t="shared" si="169"/>
        <v>0.1</v>
      </c>
      <c r="AX160" s="925"/>
    </row>
    <row r="161" spans="1:50" ht="12.95" customHeight="1" x14ac:dyDescent="0.25">
      <c r="A161" s="538">
        <v>32</v>
      </c>
      <c r="B161" s="100">
        <v>2496</v>
      </c>
      <c r="C161" s="100">
        <v>600080251</v>
      </c>
      <c r="D161" s="100">
        <v>70695938</v>
      </c>
      <c r="E161" s="1058" t="s">
        <v>552</v>
      </c>
      <c r="F161" s="100"/>
      <c r="G161" s="1058"/>
      <c r="H161" s="449"/>
      <c r="I161" s="1074">
        <f t="shared" ref="I161:AW161" si="170">SUM(I156:I160)</f>
        <v>7183101</v>
      </c>
      <c r="J161" s="1075">
        <f t="shared" si="170"/>
        <v>5212944</v>
      </c>
      <c r="K161" s="1075">
        <f t="shared" si="170"/>
        <v>1761975</v>
      </c>
      <c r="L161" s="1075">
        <f t="shared" si="170"/>
        <v>104258</v>
      </c>
      <c r="M161" s="1075">
        <f t="shared" si="170"/>
        <v>103924</v>
      </c>
      <c r="N161" s="1076">
        <f t="shared" si="170"/>
        <v>10.960199999999999</v>
      </c>
      <c r="O161" s="1076">
        <f t="shared" si="170"/>
        <v>7.51</v>
      </c>
      <c r="P161" s="1077">
        <f t="shared" si="170"/>
        <v>3.4502000000000002</v>
      </c>
      <c r="Q161" s="1075">
        <f t="shared" si="170"/>
        <v>-4000</v>
      </c>
      <c r="R161" s="1078">
        <f t="shared" si="170"/>
        <v>217333</v>
      </c>
      <c r="S161" s="1078">
        <f t="shared" si="170"/>
        <v>0</v>
      </c>
      <c r="T161" s="1078">
        <f t="shared" si="170"/>
        <v>0</v>
      </c>
      <c r="U161" s="1078">
        <f t="shared" si="170"/>
        <v>213333</v>
      </c>
      <c r="V161" s="1078">
        <f t="shared" si="170"/>
        <v>4000</v>
      </c>
      <c r="W161" s="1078">
        <f t="shared" si="170"/>
        <v>0</v>
      </c>
      <c r="X161" s="1078">
        <f t="shared" si="170"/>
        <v>0</v>
      </c>
      <c r="Y161" s="1078">
        <f t="shared" si="170"/>
        <v>4000</v>
      </c>
      <c r="Z161" s="1078">
        <f t="shared" si="170"/>
        <v>217333</v>
      </c>
      <c r="AA161" s="1078">
        <f t="shared" si="170"/>
        <v>73459</v>
      </c>
      <c r="AB161" s="1078">
        <f t="shared" si="170"/>
        <v>4267</v>
      </c>
      <c r="AC161" s="1078">
        <f t="shared" si="170"/>
        <v>0</v>
      </c>
      <c r="AD161" s="1078">
        <f t="shared" si="170"/>
        <v>0</v>
      </c>
      <c r="AE161" s="1078">
        <f t="shared" si="170"/>
        <v>0</v>
      </c>
      <c r="AF161" s="1078">
        <f t="shared" si="170"/>
        <v>295059</v>
      </c>
      <c r="AG161" s="1079">
        <f t="shared" si="170"/>
        <v>0</v>
      </c>
      <c r="AH161" s="1079">
        <f t="shared" si="170"/>
        <v>-0.02</v>
      </c>
      <c r="AI161" s="1079">
        <f t="shared" si="170"/>
        <v>0.63</v>
      </c>
      <c r="AJ161" s="1079">
        <f t="shared" si="170"/>
        <v>0</v>
      </c>
      <c r="AK161" s="1079">
        <f t="shared" si="170"/>
        <v>0</v>
      </c>
      <c r="AL161" s="1079">
        <f t="shared" si="170"/>
        <v>0.63</v>
      </c>
      <c r="AM161" s="1079">
        <f t="shared" si="170"/>
        <v>-0.02</v>
      </c>
      <c r="AN161" s="1080">
        <f t="shared" si="170"/>
        <v>0.61</v>
      </c>
      <c r="AO161" s="1074">
        <f t="shared" si="170"/>
        <v>7478160</v>
      </c>
      <c r="AP161" s="1078">
        <f t="shared" si="170"/>
        <v>5426277</v>
      </c>
      <c r="AQ161" s="1078">
        <f t="shared" si="170"/>
        <v>4000</v>
      </c>
      <c r="AR161" s="1078">
        <f t="shared" si="170"/>
        <v>1835434</v>
      </c>
      <c r="AS161" s="1078">
        <f t="shared" si="170"/>
        <v>108525</v>
      </c>
      <c r="AT161" s="1078">
        <f t="shared" si="170"/>
        <v>103924</v>
      </c>
      <c r="AU161" s="1079">
        <f t="shared" si="170"/>
        <v>11.5702</v>
      </c>
      <c r="AV161" s="1079">
        <f t="shared" si="170"/>
        <v>8.14</v>
      </c>
      <c r="AW161" s="1081">
        <f t="shared" si="170"/>
        <v>3.4302000000000001</v>
      </c>
      <c r="AX161" s="925"/>
    </row>
    <row r="162" spans="1:50" ht="12.95" customHeight="1" x14ac:dyDescent="0.25">
      <c r="A162" s="827">
        <v>33</v>
      </c>
      <c r="B162" s="536">
        <v>5440</v>
      </c>
      <c r="C162" s="536">
        <v>600098559</v>
      </c>
      <c r="D162" s="828">
        <v>70998108</v>
      </c>
      <c r="E162" s="1056" t="s">
        <v>553</v>
      </c>
      <c r="F162" s="536">
        <v>3111</v>
      </c>
      <c r="G162" s="1057" t="s">
        <v>331</v>
      </c>
      <c r="H162" s="832" t="s">
        <v>283</v>
      </c>
      <c r="I162" s="803">
        <f>SUM(J162:M162)</f>
        <v>3286971</v>
      </c>
      <c r="J162" s="833">
        <v>2405207</v>
      </c>
      <c r="K162" s="805">
        <f>ROUND((J162)*33.8%,0)</f>
        <v>812960</v>
      </c>
      <c r="L162" s="805">
        <f>ROUND(J162*2%,0)</f>
        <v>48104</v>
      </c>
      <c r="M162" s="833">
        <v>20700</v>
      </c>
      <c r="N162" s="834">
        <f>SUM(O162:P162)</f>
        <v>5.4897999999999998</v>
      </c>
      <c r="O162" s="1054">
        <v>4</v>
      </c>
      <c r="P162" s="1055">
        <v>1.4898</v>
      </c>
      <c r="Q162" s="835">
        <f>V162*-1</f>
        <v>-4800</v>
      </c>
      <c r="R162" s="813">
        <v>0</v>
      </c>
      <c r="S162" s="813">
        <v>0</v>
      </c>
      <c r="T162" s="813">
        <v>0</v>
      </c>
      <c r="U162" s="813">
        <f>SUM(Q162:T162)</f>
        <v>-4800</v>
      </c>
      <c r="V162" s="813">
        <v>4800</v>
      </c>
      <c r="W162" s="813">
        <v>0</v>
      </c>
      <c r="X162" s="813">
        <v>0</v>
      </c>
      <c r="Y162" s="813">
        <f>SUM(V162:X162)</f>
        <v>4800</v>
      </c>
      <c r="Z162" s="813">
        <f>U162+Y162</f>
        <v>0</v>
      </c>
      <c r="AA162" s="809">
        <f>ROUND((U162+V162+W162)*33.8%,0)</f>
        <v>0</v>
      </c>
      <c r="AB162" s="809">
        <f>ROUND(U162*2%,0)</f>
        <v>-96</v>
      </c>
      <c r="AC162" s="813">
        <v>0</v>
      </c>
      <c r="AD162" s="813">
        <v>0</v>
      </c>
      <c r="AE162" s="813">
        <f>SUM(AC162:AD162)</f>
        <v>0</v>
      </c>
      <c r="AF162" s="813">
        <f>Z162+AA162+AB162+AE162</f>
        <v>-96</v>
      </c>
      <c r="AG162" s="836">
        <v>0</v>
      </c>
      <c r="AH162" s="836">
        <v>-0.02</v>
      </c>
      <c r="AI162" s="836">
        <v>0</v>
      </c>
      <c r="AJ162" s="836">
        <v>0</v>
      </c>
      <c r="AK162" s="836">
        <v>0</v>
      </c>
      <c r="AL162" s="836">
        <f>AG162+AI162+AJ162</f>
        <v>0</v>
      </c>
      <c r="AM162" s="836">
        <f>AH162+AK162</f>
        <v>-0.02</v>
      </c>
      <c r="AN162" s="949">
        <f>SUM(AL162:AM162)</f>
        <v>-0.02</v>
      </c>
      <c r="AO162" s="945">
        <f>I162+AF162</f>
        <v>3286875</v>
      </c>
      <c r="AP162" s="813">
        <f>J162+U162</f>
        <v>2400407</v>
      </c>
      <c r="AQ162" s="813">
        <f>Y162</f>
        <v>4800</v>
      </c>
      <c r="AR162" s="813">
        <f>K162+AA162</f>
        <v>812960</v>
      </c>
      <c r="AS162" s="813">
        <f>L162+AB162</f>
        <v>48008</v>
      </c>
      <c r="AT162" s="813">
        <f>M162+AE162</f>
        <v>20700</v>
      </c>
      <c r="AU162" s="836">
        <f>N162+AN162</f>
        <v>5.4698000000000002</v>
      </c>
      <c r="AV162" s="836">
        <f>O162+AL162</f>
        <v>4</v>
      </c>
      <c r="AW162" s="837">
        <f>P162+AM162</f>
        <v>1.4698</v>
      </c>
      <c r="AX162" s="925"/>
    </row>
    <row r="163" spans="1:50" ht="12.95" customHeight="1" x14ac:dyDescent="0.25">
      <c r="A163" s="827">
        <v>33</v>
      </c>
      <c r="B163" s="1068">
        <v>5440</v>
      </c>
      <c r="C163" s="1068">
        <v>600098559</v>
      </c>
      <c r="D163" s="828">
        <v>70998108</v>
      </c>
      <c r="E163" s="1056" t="s">
        <v>553</v>
      </c>
      <c r="F163" s="536">
        <v>3141</v>
      </c>
      <c r="G163" s="1057" t="s">
        <v>321</v>
      </c>
      <c r="H163" s="832" t="s">
        <v>284</v>
      </c>
      <c r="I163" s="803">
        <f>SUM(J163:M163)</f>
        <v>241299</v>
      </c>
      <c r="J163" s="833">
        <v>176400</v>
      </c>
      <c r="K163" s="805">
        <f>ROUND((J163)*33.8%,0)</f>
        <v>59623</v>
      </c>
      <c r="L163" s="805">
        <f>ROUND(J163*2%,0)</f>
        <v>3528</v>
      </c>
      <c r="M163" s="833">
        <v>1748</v>
      </c>
      <c r="N163" s="834">
        <f>SUM(O163:P163)</f>
        <v>0.6</v>
      </c>
      <c r="O163" s="1054">
        <v>0</v>
      </c>
      <c r="P163" s="1055">
        <v>0.6</v>
      </c>
      <c r="Q163" s="835">
        <f>V163*-1</f>
        <v>0</v>
      </c>
      <c r="R163" s="813">
        <v>0</v>
      </c>
      <c r="S163" s="813">
        <v>0</v>
      </c>
      <c r="T163" s="813">
        <v>0</v>
      </c>
      <c r="U163" s="813">
        <f>SUM(Q163:T163)</f>
        <v>0</v>
      </c>
      <c r="V163" s="813">
        <v>0</v>
      </c>
      <c r="W163" s="813">
        <v>0</v>
      </c>
      <c r="X163" s="813">
        <v>0</v>
      </c>
      <c r="Y163" s="813">
        <f>SUM(V163:X163)</f>
        <v>0</v>
      </c>
      <c r="Z163" s="813">
        <f>U163+Y163</f>
        <v>0</v>
      </c>
      <c r="AA163" s="809">
        <f>ROUND((U163+V163+W163)*33.8%,0)</f>
        <v>0</v>
      </c>
      <c r="AB163" s="809">
        <f>ROUND(U163*2%,0)</f>
        <v>0</v>
      </c>
      <c r="AC163" s="813">
        <v>0</v>
      </c>
      <c r="AD163" s="813">
        <v>0</v>
      </c>
      <c r="AE163" s="813">
        <f>SUM(AC163:AD163)</f>
        <v>0</v>
      </c>
      <c r="AF163" s="813">
        <f>Z163+AA163+AB163+AE163</f>
        <v>0</v>
      </c>
      <c r="AG163" s="836">
        <v>0</v>
      </c>
      <c r="AH163" s="836">
        <v>0</v>
      </c>
      <c r="AI163" s="836">
        <v>0</v>
      </c>
      <c r="AJ163" s="836">
        <v>0</v>
      </c>
      <c r="AK163" s="836">
        <v>0</v>
      </c>
      <c r="AL163" s="836">
        <f>AG163+AI163+AJ163</f>
        <v>0</v>
      </c>
      <c r="AM163" s="836">
        <f>AH163+AK163</f>
        <v>0</v>
      </c>
      <c r="AN163" s="949">
        <f>SUM(AL163:AM163)</f>
        <v>0</v>
      </c>
      <c r="AO163" s="945">
        <f>I163+AF163</f>
        <v>241299</v>
      </c>
      <c r="AP163" s="813">
        <f>J163+U163</f>
        <v>176400</v>
      </c>
      <c r="AQ163" s="813">
        <f>Y163</f>
        <v>0</v>
      </c>
      <c r="AR163" s="813">
        <f>K163+AA163</f>
        <v>59623</v>
      </c>
      <c r="AS163" s="813">
        <f>L163+AB163</f>
        <v>3528</v>
      </c>
      <c r="AT163" s="813">
        <f>M163+AE163</f>
        <v>1748</v>
      </c>
      <c r="AU163" s="836">
        <f>N163+AN163</f>
        <v>0.6</v>
      </c>
      <c r="AV163" s="836">
        <f>O163+AL163</f>
        <v>0</v>
      </c>
      <c r="AW163" s="837">
        <f>P163+AM163</f>
        <v>0.6</v>
      </c>
      <c r="AX163" s="925"/>
    </row>
    <row r="164" spans="1:50" ht="12.95" customHeight="1" x14ac:dyDescent="0.25">
      <c r="A164" s="538">
        <v>33</v>
      </c>
      <c r="B164" s="101">
        <v>5440</v>
      </c>
      <c r="C164" s="101">
        <v>600098559</v>
      </c>
      <c r="D164" s="101">
        <v>70998108</v>
      </c>
      <c r="E164" s="1058" t="s">
        <v>554</v>
      </c>
      <c r="F164" s="100"/>
      <c r="G164" s="1058"/>
      <c r="H164" s="449"/>
      <c r="I164" s="1059">
        <f t="shared" ref="I164:AW164" si="171">SUM(I162:I163)</f>
        <v>3528270</v>
      </c>
      <c r="J164" s="1060">
        <f t="shared" si="171"/>
        <v>2581607</v>
      </c>
      <c r="K164" s="1060">
        <f t="shared" si="171"/>
        <v>872583</v>
      </c>
      <c r="L164" s="1060">
        <f t="shared" si="171"/>
        <v>51632</v>
      </c>
      <c r="M164" s="1060">
        <f t="shared" si="171"/>
        <v>22448</v>
      </c>
      <c r="N164" s="1061">
        <f t="shared" si="171"/>
        <v>6.0897999999999994</v>
      </c>
      <c r="O164" s="1061">
        <f t="shared" si="171"/>
        <v>4</v>
      </c>
      <c r="P164" s="1062">
        <f t="shared" si="171"/>
        <v>2.0897999999999999</v>
      </c>
      <c r="Q164" s="1060">
        <f t="shared" si="171"/>
        <v>-4800</v>
      </c>
      <c r="R164" s="1063">
        <f t="shared" si="171"/>
        <v>0</v>
      </c>
      <c r="S164" s="1063">
        <f t="shared" si="171"/>
        <v>0</v>
      </c>
      <c r="T164" s="1063">
        <f t="shared" si="171"/>
        <v>0</v>
      </c>
      <c r="U164" s="1063">
        <f t="shared" si="171"/>
        <v>-4800</v>
      </c>
      <c r="V164" s="1063">
        <f t="shared" si="171"/>
        <v>4800</v>
      </c>
      <c r="W164" s="1063">
        <f t="shared" si="171"/>
        <v>0</v>
      </c>
      <c r="X164" s="1063">
        <f t="shared" si="171"/>
        <v>0</v>
      </c>
      <c r="Y164" s="1063">
        <f t="shared" si="171"/>
        <v>4800</v>
      </c>
      <c r="Z164" s="1063">
        <f t="shared" si="171"/>
        <v>0</v>
      </c>
      <c r="AA164" s="1063">
        <f t="shared" si="171"/>
        <v>0</v>
      </c>
      <c r="AB164" s="1063">
        <f t="shared" si="171"/>
        <v>-96</v>
      </c>
      <c r="AC164" s="1063">
        <f t="shared" si="171"/>
        <v>0</v>
      </c>
      <c r="AD164" s="1063">
        <f t="shared" si="171"/>
        <v>0</v>
      </c>
      <c r="AE164" s="1063">
        <f t="shared" si="171"/>
        <v>0</v>
      </c>
      <c r="AF164" s="1063">
        <f t="shared" si="171"/>
        <v>-96</v>
      </c>
      <c r="AG164" s="1064">
        <f t="shared" si="171"/>
        <v>0</v>
      </c>
      <c r="AH164" s="1064">
        <f t="shared" si="171"/>
        <v>-0.02</v>
      </c>
      <c r="AI164" s="1064">
        <f t="shared" si="171"/>
        <v>0</v>
      </c>
      <c r="AJ164" s="1064">
        <f t="shared" si="171"/>
        <v>0</v>
      </c>
      <c r="AK164" s="1064">
        <f t="shared" si="171"/>
        <v>0</v>
      </c>
      <c r="AL164" s="1064">
        <f t="shared" si="171"/>
        <v>0</v>
      </c>
      <c r="AM164" s="1064">
        <f t="shared" si="171"/>
        <v>-0.02</v>
      </c>
      <c r="AN164" s="1065">
        <f t="shared" si="171"/>
        <v>-0.02</v>
      </c>
      <c r="AO164" s="1059">
        <f t="shared" si="171"/>
        <v>3528174</v>
      </c>
      <c r="AP164" s="1063">
        <f t="shared" si="171"/>
        <v>2576807</v>
      </c>
      <c r="AQ164" s="1063">
        <f t="shared" si="171"/>
        <v>4800</v>
      </c>
      <c r="AR164" s="1063">
        <f t="shared" si="171"/>
        <v>872583</v>
      </c>
      <c r="AS164" s="1063">
        <f t="shared" si="171"/>
        <v>51536</v>
      </c>
      <c r="AT164" s="1063">
        <f t="shared" si="171"/>
        <v>22448</v>
      </c>
      <c r="AU164" s="1064">
        <f t="shared" si="171"/>
        <v>6.0697999999999999</v>
      </c>
      <c r="AV164" s="1064">
        <f t="shared" si="171"/>
        <v>4</v>
      </c>
      <c r="AW164" s="1067">
        <f t="shared" si="171"/>
        <v>2.0697999999999999</v>
      </c>
      <c r="AX164" s="925"/>
    </row>
    <row r="165" spans="1:50" ht="12.95" customHeight="1" x14ac:dyDescent="0.25">
      <c r="A165" s="827">
        <v>34</v>
      </c>
      <c r="B165" s="536">
        <v>5441</v>
      </c>
      <c r="C165" s="536">
        <v>600099270</v>
      </c>
      <c r="D165" s="828">
        <v>856118</v>
      </c>
      <c r="E165" s="1056" t="s">
        <v>555</v>
      </c>
      <c r="F165" s="536">
        <v>3113</v>
      </c>
      <c r="G165" s="1056" t="s">
        <v>335</v>
      </c>
      <c r="H165" s="832" t="s">
        <v>283</v>
      </c>
      <c r="I165" s="803">
        <f>SUM(J165:M165)</f>
        <v>12255442</v>
      </c>
      <c r="J165" s="833">
        <v>8862800</v>
      </c>
      <c r="K165" s="805">
        <f>ROUND((J165)*33.8%,0)</f>
        <v>2995626</v>
      </c>
      <c r="L165" s="805">
        <f>ROUND(J165*2%,0)</f>
        <v>177256</v>
      </c>
      <c r="M165" s="833">
        <v>219760</v>
      </c>
      <c r="N165" s="834">
        <f>SUM(O165:P165)</f>
        <v>17.496499999999997</v>
      </c>
      <c r="O165" s="1054">
        <v>12.542</v>
      </c>
      <c r="P165" s="1055">
        <v>4.9544999999999995</v>
      </c>
      <c r="Q165" s="835">
        <f>V165*-1</f>
        <v>-20000</v>
      </c>
      <c r="R165" s="813">
        <v>0</v>
      </c>
      <c r="S165" s="813">
        <v>0</v>
      </c>
      <c r="T165" s="813">
        <v>0</v>
      </c>
      <c r="U165" s="813">
        <f>SUM(Q165:T165)</f>
        <v>-20000</v>
      </c>
      <c r="V165" s="813">
        <v>20000</v>
      </c>
      <c r="W165" s="813">
        <v>0</v>
      </c>
      <c r="X165" s="813">
        <v>0</v>
      </c>
      <c r="Y165" s="813">
        <f>SUM(V165:X165)</f>
        <v>20000</v>
      </c>
      <c r="Z165" s="813">
        <f>U165+Y165</f>
        <v>0</v>
      </c>
      <c r="AA165" s="809">
        <f>ROUND((U165+V165+W165)*33.8%,0)</f>
        <v>0</v>
      </c>
      <c r="AB165" s="809">
        <f>ROUND(U165*2%,0)</f>
        <v>-400</v>
      </c>
      <c r="AC165" s="813">
        <v>0</v>
      </c>
      <c r="AD165" s="813">
        <v>0</v>
      </c>
      <c r="AE165" s="813">
        <f>SUM(AC165:AD165)</f>
        <v>0</v>
      </c>
      <c r="AF165" s="813">
        <f>Z165+AA165+AB165+AE165</f>
        <v>-400</v>
      </c>
      <c r="AG165" s="836">
        <v>-0.01</v>
      </c>
      <c r="AH165" s="836">
        <v>-0.03</v>
      </c>
      <c r="AI165" s="836">
        <v>0</v>
      </c>
      <c r="AJ165" s="836">
        <v>0</v>
      </c>
      <c r="AK165" s="836">
        <v>0</v>
      </c>
      <c r="AL165" s="836">
        <f>AG165+AI165+AJ165</f>
        <v>-0.01</v>
      </c>
      <c r="AM165" s="836">
        <f>AH165+AK165</f>
        <v>-0.03</v>
      </c>
      <c r="AN165" s="949">
        <f>SUM(AL165:AM165)</f>
        <v>-0.04</v>
      </c>
      <c r="AO165" s="945">
        <f>I165+AF165</f>
        <v>12255042</v>
      </c>
      <c r="AP165" s="813">
        <f>J165+U165</f>
        <v>8842800</v>
      </c>
      <c r="AQ165" s="813">
        <f>Y165</f>
        <v>20000</v>
      </c>
      <c r="AR165" s="813">
        <f t="shared" ref="AR165:AS169" si="172">K165+AA165</f>
        <v>2995626</v>
      </c>
      <c r="AS165" s="813">
        <f t="shared" si="172"/>
        <v>176856</v>
      </c>
      <c r="AT165" s="813">
        <f>M165+AE165</f>
        <v>219760</v>
      </c>
      <c r="AU165" s="836">
        <f>N165+AN165</f>
        <v>17.456499999999998</v>
      </c>
      <c r="AV165" s="836">
        <f t="shared" ref="AV165:AW169" si="173">O165+AL165</f>
        <v>12.532</v>
      </c>
      <c r="AW165" s="837">
        <f t="shared" si="173"/>
        <v>4.9244999999999992</v>
      </c>
      <c r="AX165" s="925"/>
    </row>
    <row r="166" spans="1:50" ht="12.95" customHeight="1" x14ac:dyDescent="0.25">
      <c r="A166" s="827">
        <v>34</v>
      </c>
      <c r="B166" s="536">
        <v>5441</v>
      </c>
      <c r="C166" s="536">
        <v>600099270</v>
      </c>
      <c r="D166" s="828">
        <v>856118</v>
      </c>
      <c r="E166" s="1056" t="s">
        <v>555</v>
      </c>
      <c r="F166" s="536">
        <v>3113</v>
      </c>
      <c r="G166" s="948" t="s">
        <v>318</v>
      </c>
      <c r="H166" s="832" t="s">
        <v>284</v>
      </c>
      <c r="I166" s="803">
        <f>SUM(J166:M166)</f>
        <v>0</v>
      </c>
      <c r="J166" s="833">
        <v>0</v>
      </c>
      <c r="K166" s="805">
        <v>0</v>
      </c>
      <c r="L166" s="805">
        <v>0</v>
      </c>
      <c r="M166" s="833">
        <v>0</v>
      </c>
      <c r="N166" s="834">
        <f>SUM(O166:P166)</f>
        <v>0</v>
      </c>
      <c r="O166" s="1054">
        <v>0</v>
      </c>
      <c r="P166" s="1055">
        <v>0</v>
      </c>
      <c r="Q166" s="835">
        <f>V166*-1</f>
        <v>0</v>
      </c>
      <c r="R166" s="833">
        <f>288902+52056</f>
        <v>340958</v>
      </c>
      <c r="S166" s="813">
        <v>0</v>
      </c>
      <c r="T166" s="813">
        <v>0</v>
      </c>
      <c r="U166" s="813">
        <f>SUM(Q166:T166)</f>
        <v>340958</v>
      </c>
      <c r="V166" s="813">
        <v>0</v>
      </c>
      <c r="W166" s="813">
        <v>0</v>
      </c>
      <c r="X166" s="813">
        <v>0</v>
      </c>
      <c r="Y166" s="813">
        <f>SUM(V166:X166)</f>
        <v>0</v>
      </c>
      <c r="Z166" s="813">
        <f>U166+Y166</f>
        <v>340958</v>
      </c>
      <c r="AA166" s="809">
        <f>ROUND((U166+V166+W166)*33.8%,0)</f>
        <v>115244</v>
      </c>
      <c r="AB166" s="809">
        <f>ROUND(U166*2%,0)</f>
        <v>6819</v>
      </c>
      <c r="AC166" s="813">
        <v>0</v>
      </c>
      <c r="AD166" s="813">
        <v>0</v>
      </c>
      <c r="AE166" s="813">
        <f>SUM(AC166:AD166)</f>
        <v>0</v>
      </c>
      <c r="AF166" s="813">
        <f>Z166+AA166+AB166+AE166</f>
        <v>463021</v>
      </c>
      <c r="AG166" s="836">
        <v>0</v>
      </c>
      <c r="AH166" s="836">
        <v>0</v>
      </c>
      <c r="AI166" s="836">
        <f>0.75+0.12</f>
        <v>0.87</v>
      </c>
      <c r="AJ166" s="836">
        <v>0</v>
      </c>
      <c r="AK166" s="836">
        <v>0</v>
      </c>
      <c r="AL166" s="836">
        <f>AG166+AI166+AJ166</f>
        <v>0.87</v>
      </c>
      <c r="AM166" s="836">
        <f>AH166+AK166</f>
        <v>0</v>
      </c>
      <c r="AN166" s="949">
        <f>SUM(AL166:AM166)</f>
        <v>0.87</v>
      </c>
      <c r="AO166" s="945">
        <f>I166+AF166</f>
        <v>463021</v>
      </c>
      <c r="AP166" s="813">
        <f>J166+U166</f>
        <v>340958</v>
      </c>
      <c r="AQ166" s="813">
        <f>Y166</f>
        <v>0</v>
      </c>
      <c r="AR166" s="813">
        <f t="shared" si="172"/>
        <v>115244</v>
      </c>
      <c r="AS166" s="813">
        <f t="shared" si="172"/>
        <v>6819</v>
      </c>
      <c r="AT166" s="813">
        <f>M166+AE166</f>
        <v>0</v>
      </c>
      <c r="AU166" s="836">
        <f>N166+AN166</f>
        <v>0.87</v>
      </c>
      <c r="AV166" s="836">
        <f t="shared" si="173"/>
        <v>0.87</v>
      </c>
      <c r="AW166" s="837">
        <f t="shared" si="173"/>
        <v>0</v>
      </c>
      <c r="AX166" s="925"/>
    </row>
    <row r="167" spans="1:50" ht="12.95" customHeight="1" x14ac:dyDescent="0.25">
      <c r="A167" s="827">
        <v>34</v>
      </c>
      <c r="B167" s="1068">
        <v>5441</v>
      </c>
      <c r="C167" s="1068">
        <v>600099270</v>
      </c>
      <c r="D167" s="828">
        <v>856118</v>
      </c>
      <c r="E167" s="535" t="s">
        <v>555</v>
      </c>
      <c r="F167" s="536">
        <v>3141</v>
      </c>
      <c r="G167" s="1057" t="s">
        <v>321</v>
      </c>
      <c r="H167" s="832" t="s">
        <v>284</v>
      </c>
      <c r="I167" s="803">
        <f>SUM(J167:M167)</f>
        <v>1380339</v>
      </c>
      <c r="J167" s="833">
        <v>1009482</v>
      </c>
      <c r="K167" s="805">
        <f>ROUND((J167)*33.8%,0)</f>
        <v>341205</v>
      </c>
      <c r="L167" s="805">
        <f>ROUND(J167*2%,0)</f>
        <v>20190</v>
      </c>
      <c r="M167" s="833">
        <v>9462</v>
      </c>
      <c r="N167" s="834">
        <f>SUM(O167:P167)</f>
        <v>3.43</v>
      </c>
      <c r="O167" s="1054">
        <v>0</v>
      </c>
      <c r="P167" s="1055">
        <v>3.43</v>
      </c>
      <c r="Q167" s="835">
        <f>V167*-1</f>
        <v>-8800</v>
      </c>
      <c r="R167" s="813">
        <v>0</v>
      </c>
      <c r="S167" s="813">
        <v>0</v>
      </c>
      <c r="T167" s="813">
        <v>0</v>
      </c>
      <c r="U167" s="813">
        <f>SUM(Q167:T167)</f>
        <v>-8800</v>
      </c>
      <c r="V167" s="813">
        <v>8800</v>
      </c>
      <c r="W167" s="813">
        <v>0</v>
      </c>
      <c r="X167" s="813">
        <v>0</v>
      </c>
      <c r="Y167" s="813">
        <f>SUM(V167:X167)</f>
        <v>8800</v>
      </c>
      <c r="Z167" s="813">
        <f>U167+Y167</f>
        <v>0</v>
      </c>
      <c r="AA167" s="809">
        <f>ROUND((U167+V167+W167)*33.8%,0)</f>
        <v>0</v>
      </c>
      <c r="AB167" s="809">
        <f>ROUND(U167*2%,0)</f>
        <v>-176</v>
      </c>
      <c r="AC167" s="813">
        <v>0</v>
      </c>
      <c r="AD167" s="813">
        <v>0</v>
      </c>
      <c r="AE167" s="813">
        <f>SUM(AC167:AD167)</f>
        <v>0</v>
      </c>
      <c r="AF167" s="813">
        <f>Z167+AA167+AB167+AE167</f>
        <v>-176</v>
      </c>
      <c r="AG167" s="836">
        <v>0</v>
      </c>
      <c r="AH167" s="836">
        <v>-0.02</v>
      </c>
      <c r="AI167" s="836">
        <v>0</v>
      </c>
      <c r="AJ167" s="836">
        <v>0</v>
      </c>
      <c r="AK167" s="836">
        <v>0</v>
      </c>
      <c r="AL167" s="836">
        <f>AG167+AI167+AJ167</f>
        <v>0</v>
      </c>
      <c r="AM167" s="836">
        <f>AH167+AK167</f>
        <v>-0.02</v>
      </c>
      <c r="AN167" s="949">
        <f>SUM(AL167:AM167)</f>
        <v>-0.02</v>
      </c>
      <c r="AO167" s="945">
        <f>I167+AF167</f>
        <v>1380163</v>
      </c>
      <c r="AP167" s="813">
        <f>J167+U167</f>
        <v>1000682</v>
      </c>
      <c r="AQ167" s="813">
        <f>Y167</f>
        <v>8800</v>
      </c>
      <c r="AR167" s="813">
        <f t="shared" si="172"/>
        <v>341205</v>
      </c>
      <c r="AS167" s="813">
        <f t="shared" si="172"/>
        <v>20014</v>
      </c>
      <c r="AT167" s="813">
        <f>M167+AE167</f>
        <v>9462</v>
      </c>
      <c r="AU167" s="836">
        <f>N167+AN167</f>
        <v>3.41</v>
      </c>
      <c r="AV167" s="836">
        <f t="shared" si="173"/>
        <v>0</v>
      </c>
      <c r="AW167" s="837">
        <f t="shared" si="173"/>
        <v>3.41</v>
      </c>
      <c r="AX167" s="925"/>
    </row>
    <row r="168" spans="1:50" ht="12.95" customHeight="1" x14ac:dyDescent="0.25">
      <c r="A168" s="827">
        <v>34</v>
      </c>
      <c r="B168" s="536">
        <v>5441</v>
      </c>
      <c r="C168" s="536">
        <v>600099270</v>
      </c>
      <c r="D168" s="828">
        <v>856118</v>
      </c>
      <c r="E168" s="1056" t="s">
        <v>555</v>
      </c>
      <c r="F168" s="536">
        <v>3143</v>
      </c>
      <c r="G168" s="948" t="s">
        <v>635</v>
      </c>
      <c r="H168" s="832" t="s">
        <v>283</v>
      </c>
      <c r="I168" s="803">
        <f>SUM(J168:M168)</f>
        <v>1060332</v>
      </c>
      <c r="J168" s="833">
        <v>780804</v>
      </c>
      <c r="K168" s="805">
        <f>ROUND((J168)*33.8%,0)</f>
        <v>263912</v>
      </c>
      <c r="L168" s="805">
        <f>ROUND(J168*2%,0)</f>
        <v>15616</v>
      </c>
      <c r="M168" s="833">
        <v>0</v>
      </c>
      <c r="N168" s="834">
        <f>SUM(O168:P168)</f>
        <v>1.6</v>
      </c>
      <c r="O168" s="1054">
        <v>1.6</v>
      </c>
      <c r="P168" s="1055">
        <v>0</v>
      </c>
      <c r="Q168" s="835">
        <f>V168*-1</f>
        <v>-3600</v>
      </c>
      <c r="R168" s="813">
        <v>0</v>
      </c>
      <c r="S168" s="813">
        <v>0</v>
      </c>
      <c r="T168" s="813">
        <v>0</v>
      </c>
      <c r="U168" s="813">
        <f>SUM(Q168:T168)</f>
        <v>-3600</v>
      </c>
      <c r="V168" s="813">
        <v>3600</v>
      </c>
      <c r="W168" s="813">
        <v>0</v>
      </c>
      <c r="X168" s="813">
        <v>0</v>
      </c>
      <c r="Y168" s="813">
        <f>SUM(V168:X168)</f>
        <v>3600</v>
      </c>
      <c r="Z168" s="813">
        <f>U168+Y168</f>
        <v>0</v>
      </c>
      <c r="AA168" s="809">
        <f>ROUND((U168+V168+W168)*33.8%,0)</f>
        <v>0</v>
      </c>
      <c r="AB168" s="809">
        <f>ROUND(U168*2%,0)</f>
        <v>-72</v>
      </c>
      <c r="AC168" s="813">
        <v>0</v>
      </c>
      <c r="AD168" s="813">
        <v>0</v>
      </c>
      <c r="AE168" s="813">
        <f>SUM(AC168:AD168)</f>
        <v>0</v>
      </c>
      <c r="AF168" s="813">
        <f>Z168+AA168+AB168+AE168</f>
        <v>-72</v>
      </c>
      <c r="AG168" s="836">
        <v>0</v>
      </c>
      <c r="AH168" s="836">
        <v>0</v>
      </c>
      <c r="AI168" s="836">
        <v>0</v>
      </c>
      <c r="AJ168" s="836">
        <v>0</v>
      </c>
      <c r="AK168" s="836">
        <v>0</v>
      </c>
      <c r="AL168" s="836">
        <f>AG168+AI168+AJ168</f>
        <v>0</v>
      </c>
      <c r="AM168" s="836">
        <f>AH168+AK168</f>
        <v>0</v>
      </c>
      <c r="AN168" s="949">
        <f>SUM(AL168:AM168)</f>
        <v>0</v>
      </c>
      <c r="AO168" s="945">
        <f>I168+AF168</f>
        <v>1060260</v>
      </c>
      <c r="AP168" s="813">
        <f>J168+U168</f>
        <v>777204</v>
      </c>
      <c r="AQ168" s="813">
        <f>Y168</f>
        <v>3600</v>
      </c>
      <c r="AR168" s="813">
        <f t="shared" si="172"/>
        <v>263912</v>
      </c>
      <c r="AS168" s="813">
        <f t="shared" si="172"/>
        <v>15544</v>
      </c>
      <c r="AT168" s="813">
        <f>M168+AE168</f>
        <v>0</v>
      </c>
      <c r="AU168" s="836">
        <f>N168+AN168</f>
        <v>1.6</v>
      </c>
      <c r="AV168" s="836">
        <f t="shared" si="173"/>
        <v>1.6</v>
      </c>
      <c r="AW168" s="837">
        <f t="shared" si="173"/>
        <v>0</v>
      </c>
      <c r="AX168" s="925"/>
    </row>
    <row r="169" spans="1:50" ht="12.95" customHeight="1" x14ac:dyDescent="0.25">
      <c r="A169" s="827">
        <v>34</v>
      </c>
      <c r="B169" s="536">
        <v>5441</v>
      </c>
      <c r="C169" s="536">
        <v>600099270</v>
      </c>
      <c r="D169" s="828">
        <v>856118</v>
      </c>
      <c r="E169" s="1056" t="s">
        <v>555</v>
      </c>
      <c r="F169" s="536">
        <v>3143</v>
      </c>
      <c r="G169" s="948" t="s">
        <v>636</v>
      </c>
      <c r="H169" s="832" t="s">
        <v>284</v>
      </c>
      <c r="I169" s="803">
        <f>SUM(J169:M169)</f>
        <v>35111</v>
      </c>
      <c r="J169" s="833">
        <v>24750</v>
      </c>
      <c r="K169" s="805">
        <f>ROUND((J169)*33.8%,0)</f>
        <v>8366</v>
      </c>
      <c r="L169" s="805">
        <f>ROUND(J169*2%,0)</f>
        <v>495</v>
      </c>
      <c r="M169" s="833">
        <v>1500</v>
      </c>
      <c r="N169" s="834">
        <f>SUM(O169:P169)</f>
        <v>0.1</v>
      </c>
      <c r="O169" s="1054">
        <v>0</v>
      </c>
      <c r="P169" s="1055">
        <v>0.1</v>
      </c>
      <c r="Q169" s="835">
        <f>V169*-1</f>
        <v>0</v>
      </c>
      <c r="R169" s="813">
        <v>0</v>
      </c>
      <c r="S169" s="813">
        <v>0</v>
      </c>
      <c r="T169" s="813">
        <v>0</v>
      </c>
      <c r="U169" s="813">
        <f>SUM(Q169:T169)</f>
        <v>0</v>
      </c>
      <c r="V169" s="813">
        <v>0</v>
      </c>
      <c r="W169" s="813">
        <v>0</v>
      </c>
      <c r="X169" s="813">
        <v>0</v>
      </c>
      <c r="Y169" s="813">
        <f>SUM(V169:X169)</f>
        <v>0</v>
      </c>
      <c r="Z169" s="813">
        <f>U169+Y169</f>
        <v>0</v>
      </c>
      <c r="AA169" s="809">
        <f>ROUND((U169+V169+W169)*33.8%,0)</f>
        <v>0</v>
      </c>
      <c r="AB169" s="809">
        <f>ROUND(U169*2%,0)</f>
        <v>0</v>
      </c>
      <c r="AC169" s="813">
        <v>0</v>
      </c>
      <c r="AD169" s="813">
        <v>0</v>
      </c>
      <c r="AE169" s="813">
        <f>SUM(AC169:AD169)</f>
        <v>0</v>
      </c>
      <c r="AF169" s="813">
        <f>Z169+AA169+AB169+AE169</f>
        <v>0</v>
      </c>
      <c r="AG169" s="836">
        <v>0</v>
      </c>
      <c r="AH169" s="836">
        <v>0</v>
      </c>
      <c r="AI169" s="836">
        <v>0</v>
      </c>
      <c r="AJ169" s="836">
        <v>0</v>
      </c>
      <c r="AK169" s="836">
        <v>0</v>
      </c>
      <c r="AL169" s="836">
        <f>AG169+AI169+AJ169</f>
        <v>0</v>
      </c>
      <c r="AM169" s="836">
        <f>AH169+AK169</f>
        <v>0</v>
      </c>
      <c r="AN169" s="949">
        <f>SUM(AL169:AM169)</f>
        <v>0</v>
      </c>
      <c r="AO169" s="945">
        <f>I169+AF169</f>
        <v>35111</v>
      </c>
      <c r="AP169" s="813">
        <f>J169+U169</f>
        <v>24750</v>
      </c>
      <c r="AQ169" s="813">
        <f>Y169</f>
        <v>0</v>
      </c>
      <c r="AR169" s="813">
        <f t="shared" si="172"/>
        <v>8366</v>
      </c>
      <c r="AS169" s="813">
        <f t="shared" si="172"/>
        <v>495</v>
      </c>
      <c r="AT169" s="813">
        <f>M169+AE169</f>
        <v>1500</v>
      </c>
      <c r="AU169" s="836">
        <f>N169+AN169</f>
        <v>0.1</v>
      </c>
      <c r="AV169" s="836">
        <f t="shared" si="173"/>
        <v>0</v>
      </c>
      <c r="AW169" s="837">
        <f t="shared" si="173"/>
        <v>0.1</v>
      </c>
      <c r="AX169" s="925"/>
    </row>
    <row r="170" spans="1:50" ht="12.95" customHeight="1" x14ac:dyDescent="0.25">
      <c r="A170" s="538">
        <v>34</v>
      </c>
      <c r="B170" s="100">
        <v>5441</v>
      </c>
      <c r="C170" s="100">
        <v>600099270</v>
      </c>
      <c r="D170" s="100">
        <v>856118</v>
      </c>
      <c r="E170" s="1058" t="s">
        <v>556</v>
      </c>
      <c r="F170" s="100"/>
      <c r="G170" s="1058"/>
      <c r="H170" s="449"/>
      <c r="I170" s="1074">
        <f t="shared" ref="I170:AW170" si="174">SUM(I165:I169)</f>
        <v>14731224</v>
      </c>
      <c r="J170" s="1075">
        <f t="shared" si="174"/>
        <v>10677836</v>
      </c>
      <c r="K170" s="1075">
        <f t="shared" si="174"/>
        <v>3609109</v>
      </c>
      <c r="L170" s="1075">
        <f t="shared" si="174"/>
        <v>213557</v>
      </c>
      <c r="M170" s="1075">
        <f t="shared" si="174"/>
        <v>230722</v>
      </c>
      <c r="N170" s="1076">
        <f t="shared" si="174"/>
        <v>22.6265</v>
      </c>
      <c r="O170" s="1076">
        <f t="shared" si="174"/>
        <v>14.141999999999999</v>
      </c>
      <c r="P170" s="1077">
        <f t="shared" si="174"/>
        <v>8.4844999999999988</v>
      </c>
      <c r="Q170" s="1075">
        <f t="shared" si="174"/>
        <v>-32400</v>
      </c>
      <c r="R170" s="1078">
        <f t="shared" si="174"/>
        <v>340958</v>
      </c>
      <c r="S170" s="1078">
        <f t="shared" si="174"/>
        <v>0</v>
      </c>
      <c r="T170" s="1078">
        <f t="shared" si="174"/>
        <v>0</v>
      </c>
      <c r="U170" s="1078">
        <f t="shared" si="174"/>
        <v>308558</v>
      </c>
      <c r="V170" s="1078">
        <f t="shared" si="174"/>
        <v>32400</v>
      </c>
      <c r="W170" s="1078">
        <f t="shared" si="174"/>
        <v>0</v>
      </c>
      <c r="X170" s="1078">
        <f t="shared" si="174"/>
        <v>0</v>
      </c>
      <c r="Y170" s="1078">
        <f t="shared" si="174"/>
        <v>32400</v>
      </c>
      <c r="Z170" s="1078">
        <f t="shared" si="174"/>
        <v>340958</v>
      </c>
      <c r="AA170" s="1078">
        <f t="shared" si="174"/>
        <v>115244</v>
      </c>
      <c r="AB170" s="1078">
        <f t="shared" si="174"/>
        <v>6171</v>
      </c>
      <c r="AC170" s="1078">
        <f t="shared" si="174"/>
        <v>0</v>
      </c>
      <c r="AD170" s="1078">
        <f t="shared" si="174"/>
        <v>0</v>
      </c>
      <c r="AE170" s="1078">
        <f t="shared" si="174"/>
        <v>0</v>
      </c>
      <c r="AF170" s="1078">
        <f t="shared" si="174"/>
        <v>462373</v>
      </c>
      <c r="AG170" s="1079">
        <f t="shared" si="174"/>
        <v>-0.01</v>
      </c>
      <c r="AH170" s="1079">
        <f t="shared" si="174"/>
        <v>-0.05</v>
      </c>
      <c r="AI170" s="1079">
        <f t="shared" si="174"/>
        <v>0.87</v>
      </c>
      <c r="AJ170" s="1079">
        <f t="shared" si="174"/>
        <v>0</v>
      </c>
      <c r="AK170" s="1079">
        <f t="shared" si="174"/>
        <v>0</v>
      </c>
      <c r="AL170" s="1079">
        <f t="shared" si="174"/>
        <v>0.86</v>
      </c>
      <c r="AM170" s="1079">
        <f t="shared" si="174"/>
        <v>-0.05</v>
      </c>
      <c r="AN170" s="1080">
        <f t="shared" si="174"/>
        <v>0.80999999999999994</v>
      </c>
      <c r="AO170" s="1074">
        <f t="shared" si="174"/>
        <v>15193597</v>
      </c>
      <c r="AP170" s="1078">
        <f t="shared" si="174"/>
        <v>10986394</v>
      </c>
      <c r="AQ170" s="1078">
        <f t="shared" si="174"/>
        <v>32400</v>
      </c>
      <c r="AR170" s="1078">
        <f t="shared" si="174"/>
        <v>3724353</v>
      </c>
      <c r="AS170" s="1078">
        <f t="shared" si="174"/>
        <v>219728</v>
      </c>
      <c r="AT170" s="1078">
        <f t="shared" si="174"/>
        <v>230722</v>
      </c>
      <c r="AU170" s="1079">
        <f t="shared" si="174"/>
        <v>23.436500000000002</v>
      </c>
      <c r="AV170" s="1079">
        <f t="shared" si="174"/>
        <v>15.001999999999999</v>
      </c>
      <c r="AW170" s="1081">
        <f t="shared" si="174"/>
        <v>8.4344999999999981</v>
      </c>
      <c r="AX170" s="925"/>
    </row>
    <row r="171" spans="1:50" ht="12.95" customHeight="1" x14ac:dyDescent="0.25">
      <c r="A171" s="827">
        <v>35</v>
      </c>
      <c r="B171" s="1068">
        <v>2306</v>
      </c>
      <c r="C171" s="1068">
        <v>650025873</v>
      </c>
      <c r="D171" s="828">
        <v>70695946</v>
      </c>
      <c r="E171" s="1056" t="s">
        <v>557</v>
      </c>
      <c r="F171" s="536">
        <v>3111</v>
      </c>
      <c r="G171" s="1057" t="s">
        <v>331</v>
      </c>
      <c r="H171" s="832" t="s">
        <v>283</v>
      </c>
      <c r="I171" s="803">
        <f t="shared" ref="I171:I176" si="175">SUM(J171:M171)</f>
        <v>2682985</v>
      </c>
      <c r="J171" s="833">
        <v>1962433</v>
      </c>
      <c r="K171" s="805">
        <f>ROUND((J171)*33.8%,0)+1</f>
        <v>663303</v>
      </c>
      <c r="L171" s="805">
        <f t="shared" ref="L171:L176" si="176">ROUND(J171*2%,0)</f>
        <v>39249</v>
      </c>
      <c r="M171" s="833">
        <v>18000</v>
      </c>
      <c r="N171" s="834">
        <f t="shared" ref="N171:N176" si="177">SUM(O171:P171)</f>
        <v>4.6475999999999997</v>
      </c>
      <c r="O171" s="1054">
        <v>3.7258</v>
      </c>
      <c r="P171" s="1055">
        <v>0.92179999999999995</v>
      </c>
      <c r="Q171" s="835">
        <f t="shared" ref="Q171:Q176" si="178">V171*-1</f>
        <v>0</v>
      </c>
      <c r="R171" s="813">
        <v>0</v>
      </c>
      <c r="S171" s="813">
        <v>0</v>
      </c>
      <c r="T171" s="813">
        <v>0</v>
      </c>
      <c r="U171" s="813">
        <f t="shared" ref="U171:U176" si="179">SUM(Q171:T171)</f>
        <v>0</v>
      </c>
      <c r="V171" s="813">
        <v>0</v>
      </c>
      <c r="W171" s="813">
        <v>0</v>
      </c>
      <c r="X171" s="813">
        <v>0</v>
      </c>
      <c r="Y171" s="813">
        <f t="shared" ref="Y171:Y176" si="180">SUM(V171:X171)</f>
        <v>0</v>
      </c>
      <c r="Z171" s="813">
        <f t="shared" ref="Z171:Z176" si="181">U171+Y171</f>
        <v>0</v>
      </c>
      <c r="AA171" s="809">
        <f t="shared" ref="AA171:AA176" si="182">ROUND((U171+V171+W171)*33.8%,0)</f>
        <v>0</v>
      </c>
      <c r="AB171" s="809">
        <f t="shared" ref="AB171:AB176" si="183">ROUND(U171*2%,0)</f>
        <v>0</v>
      </c>
      <c r="AC171" s="813">
        <v>0</v>
      </c>
      <c r="AD171" s="813">
        <v>0</v>
      </c>
      <c r="AE171" s="813">
        <f t="shared" ref="AE171:AE176" si="184">SUM(AC171:AD171)</f>
        <v>0</v>
      </c>
      <c r="AF171" s="813">
        <f t="shared" ref="AF171:AF176" si="185">Z171+AA171+AB171+AE171</f>
        <v>0</v>
      </c>
      <c r="AG171" s="836">
        <v>0</v>
      </c>
      <c r="AH171" s="836">
        <v>0</v>
      </c>
      <c r="AI171" s="836">
        <v>0</v>
      </c>
      <c r="AJ171" s="836">
        <v>0</v>
      </c>
      <c r="AK171" s="836">
        <v>0</v>
      </c>
      <c r="AL171" s="836">
        <f t="shared" ref="AL171:AL176" si="186">AG171+AI171+AJ171</f>
        <v>0</v>
      </c>
      <c r="AM171" s="836">
        <f t="shared" ref="AM171:AM176" si="187">AH171+AK171</f>
        <v>0</v>
      </c>
      <c r="AN171" s="949">
        <f t="shared" ref="AN171:AN176" si="188">SUM(AL171:AM171)</f>
        <v>0</v>
      </c>
      <c r="AO171" s="945">
        <f t="shared" ref="AO171:AO176" si="189">I171+AF171</f>
        <v>2682985</v>
      </c>
      <c r="AP171" s="813">
        <f t="shared" ref="AP171:AP176" si="190">J171+U171</f>
        <v>1962433</v>
      </c>
      <c r="AQ171" s="813">
        <f t="shared" ref="AQ171:AQ176" si="191">Y171</f>
        <v>0</v>
      </c>
      <c r="AR171" s="813">
        <f t="shared" ref="AR171:AS176" si="192">K171+AA171</f>
        <v>663303</v>
      </c>
      <c r="AS171" s="813">
        <f t="shared" si="192"/>
        <v>39249</v>
      </c>
      <c r="AT171" s="813">
        <f t="shared" ref="AT171:AT176" si="193">M171+AE171</f>
        <v>18000</v>
      </c>
      <c r="AU171" s="836">
        <f t="shared" ref="AU171:AU176" si="194">N171+AN171</f>
        <v>4.6475999999999997</v>
      </c>
      <c r="AV171" s="836">
        <f t="shared" ref="AV171:AW176" si="195">O171+AL171</f>
        <v>3.7258</v>
      </c>
      <c r="AW171" s="837">
        <f t="shared" si="195"/>
        <v>0.92179999999999995</v>
      </c>
      <c r="AX171" s="925"/>
    </row>
    <row r="172" spans="1:50" ht="12.95" customHeight="1" x14ac:dyDescent="0.25">
      <c r="A172" s="827">
        <v>35</v>
      </c>
      <c r="B172" s="1068">
        <v>2306</v>
      </c>
      <c r="C172" s="1068">
        <v>650025873</v>
      </c>
      <c r="D172" s="828">
        <v>70695946</v>
      </c>
      <c r="E172" s="535" t="s">
        <v>557</v>
      </c>
      <c r="F172" s="1068">
        <v>3117</v>
      </c>
      <c r="G172" s="1056" t="s">
        <v>335</v>
      </c>
      <c r="H172" s="832" t="s">
        <v>283</v>
      </c>
      <c r="I172" s="803">
        <f t="shared" si="175"/>
        <v>3121799</v>
      </c>
      <c r="J172" s="833">
        <v>2261045</v>
      </c>
      <c r="K172" s="805">
        <f>ROUND((J172)*33.8%,0)</f>
        <v>764233</v>
      </c>
      <c r="L172" s="805">
        <f t="shared" si="176"/>
        <v>45221</v>
      </c>
      <c r="M172" s="833">
        <v>51300</v>
      </c>
      <c r="N172" s="834">
        <f t="shared" si="177"/>
        <v>4.6419999999999995</v>
      </c>
      <c r="O172" s="1054">
        <v>2.8184999999999998</v>
      </c>
      <c r="P172" s="1055">
        <v>1.8234999999999999</v>
      </c>
      <c r="Q172" s="835">
        <f t="shared" si="178"/>
        <v>0</v>
      </c>
      <c r="R172" s="813">
        <v>0</v>
      </c>
      <c r="S172" s="813">
        <v>0</v>
      </c>
      <c r="T172" s="813">
        <v>0</v>
      </c>
      <c r="U172" s="813">
        <f t="shared" si="179"/>
        <v>0</v>
      </c>
      <c r="V172" s="813">
        <v>0</v>
      </c>
      <c r="W172" s="813">
        <v>0</v>
      </c>
      <c r="X172" s="813">
        <v>0</v>
      </c>
      <c r="Y172" s="813">
        <f t="shared" si="180"/>
        <v>0</v>
      </c>
      <c r="Z172" s="813">
        <f t="shared" si="181"/>
        <v>0</v>
      </c>
      <c r="AA172" s="809">
        <f t="shared" si="182"/>
        <v>0</v>
      </c>
      <c r="AB172" s="809">
        <f t="shared" si="183"/>
        <v>0</v>
      </c>
      <c r="AC172" s="813">
        <v>0</v>
      </c>
      <c r="AD172" s="813">
        <v>0</v>
      </c>
      <c r="AE172" s="813">
        <f t="shared" si="184"/>
        <v>0</v>
      </c>
      <c r="AF172" s="813">
        <f t="shared" si="185"/>
        <v>0</v>
      </c>
      <c r="AG172" s="836">
        <v>0</v>
      </c>
      <c r="AH172" s="836">
        <v>0</v>
      </c>
      <c r="AI172" s="836">
        <v>0</v>
      </c>
      <c r="AJ172" s="836">
        <v>0</v>
      </c>
      <c r="AK172" s="836">
        <v>0</v>
      </c>
      <c r="AL172" s="836">
        <f t="shared" si="186"/>
        <v>0</v>
      </c>
      <c r="AM172" s="836">
        <f t="shared" si="187"/>
        <v>0</v>
      </c>
      <c r="AN172" s="949">
        <f t="shared" si="188"/>
        <v>0</v>
      </c>
      <c r="AO172" s="945">
        <f t="shared" si="189"/>
        <v>3121799</v>
      </c>
      <c r="AP172" s="813">
        <f t="shared" si="190"/>
        <v>2261045</v>
      </c>
      <c r="AQ172" s="813">
        <f t="shared" si="191"/>
        <v>0</v>
      </c>
      <c r="AR172" s="813">
        <f t="shared" si="192"/>
        <v>764233</v>
      </c>
      <c r="AS172" s="813">
        <f t="shared" si="192"/>
        <v>45221</v>
      </c>
      <c r="AT172" s="813">
        <f t="shared" si="193"/>
        <v>51300</v>
      </c>
      <c r="AU172" s="836">
        <f t="shared" si="194"/>
        <v>4.6419999999999995</v>
      </c>
      <c r="AV172" s="836">
        <f t="shared" si="195"/>
        <v>2.8184999999999998</v>
      </c>
      <c r="AW172" s="837">
        <f t="shared" si="195"/>
        <v>1.8234999999999999</v>
      </c>
      <c r="AX172" s="925"/>
    </row>
    <row r="173" spans="1:50" ht="12.95" customHeight="1" x14ac:dyDescent="0.25">
      <c r="A173" s="827">
        <v>35</v>
      </c>
      <c r="B173" s="536">
        <v>2306</v>
      </c>
      <c r="C173" s="536">
        <v>650025873</v>
      </c>
      <c r="D173" s="828">
        <v>70695946</v>
      </c>
      <c r="E173" s="535" t="s">
        <v>557</v>
      </c>
      <c r="F173" s="1068">
        <v>3117</v>
      </c>
      <c r="G173" s="948" t="s">
        <v>318</v>
      </c>
      <c r="H173" s="832" t="s">
        <v>284</v>
      </c>
      <c r="I173" s="803">
        <f t="shared" si="175"/>
        <v>0</v>
      </c>
      <c r="J173" s="833">
        <v>0</v>
      </c>
      <c r="K173" s="805">
        <f>ROUND((J173)*33.8%,0)</f>
        <v>0</v>
      </c>
      <c r="L173" s="805">
        <f t="shared" si="176"/>
        <v>0</v>
      </c>
      <c r="M173" s="833">
        <v>0</v>
      </c>
      <c r="N173" s="834">
        <f t="shared" si="177"/>
        <v>0</v>
      </c>
      <c r="O173" s="1054">
        <v>0</v>
      </c>
      <c r="P173" s="1055">
        <v>0</v>
      </c>
      <c r="Q173" s="835">
        <f t="shared" si="178"/>
        <v>0</v>
      </c>
      <c r="R173" s="813">
        <v>0</v>
      </c>
      <c r="S173" s="813">
        <v>0</v>
      </c>
      <c r="T173" s="813">
        <v>0</v>
      </c>
      <c r="U173" s="813">
        <f t="shared" si="179"/>
        <v>0</v>
      </c>
      <c r="V173" s="813">
        <v>0</v>
      </c>
      <c r="W173" s="813">
        <v>0</v>
      </c>
      <c r="X173" s="813">
        <v>0</v>
      </c>
      <c r="Y173" s="813">
        <f t="shared" si="180"/>
        <v>0</v>
      </c>
      <c r="Z173" s="813">
        <f t="shared" si="181"/>
        <v>0</v>
      </c>
      <c r="AA173" s="809">
        <f t="shared" si="182"/>
        <v>0</v>
      </c>
      <c r="AB173" s="809">
        <f t="shared" si="183"/>
        <v>0</v>
      </c>
      <c r="AC173" s="813">
        <v>0</v>
      </c>
      <c r="AD173" s="813">
        <v>0</v>
      </c>
      <c r="AE173" s="813">
        <f t="shared" si="184"/>
        <v>0</v>
      </c>
      <c r="AF173" s="813">
        <f t="shared" si="185"/>
        <v>0</v>
      </c>
      <c r="AG173" s="836">
        <v>0</v>
      </c>
      <c r="AH173" s="836">
        <v>0</v>
      </c>
      <c r="AI173" s="836">
        <v>0</v>
      </c>
      <c r="AJ173" s="836">
        <v>0</v>
      </c>
      <c r="AK173" s="836">
        <v>0</v>
      </c>
      <c r="AL173" s="836">
        <f t="shared" si="186"/>
        <v>0</v>
      </c>
      <c r="AM173" s="836">
        <f t="shared" si="187"/>
        <v>0</v>
      </c>
      <c r="AN173" s="949">
        <f t="shared" si="188"/>
        <v>0</v>
      </c>
      <c r="AO173" s="945">
        <f t="shared" si="189"/>
        <v>0</v>
      </c>
      <c r="AP173" s="813">
        <f t="shared" si="190"/>
        <v>0</v>
      </c>
      <c r="AQ173" s="813">
        <f t="shared" si="191"/>
        <v>0</v>
      </c>
      <c r="AR173" s="813">
        <f t="shared" si="192"/>
        <v>0</v>
      </c>
      <c r="AS173" s="813">
        <f t="shared" si="192"/>
        <v>0</v>
      </c>
      <c r="AT173" s="813">
        <f t="shared" si="193"/>
        <v>0</v>
      </c>
      <c r="AU173" s="836">
        <f t="shared" si="194"/>
        <v>0</v>
      </c>
      <c r="AV173" s="836">
        <f t="shared" si="195"/>
        <v>0</v>
      </c>
      <c r="AW173" s="837">
        <f t="shared" si="195"/>
        <v>0</v>
      </c>
      <c r="AX173" s="925"/>
    </row>
    <row r="174" spans="1:50" ht="12.95" customHeight="1" x14ac:dyDescent="0.25">
      <c r="A174" s="827">
        <v>35</v>
      </c>
      <c r="B174" s="536">
        <v>2306</v>
      </c>
      <c r="C174" s="536">
        <v>650025873</v>
      </c>
      <c r="D174" s="828">
        <v>70695946</v>
      </c>
      <c r="E174" s="1053" t="s">
        <v>557</v>
      </c>
      <c r="F174" s="1084">
        <v>3141</v>
      </c>
      <c r="G174" s="1057" t="s">
        <v>321</v>
      </c>
      <c r="H174" s="832" t="s">
        <v>284</v>
      </c>
      <c r="I174" s="803">
        <f t="shared" si="175"/>
        <v>882197</v>
      </c>
      <c r="J174" s="833">
        <v>646640</v>
      </c>
      <c r="K174" s="805">
        <f>ROUND((J174)*33.8%,0)</f>
        <v>218564</v>
      </c>
      <c r="L174" s="805">
        <f t="shared" si="176"/>
        <v>12933</v>
      </c>
      <c r="M174" s="833">
        <v>4060</v>
      </c>
      <c r="N174" s="834">
        <f t="shared" si="177"/>
        <v>2.2000000000000002</v>
      </c>
      <c r="O174" s="1054">
        <v>0</v>
      </c>
      <c r="P174" s="1055">
        <v>2.2000000000000002</v>
      </c>
      <c r="Q174" s="835">
        <f t="shared" si="178"/>
        <v>0</v>
      </c>
      <c r="R174" s="813">
        <v>0</v>
      </c>
      <c r="S174" s="813">
        <v>0</v>
      </c>
      <c r="T174" s="813">
        <v>0</v>
      </c>
      <c r="U174" s="813">
        <f t="shared" si="179"/>
        <v>0</v>
      </c>
      <c r="V174" s="813">
        <v>0</v>
      </c>
      <c r="W174" s="813">
        <v>0</v>
      </c>
      <c r="X174" s="813">
        <v>0</v>
      </c>
      <c r="Y174" s="813">
        <f t="shared" si="180"/>
        <v>0</v>
      </c>
      <c r="Z174" s="813">
        <f t="shared" si="181"/>
        <v>0</v>
      </c>
      <c r="AA174" s="809">
        <f t="shared" si="182"/>
        <v>0</v>
      </c>
      <c r="AB174" s="809">
        <f t="shared" si="183"/>
        <v>0</v>
      </c>
      <c r="AC174" s="813">
        <v>0</v>
      </c>
      <c r="AD174" s="813">
        <v>0</v>
      </c>
      <c r="AE174" s="813">
        <f t="shared" si="184"/>
        <v>0</v>
      </c>
      <c r="AF174" s="813">
        <f t="shared" si="185"/>
        <v>0</v>
      </c>
      <c r="AG174" s="836">
        <v>0</v>
      </c>
      <c r="AH174" s="836">
        <v>0</v>
      </c>
      <c r="AI174" s="836">
        <v>0</v>
      </c>
      <c r="AJ174" s="836">
        <v>0</v>
      </c>
      <c r="AK174" s="836">
        <v>0</v>
      </c>
      <c r="AL174" s="836">
        <f t="shared" si="186"/>
        <v>0</v>
      </c>
      <c r="AM174" s="836">
        <f t="shared" si="187"/>
        <v>0</v>
      </c>
      <c r="AN174" s="949">
        <f t="shared" si="188"/>
        <v>0</v>
      </c>
      <c r="AO174" s="945">
        <f t="shared" si="189"/>
        <v>882197</v>
      </c>
      <c r="AP174" s="813">
        <f t="shared" si="190"/>
        <v>646640</v>
      </c>
      <c r="AQ174" s="813">
        <f t="shared" si="191"/>
        <v>0</v>
      </c>
      <c r="AR174" s="813">
        <f t="shared" si="192"/>
        <v>218564</v>
      </c>
      <c r="AS174" s="813">
        <f t="shared" si="192"/>
        <v>12933</v>
      </c>
      <c r="AT174" s="813">
        <f t="shared" si="193"/>
        <v>4060</v>
      </c>
      <c r="AU174" s="836">
        <f t="shared" si="194"/>
        <v>2.2000000000000002</v>
      </c>
      <c r="AV174" s="836">
        <f t="shared" si="195"/>
        <v>0</v>
      </c>
      <c r="AW174" s="837">
        <f t="shared" si="195"/>
        <v>2.2000000000000002</v>
      </c>
      <c r="AX174" s="925"/>
    </row>
    <row r="175" spans="1:50" ht="12.95" customHeight="1" x14ac:dyDescent="0.25">
      <c r="A175" s="827">
        <v>35</v>
      </c>
      <c r="B175" s="536">
        <v>2306</v>
      </c>
      <c r="C175" s="536">
        <v>650025873</v>
      </c>
      <c r="D175" s="828">
        <v>70695946</v>
      </c>
      <c r="E175" s="535" t="s">
        <v>557</v>
      </c>
      <c r="F175" s="536">
        <v>3143</v>
      </c>
      <c r="G175" s="948" t="s">
        <v>635</v>
      </c>
      <c r="H175" s="832" t="s">
        <v>283</v>
      </c>
      <c r="I175" s="803">
        <f t="shared" si="175"/>
        <v>496005</v>
      </c>
      <c r="J175" s="833">
        <v>365247</v>
      </c>
      <c r="K175" s="805">
        <f>ROUND((J175)*33.8%,0)</f>
        <v>123453</v>
      </c>
      <c r="L175" s="805">
        <f t="shared" si="176"/>
        <v>7305</v>
      </c>
      <c r="M175" s="833">
        <v>0</v>
      </c>
      <c r="N175" s="834">
        <f t="shared" si="177"/>
        <v>0.8337</v>
      </c>
      <c r="O175" s="1054">
        <v>0.8337</v>
      </c>
      <c r="P175" s="1055">
        <v>0</v>
      </c>
      <c r="Q175" s="835">
        <f t="shared" si="178"/>
        <v>0</v>
      </c>
      <c r="R175" s="813">
        <v>0</v>
      </c>
      <c r="S175" s="813">
        <v>0</v>
      </c>
      <c r="T175" s="813">
        <v>0</v>
      </c>
      <c r="U175" s="813">
        <f t="shared" si="179"/>
        <v>0</v>
      </c>
      <c r="V175" s="813">
        <v>0</v>
      </c>
      <c r="W175" s="813">
        <v>0</v>
      </c>
      <c r="X175" s="813">
        <v>0</v>
      </c>
      <c r="Y175" s="813">
        <f t="shared" si="180"/>
        <v>0</v>
      </c>
      <c r="Z175" s="813">
        <f t="shared" si="181"/>
        <v>0</v>
      </c>
      <c r="AA175" s="809">
        <f t="shared" si="182"/>
        <v>0</v>
      </c>
      <c r="AB175" s="809">
        <f t="shared" si="183"/>
        <v>0</v>
      </c>
      <c r="AC175" s="813">
        <v>0</v>
      </c>
      <c r="AD175" s="813">
        <v>0</v>
      </c>
      <c r="AE175" s="813">
        <f t="shared" si="184"/>
        <v>0</v>
      </c>
      <c r="AF175" s="813">
        <f t="shared" si="185"/>
        <v>0</v>
      </c>
      <c r="AG175" s="836">
        <v>0</v>
      </c>
      <c r="AH175" s="836">
        <v>0</v>
      </c>
      <c r="AI175" s="836">
        <v>0</v>
      </c>
      <c r="AJ175" s="836">
        <v>0</v>
      </c>
      <c r="AK175" s="836">
        <v>0</v>
      </c>
      <c r="AL175" s="836">
        <f t="shared" si="186"/>
        <v>0</v>
      </c>
      <c r="AM175" s="836">
        <f t="shared" si="187"/>
        <v>0</v>
      </c>
      <c r="AN175" s="949">
        <f t="shared" si="188"/>
        <v>0</v>
      </c>
      <c r="AO175" s="945">
        <f t="shared" si="189"/>
        <v>496005</v>
      </c>
      <c r="AP175" s="813">
        <f t="shared" si="190"/>
        <v>365247</v>
      </c>
      <c r="AQ175" s="813">
        <f t="shared" si="191"/>
        <v>0</v>
      </c>
      <c r="AR175" s="813">
        <f t="shared" si="192"/>
        <v>123453</v>
      </c>
      <c r="AS175" s="813">
        <f t="shared" si="192"/>
        <v>7305</v>
      </c>
      <c r="AT175" s="813">
        <f t="shared" si="193"/>
        <v>0</v>
      </c>
      <c r="AU175" s="836">
        <f t="shared" si="194"/>
        <v>0.8337</v>
      </c>
      <c r="AV175" s="836">
        <f t="shared" si="195"/>
        <v>0.8337</v>
      </c>
      <c r="AW175" s="837">
        <f t="shared" si="195"/>
        <v>0</v>
      </c>
      <c r="AX175" s="925"/>
    </row>
    <row r="176" spans="1:50" ht="12.95" customHeight="1" x14ac:dyDescent="0.25">
      <c r="A176" s="827">
        <v>35</v>
      </c>
      <c r="B176" s="536">
        <v>2306</v>
      </c>
      <c r="C176" s="536">
        <v>650025873</v>
      </c>
      <c r="D176" s="828">
        <v>70695946</v>
      </c>
      <c r="E176" s="535" t="s">
        <v>557</v>
      </c>
      <c r="F176" s="536">
        <v>3143</v>
      </c>
      <c r="G176" s="948" t="s">
        <v>636</v>
      </c>
      <c r="H176" s="832" t="s">
        <v>284</v>
      </c>
      <c r="I176" s="803">
        <f t="shared" si="175"/>
        <v>10534</v>
      </c>
      <c r="J176" s="833">
        <v>7425</v>
      </c>
      <c r="K176" s="805">
        <f>ROUND((J176)*33.8%,0)</f>
        <v>2510</v>
      </c>
      <c r="L176" s="805">
        <f t="shared" si="176"/>
        <v>149</v>
      </c>
      <c r="M176" s="833">
        <v>450</v>
      </c>
      <c r="N176" s="834">
        <f t="shared" si="177"/>
        <v>0.03</v>
      </c>
      <c r="O176" s="1054">
        <v>0</v>
      </c>
      <c r="P176" s="1055">
        <v>0.03</v>
      </c>
      <c r="Q176" s="835">
        <f t="shared" si="178"/>
        <v>0</v>
      </c>
      <c r="R176" s="813">
        <v>0</v>
      </c>
      <c r="S176" s="813">
        <v>0</v>
      </c>
      <c r="T176" s="813">
        <v>0</v>
      </c>
      <c r="U176" s="813">
        <f t="shared" si="179"/>
        <v>0</v>
      </c>
      <c r="V176" s="813">
        <v>0</v>
      </c>
      <c r="W176" s="813">
        <v>0</v>
      </c>
      <c r="X176" s="813">
        <v>0</v>
      </c>
      <c r="Y176" s="813">
        <f t="shared" si="180"/>
        <v>0</v>
      </c>
      <c r="Z176" s="813">
        <f t="shared" si="181"/>
        <v>0</v>
      </c>
      <c r="AA176" s="809">
        <f t="shared" si="182"/>
        <v>0</v>
      </c>
      <c r="AB176" s="809">
        <f t="shared" si="183"/>
        <v>0</v>
      </c>
      <c r="AC176" s="813">
        <v>0</v>
      </c>
      <c r="AD176" s="813">
        <v>0</v>
      </c>
      <c r="AE176" s="813">
        <f t="shared" si="184"/>
        <v>0</v>
      </c>
      <c r="AF176" s="813">
        <f t="shared" si="185"/>
        <v>0</v>
      </c>
      <c r="AG176" s="836">
        <v>0</v>
      </c>
      <c r="AH176" s="836">
        <v>0</v>
      </c>
      <c r="AI176" s="836">
        <v>0</v>
      </c>
      <c r="AJ176" s="836">
        <v>0</v>
      </c>
      <c r="AK176" s="836">
        <v>0</v>
      </c>
      <c r="AL176" s="836">
        <f t="shared" si="186"/>
        <v>0</v>
      </c>
      <c r="AM176" s="836">
        <f t="shared" si="187"/>
        <v>0</v>
      </c>
      <c r="AN176" s="949">
        <f t="shared" si="188"/>
        <v>0</v>
      </c>
      <c r="AO176" s="945">
        <f t="shared" si="189"/>
        <v>10534</v>
      </c>
      <c r="AP176" s="813">
        <f t="shared" si="190"/>
        <v>7425</v>
      </c>
      <c r="AQ176" s="813">
        <f t="shared" si="191"/>
        <v>0</v>
      </c>
      <c r="AR176" s="813">
        <f t="shared" si="192"/>
        <v>2510</v>
      </c>
      <c r="AS176" s="813">
        <f t="shared" si="192"/>
        <v>149</v>
      </c>
      <c r="AT176" s="813">
        <f t="shared" si="193"/>
        <v>450</v>
      </c>
      <c r="AU176" s="836">
        <f t="shared" si="194"/>
        <v>0.03</v>
      </c>
      <c r="AV176" s="836">
        <f t="shared" si="195"/>
        <v>0</v>
      </c>
      <c r="AW176" s="837">
        <f t="shared" si="195"/>
        <v>0.03</v>
      </c>
      <c r="AX176" s="925"/>
    </row>
    <row r="177" spans="1:50" ht="12.95" customHeight="1" x14ac:dyDescent="0.25">
      <c r="A177" s="539">
        <v>35</v>
      </c>
      <c r="B177" s="100">
        <v>2306</v>
      </c>
      <c r="C177" s="100">
        <v>650025873</v>
      </c>
      <c r="D177" s="100">
        <v>70695946</v>
      </c>
      <c r="E177" s="1058" t="s">
        <v>558</v>
      </c>
      <c r="F177" s="100"/>
      <c r="G177" s="1058"/>
      <c r="H177" s="449"/>
      <c r="I177" s="820">
        <f t="shared" ref="I177:AW177" si="196">SUM(I171:I176)</f>
        <v>7193520</v>
      </c>
      <c r="J177" s="825">
        <f t="shared" si="196"/>
        <v>5242790</v>
      </c>
      <c r="K177" s="825">
        <f t="shared" si="196"/>
        <v>1772063</v>
      </c>
      <c r="L177" s="825">
        <f t="shared" si="196"/>
        <v>104857</v>
      </c>
      <c r="M177" s="825">
        <f t="shared" si="196"/>
        <v>73810</v>
      </c>
      <c r="N177" s="1070">
        <f t="shared" si="196"/>
        <v>12.353299999999999</v>
      </c>
      <c r="O177" s="1070">
        <f t="shared" si="196"/>
        <v>7.3780000000000001</v>
      </c>
      <c r="P177" s="1071">
        <f t="shared" si="196"/>
        <v>4.9752999999999998</v>
      </c>
      <c r="Q177" s="825">
        <f t="shared" si="196"/>
        <v>0</v>
      </c>
      <c r="R177" s="821">
        <f t="shared" si="196"/>
        <v>0</v>
      </c>
      <c r="S177" s="821">
        <f t="shared" si="196"/>
        <v>0</v>
      </c>
      <c r="T177" s="821">
        <f t="shared" si="196"/>
        <v>0</v>
      </c>
      <c r="U177" s="821">
        <f t="shared" si="196"/>
        <v>0</v>
      </c>
      <c r="V177" s="821">
        <f t="shared" si="196"/>
        <v>0</v>
      </c>
      <c r="W177" s="821">
        <f t="shared" si="196"/>
        <v>0</v>
      </c>
      <c r="X177" s="821">
        <f t="shared" si="196"/>
        <v>0</v>
      </c>
      <c r="Y177" s="821">
        <f t="shared" si="196"/>
        <v>0</v>
      </c>
      <c r="Z177" s="821">
        <f t="shared" si="196"/>
        <v>0</v>
      </c>
      <c r="AA177" s="821">
        <f t="shared" si="196"/>
        <v>0</v>
      </c>
      <c r="AB177" s="821">
        <f t="shared" si="196"/>
        <v>0</v>
      </c>
      <c r="AC177" s="821">
        <f t="shared" si="196"/>
        <v>0</v>
      </c>
      <c r="AD177" s="821">
        <f t="shared" si="196"/>
        <v>0</v>
      </c>
      <c r="AE177" s="821">
        <f t="shared" si="196"/>
        <v>0</v>
      </c>
      <c r="AF177" s="821">
        <f t="shared" si="196"/>
        <v>0</v>
      </c>
      <c r="AG177" s="822">
        <f t="shared" si="196"/>
        <v>0</v>
      </c>
      <c r="AH177" s="822">
        <f t="shared" si="196"/>
        <v>0</v>
      </c>
      <c r="AI177" s="822">
        <f t="shared" si="196"/>
        <v>0</v>
      </c>
      <c r="AJ177" s="822">
        <f t="shared" si="196"/>
        <v>0</v>
      </c>
      <c r="AK177" s="822">
        <f t="shared" si="196"/>
        <v>0</v>
      </c>
      <c r="AL177" s="822">
        <f t="shared" si="196"/>
        <v>0</v>
      </c>
      <c r="AM177" s="822">
        <f t="shared" si="196"/>
        <v>0</v>
      </c>
      <c r="AN177" s="1072">
        <f t="shared" si="196"/>
        <v>0</v>
      </c>
      <c r="AO177" s="820">
        <f t="shared" si="196"/>
        <v>7193520</v>
      </c>
      <c r="AP177" s="821">
        <f t="shared" si="196"/>
        <v>5242790</v>
      </c>
      <c r="AQ177" s="821">
        <f t="shared" si="196"/>
        <v>0</v>
      </c>
      <c r="AR177" s="821">
        <f t="shared" si="196"/>
        <v>1772063</v>
      </c>
      <c r="AS177" s="821">
        <f t="shared" si="196"/>
        <v>104857</v>
      </c>
      <c r="AT177" s="821">
        <f t="shared" si="196"/>
        <v>73810</v>
      </c>
      <c r="AU177" s="822">
        <f t="shared" si="196"/>
        <v>12.353299999999999</v>
      </c>
      <c r="AV177" s="822">
        <f t="shared" si="196"/>
        <v>7.3780000000000001</v>
      </c>
      <c r="AW177" s="824">
        <f t="shared" si="196"/>
        <v>4.9752999999999998</v>
      </c>
      <c r="AX177" s="925"/>
    </row>
    <row r="178" spans="1:50" ht="12.95" customHeight="1" x14ac:dyDescent="0.25">
      <c r="A178" s="827">
        <v>36</v>
      </c>
      <c r="B178" s="1083">
        <v>2447</v>
      </c>
      <c r="C178" s="1083">
        <v>600080111</v>
      </c>
      <c r="D178" s="828">
        <v>72744961</v>
      </c>
      <c r="E178" s="1094" t="s">
        <v>559</v>
      </c>
      <c r="F178" s="1083">
        <v>3117</v>
      </c>
      <c r="G178" s="1056" t="s">
        <v>335</v>
      </c>
      <c r="H178" s="832" t="s">
        <v>283</v>
      </c>
      <c r="I178" s="803">
        <f>SUM(J178:M178)</f>
        <v>3714623</v>
      </c>
      <c r="J178" s="833">
        <v>2674922</v>
      </c>
      <c r="K178" s="805">
        <f>ROUND((J178)*33.8%,0)-1</f>
        <v>904123</v>
      </c>
      <c r="L178" s="805">
        <f>ROUND(J178*2%,0)</f>
        <v>53498</v>
      </c>
      <c r="M178" s="833">
        <v>82080</v>
      </c>
      <c r="N178" s="834">
        <f>SUM(O178:P178)</f>
        <v>4.8443000000000005</v>
      </c>
      <c r="O178" s="1054">
        <v>3.41</v>
      </c>
      <c r="P178" s="1055">
        <v>1.4342999999999999</v>
      </c>
      <c r="Q178" s="835">
        <f>V178*-1</f>
        <v>-16000</v>
      </c>
      <c r="R178" s="813">
        <v>0</v>
      </c>
      <c r="S178" s="813">
        <v>0</v>
      </c>
      <c r="T178" s="813">
        <v>0</v>
      </c>
      <c r="U178" s="813">
        <f>SUM(Q178:T178)</f>
        <v>-16000</v>
      </c>
      <c r="V178" s="813">
        <v>16000</v>
      </c>
      <c r="W178" s="813">
        <v>0</v>
      </c>
      <c r="X178" s="813">
        <v>0</v>
      </c>
      <c r="Y178" s="813">
        <f>SUM(V178:X178)</f>
        <v>16000</v>
      </c>
      <c r="Z178" s="813">
        <f>U178+Y178</f>
        <v>0</v>
      </c>
      <c r="AA178" s="809">
        <f>ROUND((U178+V178+W178)*33.8%,0)</f>
        <v>0</v>
      </c>
      <c r="AB178" s="809">
        <f>ROUND(U178*2%,0)</f>
        <v>-320</v>
      </c>
      <c r="AC178" s="813">
        <v>0</v>
      </c>
      <c r="AD178" s="813">
        <v>0</v>
      </c>
      <c r="AE178" s="813">
        <f>SUM(AC178:AD178)</f>
        <v>0</v>
      </c>
      <c r="AF178" s="813">
        <f>Z178+AA178+AB178+AE178</f>
        <v>-320</v>
      </c>
      <c r="AG178" s="836">
        <v>-0.02</v>
      </c>
      <c r="AH178" s="836">
        <v>0</v>
      </c>
      <c r="AI178" s="836">
        <v>0</v>
      </c>
      <c r="AJ178" s="836">
        <v>0</v>
      </c>
      <c r="AK178" s="836">
        <v>0</v>
      </c>
      <c r="AL178" s="836">
        <f>AG178+AI178+AJ178</f>
        <v>-0.02</v>
      </c>
      <c r="AM178" s="836">
        <f>AH178+AK178</f>
        <v>0</v>
      </c>
      <c r="AN178" s="949">
        <f>SUM(AL178:AM178)</f>
        <v>-0.02</v>
      </c>
      <c r="AO178" s="945">
        <f>I178+AF178</f>
        <v>3714303</v>
      </c>
      <c r="AP178" s="813">
        <f>J178+U178</f>
        <v>2658922</v>
      </c>
      <c r="AQ178" s="813">
        <f>Y178</f>
        <v>16000</v>
      </c>
      <c r="AR178" s="813">
        <f t="shared" ref="AR178:AS182" si="197">K178+AA178</f>
        <v>904123</v>
      </c>
      <c r="AS178" s="813">
        <f t="shared" si="197"/>
        <v>53178</v>
      </c>
      <c r="AT178" s="813">
        <f>M178+AE178</f>
        <v>82080</v>
      </c>
      <c r="AU178" s="836">
        <f>N178+AN178</f>
        <v>4.8243000000000009</v>
      </c>
      <c r="AV178" s="836">
        <f t="shared" ref="AV178:AW182" si="198">O178+AL178</f>
        <v>3.39</v>
      </c>
      <c r="AW178" s="837">
        <f t="shared" si="198"/>
        <v>1.4342999999999999</v>
      </c>
      <c r="AX178" s="925"/>
    </row>
    <row r="179" spans="1:50" ht="12.95" customHeight="1" x14ac:dyDescent="0.25">
      <c r="A179" s="827">
        <v>36</v>
      </c>
      <c r="B179" s="1068">
        <v>2447</v>
      </c>
      <c r="C179" s="1068">
        <v>600080111</v>
      </c>
      <c r="D179" s="828">
        <v>72744961</v>
      </c>
      <c r="E179" s="535" t="s">
        <v>559</v>
      </c>
      <c r="F179" s="1083">
        <v>3117</v>
      </c>
      <c r="G179" s="948" t="s">
        <v>318</v>
      </c>
      <c r="H179" s="832" t="s">
        <v>284</v>
      </c>
      <c r="I179" s="803">
        <f>SUM(J179:M179)</f>
        <v>0</v>
      </c>
      <c r="J179" s="833">
        <v>0</v>
      </c>
      <c r="K179" s="805">
        <f>ROUND((J179)*33.8%,0)</f>
        <v>0</v>
      </c>
      <c r="L179" s="805">
        <f>ROUND(J179*2%,0)</f>
        <v>0</v>
      </c>
      <c r="M179" s="833">
        <v>0</v>
      </c>
      <c r="N179" s="834">
        <f>SUM(O179:P179)</f>
        <v>0</v>
      </c>
      <c r="O179" s="1054">
        <v>0</v>
      </c>
      <c r="P179" s="1055">
        <v>0</v>
      </c>
      <c r="Q179" s="835">
        <f>V179*-1</f>
        <v>0</v>
      </c>
      <c r="R179" s="813">
        <v>0</v>
      </c>
      <c r="S179" s="813">
        <v>0</v>
      </c>
      <c r="T179" s="813">
        <v>0</v>
      </c>
      <c r="U179" s="813">
        <f>SUM(Q179:T179)</f>
        <v>0</v>
      </c>
      <c r="V179" s="813">
        <v>0</v>
      </c>
      <c r="W179" s="813">
        <v>0</v>
      </c>
      <c r="X179" s="813">
        <v>0</v>
      </c>
      <c r="Y179" s="813">
        <f>SUM(V179:X179)</f>
        <v>0</v>
      </c>
      <c r="Z179" s="813">
        <f>U179+Y179</f>
        <v>0</v>
      </c>
      <c r="AA179" s="809">
        <f>ROUND((U179+V179+W179)*33.8%,0)</f>
        <v>0</v>
      </c>
      <c r="AB179" s="809">
        <f>ROUND(U179*2%,0)</f>
        <v>0</v>
      </c>
      <c r="AC179" s="813">
        <v>0</v>
      </c>
      <c r="AD179" s="813">
        <v>0</v>
      </c>
      <c r="AE179" s="813">
        <f>SUM(AC179:AD179)</f>
        <v>0</v>
      </c>
      <c r="AF179" s="813">
        <f>Z179+AA179+AB179+AE179</f>
        <v>0</v>
      </c>
      <c r="AG179" s="836">
        <v>0</v>
      </c>
      <c r="AH179" s="836">
        <v>0</v>
      </c>
      <c r="AI179" s="836">
        <v>0</v>
      </c>
      <c r="AJ179" s="836">
        <v>0</v>
      </c>
      <c r="AK179" s="836">
        <v>0</v>
      </c>
      <c r="AL179" s="836">
        <f>AG179+AI179+AJ179</f>
        <v>0</v>
      </c>
      <c r="AM179" s="836">
        <f>AH179+AK179</f>
        <v>0</v>
      </c>
      <c r="AN179" s="949">
        <f>SUM(AL179:AM179)</f>
        <v>0</v>
      </c>
      <c r="AO179" s="945">
        <f>I179+AF179</f>
        <v>0</v>
      </c>
      <c r="AP179" s="813">
        <f>J179+U179</f>
        <v>0</v>
      </c>
      <c r="AQ179" s="813">
        <f>Y179</f>
        <v>0</v>
      </c>
      <c r="AR179" s="813">
        <f t="shared" si="197"/>
        <v>0</v>
      </c>
      <c r="AS179" s="813">
        <f t="shared" si="197"/>
        <v>0</v>
      </c>
      <c r="AT179" s="813">
        <f>M179+AE179</f>
        <v>0</v>
      </c>
      <c r="AU179" s="836">
        <f>N179+AN179</f>
        <v>0</v>
      </c>
      <c r="AV179" s="836">
        <f t="shared" si="198"/>
        <v>0</v>
      </c>
      <c r="AW179" s="837">
        <f t="shared" si="198"/>
        <v>0</v>
      </c>
      <c r="AX179" s="925"/>
    </row>
    <row r="180" spans="1:50" ht="12.95" customHeight="1" x14ac:dyDescent="0.25">
      <c r="A180" s="827">
        <v>36</v>
      </c>
      <c r="B180" s="536">
        <v>2447</v>
      </c>
      <c r="C180" s="536">
        <v>600080111</v>
      </c>
      <c r="D180" s="828">
        <v>72744961</v>
      </c>
      <c r="E180" s="1053" t="s">
        <v>559</v>
      </c>
      <c r="F180" s="1084">
        <v>3141</v>
      </c>
      <c r="G180" s="1057" t="s">
        <v>321</v>
      </c>
      <c r="H180" s="832" t="s">
        <v>284</v>
      </c>
      <c r="I180" s="803">
        <f>SUM(J180:M180)</f>
        <v>166742</v>
      </c>
      <c r="J180" s="833">
        <v>121666</v>
      </c>
      <c r="K180" s="805">
        <f>ROUND((J180)*33.8%,0)</f>
        <v>41123</v>
      </c>
      <c r="L180" s="805">
        <f>ROUND(J180*2%,0)</f>
        <v>2433</v>
      </c>
      <c r="M180" s="833">
        <v>1520</v>
      </c>
      <c r="N180" s="834">
        <f>SUM(O180:P180)</f>
        <v>0.41</v>
      </c>
      <c r="O180" s="1054">
        <v>0</v>
      </c>
      <c r="P180" s="1055">
        <v>0.41</v>
      </c>
      <c r="Q180" s="835">
        <f>V180*-1</f>
        <v>0</v>
      </c>
      <c r="R180" s="813">
        <v>0</v>
      </c>
      <c r="S180" s="813">
        <v>0</v>
      </c>
      <c r="T180" s="813">
        <v>0</v>
      </c>
      <c r="U180" s="813">
        <f>SUM(Q180:T180)</f>
        <v>0</v>
      </c>
      <c r="V180" s="813">
        <v>0</v>
      </c>
      <c r="W180" s="813">
        <v>0</v>
      </c>
      <c r="X180" s="813">
        <v>0</v>
      </c>
      <c r="Y180" s="813">
        <f>SUM(V180:X180)</f>
        <v>0</v>
      </c>
      <c r="Z180" s="813">
        <f>U180+Y180</f>
        <v>0</v>
      </c>
      <c r="AA180" s="809">
        <f>ROUND((U180+V180+W180)*33.8%,0)</f>
        <v>0</v>
      </c>
      <c r="AB180" s="809">
        <f>ROUND(U180*2%,0)</f>
        <v>0</v>
      </c>
      <c r="AC180" s="813">
        <v>0</v>
      </c>
      <c r="AD180" s="813">
        <v>0</v>
      </c>
      <c r="AE180" s="813">
        <f>SUM(AC180:AD180)</f>
        <v>0</v>
      </c>
      <c r="AF180" s="813">
        <f>Z180+AA180+AB180+AE180</f>
        <v>0</v>
      </c>
      <c r="AG180" s="836">
        <v>0</v>
      </c>
      <c r="AH180" s="836">
        <v>0</v>
      </c>
      <c r="AI180" s="836">
        <v>0</v>
      </c>
      <c r="AJ180" s="836">
        <v>0</v>
      </c>
      <c r="AK180" s="836">
        <v>0</v>
      </c>
      <c r="AL180" s="836">
        <f>AG180+AI180+AJ180</f>
        <v>0</v>
      </c>
      <c r="AM180" s="836">
        <f>AH180+AK180</f>
        <v>0</v>
      </c>
      <c r="AN180" s="949">
        <f>SUM(AL180:AM180)</f>
        <v>0</v>
      </c>
      <c r="AO180" s="945">
        <f>I180+AF180</f>
        <v>166742</v>
      </c>
      <c r="AP180" s="813">
        <f>J180+U180</f>
        <v>121666</v>
      </c>
      <c r="AQ180" s="813">
        <f>Y180</f>
        <v>0</v>
      </c>
      <c r="AR180" s="813">
        <f t="shared" si="197"/>
        <v>41123</v>
      </c>
      <c r="AS180" s="813">
        <f t="shared" si="197"/>
        <v>2433</v>
      </c>
      <c r="AT180" s="813">
        <f>M180+AE180</f>
        <v>1520</v>
      </c>
      <c r="AU180" s="836">
        <f>N180+AN180</f>
        <v>0.41</v>
      </c>
      <c r="AV180" s="836">
        <f t="shared" si="198"/>
        <v>0</v>
      </c>
      <c r="AW180" s="837">
        <f t="shared" si="198"/>
        <v>0.41</v>
      </c>
      <c r="AX180" s="925"/>
    </row>
    <row r="181" spans="1:50" ht="12.95" customHeight="1" x14ac:dyDescent="0.25">
      <c r="A181" s="827">
        <v>36</v>
      </c>
      <c r="B181" s="1068">
        <v>2447</v>
      </c>
      <c r="C181" s="1068">
        <v>600080111</v>
      </c>
      <c r="D181" s="828">
        <v>72744961</v>
      </c>
      <c r="E181" s="535" t="s">
        <v>559</v>
      </c>
      <c r="F181" s="1068">
        <v>3143</v>
      </c>
      <c r="G181" s="948" t="s">
        <v>635</v>
      </c>
      <c r="H181" s="832" t="s">
        <v>283</v>
      </c>
      <c r="I181" s="803">
        <f>SUM(J181:M181)</f>
        <v>677212</v>
      </c>
      <c r="J181" s="833">
        <v>498683</v>
      </c>
      <c r="K181" s="805">
        <f>ROUND((J181)*33.8%,0)</f>
        <v>168555</v>
      </c>
      <c r="L181" s="805">
        <f>ROUND(J181*2%,0)</f>
        <v>9974</v>
      </c>
      <c r="M181" s="833">
        <v>0</v>
      </c>
      <c r="N181" s="834">
        <f>SUM(O181:P181)</f>
        <v>1</v>
      </c>
      <c r="O181" s="1054">
        <v>1</v>
      </c>
      <c r="P181" s="1055">
        <v>0</v>
      </c>
      <c r="Q181" s="835">
        <f>V181*-1</f>
        <v>0</v>
      </c>
      <c r="R181" s="813">
        <v>0</v>
      </c>
      <c r="S181" s="813">
        <v>0</v>
      </c>
      <c r="T181" s="813">
        <v>0</v>
      </c>
      <c r="U181" s="813">
        <f>SUM(Q181:T181)</f>
        <v>0</v>
      </c>
      <c r="V181" s="813">
        <v>0</v>
      </c>
      <c r="W181" s="813">
        <v>0</v>
      </c>
      <c r="X181" s="813">
        <v>0</v>
      </c>
      <c r="Y181" s="813">
        <f>SUM(V181:X181)</f>
        <v>0</v>
      </c>
      <c r="Z181" s="813">
        <f>U181+Y181</f>
        <v>0</v>
      </c>
      <c r="AA181" s="809">
        <f>ROUND((U181+V181+W181)*33.8%,0)</f>
        <v>0</v>
      </c>
      <c r="AB181" s="809">
        <f>ROUND(U181*2%,0)</f>
        <v>0</v>
      </c>
      <c r="AC181" s="813">
        <v>0</v>
      </c>
      <c r="AD181" s="813">
        <v>0</v>
      </c>
      <c r="AE181" s="813">
        <f>SUM(AC181:AD181)</f>
        <v>0</v>
      </c>
      <c r="AF181" s="813">
        <f>Z181+AA181+AB181+AE181</f>
        <v>0</v>
      </c>
      <c r="AG181" s="836">
        <v>0</v>
      </c>
      <c r="AH181" s="836">
        <v>0</v>
      </c>
      <c r="AI181" s="836">
        <v>0</v>
      </c>
      <c r="AJ181" s="836">
        <v>0</v>
      </c>
      <c r="AK181" s="836">
        <v>0</v>
      </c>
      <c r="AL181" s="836">
        <f>AG181+AI181+AJ181</f>
        <v>0</v>
      </c>
      <c r="AM181" s="836">
        <f>AH181+AK181</f>
        <v>0</v>
      </c>
      <c r="AN181" s="949">
        <f>SUM(AL181:AM181)</f>
        <v>0</v>
      </c>
      <c r="AO181" s="945">
        <f>I181+AF181</f>
        <v>677212</v>
      </c>
      <c r="AP181" s="813">
        <f>J181+U181</f>
        <v>498683</v>
      </c>
      <c r="AQ181" s="813">
        <f>Y181</f>
        <v>0</v>
      </c>
      <c r="AR181" s="813">
        <f t="shared" si="197"/>
        <v>168555</v>
      </c>
      <c r="AS181" s="813">
        <f t="shared" si="197"/>
        <v>9974</v>
      </c>
      <c r="AT181" s="813">
        <f>M181+AE181</f>
        <v>0</v>
      </c>
      <c r="AU181" s="836">
        <f>N181+AN181</f>
        <v>1</v>
      </c>
      <c r="AV181" s="836">
        <f t="shared" si="198"/>
        <v>1</v>
      </c>
      <c r="AW181" s="837">
        <f t="shared" si="198"/>
        <v>0</v>
      </c>
      <c r="AX181" s="925"/>
    </row>
    <row r="182" spans="1:50" ht="12.95" customHeight="1" x14ac:dyDescent="0.25">
      <c r="A182" s="827">
        <v>36</v>
      </c>
      <c r="B182" s="1068">
        <v>2447</v>
      </c>
      <c r="C182" s="1068">
        <v>600080111</v>
      </c>
      <c r="D182" s="828">
        <v>72744961</v>
      </c>
      <c r="E182" s="535" t="s">
        <v>559</v>
      </c>
      <c r="F182" s="1068">
        <v>3143</v>
      </c>
      <c r="G182" s="948" t="s">
        <v>636</v>
      </c>
      <c r="H182" s="832" t="s">
        <v>284</v>
      </c>
      <c r="I182" s="803">
        <f>SUM(J182:M182)</f>
        <v>21066</v>
      </c>
      <c r="J182" s="833">
        <v>14850</v>
      </c>
      <c r="K182" s="805">
        <f>ROUND((J182)*33.8%,0)</f>
        <v>5019</v>
      </c>
      <c r="L182" s="805">
        <f>ROUND(J182*2%,0)</f>
        <v>297</v>
      </c>
      <c r="M182" s="833">
        <v>900</v>
      </c>
      <c r="N182" s="834">
        <f>SUM(O182:P182)</f>
        <v>0.06</v>
      </c>
      <c r="O182" s="1054">
        <v>0</v>
      </c>
      <c r="P182" s="1055">
        <v>0.06</v>
      </c>
      <c r="Q182" s="835">
        <f>V182*-1</f>
        <v>0</v>
      </c>
      <c r="R182" s="813">
        <v>0</v>
      </c>
      <c r="S182" s="813">
        <v>0</v>
      </c>
      <c r="T182" s="813">
        <v>0</v>
      </c>
      <c r="U182" s="813">
        <f>SUM(Q182:T182)</f>
        <v>0</v>
      </c>
      <c r="V182" s="813">
        <v>0</v>
      </c>
      <c r="W182" s="813">
        <v>0</v>
      </c>
      <c r="X182" s="813">
        <v>0</v>
      </c>
      <c r="Y182" s="813">
        <f>SUM(V182:X182)</f>
        <v>0</v>
      </c>
      <c r="Z182" s="813">
        <f>U182+Y182</f>
        <v>0</v>
      </c>
      <c r="AA182" s="809">
        <f>ROUND((U182+V182+W182)*33.8%,0)</f>
        <v>0</v>
      </c>
      <c r="AB182" s="809">
        <f>ROUND(U182*2%,0)</f>
        <v>0</v>
      </c>
      <c r="AC182" s="813">
        <v>0</v>
      </c>
      <c r="AD182" s="813">
        <v>0</v>
      </c>
      <c r="AE182" s="813">
        <f>SUM(AC182:AD182)</f>
        <v>0</v>
      </c>
      <c r="AF182" s="813">
        <f>Z182+AA182+AB182+AE182</f>
        <v>0</v>
      </c>
      <c r="AG182" s="836">
        <v>0</v>
      </c>
      <c r="AH182" s="836">
        <v>0</v>
      </c>
      <c r="AI182" s="836">
        <v>0</v>
      </c>
      <c r="AJ182" s="836">
        <v>0</v>
      </c>
      <c r="AK182" s="836">
        <v>0</v>
      </c>
      <c r="AL182" s="836">
        <f>AG182+AI182+AJ182</f>
        <v>0</v>
      </c>
      <c r="AM182" s="836">
        <f>AH182+AK182</f>
        <v>0</v>
      </c>
      <c r="AN182" s="949">
        <f>SUM(AL182:AM182)</f>
        <v>0</v>
      </c>
      <c r="AO182" s="945">
        <f>I182+AF182</f>
        <v>21066</v>
      </c>
      <c r="AP182" s="813">
        <f>J182+U182</f>
        <v>14850</v>
      </c>
      <c r="AQ182" s="813">
        <f>Y182</f>
        <v>0</v>
      </c>
      <c r="AR182" s="813">
        <f t="shared" si="197"/>
        <v>5019</v>
      </c>
      <c r="AS182" s="813">
        <f t="shared" si="197"/>
        <v>297</v>
      </c>
      <c r="AT182" s="813">
        <f>M182+AE182</f>
        <v>900</v>
      </c>
      <c r="AU182" s="836">
        <f>N182+AN182</f>
        <v>0.06</v>
      </c>
      <c r="AV182" s="836">
        <f t="shared" si="198"/>
        <v>0</v>
      </c>
      <c r="AW182" s="837">
        <f t="shared" si="198"/>
        <v>0.06</v>
      </c>
      <c r="AX182" s="925"/>
    </row>
    <row r="183" spans="1:50" ht="12.95" customHeight="1" x14ac:dyDescent="0.25">
      <c r="A183" s="539">
        <v>36</v>
      </c>
      <c r="B183" s="101">
        <v>2447</v>
      </c>
      <c r="C183" s="101">
        <v>600080111</v>
      </c>
      <c r="D183" s="101">
        <v>72744961</v>
      </c>
      <c r="E183" s="1073" t="s">
        <v>560</v>
      </c>
      <c r="F183" s="101"/>
      <c r="G183" s="1073"/>
      <c r="H183" s="450"/>
      <c r="I183" s="820">
        <f t="shared" ref="I183:AW183" si="199">SUM(I178:I182)</f>
        <v>4579643</v>
      </c>
      <c r="J183" s="825">
        <f t="shared" si="199"/>
        <v>3310121</v>
      </c>
      <c r="K183" s="825">
        <f t="shared" si="199"/>
        <v>1118820</v>
      </c>
      <c r="L183" s="825">
        <f t="shared" si="199"/>
        <v>66202</v>
      </c>
      <c r="M183" s="825">
        <f t="shared" si="199"/>
        <v>84500</v>
      </c>
      <c r="N183" s="1070">
        <f t="shared" si="199"/>
        <v>6.3143000000000002</v>
      </c>
      <c r="O183" s="1070">
        <f t="shared" si="199"/>
        <v>4.41</v>
      </c>
      <c r="P183" s="1071">
        <f t="shared" si="199"/>
        <v>1.9042999999999999</v>
      </c>
      <c r="Q183" s="825">
        <f t="shared" si="199"/>
        <v>-16000</v>
      </c>
      <c r="R183" s="821">
        <f t="shared" si="199"/>
        <v>0</v>
      </c>
      <c r="S183" s="821">
        <f t="shared" si="199"/>
        <v>0</v>
      </c>
      <c r="T183" s="821">
        <f t="shared" si="199"/>
        <v>0</v>
      </c>
      <c r="U183" s="821">
        <f t="shared" si="199"/>
        <v>-16000</v>
      </c>
      <c r="V183" s="821">
        <f t="shared" si="199"/>
        <v>16000</v>
      </c>
      <c r="W183" s="821">
        <f t="shared" si="199"/>
        <v>0</v>
      </c>
      <c r="X183" s="821">
        <f t="shared" si="199"/>
        <v>0</v>
      </c>
      <c r="Y183" s="821">
        <f t="shared" si="199"/>
        <v>16000</v>
      </c>
      <c r="Z183" s="821">
        <f t="shared" si="199"/>
        <v>0</v>
      </c>
      <c r="AA183" s="821">
        <f t="shared" si="199"/>
        <v>0</v>
      </c>
      <c r="AB183" s="821">
        <f t="shared" si="199"/>
        <v>-320</v>
      </c>
      <c r="AC183" s="821">
        <f t="shared" si="199"/>
        <v>0</v>
      </c>
      <c r="AD183" s="821">
        <f t="shared" si="199"/>
        <v>0</v>
      </c>
      <c r="AE183" s="821">
        <f t="shared" si="199"/>
        <v>0</v>
      </c>
      <c r="AF183" s="821">
        <f t="shared" si="199"/>
        <v>-320</v>
      </c>
      <c r="AG183" s="822">
        <f t="shared" si="199"/>
        <v>-0.02</v>
      </c>
      <c r="AH183" s="822">
        <f t="shared" si="199"/>
        <v>0</v>
      </c>
      <c r="AI183" s="822">
        <f t="shared" si="199"/>
        <v>0</v>
      </c>
      <c r="AJ183" s="822">
        <f t="shared" si="199"/>
        <v>0</v>
      </c>
      <c r="AK183" s="822">
        <f t="shared" si="199"/>
        <v>0</v>
      </c>
      <c r="AL183" s="822">
        <f t="shared" si="199"/>
        <v>-0.02</v>
      </c>
      <c r="AM183" s="822">
        <f t="shared" si="199"/>
        <v>0</v>
      </c>
      <c r="AN183" s="1072">
        <f t="shared" si="199"/>
        <v>-0.02</v>
      </c>
      <c r="AO183" s="820">
        <f t="shared" si="199"/>
        <v>4579323</v>
      </c>
      <c r="AP183" s="821">
        <f t="shared" si="199"/>
        <v>3294121</v>
      </c>
      <c r="AQ183" s="821">
        <f t="shared" si="199"/>
        <v>16000</v>
      </c>
      <c r="AR183" s="821">
        <f t="shared" si="199"/>
        <v>1118820</v>
      </c>
      <c r="AS183" s="821">
        <f t="shared" si="199"/>
        <v>65882</v>
      </c>
      <c r="AT183" s="821">
        <f t="shared" si="199"/>
        <v>84500</v>
      </c>
      <c r="AU183" s="822">
        <f t="shared" si="199"/>
        <v>6.2943000000000007</v>
      </c>
      <c r="AV183" s="822">
        <f t="shared" si="199"/>
        <v>4.3900000000000006</v>
      </c>
      <c r="AW183" s="824">
        <f t="shared" si="199"/>
        <v>1.9042999999999999</v>
      </c>
      <c r="AX183" s="925"/>
    </row>
    <row r="184" spans="1:50" ht="12.95" customHeight="1" x14ac:dyDescent="0.25">
      <c r="A184" s="827">
        <v>37</v>
      </c>
      <c r="B184" s="536">
        <v>5455</v>
      </c>
      <c r="C184" s="536">
        <v>600099067</v>
      </c>
      <c r="D184" s="828">
        <v>70986088</v>
      </c>
      <c r="E184" s="1053" t="s">
        <v>561</v>
      </c>
      <c r="F184" s="1084">
        <v>3111</v>
      </c>
      <c r="G184" s="1057" t="s">
        <v>331</v>
      </c>
      <c r="H184" s="832" t="s">
        <v>283</v>
      </c>
      <c r="I184" s="803">
        <f>SUM(J184:M184)</f>
        <v>2668332</v>
      </c>
      <c r="J184" s="833">
        <v>1953300</v>
      </c>
      <c r="K184" s="805">
        <f>ROUND((J184)*33.8%,0)+1</f>
        <v>660216</v>
      </c>
      <c r="L184" s="805">
        <f>ROUND(J184*2%,0)</f>
        <v>39066</v>
      </c>
      <c r="M184" s="833">
        <v>15750</v>
      </c>
      <c r="N184" s="834">
        <f>SUM(O184:P184)</f>
        <v>4.9218000000000002</v>
      </c>
      <c r="O184" s="1054">
        <v>4</v>
      </c>
      <c r="P184" s="1055">
        <v>0.92179999999999995</v>
      </c>
      <c r="Q184" s="835">
        <f>V184*-1</f>
        <v>0</v>
      </c>
      <c r="R184" s="813">
        <v>0</v>
      </c>
      <c r="S184" s="813">
        <v>0</v>
      </c>
      <c r="T184" s="813">
        <v>0</v>
      </c>
      <c r="U184" s="813">
        <f>SUM(Q184:T184)</f>
        <v>0</v>
      </c>
      <c r="V184" s="813">
        <v>0</v>
      </c>
      <c r="W184" s="813">
        <v>0</v>
      </c>
      <c r="X184" s="813">
        <v>0</v>
      </c>
      <c r="Y184" s="813">
        <f>SUM(V184:X184)</f>
        <v>0</v>
      </c>
      <c r="Z184" s="813">
        <f>U184+Y184</f>
        <v>0</v>
      </c>
      <c r="AA184" s="809">
        <f>ROUND((U184+V184+W184)*33.8%,0)</f>
        <v>0</v>
      </c>
      <c r="AB184" s="809">
        <f>ROUND(U184*2%,0)</f>
        <v>0</v>
      </c>
      <c r="AC184" s="813">
        <v>0</v>
      </c>
      <c r="AD184" s="813">
        <v>0</v>
      </c>
      <c r="AE184" s="813">
        <f>SUM(AC184:AD184)</f>
        <v>0</v>
      </c>
      <c r="AF184" s="813">
        <f>Z184+AA184+AB184+AE184</f>
        <v>0</v>
      </c>
      <c r="AG184" s="836">
        <v>0</v>
      </c>
      <c r="AH184" s="836">
        <v>0</v>
      </c>
      <c r="AI184" s="836">
        <v>0</v>
      </c>
      <c r="AJ184" s="836">
        <v>0</v>
      </c>
      <c r="AK184" s="836">
        <v>0</v>
      </c>
      <c r="AL184" s="836">
        <f>AG184+AI184+AJ184</f>
        <v>0</v>
      </c>
      <c r="AM184" s="836">
        <f>AH184+AK184</f>
        <v>0</v>
      </c>
      <c r="AN184" s="949">
        <f>SUM(AL184:AM184)</f>
        <v>0</v>
      </c>
      <c r="AO184" s="945">
        <f>I184+AF184</f>
        <v>2668332</v>
      </c>
      <c r="AP184" s="813">
        <f>J184+U184</f>
        <v>1953300</v>
      </c>
      <c r="AQ184" s="813">
        <f>Y184</f>
        <v>0</v>
      </c>
      <c r="AR184" s="813">
        <f t="shared" ref="AR184:AS188" si="200">K184+AA184</f>
        <v>660216</v>
      </c>
      <c r="AS184" s="813">
        <f t="shared" si="200"/>
        <v>39066</v>
      </c>
      <c r="AT184" s="813">
        <f>M184+AE184</f>
        <v>15750</v>
      </c>
      <c r="AU184" s="836">
        <f>N184+AN184</f>
        <v>4.9218000000000002</v>
      </c>
      <c r="AV184" s="836">
        <f t="shared" ref="AV184:AW188" si="201">O184+AL184</f>
        <v>4</v>
      </c>
      <c r="AW184" s="837">
        <f t="shared" si="201"/>
        <v>0.92179999999999995</v>
      </c>
      <c r="AX184" s="925"/>
    </row>
    <row r="185" spans="1:50" ht="12.95" customHeight="1" x14ac:dyDescent="0.25">
      <c r="A185" s="827">
        <v>37</v>
      </c>
      <c r="B185" s="1083">
        <v>5455</v>
      </c>
      <c r="C185" s="1083">
        <v>600099067</v>
      </c>
      <c r="D185" s="828">
        <v>70986088</v>
      </c>
      <c r="E185" s="1094" t="s">
        <v>561</v>
      </c>
      <c r="F185" s="1083">
        <v>3117</v>
      </c>
      <c r="G185" s="1056" t="s">
        <v>335</v>
      </c>
      <c r="H185" s="832" t="s">
        <v>283</v>
      </c>
      <c r="I185" s="803">
        <f>SUM(J185:M185)</f>
        <v>3176176</v>
      </c>
      <c r="J185" s="833">
        <v>2301087</v>
      </c>
      <c r="K185" s="805">
        <f>ROUND((J185)*33.8%,0)</f>
        <v>777767</v>
      </c>
      <c r="L185" s="805">
        <f>ROUND(J185*2%,0)</f>
        <v>46022</v>
      </c>
      <c r="M185" s="833">
        <v>51300</v>
      </c>
      <c r="N185" s="834">
        <f>SUM(O185:P185)</f>
        <v>3.9234999999999998</v>
      </c>
      <c r="O185" s="1054">
        <v>2.5</v>
      </c>
      <c r="P185" s="1055">
        <v>1.4235</v>
      </c>
      <c r="Q185" s="835">
        <f>V185*-1</f>
        <v>0</v>
      </c>
      <c r="R185" s="813">
        <v>0</v>
      </c>
      <c r="S185" s="813">
        <v>0</v>
      </c>
      <c r="T185" s="813">
        <v>0</v>
      </c>
      <c r="U185" s="813">
        <f>SUM(Q185:T185)</f>
        <v>0</v>
      </c>
      <c r="V185" s="813">
        <v>0</v>
      </c>
      <c r="W185" s="813">
        <v>0</v>
      </c>
      <c r="X185" s="813">
        <v>0</v>
      </c>
      <c r="Y185" s="813">
        <f>SUM(V185:X185)</f>
        <v>0</v>
      </c>
      <c r="Z185" s="813">
        <f>U185+Y185</f>
        <v>0</v>
      </c>
      <c r="AA185" s="809">
        <f>ROUND((U185+V185+W185)*33.8%,0)</f>
        <v>0</v>
      </c>
      <c r="AB185" s="809">
        <f>ROUND(U185*2%,0)</f>
        <v>0</v>
      </c>
      <c r="AC185" s="813">
        <v>0</v>
      </c>
      <c r="AD185" s="813">
        <v>0</v>
      </c>
      <c r="AE185" s="813">
        <f>SUM(AC185:AD185)</f>
        <v>0</v>
      </c>
      <c r="AF185" s="813">
        <f>Z185+AA185+AB185+AE185</f>
        <v>0</v>
      </c>
      <c r="AG185" s="836">
        <v>0</v>
      </c>
      <c r="AH185" s="836">
        <v>0</v>
      </c>
      <c r="AI185" s="836">
        <v>0</v>
      </c>
      <c r="AJ185" s="836">
        <v>0</v>
      </c>
      <c r="AK185" s="836">
        <v>0</v>
      </c>
      <c r="AL185" s="836">
        <f>AG185+AI185+AJ185</f>
        <v>0</v>
      </c>
      <c r="AM185" s="836">
        <f>AH185+AK185</f>
        <v>0</v>
      </c>
      <c r="AN185" s="949">
        <f>SUM(AL185:AM185)</f>
        <v>0</v>
      </c>
      <c r="AO185" s="945">
        <f>I185+AF185</f>
        <v>3176176</v>
      </c>
      <c r="AP185" s="813">
        <f>J185+U185</f>
        <v>2301087</v>
      </c>
      <c r="AQ185" s="813">
        <f>Y185</f>
        <v>0</v>
      </c>
      <c r="AR185" s="813">
        <f t="shared" si="200"/>
        <v>777767</v>
      </c>
      <c r="AS185" s="813">
        <f t="shared" si="200"/>
        <v>46022</v>
      </c>
      <c r="AT185" s="813">
        <f>M185+AE185</f>
        <v>51300</v>
      </c>
      <c r="AU185" s="836">
        <f>N185+AN185</f>
        <v>3.9234999999999998</v>
      </c>
      <c r="AV185" s="836">
        <f t="shared" si="201"/>
        <v>2.5</v>
      </c>
      <c r="AW185" s="837">
        <f t="shared" si="201"/>
        <v>1.4235</v>
      </c>
      <c r="AX185" s="925"/>
    </row>
    <row r="186" spans="1:50" ht="12.95" customHeight="1" x14ac:dyDescent="0.25">
      <c r="A186" s="827">
        <v>37</v>
      </c>
      <c r="B186" s="536">
        <v>5455</v>
      </c>
      <c r="C186" s="536">
        <v>600099067</v>
      </c>
      <c r="D186" s="828">
        <v>70986088</v>
      </c>
      <c r="E186" s="1056" t="s">
        <v>561</v>
      </c>
      <c r="F186" s="536">
        <v>3141</v>
      </c>
      <c r="G186" s="1057" t="s">
        <v>321</v>
      </c>
      <c r="H186" s="832" t="s">
        <v>284</v>
      </c>
      <c r="I186" s="803">
        <f>SUM(J186:M186)</f>
        <v>832748</v>
      </c>
      <c r="J186" s="833">
        <v>610440</v>
      </c>
      <c r="K186" s="805">
        <f>ROUND((J186)*33.8%,0)</f>
        <v>206329</v>
      </c>
      <c r="L186" s="805">
        <f>ROUND(J186*2%,0)</f>
        <v>12209</v>
      </c>
      <c r="M186" s="833">
        <v>3770</v>
      </c>
      <c r="N186" s="834">
        <f>SUM(O186:P186)</f>
        <v>2.08</v>
      </c>
      <c r="O186" s="1054">
        <v>0</v>
      </c>
      <c r="P186" s="1055">
        <v>2.08</v>
      </c>
      <c r="Q186" s="835">
        <f>V186*-1</f>
        <v>0</v>
      </c>
      <c r="R186" s="813">
        <v>0</v>
      </c>
      <c r="S186" s="813">
        <v>0</v>
      </c>
      <c r="T186" s="813">
        <v>0</v>
      </c>
      <c r="U186" s="813">
        <f>SUM(Q186:T186)</f>
        <v>0</v>
      </c>
      <c r="V186" s="813">
        <v>0</v>
      </c>
      <c r="W186" s="813">
        <v>0</v>
      </c>
      <c r="X186" s="813">
        <v>0</v>
      </c>
      <c r="Y186" s="813">
        <f>SUM(V186:X186)</f>
        <v>0</v>
      </c>
      <c r="Z186" s="813">
        <f>U186+Y186</f>
        <v>0</v>
      </c>
      <c r="AA186" s="809">
        <f>ROUND((U186+V186+W186)*33.8%,0)</f>
        <v>0</v>
      </c>
      <c r="AB186" s="809">
        <f>ROUND(U186*2%,0)</f>
        <v>0</v>
      </c>
      <c r="AC186" s="813">
        <v>0</v>
      </c>
      <c r="AD186" s="813">
        <v>0</v>
      </c>
      <c r="AE186" s="813">
        <f>SUM(AC186:AD186)</f>
        <v>0</v>
      </c>
      <c r="AF186" s="813">
        <f>Z186+AA186+AB186+AE186</f>
        <v>0</v>
      </c>
      <c r="AG186" s="836">
        <v>0</v>
      </c>
      <c r="AH186" s="836">
        <v>0</v>
      </c>
      <c r="AI186" s="836">
        <v>0</v>
      </c>
      <c r="AJ186" s="836">
        <v>0</v>
      </c>
      <c r="AK186" s="836">
        <v>0</v>
      </c>
      <c r="AL186" s="836">
        <f>AG186+AI186+AJ186</f>
        <v>0</v>
      </c>
      <c r="AM186" s="836">
        <f>AH186+AK186</f>
        <v>0</v>
      </c>
      <c r="AN186" s="949">
        <f>SUM(AL186:AM186)</f>
        <v>0</v>
      </c>
      <c r="AO186" s="945">
        <f>I186+AF186</f>
        <v>832748</v>
      </c>
      <c r="AP186" s="813">
        <f>J186+U186</f>
        <v>610440</v>
      </c>
      <c r="AQ186" s="813">
        <f>Y186</f>
        <v>0</v>
      </c>
      <c r="AR186" s="813">
        <f t="shared" si="200"/>
        <v>206329</v>
      </c>
      <c r="AS186" s="813">
        <f t="shared" si="200"/>
        <v>12209</v>
      </c>
      <c r="AT186" s="813">
        <f>M186+AE186</f>
        <v>3770</v>
      </c>
      <c r="AU186" s="836">
        <f>N186+AN186</f>
        <v>2.08</v>
      </c>
      <c r="AV186" s="836">
        <f t="shared" si="201"/>
        <v>0</v>
      </c>
      <c r="AW186" s="837">
        <f t="shared" si="201"/>
        <v>2.08</v>
      </c>
      <c r="AX186" s="925"/>
    </row>
    <row r="187" spans="1:50" ht="12.95" customHeight="1" x14ac:dyDescent="0.25">
      <c r="A187" s="827">
        <v>37</v>
      </c>
      <c r="B187" s="536">
        <v>5455</v>
      </c>
      <c r="C187" s="536">
        <v>600099067</v>
      </c>
      <c r="D187" s="828">
        <v>70986088</v>
      </c>
      <c r="E187" s="1053" t="s">
        <v>561</v>
      </c>
      <c r="F187" s="1084">
        <v>3143</v>
      </c>
      <c r="G187" s="948" t="s">
        <v>635</v>
      </c>
      <c r="H187" s="832" t="s">
        <v>283</v>
      </c>
      <c r="I187" s="803">
        <f>SUM(J187:M187)</f>
        <v>420992</v>
      </c>
      <c r="J187" s="833">
        <v>310009</v>
      </c>
      <c r="K187" s="805">
        <f>ROUND((J187)*33.8%,0)</f>
        <v>104783</v>
      </c>
      <c r="L187" s="805">
        <f>ROUND(J187*2%,0)</f>
        <v>6200</v>
      </c>
      <c r="M187" s="833">
        <v>0</v>
      </c>
      <c r="N187" s="834">
        <f>SUM(O187:P187)</f>
        <v>0.64159999999999995</v>
      </c>
      <c r="O187" s="1054">
        <v>0.64159999999999995</v>
      </c>
      <c r="P187" s="1055">
        <v>0</v>
      </c>
      <c r="Q187" s="835">
        <f>V187*-1</f>
        <v>0</v>
      </c>
      <c r="R187" s="813">
        <v>0</v>
      </c>
      <c r="S187" s="813">
        <v>0</v>
      </c>
      <c r="T187" s="813">
        <v>0</v>
      </c>
      <c r="U187" s="813">
        <f>SUM(Q187:T187)</f>
        <v>0</v>
      </c>
      <c r="V187" s="813">
        <v>0</v>
      </c>
      <c r="W187" s="813">
        <v>0</v>
      </c>
      <c r="X187" s="813">
        <v>0</v>
      </c>
      <c r="Y187" s="813">
        <f>SUM(V187:X187)</f>
        <v>0</v>
      </c>
      <c r="Z187" s="813">
        <f>U187+Y187</f>
        <v>0</v>
      </c>
      <c r="AA187" s="809">
        <f>ROUND((U187+V187+W187)*33.8%,0)</f>
        <v>0</v>
      </c>
      <c r="AB187" s="809">
        <f>ROUND(U187*2%,0)</f>
        <v>0</v>
      </c>
      <c r="AC187" s="813">
        <v>0</v>
      </c>
      <c r="AD187" s="813">
        <v>0</v>
      </c>
      <c r="AE187" s="813">
        <f>SUM(AC187:AD187)</f>
        <v>0</v>
      </c>
      <c r="AF187" s="813">
        <f>Z187+AA187+AB187+AE187</f>
        <v>0</v>
      </c>
      <c r="AG187" s="836">
        <v>0</v>
      </c>
      <c r="AH187" s="836">
        <v>0</v>
      </c>
      <c r="AI187" s="836">
        <v>0</v>
      </c>
      <c r="AJ187" s="836">
        <v>0</v>
      </c>
      <c r="AK187" s="836">
        <v>0</v>
      </c>
      <c r="AL187" s="836">
        <f>AG187+AI187+AJ187</f>
        <v>0</v>
      </c>
      <c r="AM187" s="836">
        <f>AH187+AK187</f>
        <v>0</v>
      </c>
      <c r="AN187" s="949">
        <f>SUM(AL187:AM187)</f>
        <v>0</v>
      </c>
      <c r="AO187" s="945">
        <f>I187+AF187</f>
        <v>420992</v>
      </c>
      <c r="AP187" s="813">
        <f>J187+U187</f>
        <v>310009</v>
      </c>
      <c r="AQ187" s="813">
        <f>Y187</f>
        <v>0</v>
      </c>
      <c r="AR187" s="813">
        <f t="shared" si="200"/>
        <v>104783</v>
      </c>
      <c r="AS187" s="813">
        <f t="shared" si="200"/>
        <v>6200</v>
      </c>
      <c r="AT187" s="813">
        <f>M187+AE187</f>
        <v>0</v>
      </c>
      <c r="AU187" s="836">
        <f>N187+AN187</f>
        <v>0.64159999999999995</v>
      </c>
      <c r="AV187" s="836">
        <f t="shared" si="201"/>
        <v>0.64159999999999995</v>
      </c>
      <c r="AW187" s="837">
        <f t="shared" si="201"/>
        <v>0</v>
      </c>
      <c r="AX187" s="925"/>
    </row>
    <row r="188" spans="1:50" ht="12.95" customHeight="1" x14ac:dyDescent="0.25">
      <c r="A188" s="827">
        <v>37</v>
      </c>
      <c r="B188" s="536">
        <v>5455</v>
      </c>
      <c r="C188" s="536">
        <v>600099067</v>
      </c>
      <c r="D188" s="828">
        <v>70986088</v>
      </c>
      <c r="E188" s="1053" t="s">
        <v>561</v>
      </c>
      <c r="F188" s="1084">
        <v>3143</v>
      </c>
      <c r="G188" s="948" t="s">
        <v>636</v>
      </c>
      <c r="H188" s="832" t="s">
        <v>284</v>
      </c>
      <c r="I188" s="803">
        <f>SUM(J188:M188)</f>
        <v>18257</v>
      </c>
      <c r="J188" s="833">
        <v>12870</v>
      </c>
      <c r="K188" s="805">
        <f>ROUND((J188)*33.8%,0)</f>
        <v>4350</v>
      </c>
      <c r="L188" s="805">
        <f>ROUND(J188*2%,0)</f>
        <v>257</v>
      </c>
      <c r="M188" s="833">
        <v>780</v>
      </c>
      <c r="N188" s="834">
        <f>SUM(O188:P188)</f>
        <v>0.05</v>
      </c>
      <c r="O188" s="1054">
        <v>0</v>
      </c>
      <c r="P188" s="1055">
        <v>0.05</v>
      </c>
      <c r="Q188" s="835">
        <f>V188*-1</f>
        <v>0</v>
      </c>
      <c r="R188" s="813">
        <v>0</v>
      </c>
      <c r="S188" s="813">
        <v>0</v>
      </c>
      <c r="T188" s="813">
        <v>0</v>
      </c>
      <c r="U188" s="813">
        <f>SUM(Q188:T188)</f>
        <v>0</v>
      </c>
      <c r="V188" s="813">
        <v>0</v>
      </c>
      <c r="W188" s="813">
        <v>0</v>
      </c>
      <c r="X188" s="813">
        <v>0</v>
      </c>
      <c r="Y188" s="813">
        <f>SUM(V188:X188)</f>
        <v>0</v>
      </c>
      <c r="Z188" s="813">
        <f>U188+Y188</f>
        <v>0</v>
      </c>
      <c r="AA188" s="809">
        <f>ROUND((U188+V188+W188)*33.8%,0)</f>
        <v>0</v>
      </c>
      <c r="AB188" s="809">
        <f>ROUND(U188*2%,0)</f>
        <v>0</v>
      </c>
      <c r="AC188" s="813">
        <v>0</v>
      </c>
      <c r="AD188" s="813">
        <v>0</v>
      </c>
      <c r="AE188" s="813">
        <f>SUM(AC188:AD188)</f>
        <v>0</v>
      </c>
      <c r="AF188" s="813">
        <f>Z188+AA188+AB188+AE188</f>
        <v>0</v>
      </c>
      <c r="AG188" s="836">
        <v>0</v>
      </c>
      <c r="AH188" s="836">
        <v>0</v>
      </c>
      <c r="AI188" s="836">
        <v>0</v>
      </c>
      <c r="AJ188" s="836">
        <v>0</v>
      </c>
      <c r="AK188" s="836">
        <v>0</v>
      </c>
      <c r="AL188" s="836">
        <f>AG188+AI188+AJ188</f>
        <v>0</v>
      </c>
      <c r="AM188" s="836">
        <f>AH188+AK188</f>
        <v>0</v>
      </c>
      <c r="AN188" s="949">
        <f>SUM(AL188:AM188)</f>
        <v>0</v>
      </c>
      <c r="AO188" s="945">
        <f>I188+AF188</f>
        <v>18257</v>
      </c>
      <c r="AP188" s="813">
        <f>J188+U188</f>
        <v>12870</v>
      </c>
      <c r="AQ188" s="813">
        <f>Y188</f>
        <v>0</v>
      </c>
      <c r="AR188" s="813">
        <f t="shared" si="200"/>
        <v>4350</v>
      </c>
      <c r="AS188" s="813">
        <f t="shared" si="200"/>
        <v>257</v>
      </c>
      <c r="AT188" s="813">
        <f>M188+AE188</f>
        <v>780</v>
      </c>
      <c r="AU188" s="836">
        <f>N188+AN188</f>
        <v>0.05</v>
      </c>
      <c r="AV188" s="836">
        <f t="shared" si="201"/>
        <v>0</v>
      </c>
      <c r="AW188" s="837">
        <f t="shared" si="201"/>
        <v>0.05</v>
      </c>
      <c r="AX188" s="925"/>
    </row>
    <row r="189" spans="1:50" ht="12.95" customHeight="1" x14ac:dyDescent="0.25">
      <c r="A189" s="539">
        <v>37</v>
      </c>
      <c r="B189" s="100">
        <v>5455</v>
      </c>
      <c r="C189" s="100">
        <v>600099067</v>
      </c>
      <c r="D189" s="100">
        <v>70986088</v>
      </c>
      <c r="E189" s="1085" t="s">
        <v>562</v>
      </c>
      <c r="F189" s="1086"/>
      <c r="G189" s="1085"/>
      <c r="H189" s="1087"/>
      <c r="I189" s="1059">
        <f t="shared" ref="I189:AW189" si="202">SUM(I184:I188)</f>
        <v>7116505</v>
      </c>
      <c r="J189" s="1060">
        <f t="shared" si="202"/>
        <v>5187706</v>
      </c>
      <c r="K189" s="1060">
        <f t="shared" si="202"/>
        <v>1753445</v>
      </c>
      <c r="L189" s="1060">
        <f t="shared" si="202"/>
        <v>103754</v>
      </c>
      <c r="M189" s="1060">
        <f t="shared" si="202"/>
        <v>71600</v>
      </c>
      <c r="N189" s="1061">
        <f t="shared" si="202"/>
        <v>11.616900000000001</v>
      </c>
      <c r="O189" s="1061">
        <f t="shared" si="202"/>
        <v>7.1416000000000004</v>
      </c>
      <c r="P189" s="1062">
        <f t="shared" si="202"/>
        <v>4.4752999999999998</v>
      </c>
      <c r="Q189" s="1060">
        <f t="shared" si="202"/>
        <v>0</v>
      </c>
      <c r="R189" s="1063">
        <f t="shared" si="202"/>
        <v>0</v>
      </c>
      <c r="S189" s="1063">
        <f t="shared" si="202"/>
        <v>0</v>
      </c>
      <c r="T189" s="1063">
        <f t="shared" si="202"/>
        <v>0</v>
      </c>
      <c r="U189" s="1063">
        <f t="shared" si="202"/>
        <v>0</v>
      </c>
      <c r="V189" s="1063">
        <f t="shared" si="202"/>
        <v>0</v>
      </c>
      <c r="W189" s="1063">
        <f t="shared" si="202"/>
        <v>0</v>
      </c>
      <c r="X189" s="1063">
        <f t="shared" si="202"/>
        <v>0</v>
      </c>
      <c r="Y189" s="1063">
        <f t="shared" si="202"/>
        <v>0</v>
      </c>
      <c r="Z189" s="1063">
        <f t="shared" si="202"/>
        <v>0</v>
      </c>
      <c r="AA189" s="1063">
        <f t="shared" si="202"/>
        <v>0</v>
      </c>
      <c r="AB189" s="1063">
        <f t="shared" si="202"/>
        <v>0</v>
      </c>
      <c r="AC189" s="1063">
        <f t="shared" si="202"/>
        <v>0</v>
      </c>
      <c r="AD189" s="1063">
        <f t="shared" si="202"/>
        <v>0</v>
      </c>
      <c r="AE189" s="1063">
        <f t="shared" si="202"/>
        <v>0</v>
      </c>
      <c r="AF189" s="1063">
        <f t="shared" si="202"/>
        <v>0</v>
      </c>
      <c r="AG189" s="1064">
        <f t="shared" si="202"/>
        <v>0</v>
      </c>
      <c r="AH189" s="1064">
        <f t="shared" si="202"/>
        <v>0</v>
      </c>
      <c r="AI189" s="1064">
        <f t="shared" si="202"/>
        <v>0</v>
      </c>
      <c r="AJ189" s="1064">
        <f t="shared" si="202"/>
        <v>0</v>
      </c>
      <c r="AK189" s="1064">
        <f t="shared" si="202"/>
        <v>0</v>
      </c>
      <c r="AL189" s="1064">
        <f t="shared" si="202"/>
        <v>0</v>
      </c>
      <c r="AM189" s="1064">
        <f t="shared" si="202"/>
        <v>0</v>
      </c>
      <c r="AN189" s="1065">
        <f t="shared" si="202"/>
        <v>0</v>
      </c>
      <c r="AO189" s="1059">
        <f t="shared" si="202"/>
        <v>7116505</v>
      </c>
      <c r="AP189" s="1063">
        <f t="shared" si="202"/>
        <v>5187706</v>
      </c>
      <c r="AQ189" s="1063">
        <f t="shared" si="202"/>
        <v>0</v>
      </c>
      <c r="AR189" s="1063">
        <f t="shared" si="202"/>
        <v>1753445</v>
      </c>
      <c r="AS189" s="1063">
        <f t="shared" si="202"/>
        <v>103754</v>
      </c>
      <c r="AT189" s="1063">
        <f t="shared" si="202"/>
        <v>71600</v>
      </c>
      <c r="AU189" s="1064">
        <f t="shared" si="202"/>
        <v>11.616900000000001</v>
      </c>
      <c r="AV189" s="1064">
        <f t="shared" si="202"/>
        <v>7.1416000000000004</v>
      </c>
      <c r="AW189" s="1067">
        <f t="shared" si="202"/>
        <v>4.4752999999999998</v>
      </c>
      <c r="AX189" s="925"/>
    </row>
    <row r="190" spans="1:50" ht="12.95" customHeight="1" x14ac:dyDescent="0.25">
      <c r="A190" s="827">
        <v>38</v>
      </c>
      <c r="B190" s="536">
        <v>5470</v>
      </c>
      <c r="C190" s="536">
        <v>600099091</v>
      </c>
      <c r="D190" s="828">
        <v>70695822</v>
      </c>
      <c r="E190" s="1056" t="s">
        <v>563</v>
      </c>
      <c r="F190" s="536">
        <v>3111</v>
      </c>
      <c r="G190" s="1057" t="s">
        <v>331</v>
      </c>
      <c r="H190" s="832" t="s">
        <v>283</v>
      </c>
      <c r="I190" s="803">
        <f t="shared" ref="I190:I195" si="203">SUM(J190:M190)</f>
        <v>2618004</v>
      </c>
      <c r="J190" s="833">
        <v>1918890</v>
      </c>
      <c r="K190" s="805">
        <f>ROUND((J190)*33.8%,0)</f>
        <v>648585</v>
      </c>
      <c r="L190" s="805">
        <f>ROUND(J190*2%,0)+1</f>
        <v>38379</v>
      </c>
      <c r="M190" s="833">
        <v>12150</v>
      </c>
      <c r="N190" s="834">
        <f t="shared" ref="N190:N195" si="204">SUM(O190:P190)</f>
        <v>4.8250999999999999</v>
      </c>
      <c r="O190" s="1054">
        <v>3.9033000000000002</v>
      </c>
      <c r="P190" s="1055">
        <v>0.92179999999999995</v>
      </c>
      <c r="Q190" s="835">
        <f t="shared" ref="Q190:Q195" si="205">V190*-1</f>
        <v>0</v>
      </c>
      <c r="R190" s="813">
        <v>0</v>
      </c>
      <c r="S190" s="813">
        <v>0</v>
      </c>
      <c r="T190" s="813">
        <v>0</v>
      </c>
      <c r="U190" s="813">
        <f t="shared" ref="U190:U195" si="206">SUM(Q190:T190)</f>
        <v>0</v>
      </c>
      <c r="V190" s="813">
        <v>0</v>
      </c>
      <c r="W190" s="813">
        <v>0</v>
      </c>
      <c r="X190" s="813">
        <v>0</v>
      </c>
      <c r="Y190" s="813">
        <f t="shared" ref="Y190:Y195" si="207">SUM(V190:X190)</f>
        <v>0</v>
      </c>
      <c r="Z190" s="813">
        <f t="shared" ref="Z190:Z195" si="208">U190+Y190</f>
        <v>0</v>
      </c>
      <c r="AA190" s="809">
        <f t="shared" ref="AA190:AA195" si="209">ROUND((U190+V190+W190)*33.8%,0)</f>
        <v>0</v>
      </c>
      <c r="AB190" s="809">
        <f t="shared" ref="AB190:AB195" si="210">ROUND(U190*2%,0)</f>
        <v>0</v>
      </c>
      <c r="AC190" s="813">
        <v>0</v>
      </c>
      <c r="AD190" s="813">
        <v>0</v>
      </c>
      <c r="AE190" s="813">
        <f t="shared" ref="AE190:AE195" si="211">SUM(AC190:AD190)</f>
        <v>0</v>
      </c>
      <c r="AF190" s="813">
        <f t="shared" ref="AF190:AF195" si="212">Z190+AA190+AB190+AE190</f>
        <v>0</v>
      </c>
      <c r="AG190" s="836">
        <v>0</v>
      </c>
      <c r="AH190" s="836">
        <v>0</v>
      </c>
      <c r="AI190" s="836">
        <v>0</v>
      </c>
      <c r="AJ190" s="836">
        <v>0</v>
      </c>
      <c r="AK190" s="836">
        <v>0</v>
      </c>
      <c r="AL190" s="836">
        <f t="shared" ref="AL190:AL195" si="213">AG190+AI190+AJ190</f>
        <v>0</v>
      </c>
      <c r="AM190" s="836">
        <f t="shared" ref="AM190:AM195" si="214">AH190+AK190</f>
        <v>0</v>
      </c>
      <c r="AN190" s="949">
        <f t="shared" ref="AN190:AN195" si="215">SUM(AL190:AM190)</f>
        <v>0</v>
      </c>
      <c r="AO190" s="945">
        <f t="shared" ref="AO190:AO195" si="216">I190+AF190</f>
        <v>2618004</v>
      </c>
      <c r="AP190" s="813">
        <f t="shared" ref="AP190:AP195" si="217">J190+U190</f>
        <v>1918890</v>
      </c>
      <c r="AQ190" s="813">
        <f t="shared" ref="AQ190:AQ195" si="218">Y190</f>
        <v>0</v>
      </c>
      <c r="AR190" s="813">
        <f t="shared" ref="AR190:AS195" si="219">K190+AA190</f>
        <v>648585</v>
      </c>
      <c r="AS190" s="813">
        <f t="shared" si="219"/>
        <v>38379</v>
      </c>
      <c r="AT190" s="813">
        <f t="shared" ref="AT190:AT195" si="220">M190+AE190</f>
        <v>12150</v>
      </c>
      <c r="AU190" s="836">
        <f t="shared" ref="AU190:AU195" si="221">N190+AN190</f>
        <v>4.8250999999999999</v>
      </c>
      <c r="AV190" s="836">
        <f t="shared" ref="AV190:AW195" si="222">O190+AL190</f>
        <v>3.9033000000000002</v>
      </c>
      <c r="AW190" s="837">
        <f t="shared" si="222"/>
        <v>0.92179999999999995</v>
      </c>
      <c r="AX190" s="925"/>
    </row>
    <row r="191" spans="1:50" ht="12.95" customHeight="1" x14ac:dyDescent="0.25">
      <c r="A191" s="827">
        <v>38</v>
      </c>
      <c r="B191" s="536">
        <v>5470</v>
      </c>
      <c r="C191" s="536">
        <v>600099091</v>
      </c>
      <c r="D191" s="828">
        <v>70695822</v>
      </c>
      <c r="E191" s="1056" t="s">
        <v>563</v>
      </c>
      <c r="F191" s="536">
        <v>3117</v>
      </c>
      <c r="G191" s="1056" t="s">
        <v>335</v>
      </c>
      <c r="H191" s="832" t="s">
        <v>283</v>
      </c>
      <c r="I191" s="803">
        <f t="shared" si="203"/>
        <v>4656108</v>
      </c>
      <c r="J191" s="833">
        <v>3363173</v>
      </c>
      <c r="K191" s="805">
        <f>ROUND((J191)*33.8%,0)</f>
        <v>1136752</v>
      </c>
      <c r="L191" s="805">
        <f>ROUND(J191*2%,0)</f>
        <v>67263</v>
      </c>
      <c r="M191" s="833">
        <v>88920</v>
      </c>
      <c r="N191" s="834">
        <f t="shared" si="204"/>
        <v>6.8329999999999993</v>
      </c>
      <c r="O191" s="1054">
        <v>4.4543999999999997</v>
      </c>
      <c r="P191" s="1055">
        <v>2.3785999999999996</v>
      </c>
      <c r="Q191" s="835">
        <f t="shared" si="205"/>
        <v>0</v>
      </c>
      <c r="R191" s="813">
        <v>0</v>
      </c>
      <c r="S191" s="813">
        <v>0</v>
      </c>
      <c r="T191" s="813">
        <v>0</v>
      </c>
      <c r="U191" s="813">
        <f t="shared" si="206"/>
        <v>0</v>
      </c>
      <c r="V191" s="813">
        <v>0</v>
      </c>
      <c r="W191" s="813">
        <v>0</v>
      </c>
      <c r="X191" s="813">
        <v>0</v>
      </c>
      <c r="Y191" s="813">
        <f t="shared" si="207"/>
        <v>0</v>
      </c>
      <c r="Z191" s="813">
        <f t="shared" si="208"/>
        <v>0</v>
      </c>
      <c r="AA191" s="809">
        <f t="shared" si="209"/>
        <v>0</v>
      </c>
      <c r="AB191" s="809">
        <f t="shared" si="210"/>
        <v>0</v>
      </c>
      <c r="AC191" s="813">
        <v>0</v>
      </c>
      <c r="AD191" s="813">
        <v>0</v>
      </c>
      <c r="AE191" s="813">
        <f t="shared" si="211"/>
        <v>0</v>
      </c>
      <c r="AF191" s="813">
        <f t="shared" si="212"/>
        <v>0</v>
      </c>
      <c r="AG191" s="836">
        <v>0</v>
      </c>
      <c r="AH191" s="836">
        <v>0</v>
      </c>
      <c r="AI191" s="836">
        <v>0</v>
      </c>
      <c r="AJ191" s="836">
        <v>0</v>
      </c>
      <c r="AK191" s="836">
        <v>0</v>
      </c>
      <c r="AL191" s="836">
        <f t="shared" si="213"/>
        <v>0</v>
      </c>
      <c r="AM191" s="836">
        <f t="shared" si="214"/>
        <v>0</v>
      </c>
      <c r="AN191" s="949">
        <f t="shared" si="215"/>
        <v>0</v>
      </c>
      <c r="AO191" s="945">
        <f t="shared" si="216"/>
        <v>4656108</v>
      </c>
      <c r="AP191" s="813">
        <f t="shared" si="217"/>
        <v>3363173</v>
      </c>
      <c r="AQ191" s="813">
        <f t="shared" si="218"/>
        <v>0</v>
      </c>
      <c r="AR191" s="813">
        <f t="shared" si="219"/>
        <v>1136752</v>
      </c>
      <c r="AS191" s="813">
        <f t="shared" si="219"/>
        <v>67263</v>
      </c>
      <c r="AT191" s="813">
        <f t="shared" si="220"/>
        <v>88920</v>
      </c>
      <c r="AU191" s="836">
        <f t="shared" si="221"/>
        <v>6.8329999999999993</v>
      </c>
      <c r="AV191" s="836">
        <f t="shared" si="222"/>
        <v>4.4543999999999997</v>
      </c>
      <c r="AW191" s="837">
        <f t="shared" si="222"/>
        <v>2.3785999999999996</v>
      </c>
      <c r="AX191" s="925"/>
    </row>
    <row r="192" spans="1:50" ht="12.95" customHeight="1" x14ac:dyDescent="0.25">
      <c r="A192" s="827">
        <v>38</v>
      </c>
      <c r="B192" s="1068">
        <v>5470</v>
      </c>
      <c r="C192" s="1068">
        <v>600099091</v>
      </c>
      <c r="D192" s="828">
        <v>70695822</v>
      </c>
      <c r="E192" s="1056" t="s">
        <v>563</v>
      </c>
      <c r="F192" s="536">
        <v>3117</v>
      </c>
      <c r="G192" s="948" t="s">
        <v>318</v>
      </c>
      <c r="H192" s="832" t="s">
        <v>284</v>
      </c>
      <c r="I192" s="803">
        <f t="shared" si="203"/>
        <v>0</v>
      </c>
      <c r="J192" s="833">
        <v>0</v>
      </c>
      <c r="K192" s="805">
        <v>0</v>
      </c>
      <c r="L192" s="805">
        <v>0</v>
      </c>
      <c r="M192" s="833">
        <v>0</v>
      </c>
      <c r="N192" s="834">
        <f t="shared" si="204"/>
        <v>0</v>
      </c>
      <c r="O192" s="1054">
        <v>0</v>
      </c>
      <c r="P192" s="1055">
        <v>0</v>
      </c>
      <c r="Q192" s="835">
        <f t="shared" si="205"/>
        <v>0</v>
      </c>
      <c r="R192" s="833">
        <v>1039332</v>
      </c>
      <c r="S192" s="813">
        <v>0</v>
      </c>
      <c r="T192" s="813">
        <v>0</v>
      </c>
      <c r="U192" s="813">
        <f t="shared" si="206"/>
        <v>1039332</v>
      </c>
      <c r="V192" s="813">
        <v>0</v>
      </c>
      <c r="W192" s="813">
        <v>0</v>
      </c>
      <c r="X192" s="813">
        <v>0</v>
      </c>
      <c r="Y192" s="813">
        <f t="shared" si="207"/>
        <v>0</v>
      </c>
      <c r="Z192" s="813">
        <f t="shared" si="208"/>
        <v>1039332</v>
      </c>
      <c r="AA192" s="809">
        <f t="shared" si="209"/>
        <v>351294</v>
      </c>
      <c r="AB192" s="809">
        <f t="shared" si="210"/>
        <v>20787</v>
      </c>
      <c r="AC192" s="813">
        <v>0</v>
      </c>
      <c r="AD192" s="813">
        <v>0</v>
      </c>
      <c r="AE192" s="813">
        <f t="shared" si="211"/>
        <v>0</v>
      </c>
      <c r="AF192" s="813">
        <f t="shared" si="212"/>
        <v>1411413</v>
      </c>
      <c r="AG192" s="836">
        <v>0</v>
      </c>
      <c r="AH192" s="836">
        <v>0</v>
      </c>
      <c r="AI192" s="836">
        <v>3</v>
      </c>
      <c r="AJ192" s="836">
        <v>0</v>
      </c>
      <c r="AK192" s="836">
        <v>0</v>
      </c>
      <c r="AL192" s="836">
        <f t="shared" si="213"/>
        <v>3</v>
      </c>
      <c r="AM192" s="836">
        <f t="shared" si="214"/>
        <v>0</v>
      </c>
      <c r="AN192" s="949">
        <f t="shared" si="215"/>
        <v>3</v>
      </c>
      <c r="AO192" s="945">
        <f t="shared" si="216"/>
        <v>1411413</v>
      </c>
      <c r="AP192" s="813">
        <f t="shared" si="217"/>
        <v>1039332</v>
      </c>
      <c r="AQ192" s="813">
        <f t="shared" si="218"/>
        <v>0</v>
      </c>
      <c r="AR192" s="813">
        <f t="shared" si="219"/>
        <v>351294</v>
      </c>
      <c r="AS192" s="813">
        <f t="shared" si="219"/>
        <v>20787</v>
      </c>
      <c r="AT192" s="813">
        <f t="shared" si="220"/>
        <v>0</v>
      </c>
      <c r="AU192" s="836">
        <f t="shared" si="221"/>
        <v>3</v>
      </c>
      <c r="AV192" s="836">
        <f t="shared" si="222"/>
        <v>3</v>
      </c>
      <c r="AW192" s="837">
        <f t="shared" si="222"/>
        <v>0</v>
      </c>
      <c r="AX192" s="925"/>
    </row>
    <row r="193" spans="1:50" ht="12.95" customHeight="1" x14ac:dyDescent="0.25">
      <c r="A193" s="827">
        <v>38</v>
      </c>
      <c r="B193" s="536">
        <v>5470</v>
      </c>
      <c r="C193" s="536">
        <v>600099091</v>
      </c>
      <c r="D193" s="828">
        <v>70695822</v>
      </c>
      <c r="E193" s="1053" t="s">
        <v>563</v>
      </c>
      <c r="F193" s="1084">
        <v>3141</v>
      </c>
      <c r="G193" s="1057" t="s">
        <v>321</v>
      </c>
      <c r="H193" s="832" t="s">
        <v>284</v>
      </c>
      <c r="I193" s="803">
        <f t="shared" si="203"/>
        <v>905494</v>
      </c>
      <c r="J193" s="833">
        <v>662777</v>
      </c>
      <c r="K193" s="805">
        <f>ROUND((J193)*33.8%,0)</f>
        <v>224019</v>
      </c>
      <c r="L193" s="805">
        <f>ROUND(J193*2%,0)</f>
        <v>13256</v>
      </c>
      <c r="M193" s="833">
        <v>5442</v>
      </c>
      <c r="N193" s="834">
        <f t="shared" si="204"/>
        <v>2.25</v>
      </c>
      <c r="O193" s="1054">
        <v>0</v>
      </c>
      <c r="P193" s="1055">
        <v>2.25</v>
      </c>
      <c r="Q193" s="835">
        <f t="shared" si="205"/>
        <v>0</v>
      </c>
      <c r="R193" s="813">
        <v>0</v>
      </c>
      <c r="S193" s="813">
        <v>0</v>
      </c>
      <c r="T193" s="813">
        <v>0</v>
      </c>
      <c r="U193" s="813">
        <f t="shared" si="206"/>
        <v>0</v>
      </c>
      <c r="V193" s="813">
        <v>0</v>
      </c>
      <c r="W193" s="813">
        <v>0</v>
      </c>
      <c r="X193" s="813">
        <v>0</v>
      </c>
      <c r="Y193" s="813">
        <f t="shared" si="207"/>
        <v>0</v>
      </c>
      <c r="Z193" s="813">
        <f t="shared" si="208"/>
        <v>0</v>
      </c>
      <c r="AA193" s="809">
        <f t="shared" si="209"/>
        <v>0</v>
      </c>
      <c r="AB193" s="809">
        <f t="shared" si="210"/>
        <v>0</v>
      </c>
      <c r="AC193" s="813">
        <v>0</v>
      </c>
      <c r="AD193" s="813">
        <v>0</v>
      </c>
      <c r="AE193" s="813">
        <f t="shared" si="211"/>
        <v>0</v>
      </c>
      <c r="AF193" s="813">
        <f t="shared" si="212"/>
        <v>0</v>
      </c>
      <c r="AG193" s="836">
        <v>0</v>
      </c>
      <c r="AH193" s="836">
        <v>0</v>
      </c>
      <c r="AI193" s="836">
        <v>0</v>
      </c>
      <c r="AJ193" s="836">
        <v>0</v>
      </c>
      <c r="AK193" s="836">
        <v>0</v>
      </c>
      <c r="AL193" s="836">
        <f t="shared" si="213"/>
        <v>0</v>
      </c>
      <c r="AM193" s="836">
        <f t="shared" si="214"/>
        <v>0</v>
      </c>
      <c r="AN193" s="949">
        <f t="shared" si="215"/>
        <v>0</v>
      </c>
      <c r="AO193" s="945">
        <f t="shared" si="216"/>
        <v>905494</v>
      </c>
      <c r="AP193" s="813">
        <f t="shared" si="217"/>
        <v>662777</v>
      </c>
      <c r="AQ193" s="813">
        <f t="shared" si="218"/>
        <v>0</v>
      </c>
      <c r="AR193" s="813">
        <f t="shared" si="219"/>
        <v>224019</v>
      </c>
      <c r="AS193" s="813">
        <f t="shared" si="219"/>
        <v>13256</v>
      </c>
      <c r="AT193" s="813">
        <f t="shared" si="220"/>
        <v>5442</v>
      </c>
      <c r="AU193" s="836">
        <f t="shared" si="221"/>
        <v>2.25</v>
      </c>
      <c r="AV193" s="836">
        <f t="shared" si="222"/>
        <v>0</v>
      </c>
      <c r="AW193" s="837">
        <f t="shared" si="222"/>
        <v>2.25</v>
      </c>
      <c r="AX193" s="925"/>
    </row>
    <row r="194" spans="1:50" ht="12.95" customHeight="1" x14ac:dyDescent="0.25">
      <c r="A194" s="827">
        <v>38</v>
      </c>
      <c r="B194" s="1068">
        <v>5470</v>
      </c>
      <c r="C194" s="1068">
        <v>600099091</v>
      </c>
      <c r="D194" s="828">
        <v>70695822</v>
      </c>
      <c r="E194" s="1056" t="s">
        <v>563</v>
      </c>
      <c r="F194" s="536">
        <v>3143</v>
      </c>
      <c r="G194" s="948" t="s">
        <v>635</v>
      </c>
      <c r="H194" s="832" t="s">
        <v>283</v>
      </c>
      <c r="I194" s="803">
        <f t="shared" si="203"/>
        <v>586076</v>
      </c>
      <c r="J194" s="833">
        <v>431573</v>
      </c>
      <c r="K194" s="805">
        <f>ROUND((J194)*33.8%,0)</f>
        <v>145872</v>
      </c>
      <c r="L194" s="805">
        <f>ROUND(J194*2%,0)</f>
        <v>8631</v>
      </c>
      <c r="M194" s="833">
        <v>0</v>
      </c>
      <c r="N194" s="834">
        <f t="shared" si="204"/>
        <v>1</v>
      </c>
      <c r="O194" s="1054">
        <v>1</v>
      </c>
      <c r="P194" s="1055">
        <v>0</v>
      </c>
      <c r="Q194" s="835">
        <f t="shared" si="205"/>
        <v>0</v>
      </c>
      <c r="R194" s="813">
        <v>0</v>
      </c>
      <c r="S194" s="813">
        <v>0</v>
      </c>
      <c r="T194" s="813">
        <v>0</v>
      </c>
      <c r="U194" s="813">
        <f t="shared" si="206"/>
        <v>0</v>
      </c>
      <c r="V194" s="813">
        <v>0</v>
      </c>
      <c r="W194" s="813">
        <v>0</v>
      </c>
      <c r="X194" s="813">
        <v>0</v>
      </c>
      <c r="Y194" s="813">
        <f t="shared" si="207"/>
        <v>0</v>
      </c>
      <c r="Z194" s="813">
        <f t="shared" si="208"/>
        <v>0</v>
      </c>
      <c r="AA194" s="809">
        <f t="shared" si="209"/>
        <v>0</v>
      </c>
      <c r="AB194" s="809">
        <f t="shared" si="210"/>
        <v>0</v>
      </c>
      <c r="AC194" s="813">
        <v>0</v>
      </c>
      <c r="AD194" s="813">
        <v>0</v>
      </c>
      <c r="AE194" s="813">
        <f t="shared" si="211"/>
        <v>0</v>
      </c>
      <c r="AF194" s="813">
        <f t="shared" si="212"/>
        <v>0</v>
      </c>
      <c r="AG194" s="836">
        <v>0</v>
      </c>
      <c r="AH194" s="836">
        <v>0</v>
      </c>
      <c r="AI194" s="836">
        <v>0</v>
      </c>
      <c r="AJ194" s="836">
        <v>0</v>
      </c>
      <c r="AK194" s="836">
        <v>0</v>
      </c>
      <c r="AL194" s="836">
        <f t="shared" si="213"/>
        <v>0</v>
      </c>
      <c r="AM194" s="836">
        <f t="shared" si="214"/>
        <v>0</v>
      </c>
      <c r="AN194" s="949">
        <f t="shared" si="215"/>
        <v>0</v>
      </c>
      <c r="AO194" s="945">
        <f t="shared" si="216"/>
        <v>586076</v>
      </c>
      <c r="AP194" s="813">
        <f t="shared" si="217"/>
        <v>431573</v>
      </c>
      <c r="AQ194" s="813">
        <f t="shared" si="218"/>
        <v>0</v>
      </c>
      <c r="AR194" s="813">
        <f t="shared" si="219"/>
        <v>145872</v>
      </c>
      <c r="AS194" s="813">
        <f t="shared" si="219"/>
        <v>8631</v>
      </c>
      <c r="AT194" s="813">
        <f t="shared" si="220"/>
        <v>0</v>
      </c>
      <c r="AU194" s="836">
        <f t="shared" si="221"/>
        <v>1</v>
      </c>
      <c r="AV194" s="836">
        <f t="shared" si="222"/>
        <v>1</v>
      </c>
      <c r="AW194" s="837">
        <f t="shared" si="222"/>
        <v>0</v>
      </c>
      <c r="AX194" s="925"/>
    </row>
    <row r="195" spans="1:50" ht="12.95" customHeight="1" x14ac:dyDescent="0.25">
      <c r="A195" s="827">
        <v>38</v>
      </c>
      <c r="B195" s="1068">
        <v>5470</v>
      </c>
      <c r="C195" s="1068">
        <v>600099091</v>
      </c>
      <c r="D195" s="828">
        <v>70695822</v>
      </c>
      <c r="E195" s="1056" t="s">
        <v>563</v>
      </c>
      <c r="F195" s="536">
        <v>3143</v>
      </c>
      <c r="G195" s="948" t="s">
        <v>636</v>
      </c>
      <c r="H195" s="832" t="s">
        <v>284</v>
      </c>
      <c r="I195" s="803">
        <f t="shared" si="203"/>
        <v>23173</v>
      </c>
      <c r="J195" s="833">
        <v>16335</v>
      </c>
      <c r="K195" s="805">
        <f>ROUND((J195)*33.8%,0)</f>
        <v>5521</v>
      </c>
      <c r="L195" s="805">
        <f>ROUND(J195*2%,0)</f>
        <v>327</v>
      </c>
      <c r="M195" s="833">
        <v>990</v>
      </c>
      <c r="N195" s="834">
        <f t="shared" si="204"/>
        <v>7.0000000000000007E-2</v>
      </c>
      <c r="O195" s="1054">
        <v>0</v>
      </c>
      <c r="P195" s="1055">
        <v>7.0000000000000007E-2</v>
      </c>
      <c r="Q195" s="835">
        <f t="shared" si="205"/>
        <v>0</v>
      </c>
      <c r="R195" s="813">
        <v>0</v>
      </c>
      <c r="S195" s="813">
        <v>0</v>
      </c>
      <c r="T195" s="813">
        <v>0</v>
      </c>
      <c r="U195" s="813">
        <f t="shared" si="206"/>
        <v>0</v>
      </c>
      <c r="V195" s="813">
        <v>0</v>
      </c>
      <c r="W195" s="813">
        <v>0</v>
      </c>
      <c r="X195" s="813">
        <v>0</v>
      </c>
      <c r="Y195" s="813">
        <f t="shared" si="207"/>
        <v>0</v>
      </c>
      <c r="Z195" s="813">
        <f t="shared" si="208"/>
        <v>0</v>
      </c>
      <c r="AA195" s="809">
        <f t="shared" si="209"/>
        <v>0</v>
      </c>
      <c r="AB195" s="809">
        <f t="shared" si="210"/>
        <v>0</v>
      </c>
      <c r="AC195" s="813">
        <v>0</v>
      </c>
      <c r="AD195" s="813">
        <v>0</v>
      </c>
      <c r="AE195" s="813">
        <f t="shared" si="211"/>
        <v>0</v>
      </c>
      <c r="AF195" s="813">
        <f t="shared" si="212"/>
        <v>0</v>
      </c>
      <c r="AG195" s="836">
        <v>0</v>
      </c>
      <c r="AH195" s="836">
        <v>0</v>
      </c>
      <c r="AI195" s="836">
        <v>0</v>
      </c>
      <c r="AJ195" s="836">
        <v>0</v>
      </c>
      <c r="AK195" s="836">
        <v>0</v>
      </c>
      <c r="AL195" s="836">
        <f t="shared" si="213"/>
        <v>0</v>
      </c>
      <c r="AM195" s="836">
        <f t="shared" si="214"/>
        <v>0</v>
      </c>
      <c r="AN195" s="949">
        <f t="shared" si="215"/>
        <v>0</v>
      </c>
      <c r="AO195" s="945">
        <f t="shared" si="216"/>
        <v>23173</v>
      </c>
      <c r="AP195" s="813">
        <f t="shared" si="217"/>
        <v>16335</v>
      </c>
      <c r="AQ195" s="813">
        <f t="shared" si="218"/>
        <v>0</v>
      </c>
      <c r="AR195" s="813">
        <f t="shared" si="219"/>
        <v>5521</v>
      </c>
      <c r="AS195" s="813">
        <f t="shared" si="219"/>
        <v>327</v>
      </c>
      <c r="AT195" s="813">
        <f t="shared" si="220"/>
        <v>990</v>
      </c>
      <c r="AU195" s="836">
        <f t="shared" si="221"/>
        <v>7.0000000000000007E-2</v>
      </c>
      <c r="AV195" s="836">
        <f t="shared" si="222"/>
        <v>0</v>
      </c>
      <c r="AW195" s="837">
        <f t="shared" si="222"/>
        <v>7.0000000000000007E-2</v>
      </c>
      <c r="AX195" s="925"/>
    </row>
    <row r="196" spans="1:50" ht="12.95" customHeight="1" thickBot="1" x14ac:dyDescent="0.3">
      <c r="A196" s="540">
        <v>38</v>
      </c>
      <c r="B196" s="314">
        <v>5470</v>
      </c>
      <c r="C196" s="314">
        <v>600099091</v>
      </c>
      <c r="D196" s="314">
        <v>70695822</v>
      </c>
      <c r="E196" s="1095" t="s">
        <v>564</v>
      </c>
      <c r="F196" s="104"/>
      <c r="G196" s="1095"/>
      <c r="H196" s="453"/>
      <c r="I196" s="1096">
        <f t="shared" ref="I196:AW196" si="223">SUM(I190:I195)</f>
        <v>8788855</v>
      </c>
      <c r="J196" s="1097">
        <f t="shared" si="223"/>
        <v>6392748</v>
      </c>
      <c r="K196" s="1097">
        <f t="shared" si="223"/>
        <v>2160749</v>
      </c>
      <c r="L196" s="1097">
        <f t="shared" si="223"/>
        <v>127856</v>
      </c>
      <c r="M196" s="1097">
        <f t="shared" si="223"/>
        <v>107502</v>
      </c>
      <c r="N196" s="1098">
        <f t="shared" si="223"/>
        <v>14.9781</v>
      </c>
      <c r="O196" s="1098">
        <f t="shared" si="223"/>
        <v>9.3576999999999995</v>
      </c>
      <c r="P196" s="1099">
        <f t="shared" si="223"/>
        <v>5.6204000000000001</v>
      </c>
      <c r="Q196" s="823">
        <f t="shared" si="223"/>
        <v>0</v>
      </c>
      <c r="R196" s="826">
        <f t="shared" si="223"/>
        <v>1039332</v>
      </c>
      <c r="S196" s="826">
        <f t="shared" si="223"/>
        <v>0</v>
      </c>
      <c r="T196" s="826">
        <f t="shared" si="223"/>
        <v>0</v>
      </c>
      <c r="U196" s="826">
        <f t="shared" si="223"/>
        <v>1039332</v>
      </c>
      <c r="V196" s="826">
        <f t="shared" si="223"/>
        <v>0</v>
      </c>
      <c r="W196" s="826">
        <f t="shared" si="223"/>
        <v>0</v>
      </c>
      <c r="X196" s="826">
        <f t="shared" si="223"/>
        <v>0</v>
      </c>
      <c r="Y196" s="826">
        <f t="shared" si="223"/>
        <v>0</v>
      </c>
      <c r="Z196" s="826">
        <f t="shared" si="223"/>
        <v>1039332</v>
      </c>
      <c r="AA196" s="826">
        <f t="shared" si="223"/>
        <v>351294</v>
      </c>
      <c r="AB196" s="826">
        <f t="shared" si="223"/>
        <v>20787</v>
      </c>
      <c r="AC196" s="826">
        <f t="shared" si="223"/>
        <v>0</v>
      </c>
      <c r="AD196" s="826">
        <f t="shared" si="223"/>
        <v>0</v>
      </c>
      <c r="AE196" s="826">
        <f t="shared" si="223"/>
        <v>0</v>
      </c>
      <c r="AF196" s="826">
        <f t="shared" si="223"/>
        <v>1411413</v>
      </c>
      <c r="AG196" s="1023">
        <f t="shared" si="223"/>
        <v>0</v>
      </c>
      <c r="AH196" s="1023">
        <f t="shared" si="223"/>
        <v>0</v>
      </c>
      <c r="AI196" s="1023">
        <f t="shared" si="223"/>
        <v>3</v>
      </c>
      <c r="AJ196" s="1023">
        <f t="shared" si="223"/>
        <v>0</v>
      </c>
      <c r="AK196" s="1023">
        <f t="shared" si="223"/>
        <v>0</v>
      </c>
      <c r="AL196" s="1023">
        <f t="shared" si="223"/>
        <v>3</v>
      </c>
      <c r="AM196" s="1023">
        <f t="shared" si="223"/>
        <v>0</v>
      </c>
      <c r="AN196" s="1100">
        <f t="shared" si="223"/>
        <v>3</v>
      </c>
      <c r="AO196" s="1022">
        <f t="shared" si="223"/>
        <v>10200268</v>
      </c>
      <c r="AP196" s="826">
        <f t="shared" si="223"/>
        <v>7432080</v>
      </c>
      <c r="AQ196" s="826">
        <f t="shared" si="223"/>
        <v>0</v>
      </c>
      <c r="AR196" s="826">
        <f t="shared" si="223"/>
        <v>2512043</v>
      </c>
      <c r="AS196" s="826">
        <f t="shared" si="223"/>
        <v>148643</v>
      </c>
      <c r="AT196" s="826">
        <f t="shared" si="223"/>
        <v>107502</v>
      </c>
      <c r="AU196" s="1023">
        <f t="shared" si="223"/>
        <v>17.978099999999998</v>
      </c>
      <c r="AV196" s="1023">
        <f t="shared" si="223"/>
        <v>12.357699999999999</v>
      </c>
      <c r="AW196" s="1024">
        <f t="shared" si="223"/>
        <v>5.6204000000000001</v>
      </c>
      <c r="AX196" s="925"/>
    </row>
    <row r="197" spans="1:50" ht="12.75" customHeight="1" thickBot="1" x14ac:dyDescent="0.3">
      <c r="A197" s="1101"/>
      <c r="B197" s="1102"/>
      <c r="C197" s="1102"/>
      <c r="D197" s="1102"/>
      <c r="E197" s="869" t="s">
        <v>806</v>
      </c>
      <c r="F197" s="1102"/>
      <c r="G197" s="1103"/>
      <c r="H197" s="1104"/>
      <c r="I197" s="1105">
        <f t="shared" ref="I197:AW197" si="224">I196+I189+I183+I177+I170+I164+I161+I155+I152+I147+I144+I137+I134+I131+I125+I121+I115+I112+I105+I99+I95+I89+I85+I78+I76+I69+I64+I58+I52+I46+I44+I41+I38+I34+I30+I26+I22+I18</f>
        <v>401081676</v>
      </c>
      <c r="J197" s="1106">
        <f t="shared" si="224"/>
        <v>291295027</v>
      </c>
      <c r="K197" s="1106">
        <f t="shared" si="224"/>
        <v>98457718</v>
      </c>
      <c r="L197" s="1106">
        <f t="shared" si="224"/>
        <v>5825908</v>
      </c>
      <c r="M197" s="1106">
        <f t="shared" si="224"/>
        <v>5503023</v>
      </c>
      <c r="N197" s="1107">
        <f t="shared" si="224"/>
        <v>629.32700000000011</v>
      </c>
      <c r="O197" s="1107">
        <f t="shared" si="224"/>
        <v>420.10390000000001</v>
      </c>
      <c r="P197" s="1108">
        <f t="shared" si="224"/>
        <v>209.22309999999996</v>
      </c>
      <c r="Q197" s="1032">
        <f t="shared" si="224"/>
        <v>-1362000</v>
      </c>
      <c r="R197" s="1030">
        <f t="shared" si="224"/>
        <v>12472710</v>
      </c>
      <c r="S197" s="1030">
        <f t="shared" si="224"/>
        <v>0</v>
      </c>
      <c r="T197" s="1030">
        <f t="shared" si="224"/>
        <v>52532</v>
      </c>
      <c r="U197" s="1030">
        <f t="shared" si="224"/>
        <v>11163242</v>
      </c>
      <c r="V197" s="1030">
        <f t="shared" si="224"/>
        <v>1362000</v>
      </c>
      <c r="W197" s="1030">
        <f t="shared" si="224"/>
        <v>292364</v>
      </c>
      <c r="X197" s="1030">
        <f t="shared" si="224"/>
        <v>112000</v>
      </c>
      <c r="Y197" s="1030">
        <f t="shared" si="224"/>
        <v>1766364</v>
      </c>
      <c r="Z197" s="1030">
        <f t="shared" si="224"/>
        <v>12929606</v>
      </c>
      <c r="AA197" s="1030">
        <f t="shared" si="224"/>
        <v>4332353</v>
      </c>
      <c r="AB197" s="1030">
        <f t="shared" si="224"/>
        <v>223266</v>
      </c>
      <c r="AC197" s="1030">
        <f t="shared" si="224"/>
        <v>3000</v>
      </c>
      <c r="AD197" s="1030">
        <f t="shared" si="224"/>
        <v>0</v>
      </c>
      <c r="AE197" s="1030">
        <f t="shared" si="224"/>
        <v>3000</v>
      </c>
      <c r="AF197" s="1030">
        <f t="shared" si="224"/>
        <v>17488225</v>
      </c>
      <c r="AG197" s="1031">
        <f t="shared" si="224"/>
        <v>-1.1900000000000002</v>
      </c>
      <c r="AH197" s="1031">
        <f t="shared" si="224"/>
        <v>-1.58</v>
      </c>
      <c r="AI197" s="1031">
        <f t="shared" si="224"/>
        <v>34.99</v>
      </c>
      <c r="AJ197" s="1031">
        <f t="shared" si="224"/>
        <v>0.09</v>
      </c>
      <c r="AK197" s="1031">
        <f t="shared" si="224"/>
        <v>0</v>
      </c>
      <c r="AL197" s="1031">
        <f t="shared" si="224"/>
        <v>33.89</v>
      </c>
      <c r="AM197" s="1031">
        <f t="shared" si="224"/>
        <v>-1.58</v>
      </c>
      <c r="AN197" s="1109">
        <f t="shared" si="224"/>
        <v>32.31</v>
      </c>
      <c r="AO197" s="1029">
        <f t="shared" si="224"/>
        <v>418569901</v>
      </c>
      <c r="AP197" s="1030">
        <f t="shared" si="224"/>
        <v>302458269</v>
      </c>
      <c r="AQ197" s="1030">
        <f t="shared" si="224"/>
        <v>1766364</v>
      </c>
      <c r="AR197" s="1030">
        <f t="shared" si="224"/>
        <v>102790071</v>
      </c>
      <c r="AS197" s="1030">
        <f t="shared" si="224"/>
        <v>6049174</v>
      </c>
      <c r="AT197" s="1030">
        <f t="shared" si="224"/>
        <v>5506023</v>
      </c>
      <c r="AU197" s="1031">
        <f t="shared" si="224"/>
        <v>661.63700000000006</v>
      </c>
      <c r="AV197" s="1031">
        <f t="shared" si="224"/>
        <v>453.9939</v>
      </c>
      <c r="AW197" s="1033">
        <f t="shared" si="224"/>
        <v>207.64309999999998</v>
      </c>
      <c r="AX197" s="925"/>
    </row>
    <row r="198" spans="1:50" s="925" customFormat="1" ht="12.75" customHeight="1" x14ac:dyDescent="0.25">
      <c r="A198" s="1110"/>
      <c r="B198" s="751"/>
      <c r="C198" s="751"/>
      <c r="D198" s="751"/>
      <c r="E198" s="879"/>
      <c r="F198" s="878"/>
      <c r="G198" s="751"/>
      <c r="H198" s="1111"/>
      <c r="I198" s="880">
        <f>SUM(J197:M197)</f>
        <v>401081676</v>
      </c>
      <c r="J198" s="880"/>
      <c r="K198" s="880"/>
      <c r="L198" s="880"/>
      <c r="M198" s="880"/>
      <c r="N198" s="881">
        <f>SUM(O197:P197)</f>
        <v>629.327</v>
      </c>
      <c r="O198" s="881"/>
      <c r="P198" s="881"/>
      <c r="Q198" s="881"/>
      <c r="R198" s="881"/>
      <c r="S198" s="881"/>
      <c r="T198" s="881"/>
      <c r="U198" s="882">
        <f>SUM(Q197:T197)</f>
        <v>11163242</v>
      </c>
      <c r="V198" s="883"/>
      <c r="W198" s="883"/>
      <c r="X198" s="883"/>
      <c r="Y198" s="882">
        <f>SUM(V197:X197)</f>
        <v>1766364</v>
      </c>
      <c r="Z198" s="882">
        <f>U197+Y197</f>
        <v>12929606</v>
      </c>
      <c r="AA198" s="884"/>
      <c r="AB198" s="884"/>
      <c r="AC198" s="883"/>
      <c r="AD198" s="883"/>
      <c r="AE198" s="882">
        <f>SUM(AC197:AD197)</f>
        <v>3000</v>
      </c>
      <c r="AF198" s="882">
        <f>Z197+AA197+AB197+AE197</f>
        <v>17488225</v>
      </c>
      <c r="AG198" s="885"/>
      <c r="AH198" s="885"/>
      <c r="AI198" s="885"/>
      <c r="AJ198" s="885"/>
      <c r="AK198" s="885"/>
      <c r="AL198" s="886">
        <f>AG197+AI197+AJ197</f>
        <v>33.890000000000008</v>
      </c>
      <c r="AM198" s="886">
        <f>AH197+AK197</f>
        <v>-1.58</v>
      </c>
      <c r="AN198" s="886">
        <f>SUM(AL197:AM197)</f>
        <v>32.31</v>
      </c>
      <c r="AO198" s="880">
        <f>SUM(AP197:AT197)</f>
        <v>418569901</v>
      </c>
      <c r="AP198" s="887"/>
      <c r="AQ198" s="887"/>
      <c r="AR198" s="887"/>
      <c r="AS198" s="887"/>
      <c r="AT198" s="887"/>
      <c r="AU198" s="881">
        <f>SUM(AV197:AW197)</f>
        <v>661.63699999999994</v>
      </c>
      <c r="AV198" s="1127"/>
      <c r="AW198" s="1127"/>
    </row>
    <row r="199" spans="1:50" s="925" customFormat="1" ht="12.75" customHeight="1" thickBot="1" x14ac:dyDescent="0.3">
      <c r="A199" s="1110"/>
      <c r="B199" s="751"/>
      <c r="C199" s="751"/>
      <c r="D199" s="751"/>
      <c r="E199" s="751"/>
      <c r="F199" s="878"/>
      <c r="G199" s="751"/>
      <c r="H199" s="1111"/>
      <c r="I199" s="888">
        <f ca="1">SUM(J200:M200)</f>
        <v>401081676</v>
      </c>
      <c r="J199" s="760"/>
      <c r="K199" s="760"/>
      <c r="L199" s="760"/>
      <c r="M199" s="760"/>
      <c r="N199" s="889">
        <f ca="1">SUM(O200:P200)</f>
        <v>629.32699999999988</v>
      </c>
      <c r="O199" s="1112"/>
      <c r="P199" s="1112"/>
      <c r="Q199" s="881"/>
      <c r="R199" s="881"/>
      <c r="S199" s="881"/>
      <c r="T199" s="881"/>
      <c r="U199" s="882">
        <f ca="1">SUM(Q200:T200)</f>
        <v>11163242</v>
      </c>
      <c r="V199" s="883"/>
      <c r="W199" s="883"/>
      <c r="X199" s="883"/>
      <c r="Y199" s="882">
        <f ca="1">SUM(V200:X200)</f>
        <v>1766364</v>
      </c>
      <c r="Z199" s="882">
        <f ca="1">U200+Y200</f>
        <v>12929606</v>
      </c>
      <c r="AA199" s="884"/>
      <c r="AB199" s="884"/>
      <c r="AC199" s="883"/>
      <c r="AD199" s="883"/>
      <c r="AE199" s="882">
        <f ca="1">SUM(AC200:AD200)</f>
        <v>3000</v>
      </c>
      <c r="AF199" s="882">
        <f ca="1">Z200+AA200+AB200+AE200</f>
        <v>17488225</v>
      </c>
      <c r="AG199" s="885"/>
      <c r="AH199" s="885"/>
      <c r="AI199" s="885"/>
      <c r="AJ199" s="885"/>
      <c r="AK199" s="885"/>
      <c r="AL199" s="886">
        <f ca="1">AG200+AI200+AJ200</f>
        <v>33.890000000000008</v>
      </c>
      <c r="AM199" s="886">
        <f ca="1">AH200+AK200</f>
        <v>-1.58</v>
      </c>
      <c r="AN199" s="886">
        <f ca="1">SUM(AL200:AM200)</f>
        <v>32.31</v>
      </c>
      <c r="AO199" s="880">
        <f ca="1">SUM(AP200:AT200)</f>
        <v>418569901</v>
      </c>
      <c r="AP199" s="887"/>
      <c r="AQ199" s="887"/>
      <c r="AR199" s="887"/>
      <c r="AS199" s="887"/>
      <c r="AT199" s="887"/>
      <c r="AU199" s="881">
        <f ca="1">SUM(AV200:AW200)</f>
        <v>661.63699999999994</v>
      </c>
      <c r="AV199" s="1127"/>
      <c r="AW199" s="1127"/>
    </row>
    <row r="200" spans="1:50" s="183" customFormat="1" ht="12.95" customHeight="1" thickBot="1" x14ac:dyDescent="0.3">
      <c r="A200" s="898"/>
      <c r="D200" s="898"/>
      <c r="E200" s="899"/>
      <c r="F200" s="898"/>
      <c r="G200" s="900"/>
      <c r="H200" s="1113" t="s">
        <v>0</v>
      </c>
      <c r="I200" s="905">
        <f t="shared" ref="I200:AW200" ca="1" si="225">SUM(I201:I210)</f>
        <v>401081676</v>
      </c>
      <c r="J200" s="903">
        <f t="shared" ca="1" si="225"/>
        <v>291295027</v>
      </c>
      <c r="K200" s="903">
        <f t="shared" ca="1" si="225"/>
        <v>98457718</v>
      </c>
      <c r="L200" s="903">
        <f t="shared" ca="1" si="225"/>
        <v>5825908</v>
      </c>
      <c r="M200" s="903">
        <f t="shared" ca="1" si="225"/>
        <v>5503023</v>
      </c>
      <c r="N200" s="904">
        <f t="shared" ca="1" si="225"/>
        <v>629.32699999999988</v>
      </c>
      <c r="O200" s="904">
        <f t="shared" ca="1" si="225"/>
        <v>420.10389999999995</v>
      </c>
      <c r="P200" s="1035">
        <f t="shared" ca="1" si="225"/>
        <v>209.22309999999996</v>
      </c>
      <c r="Q200" s="902">
        <f t="shared" ca="1" si="225"/>
        <v>-1362000</v>
      </c>
      <c r="R200" s="903">
        <f t="shared" ca="1" si="225"/>
        <v>12472710</v>
      </c>
      <c r="S200" s="903">
        <f t="shared" ca="1" si="225"/>
        <v>0</v>
      </c>
      <c r="T200" s="903">
        <f t="shared" ca="1" si="225"/>
        <v>52532</v>
      </c>
      <c r="U200" s="903">
        <f t="shared" ca="1" si="225"/>
        <v>11163242</v>
      </c>
      <c r="V200" s="903">
        <f t="shared" ca="1" si="225"/>
        <v>1362000</v>
      </c>
      <c r="W200" s="903">
        <f t="shared" ca="1" si="225"/>
        <v>292364</v>
      </c>
      <c r="X200" s="903">
        <f t="shared" ca="1" si="225"/>
        <v>112000</v>
      </c>
      <c r="Y200" s="903">
        <f t="shared" ca="1" si="225"/>
        <v>1766364</v>
      </c>
      <c r="Z200" s="903">
        <f t="shared" ca="1" si="225"/>
        <v>12929606</v>
      </c>
      <c r="AA200" s="903">
        <f t="shared" ca="1" si="225"/>
        <v>4332353</v>
      </c>
      <c r="AB200" s="903">
        <f t="shared" ca="1" si="225"/>
        <v>223266</v>
      </c>
      <c r="AC200" s="903">
        <f t="shared" ca="1" si="225"/>
        <v>3000</v>
      </c>
      <c r="AD200" s="903">
        <f t="shared" ca="1" si="225"/>
        <v>0</v>
      </c>
      <c r="AE200" s="903">
        <f t="shared" ca="1" si="225"/>
        <v>3000</v>
      </c>
      <c r="AF200" s="903">
        <f t="shared" ca="1" si="225"/>
        <v>17488225</v>
      </c>
      <c r="AG200" s="904">
        <f t="shared" ca="1" si="225"/>
        <v>-1.1900000000000002</v>
      </c>
      <c r="AH200" s="904">
        <f t="shared" ca="1" si="225"/>
        <v>-1.58</v>
      </c>
      <c r="AI200" s="904">
        <f t="shared" ca="1" si="225"/>
        <v>34.99</v>
      </c>
      <c r="AJ200" s="904">
        <f t="shared" ca="1" si="225"/>
        <v>0.09</v>
      </c>
      <c r="AK200" s="904">
        <f t="shared" ca="1" si="225"/>
        <v>0</v>
      </c>
      <c r="AL200" s="904">
        <f t="shared" ca="1" si="225"/>
        <v>33.89</v>
      </c>
      <c r="AM200" s="904">
        <f t="shared" ca="1" si="225"/>
        <v>-1.58</v>
      </c>
      <c r="AN200" s="1035">
        <f t="shared" ca="1" si="225"/>
        <v>32.310000000000009</v>
      </c>
      <c r="AO200" s="902">
        <f t="shared" ca="1" si="225"/>
        <v>418569901</v>
      </c>
      <c r="AP200" s="903">
        <f t="shared" ca="1" si="225"/>
        <v>302458269</v>
      </c>
      <c r="AQ200" s="903">
        <f t="shared" ca="1" si="225"/>
        <v>1766364</v>
      </c>
      <c r="AR200" s="903">
        <f t="shared" ca="1" si="225"/>
        <v>102790071</v>
      </c>
      <c r="AS200" s="903">
        <f t="shared" ca="1" si="225"/>
        <v>6049174</v>
      </c>
      <c r="AT200" s="903">
        <f t="shared" ca="1" si="225"/>
        <v>5506023</v>
      </c>
      <c r="AU200" s="904">
        <f t="shared" ca="1" si="225"/>
        <v>661.63699999999983</v>
      </c>
      <c r="AV200" s="904">
        <f t="shared" ca="1" si="225"/>
        <v>453.99390000000005</v>
      </c>
      <c r="AW200" s="993">
        <f t="shared" ca="1" si="225"/>
        <v>207.64309999999995</v>
      </c>
    </row>
    <row r="201" spans="1:50" s="183" customFormat="1" ht="12.95" customHeight="1" x14ac:dyDescent="0.25">
      <c r="A201" s="898"/>
      <c r="D201" s="898"/>
      <c r="E201" s="1114"/>
      <c r="F201" s="898"/>
      <c r="G201" s="900"/>
      <c r="H201" s="1115">
        <v>3111</v>
      </c>
      <c r="I201" s="620">
        <f t="shared" ref="I201:AW201" ca="1" si="226">SUMIF($F$12:$F$334,"=3111",I$12:I$290)</f>
        <v>94576671</v>
      </c>
      <c r="J201" s="608">
        <f t="shared" ca="1" si="226"/>
        <v>69226264</v>
      </c>
      <c r="K201" s="608">
        <f t="shared" ca="1" si="226"/>
        <v>23398477</v>
      </c>
      <c r="L201" s="608">
        <f t="shared" ca="1" si="226"/>
        <v>1384530</v>
      </c>
      <c r="M201" s="608">
        <f t="shared" ca="1" si="226"/>
        <v>567400</v>
      </c>
      <c r="N201" s="610">
        <f t="shared" ca="1" si="226"/>
        <v>162.33569999999997</v>
      </c>
      <c r="O201" s="610">
        <f t="shared" ca="1" si="226"/>
        <v>123.1598</v>
      </c>
      <c r="P201" s="621">
        <f t="shared" ca="1" si="226"/>
        <v>39.175899999999999</v>
      </c>
      <c r="Q201" s="609">
        <f t="shared" ca="1" si="226"/>
        <v>-184800</v>
      </c>
      <c r="R201" s="608">
        <f t="shared" ca="1" si="226"/>
        <v>703473</v>
      </c>
      <c r="S201" s="608">
        <f t="shared" ca="1" si="226"/>
        <v>0</v>
      </c>
      <c r="T201" s="608">
        <f t="shared" ca="1" si="226"/>
        <v>0</v>
      </c>
      <c r="U201" s="608">
        <f t="shared" ca="1" si="226"/>
        <v>518673</v>
      </c>
      <c r="V201" s="608">
        <f t="shared" ca="1" si="226"/>
        <v>184800</v>
      </c>
      <c r="W201" s="608">
        <f t="shared" ca="1" si="226"/>
        <v>0</v>
      </c>
      <c r="X201" s="608">
        <f t="shared" ca="1" si="226"/>
        <v>0</v>
      </c>
      <c r="Y201" s="608">
        <f t="shared" ca="1" si="226"/>
        <v>184800</v>
      </c>
      <c r="Z201" s="608">
        <f t="shared" ca="1" si="226"/>
        <v>703473</v>
      </c>
      <c r="AA201" s="608">
        <f t="shared" ca="1" si="226"/>
        <v>237775</v>
      </c>
      <c r="AB201" s="608">
        <f t="shared" ca="1" si="226"/>
        <v>10373</v>
      </c>
      <c r="AC201" s="608">
        <f t="shared" ca="1" si="226"/>
        <v>3000</v>
      </c>
      <c r="AD201" s="608">
        <f t="shared" ca="1" si="226"/>
        <v>0</v>
      </c>
      <c r="AE201" s="608">
        <f t="shared" ca="1" si="226"/>
        <v>3000</v>
      </c>
      <c r="AF201" s="608">
        <f t="shared" ca="1" si="226"/>
        <v>954621</v>
      </c>
      <c r="AG201" s="610">
        <f t="shared" ca="1" si="226"/>
        <v>-0.18</v>
      </c>
      <c r="AH201" s="610">
        <f t="shared" ca="1" si="226"/>
        <v>-0.1</v>
      </c>
      <c r="AI201" s="610">
        <f t="shared" ca="1" si="226"/>
        <v>1.6300000000000001</v>
      </c>
      <c r="AJ201" s="610">
        <f t="shared" ca="1" si="226"/>
        <v>0</v>
      </c>
      <c r="AK201" s="610">
        <f t="shared" ca="1" si="226"/>
        <v>0</v>
      </c>
      <c r="AL201" s="610">
        <f t="shared" ca="1" si="226"/>
        <v>1.45</v>
      </c>
      <c r="AM201" s="610">
        <f t="shared" ca="1" si="226"/>
        <v>-0.1</v>
      </c>
      <c r="AN201" s="621">
        <f t="shared" ca="1" si="226"/>
        <v>1.35</v>
      </c>
      <c r="AO201" s="609">
        <f t="shared" ca="1" si="226"/>
        <v>95531292</v>
      </c>
      <c r="AP201" s="608">
        <f t="shared" ca="1" si="226"/>
        <v>69744937</v>
      </c>
      <c r="AQ201" s="608">
        <f t="shared" ca="1" si="226"/>
        <v>184800</v>
      </c>
      <c r="AR201" s="608">
        <f t="shared" ca="1" si="226"/>
        <v>23636252</v>
      </c>
      <c r="AS201" s="608">
        <f t="shared" ca="1" si="226"/>
        <v>1394903</v>
      </c>
      <c r="AT201" s="608">
        <f t="shared" ca="1" si="226"/>
        <v>570400</v>
      </c>
      <c r="AU201" s="610">
        <f t="shared" ca="1" si="226"/>
        <v>163.68569999999997</v>
      </c>
      <c r="AV201" s="610">
        <f t="shared" ca="1" si="226"/>
        <v>124.60980000000001</v>
      </c>
      <c r="AW201" s="611">
        <f t="shared" ca="1" si="226"/>
        <v>39.075899999999997</v>
      </c>
    </row>
    <row r="202" spans="1:50" s="183" customFormat="1" ht="12.95" customHeight="1" x14ac:dyDescent="0.25">
      <c r="A202" s="898"/>
      <c r="D202" s="898"/>
      <c r="E202" s="1114"/>
      <c r="F202" s="898"/>
      <c r="G202" s="900"/>
      <c r="H202" s="1116">
        <v>3113</v>
      </c>
      <c r="I202" s="497">
        <f t="shared" ref="I202:AW202" si="227">SUMIF($F$12:$F$334,"=3113",I$12:I$334)</f>
        <v>158965873</v>
      </c>
      <c r="J202" s="498">
        <f t="shared" si="227"/>
        <v>114497683</v>
      </c>
      <c r="K202" s="498">
        <f t="shared" si="227"/>
        <v>38700217</v>
      </c>
      <c r="L202" s="498">
        <f t="shared" si="227"/>
        <v>2289953</v>
      </c>
      <c r="M202" s="498">
        <f t="shared" si="227"/>
        <v>3478020</v>
      </c>
      <c r="N202" s="499">
        <f t="shared" si="227"/>
        <v>217.07359999999997</v>
      </c>
      <c r="O202" s="499">
        <f t="shared" si="227"/>
        <v>165.48269999999999</v>
      </c>
      <c r="P202" s="529">
        <f t="shared" si="227"/>
        <v>51.590899999999991</v>
      </c>
      <c r="Q202" s="579">
        <f t="shared" si="227"/>
        <v>-867200</v>
      </c>
      <c r="R202" s="498">
        <f t="shared" si="227"/>
        <v>9684724</v>
      </c>
      <c r="S202" s="498">
        <f t="shared" si="227"/>
        <v>0</v>
      </c>
      <c r="T202" s="498">
        <f t="shared" si="227"/>
        <v>52532</v>
      </c>
      <c r="U202" s="498">
        <f t="shared" si="227"/>
        <v>8870056</v>
      </c>
      <c r="V202" s="498">
        <f t="shared" si="227"/>
        <v>867200</v>
      </c>
      <c r="W202" s="498">
        <f t="shared" si="227"/>
        <v>292364</v>
      </c>
      <c r="X202" s="498">
        <f t="shared" si="227"/>
        <v>112000</v>
      </c>
      <c r="Y202" s="498">
        <f t="shared" si="227"/>
        <v>1271564</v>
      </c>
      <c r="Z202" s="498">
        <f t="shared" si="227"/>
        <v>10141620</v>
      </c>
      <c r="AA202" s="498">
        <f t="shared" si="227"/>
        <v>3390012</v>
      </c>
      <c r="AB202" s="498">
        <f t="shared" si="227"/>
        <v>177402</v>
      </c>
      <c r="AC202" s="498">
        <f t="shared" si="227"/>
        <v>0</v>
      </c>
      <c r="AD202" s="498">
        <f t="shared" si="227"/>
        <v>0</v>
      </c>
      <c r="AE202" s="498">
        <f t="shared" si="227"/>
        <v>0</v>
      </c>
      <c r="AF202" s="498">
        <f t="shared" si="227"/>
        <v>13709034</v>
      </c>
      <c r="AG202" s="499">
        <f t="shared" si="227"/>
        <v>-0.95000000000000007</v>
      </c>
      <c r="AH202" s="499">
        <f t="shared" si="227"/>
        <v>-0.56000000000000005</v>
      </c>
      <c r="AI202" s="499">
        <f t="shared" si="227"/>
        <v>27.030000000000005</v>
      </c>
      <c r="AJ202" s="499">
        <f t="shared" si="227"/>
        <v>0.09</v>
      </c>
      <c r="AK202" s="499">
        <f t="shared" si="227"/>
        <v>0</v>
      </c>
      <c r="AL202" s="499">
        <f t="shared" si="227"/>
        <v>26.17</v>
      </c>
      <c r="AM202" s="499">
        <f t="shared" si="227"/>
        <v>-0.56000000000000005</v>
      </c>
      <c r="AN202" s="529">
        <f t="shared" si="227"/>
        <v>25.610000000000007</v>
      </c>
      <c r="AO202" s="579">
        <f t="shared" si="227"/>
        <v>172674907</v>
      </c>
      <c r="AP202" s="498">
        <f t="shared" si="227"/>
        <v>123367739</v>
      </c>
      <c r="AQ202" s="498">
        <f t="shared" si="227"/>
        <v>1271564</v>
      </c>
      <c r="AR202" s="498">
        <f t="shared" si="227"/>
        <v>42090229</v>
      </c>
      <c r="AS202" s="498">
        <f t="shared" si="227"/>
        <v>2467355</v>
      </c>
      <c r="AT202" s="498">
        <f t="shared" si="227"/>
        <v>3478020</v>
      </c>
      <c r="AU202" s="499">
        <f t="shared" si="227"/>
        <v>242.68359999999998</v>
      </c>
      <c r="AV202" s="499">
        <f t="shared" si="227"/>
        <v>191.65270000000001</v>
      </c>
      <c r="AW202" s="500">
        <f t="shared" si="227"/>
        <v>51.030899999999995</v>
      </c>
    </row>
    <row r="203" spans="1:50" s="183" customFormat="1" ht="12.95" customHeight="1" x14ac:dyDescent="0.25">
      <c r="A203" s="898"/>
      <c r="D203" s="898"/>
      <c r="E203" s="1114"/>
      <c r="F203" s="898"/>
      <c r="G203" s="900"/>
      <c r="H203" s="1116">
        <v>3114</v>
      </c>
      <c r="I203" s="497">
        <f t="shared" ref="I203:AW203" si="228">SUMIF($F$12:$F$334,"=3114",I$12:I$334)</f>
        <v>21585108</v>
      </c>
      <c r="J203" s="498">
        <f t="shared" si="228"/>
        <v>15783364</v>
      </c>
      <c r="K203" s="498">
        <f t="shared" si="228"/>
        <v>5334777</v>
      </c>
      <c r="L203" s="498">
        <f t="shared" si="228"/>
        <v>315667</v>
      </c>
      <c r="M203" s="498">
        <f t="shared" si="228"/>
        <v>151300</v>
      </c>
      <c r="N203" s="499">
        <f t="shared" si="228"/>
        <v>32.167899999999996</v>
      </c>
      <c r="O203" s="499">
        <f t="shared" si="228"/>
        <v>24.825199999999999</v>
      </c>
      <c r="P203" s="529">
        <f t="shared" si="228"/>
        <v>7.3426999999999998</v>
      </c>
      <c r="Q203" s="579">
        <f t="shared" si="228"/>
        <v>-96000</v>
      </c>
      <c r="R203" s="498">
        <f t="shared" si="228"/>
        <v>0</v>
      </c>
      <c r="S203" s="498">
        <f t="shared" si="228"/>
        <v>0</v>
      </c>
      <c r="T203" s="498">
        <f t="shared" si="228"/>
        <v>0</v>
      </c>
      <c r="U203" s="498">
        <f t="shared" si="228"/>
        <v>-96000</v>
      </c>
      <c r="V203" s="498">
        <f t="shared" si="228"/>
        <v>96000</v>
      </c>
      <c r="W203" s="498">
        <f t="shared" si="228"/>
        <v>0</v>
      </c>
      <c r="X203" s="498">
        <f t="shared" si="228"/>
        <v>0</v>
      </c>
      <c r="Y203" s="498">
        <f t="shared" si="228"/>
        <v>96000</v>
      </c>
      <c r="Z203" s="498">
        <f t="shared" si="228"/>
        <v>0</v>
      </c>
      <c r="AA203" s="498">
        <f t="shared" si="228"/>
        <v>0</v>
      </c>
      <c r="AB203" s="498">
        <f t="shared" si="228"/>
        <v>-1920</v>
      </c>
      <c r="AC203" s="498">
        <f t="shared" si="228"/>
        <v>0</v>
      </c>
      <c r="AD203" s="498">
        <f t="shared" si="228"/>
        <v>0</v>
      </c>
      <c r="AE203" s="498">
        <f t="shared" si="228"/>
        <v>0</v>
      </c>
      <c r="AF203" s="498">
        <f t="shared" si="228"/>
        <v>-1920</v>
      </c>
      <c r="AG203" s="499">
        <f t="shared" si="228"/>
        <v>0</v>
      </c>
      <c r="AH203" s="499">
        <f t="shared" si="228"/>
        <v>-0.4</v>
      </c>
      <c r="AI203" s="499">
        <f t="shared" si="228"/>
        <v>0</v>
      </c>
      <c r="AJ203" s="499">
        <f t="shared" si="228"/>
        <v>0</v>
      </c>
      <c r="AK203" s="499">
        <f t="shared" si="228"/>
        <v>0</v>
      </c>
      <c r="AL203" s="499">
        <f t="shared" si="228"/>
        <v>0</v>
      </c>
      <c r="AM203" s="499">
        <f t="shared" si="228"/>
        <v>-0.4</v>
      </c>
      <c r="AN203" s="529">
        <f t="shared" si="228"/>
        <v>-0.4</v>
      </c>
      <c r="AO203" s="579">
        <f t="shared" si="228"/>
        <v>21583188</v>
      </c>
      <c r="AP203" s="498">
        <f t="shared" si="228"/>
        <v>15687364</v>
      </c>
      <c r="AQ203" s="498">
        <f t="shared" si="228"/>
        <v>96000</v>
      </c>
      <c r="AR203" s="498">
        <f t="shared" si="228"/>
        <v>5334777</v>
      </c>
      <c r="AS203" s="498">
        <f t="shared" si="228"/>
        <v>313747</v>
      </c>
      <c r="AT203" s="498">
        <f t="shared" si="228"/>
        <v>151300</v>
      </c>
      <c r="AU203" s="499">
        <f t="shared" si="228"/>
        <v>31.767899999999997</v>
      </c>
      <c r="AV203" s="499">
        <f t="shared" si="228"/>
        <v>24.825199999999999</v>
      </c>
      <c r="AW203" s="500">
        <f t="shared" si="228"/>
        <v>6.9427000000000003</v>
      </c>
    </row>
    <row r="204" spans="1:50" s="183" customFormat="1" ht="12.95" customHeight="1" x14ac:dyDescent="0.25">
      <c r="A204" s="898"/>
      <c r="D204" s="898"/>
      <c r="E204" s="1114"/>
      <c r="F204" s="898"/>
      <c r="G204" s="900"/>
      <c r="H204" s="1116">
        <v>3117</v>
      </c>
      <c r="I204" s="497">
        <f t="shared" ref="I204:AW204" si="229">SUMIF($F$12:$F$334,"=3117",I$12:I$334)</f>
        <v>46650994</v>
      </c>
      <c r="J204" s="498">
        <f t="shared" si="229"/>
        <v>33671491</v>
      </c>
      <c r="K204" s="498">
        <f t="shared" si="229"/>
        <v>11380963</v>
      </c>
      <c r="L204" s="498">
        <f t="shared" si="229"/>
        <v>673430</v>
      </c>
      <c r="M204" s="498">
        <f t="shared" si="229"/>
        <v>925110</v>
      </c>
      <c r="N204" s="499">
        <f t="shared" si="229"/>
        <v>64.796000000000006</v>
      </c>
      <c r="O204" s="499">
        <f t="shared" si="229"/>
        <v>44.123699999999992</v>
      </c>
      <c r="P204" s="529">
        <f t="shared" si="229"/>
        <v>20.672299999999996</v>
      </c>
      <c r="Q204" s="579">
        <f t="shared" si="229"/>
        <v>-97600</v>
      </c>
      <c r="R204" s="498">
        <f t="shared" si="229"/>
        <v>2084513</v>
      </c>
      <c r="S204" s="498">
        <f t="shared" si="229"/>
        <v>0</v>
      </c>
      <c r="T204" s="498">
        <f t="shared" si="229"/>
        <v>0</v>
      </c>
      <c r="U204" s="498">
        <f t="shared" si="229"/>
        <v>1986913</v>
      </c>
      <c r="V204" s="498">
        <f t="shared" si="229"/>
        <v>97600</v>
      </c>
      <c r="W204" s="498">
        <f t="shared" si="229"/>
        <v>0</v>
      </c>
      <c r="X204" s="498">
        <f t="shared" si="229"/>
        <v>0</v>
      </c>
      <c r="Y204" s="498">
        <f t="shared" si="229"/>
        <v>97600</v>
      </c>
      <c r="Z204" s="498">
        <f t="shared" si="229"/>
        <v>2084513</v>
      </c>
      <c r="AA204" s="498">
        <f t="shared" si="229"/>
        <v>704566</v>
      </c>
      <c r="AB204" s="498">
        <f t="shared" si="229"/>
        <v>39739</v>
      </c>
      <c r="AC204" s="498">
        <f t="shared" si="229"/>
        <v>0</v>
      </c>
      <c r="AD204" s="498">
        <f t="shared" si="229"/>
        <v>0</v>
      </c>
      <c r="AE204" s="498">
        <f t="shared" si="229"/>
        <v>0</v>
      </c>
      <c r="AF204" s="498">
        <f t="shared" si="229"/>
        <v>2828818</v>
      </c>
      <c r="AG204" s="499">
        <f t="shared" si="229"/>
        <v>-0.05</v>
      </c>
      <c r="AH204" s="499">
        <f t="shared" si="229"/>
        <v>-0.24</v>
      </c>
      <c r="AI204" s="499">
        <f t="shared" si="229"/>
        <v>6.33</v>
      </c>
      <c r="AJ204" s="499">
        <f t="shared" si="229"/>
        <v>0</v>
      </c>
      <c r="AK204" s="499">
        <f t="shared" si="229"/>
        <v>0</v>
      </c>
      <c r="AL204" s="499">
        <f t="shared" si="229"/>
        <v>6.2799999999999994</v>
      </c>
      <c r="AM204" s="499">
        <f t="shared" si="229"/>
        <v>-0.24</v>
      </c>
      <c r="AN204" s="529">
        <f t="shared" si="229"/>
        <v>6.0399999999999991</v>
      </c>
      <c r="AO204" s="579">
        <f t="shared" si="229"/>
        <v>49479812</v>
      </c>
      <c r="AP204" s="498">
        <f t="shared" si="229"/>
        <v>35658404</v>
      </c>
      <c r="AQ204" s="498">
        <f t="shared" si="229"/>
        <v>97600</v>
      </c>
      <c r="AR204" s="498">
        <f t="shared" si="229"/>
        <v>12085529</v>
      </c>
      <c r="AS204" s="498">
        <f t="shared" si="229"/>
        <v>713169</v>
      </c>
      <c r="AT204" s="498">
        <f t="shared" si="229"/>
        <v>925110</v>
      </c>
      <c r="AU204" s="499">
        <f t="shared" si="229"/>
        <v>70.835999999999984</v>
      </c>
      <c r="AV204" s="499">
        <f t="shared" si="229"/>
        <v>50.403700000000001</v>
      </c>
      <c r="AW204" s="500">
        <f t="shared" si="229"/>
        <v>20.432299999999998</v>
      </c>
    </row>
    <row r="205" spans="1:50" s="183" customFormat="1" ht="12.95" customHeight="1" x14ac:dyDescent="0.25">
      <c r="A205" s="898"/>
      <c r="D205" s="898"/>
      <c r="E205" s="1114"/>
      <c r="F205" s="898"/>
      <c r="G205" s="900"/>
      <c r="H205" s="1116">
        <v>3122</v>
      </c>
      <c r="I205" s="497">
        <f t="shared" ref="I205:AW205" si="230">SUMIF($F$12:$F$290,"=3122",I$12:I$290)</f>
        <v>0</v>
      </c>
      <c r="J205" s="498">
        <f t="shared" si="230"/>
        <v>0</v>
      </c>
      <c r="K205" s="498">
        <f t="shared" si="230"/>
        <v>0</v>
      </c>
      <c r="L205" s="498">
        <f t="shared" si="230"/>
        <v>0</v>
      </c>
      <c r="M205" s="498">
        <f t="shared" si="230"/>
        <v>0</v>
      </c>
      <c r="N205" s="499">
        <f t="shared" si="230"/>
        <v>0</v>
      </c>
      <c r="O205" s="499">
        <f t="shared" si="230"/>
        <v>0</v>
      </c>
      <c r="P205" s="529">
        <f t="shared" si="230"/>
        <v>0</v>
      </c>
      <c r="Q205" s="579">
        <f t="shared" si="230"/>
        <v>0</v>
      </c>
      <c r="R205" s="498">
        <f t="shared" si="230"/>
        <v>0</v>
      </c>
      <c r="S205" s="498">
        <f t="shared" si="230"/>
        <v>0</v>
      </c>
      <c r="T205" s="498">
        <f t="shared" si="230"/>
        <v>0</v>
      </c>
      <c r="U205" s="498">
        <f t="shared" si="230"/>
        <v>0</v>
      </c>
      <c r="V205" s="498">
        <f t="shared" si="230"/>
        <v>0</v>
      </c>
      <c r="W205" s="498">
        <f t="shared" si="230"/>
        <v>0</v>
      </c>
      <c r="X205" s="498">
        <f t="shared" si="230"/>
        <v>0</v>
      </c>
      <c r="Y205" s="498">
        <f t="shared" si="230"/>
        <v>0</v>
      </c>
      <c r="Z205" s="498">
        <f t="shared" si="230"/>
        <v>0</v>
      </c>
      <c r="AA205" s="498">
        <f t="shared" si="230"/>
        <v>0</v>
      </c>
      <c r="AB205" s="498">
        <f t="shared" si="230"/>
        <v>0</v>
      </c>
      <c r="AC205" s="498">
        <f t="shared" si="230"/>
        <v>0</v>
      </c>
      <c r="AD205" s="498">
        <f t="shared" si="230"/>
        <v>0</v>
      </c>
      <c r="AE205" s="498">
        <f t="shared" si="230"/>
        <v>0</v>
      </c>
      <c r="AF205" s="498">
        <f t="shared" si="230"/>
        <v>0</v>
      </c>
      <c r="AG205" s="499">
        <f t="shared" si="230"/>
        <v>0</v>
      </c>
      <c r="AH205" s="499">
        <f t="shared" si="230"/>
        <v>0</v>
      </c>
      <c r="AI205" s="499">
        <f t="shared" si="230"/>
        <v>0</v>
      </c>
      <c r="AJ205" s="499">
        <f t="shared" si="230"/>
        <v>0</v>
      </c>
      <c r="AK205" s="499">
        <f t="shared" si="230"/>
        <v>0</v>
      </c>
      <c r="AL205" s="499">
        <f t="shared" si="230"/>
        <v>0</v>
      </c>
      <c r="AM205" s="499">
        <f t="shared" si="230"/>
        <v>0</v>
      </c>
      <c r="AN205" s="529">
        <f t="shared" si="230"/>
        <v>0</v>
      </c>
      <c r="AO205" s="579">
        <f t="shared" si="230"/>
        <v>0</v>
      </c>
      <c r="AP205" s="498">
        <f t="shared" si="230"/>
        <v>0</v>
      </c>
      <c r="AQ205" s="498">
        <f t="shared" si="230"/>
        <v>0</v>
      </c>
      <c r="AR205" s="498">
        <f t="shared" si="230"/>
        <v>0</v>
      </c>
      <c r="AS205" s="498">
        <f t="shared" si="230"/>
        <v>0</v>
      </c>
      <c r="AT205" s="498">
        <f t="shared" si="230"/>
        <v>0</v>
      </c>
      <c r="AU205" s="499">
        <f t="shared" si="230"/>
        <v>0</v>
      </c>
      <c r="AV205" s="499">
        <f t="shared" si="230"/>
        <v>0</v>
      </c>
      <c r="AW205" s="500">
        <f t="shared" si="230"/>
        <v>0</v>
      </c>
    </row>
    <row r="206" spans="1:50" s="183" customFormat="1" ht="12.95" customHeight="1" x14ac:dyDescent="0.25">
      <c r="A206" s="898"/>
      <c r="D206" s="898"/>
      <c r="E206" s="1114"/>
      <c r="F206" s="898"/>
      <c r="G206" s="900"/>
      <c r="H206" s="1116">
        <v>3124</v>
      </c>
      <c r="I206" s="497">
        <f t="shared" ref="I206:AW206" si="231">SUMIF($F$12:$F$290,"=3124",I$12:I$290)</f>
        <v>0</v>
      </c>
      <c r="J206" s="498">
        <f t="shared" si="231"/>
        <v>0</v>
      </c>
      <c r="K206" s="498">
        <f t="shared" si="231"/>
        <v>0</v>
      </c>
      <c r="L206" s="498">
        <f t="shared" si="231"/>
        <v>0</v>
      </c>
      <c r="M206" s="498">
        <f t="shared" si="231"/>
        <v>0</v>
      </c>
      <c r="N206" s="499">
        <f t="shared" si="231"/>
        <v>0</v>
      </c>
      <c r="O206" s="499">
        <f t="shared" si="231"/>
        <v>0</v>
      </c>
      <c r="P206" s="529">
        <f t="shared" si="231"/>
        <v>0</v>
      </c>
      <c r="Q206" s="579">
        <f t="shared" si="231"/>
        <v>0</v>
      </c>
      <c r="R206" s="498">
        <f t="shared" si="231"/>
        <v>0</v>
      </c>
      <c r="S206" s="498">
        <f t="shared" si="231"/>
        <v>0</v>
      </c>
      <c r="T206" s="498">
        <f t="shared" si="231"/>
        <v>0</v>
      </c>
      <c r="U206" s="498">
        <f t="shared" si="231"/>
        <v>0</v>
      </c>
      <c r="V206" s="498">
        <f t="shared" si="231"/>
        <v>0</v>
      </c>
      <c r="W206" s="498">
        <f t="shared" si="231"/>
        <v>0</v>
      </c>
      <c r="X206" s="498">
        <f t="shared" si="231"/>
        <v>0</v>
      </c>
      <c r="Y206" s="498">
        <f t="shared" si="231"/>
        <v>0</v>
      </c>
      <c r="Z206" s="498">
        <f t="shared" si="231"/>
        <v>0</v>
      </c>
      <c r="AA206" s="498">
        <f t="shared" si="231"/>
        <v>0</v>
      </c>
      <c r="AB206" s="498">
        <f t="shared" si="231"/>
        <v>0</v>
      </c>
      <c r="AC206" s="498">
        <f t="shared" si="231"/>
        <v>0</v>
      </c>
      <c r="AD206" s="498">
        <f t="shared" si="231"/>
        <v>0</v>
      </c>
      <c r="AE206" s="498">
        <f t="shared" si="231"/>
        <v>0</v>
      </c>
      <c r="AF206" s="498">
        <f t="shared" si="231"/>
        <v>0</v>
      </c>
      <c r="AG206" s="499">
        <f t="shared" si="231"/>
        <v>0</v>
      </c>
      <c r="AH206" s="499">
        <f t="shared" si="231"/>
        <v>0</v>
      </c>
      <c r="AI206" s="499">
        <f t="shared" si="231"/>
        <v>0</v>
      </c>
      <c r="AJ206" s="499">
        <f t="shared" si="231"/>
        <v>0</v>
      </c>
      <c r="AK206" s="499">
        <f t="shared" si="231"/>
        <v>0</v>
      </c>
      <c r="AL206" s="499">
        <f t="shared" si="231"/>
        <v>0</v>
      </c>
      <c r="AM206" s="499">
        <f t="shared" si="231"/>
        <v>0</v>
      </c>
      <c r="AN206" s="529">
        <f t="shared" si="231"/>
        <v>0</v>
      </c>
      <c r="AO206" s="579">
        <f t="shared" si="231"/>
        <v>0</v>
      </c>
      <c r="AP206" s="498">
        <f t="shared" si="231"/>
        <v>0</v>
      </c>
      <c r="AQ206" s="498">
        <f t="shared" si="231"/>
        <v>0</v>
      </c>
      <c r="AR206" s="498">
        <f t="shared" si="231"/>
        <v>0</v>
      </c>
      <c r="AS206" s="498">
        <f t="shared" si="231"/>
        <v>0</v>
      </c>
      <c r="AT206" s="498">
        <f t="shared" si="231"/>
        <v>0</v>
      </c>
      <c r="AU206" s="499">
        <f t="shared" si="231"/>
        <v>0</v>
      </c>
      <c r="AV206" s="499">
        <f t="shared" si="231"/>
        <v>0</v>
      </c>
      <c r="AW206" s="500">
        <f t="shared" si="231"/>
        <v>0</v>
      </c>
    </row>
    <row r="207" spans="1:50" s="183" customFormat="1" ht="12.95" customHeight="1" x14ac:dyDescent="0.25">
      <c r="A207" s="898"/>
      <c r="D207" s="898"/>
      <c r="E207" s="1114"/>
      <c r="F207" s="898"/>
      <c r="G207" s="900"/>
      <c r="H207" s="1116">
        <v>3141</v>
      </c>
      <c r="I207" s="497">
        <f t="shared" ref="I207:AW207" si="232">SUMIF($F$12:$F$334,"=3141",I$12:I$334)</f>
        <v>33182995</v>
      </c>
      <c r="J207" s="498">
        <f t="shared" si="232"/>
        <v>24255985</v>
      </c>
      <c r="K207" s="498">
        <f t="shared" si="232"/>
        <v>8198523</v>
      </c>
      <c r="L207" s="498">
        <f t="shared" si="232"/>
        <v>485121</v>
      </c>
      <c r="M207" s="498">
        <f t="shared" si="232"/>
        <v>243366</v>
      </c>
      <c r="N207" s="499">
        <f t="shared" si="232"/>
        <v>82.629999999999981</v>
      </c>
      <c r="O207" s="499">
        <f t="shared" si="232"/>
        <v>0</v>
      </c>
      <c r="P207" s="529">
        <f t="shared" si="232"/>
        <v>82.629999999999981</v>
      </c>
      <c r="Q207" s="579">
        <f t="shared" si="232"/>
        <v>-92000</v>
      </c>
      <c r="R207" s="498">
        <f t="shared" si="232"/>
        <v>0</v>
      </c>
      <c r="S207" s="498">
        <f t="shared" si="232"/>
        <v>0</v>
      </c>
      <c r="T207" s="498">
        <f t="shared" si="232"/>
        <v>0</v>
      </c>
      <c r="U207" s="498">
        <f t="shared" si="232"/>
        <v>-92000</v>
      </c>
      <c r="V207" s="498">
        <f t="shared" si="232"/>
        <v>92000</v>
      </c>
      <c r="W207" s="498">
        <f t="shared" si="232"/>
        <v>0</v>
      </c>
      <c r="X207" s="498">
        <f t="shared" si="232"/>
        <v>0</v>
      </c>
      <c r="Y207" s="498">
        <f t="shared" si="232"/>
        <v>92000</v>
      </c>
      <c r="Z207" s="498">
        <f t="shared" si="232"/>
        <v>0</v>
      </c>
      <c r="AA207" s="498">
        <f t="shared" si="232"/>
        <v>0</v>
      </c>
      <c r="AB207" s="498">
        <f t="shared" si="232"/>
        <v>-1840</v>
      </c>
      <c r="AC207" s="498">
        <f t="shared" si="232"/>
        <v>0</v>
      </c>
      <c r="AD207" s="498">
        <f t="shared" si="232"/>
        <v>0</v>
      </c>
      <c r="AE207" s="498">
        <f t="shared" si="232"/>
        <v>0</v>
      </c>
      <c r="AF207" s="498">
        <f t="shared" si="232"/>
        <v>-1840</v>
      </c>
      <c r="AG207" s="499">
        <f t="shared" si="232"/>
        <v>0</v>
      </c>
      <c r="AH207" s="499">
        <f t="shared" si="232"/>
        <v>-0.23</v>
      </c>
      <c r="AI207" s="499">
        <f t="shared" si="232"/>
        <v>0</v>
      </c>
      <c r="AJ207" s="499">
        <f t="shared" si="232"/>
        <v>0</v>
      </c>
      <c r="AK207" s="499">
        <f t="shared" si="232"/>
        <v>0</v>
      </c>
      <c r="AL207" s="499">
        <f t="shared" si="232"/>
        <v>0</v>
      </c>
      <c r="AM207" s="499">
        <f t="shared" si="232"/>
        <v>-0.23</v>
      </c>
      <c r="AN207" s="529">
        <f t="shared" si="232"/>
        <v>-0.23</v>
      </c>
      <c r="AO207" s="579">
        <f t="shared" si="232"/>
        <v>33181155</v>
      </c>
      <c r="AP207" s="498">
        <f t="shared" si="232"/>
        <v>24163985</v>
      </c>
      <c r="AQ207" s="498">
        <f t="shared" si="232"/>
        <v>92000</v>
      </c>
      <c r="AR207" s="498">
        <f t="shared" si="232"/>
        <v>8198523</v>
      </c>
      <c r="AS207" s="498">
        <f t="shared" si="232"/>
        <v>483281</v>
      </c>
      <c r="AT207" s="498">
        <f t="shared" si="232"/>
        <v>243366</v>
      </c>
      <c r="AU207" s="499">
        <f t="shared" si="232"/>
        <v>82.399999999999977</v>
      </c>
      <c r="AV207" s="499">
        <f t="shared" si="232"/>
        <v>0</v>
      </c>
      <c r="AW207" s="500">
        <f t="shared" si="232"/>
        <v>82.399999999999977</v>
      </c>
    </row>
    <row r="208" spans="1:50" s="183" customFormat="1" ht="12.95" customHeight="1" x14ac:dyDescent="0.25">
      <c r="A208" s="898"/>
      <c r="D208" s="898"/>
      <c r="E208" s="1114"/>
      <c r="F208" s="898"/>
      <c r="G208" s="900"/>
      <c r="H208" s="1116">
        <v>3143</v>
      </c>
      <c r="I208" s="497">
        <f t="shared" ref="I208:AW208" si="233">SUMIF($F$12:$F$334,"=3143",I$12:I$334)</f>
        <v>21570753</v>
      </c>
      <c r="J208" s="498">
        <f t="shared" si="233"/>
        <v>15859971</v>
      </c>
      <c r="K208" s="498">
        <f t="shared" si="233"/>
        <v>5360671</v>
      </c>
      <c r="L208" s="498">
        <f t="shared" si="233"/>
        <v>317201</v>
      </c>
      <c r="M208" s="498">
        <f t="shared" si="233"/>
        <v>32910</v>
      </c>
      <c r="N208" s="499">
        <f t="shared" si="233"/>
        <v>34.440099999999994</v>
      </c>
      <c r="O208" s="499">
        <f t="shared" si="233"/>
        <v>32.170100000000005</v>
      </c>
      <c r="P208" s="529">
        <f t="shared" si="233"/>
        <v>2.27</v>
      </c>
      <c r="Q208" s="579">
        <f t="shared" si="233"/>
        <v>-24400</v>
      </c>
      <c r="R208" s="498">
        <f t="shared" si="233"/>
        <v>0</v>
      </c>
      <c r="S208" s="498">
        <f t="shared" si="233"/>
        <v>0</v>
      </c>
      <c r="T208" s="498">
        <f t="shared" si="233"/>
        <v>0</v>
      </c>
      <c r="U208" s="498">
        <f t="shared" si="233"/>
        <v>-24400</v>
      </c>
      <c r="V208" s="498">
        <f t="shared" si="233"/>
        <v>24400</v>
      </c>
      <c r="W208" s="498">
        <f t="shared" si="233"/>
        <v>0</v>
      </c>
      <c r="X208" s="498">
        <f t="shared" si="233"/>
        <v>0</v>
      </c>
      <c r="Y208" s="498">
        <f t="shared" si="233"/>
        <v>24400</v>
      </c>
      <c r="Z208" s="498">
        <f t="shared" si="233"/>
        <v>0</v>
      </c>
      <c r="AA208" s="498">
        <f t="shared" si="233"/>
        <v>0</v>
      </c>
      <c r="AB208" s="498">
        <f t="shared" si="233"/>
        <v>-488</v>
      </c>
      <c r="AC208" s="498">
        <f t="shared" si="233"/>
        <v>0</v>
      </c>
      <c r="AD208" s="498">
        <f t="shared" si="233"/>
        <v>0</v>
      </c>
      <c r="AE208" s="498">
        <f t="shared" si="233"/>
        <v>0</v>
      </c>
      <c r="AF208" s="498">
        <f t="shared" si="233"/>
        <v>-488</v>
      </c>
      <c r="AG208" s="499">
        <f t="shared" si="233"/>
        <v>-0.01</v>
      </c>
      <c r="AH208" s="499">
        <f t="shared" si="233"/>
        <v>-0.05</v>
      </c>
      <c r="AI208" s="499">
        <f t="shared" si="233"/>
        <v>0</v>
      </c>
      <c r="AJ208" s="499">
        <f t="shared" si="233"/>
        <v>0</v>
      </c>
      <c r="AK208" s="499">
        <f t="shared" si="233"/>
        <v>0</v>
      </c>
      <c r="AL208" s="499">
        <f t="shared" si="233"/>
        <v>-0.01</v>
      </c>
      <c r="AM208" s="499">
        <f t="shared" si="233"/>
        <v>-0.05</v>
      </c>
      <c r="AN208" s="529">
        <f t="shared" si="233"/>
        <v>-6.0000000000000005E-2</v>
      </c>
      <c r="AO208" s="579">
        <f t="shared" si="233"/>
        <v>21570265</v>
      </c>
      <c r="AP208" s="498">
        <f t="shared" si="233"/>
        <v>15835571</v>
      </c>
      <c r="AQ208" s="498">
        <f t="shared" si="233"/>
        <v>24400</v>
      </c>
      <c r="AR208" s="498">
        <f t="shared" si="233"/>
        <v>5360671</v>
      </c>
      <c r="AS208" s="498">
        <f t="shared" si="233"/>
        <v>316713</v>
      </c>
      <c r="AT208" s="498">
        <f t="shared" si="233"/>
        <v>32910</v>
      </c>
      <c r="AU208" s="499">
        <f t="shared" si="233"/>
        <v>34.380099999999992</v>
      </c>
      <c r="AV208" s="499">
        <f t="shared" si="233"/>
        <v>32.1601</v>
      </c>
      <c r="AW208" s="500">
        <f t="shared" si="233"/>
        <v>2.2200000000000002</v>
      </c>
    </row>
    <row r="209" spans="1:49" s="183" customFormat="1" ht="12.95" customHeight="1" x14ac:dyDescent="0.25">
      <c r="A209" s="898"/>
      <c r="D209" s="898"/>
      <c r="E209" s="1114"/>
      <c r="F209" s="898"/>
      <c r="G209" s="900"/>
      <c r="H209" s="1116">
        <v>3231</v>
      </c>
      <c r="I209" s="497">
        <f t="shared" ref="I209:AW209" si="234">SUMIF($F$12:$F$334,"=3231",I$12:I$334)</f>
        <v>20852522</v>
      </c>
      <c r="J209" s="498">
        <f t="shared" si="234"/>
        <v>15304593</v>
      </c>
      <c r="K209" s="498">
        <f t="shared" si="234"/>
        <v>5172952</v>
      </c>
      <c r="L209" s="498">
        <f t="shared" si="234"/>
        <v>306092</v>
      </c>
      <c r="M209" s="498">
        <f t="shared" si="234"/>
        <v>68885</v>
      </c>
      <c r="N209" s="499">
        <f t="shared" si="234"/>
        <v>29.643699999999999</v>
      </c>
      <c r="O209" s="499">
        <f t="shared" si="234"/>
        <v>26.3324</v>
      </c>
      <c r="P209" s="529">
        <f t="shared" si="234"/>
        <v>3.3113000000000001</v>
      </c>
      <c r="Q209" s="579">
        <f t="shared" si="234"/>
        <v>0</v>
      </c>
      <c r="R209" s="498">
        <f t="shared" si="234"/>
        <v>0</v>
      </c>
      <c r="S209" s="498">
        <f t="shared" si="234"/>
        <v>0</v>
      </c>
      <c r="T209" s="498">
        <f t="shared" si="234"/>
        <v>0</v>
      </c>
      <c r="U209" s="498">
        <f t="shared" si="234"/>
        <v>0</v>
      </c>
      <c r="V209" s="498">
        <f t="shared" si="234"/>
        <v>0</v>
      </c>
      <c r="W209" s="498">
        <f t="shared" si="234"/>
        <v>0</v>
      </c>
      <c r="X209" s="498">
        <f t="shared" si="234"/>
        <v>0</v>
      </c>
      <c r="Y209" s="498">
        <f t="shared" si="234"/>
        <v>0</v>
      </c>
      <c r="Z209" s="498">
        <f t="shared" si="234"/>
        <v>0</v>
      </c>
      <c r="AA209" s="498">
        <f t="shared" si="234"/>
        <v>0</v>
      </c>
      <c r="AB209" s="498">
        <f t="shared" si="234"/>
        <v>0</v>
      </c>
      <c r="AC209" s="498">
        <f t="shared" si="234"/>
        <v>0</v>
      </c>
      <c r="AD209" s="498">
        <f t="shared" si="234"/>
        <v>0</v>
      </c>
      <c r="AE209" s="498">
        <f t="shared" si="234"/>
        <v>0</v>
      </c>
      <c r="AF209" s="498">
        <f t="shared" si="234"/>
        <v>0</v>
      </c>
      <c r="AG209" s="499">
        <f t="shared" si="234"/>
        <v>0</v>
      </c>
      <c r="AH209" s="499">
        <f t="shared" si="234"/>
        <v>0</v>
      </c>
      <c r="AI209" s="499">
        <f t="shared" si="234"/>
        <v>0</v>
      </c>
      <c r="AJ209" s="499">
        <f t="shared" si="234"/>
        <v>0</v>
      </c>
      <c r="AK209" s="499">
        <f t="shared" si="234"/>
        <v>0</v>
      </c>
      <c r="AL209" s="499">
        <f t="shared" si="234"/>
        <v>0</v>
      </c>
      <c r="AM209" s="499">
        <f t="shared" si="234"/>
        <v>0</v>
      </c>
      <c r="AN209" s="529">
        <f t="shared" si="234"/>
        <v>0</v>
      </c>
      <c r="AO209" s="579">
        <f t="shared" si="234"/>
        <v>20852522</v>
      </c>
      <c r="AP209" s="498">
        <f t="shared" si="234"/>
        <v>15304593</v>
      </c>
      <c r="AQ209" s="498">
        <f t="shared" si="234"/>
        <v>0</v>
      </c>
      <c r="AR209" s="498">
        <f t="shared" si="234"/>
        <v>5172952</v>
      </c>
      <c r="AS209" s="498">
        <f t="shared" si="234"/>
        <v>306092</v>
      </c>
      <c r="AT209" s="498">
        <f t="shared" si="234"/>
        <v>68885</v>
      </c>
      <c r="AU209" s="499">
        <f t="shared" si="234"/>
        <v>29.643699999999999</v>
      </c>
      <c r="AV209" s="499">
        <f t="shared" si="234"/>
        <v>26.3324</v>
      </c>
      <c r="AW209" s="500">
        <f t="shared" si="234"/>
        <v>3.3113000000000001</v>
      </c>
    </row>
    <row r="210" spans="1:49" s="183" customFormat="1" ht="12.95" customHeight="1" thickBot="1" x14ac:dyDescent="0.3">
      <c r="A210" s="898"/>
      <c r="D210" s="898"/>
      <c r="E210" s="1114"/>
      <c r="F210" s="898"/>
      <c r="G210" s="900"/>
      <c r="H210" s="1117">
        <v>3233</v>
      </c>
      <c r="I210" s="921">
        <f t="shared" ref="I210:AW210" si="235">SUMIF($F$12:$F$334,"=3233",I$12:I$334)</f>
        <v>3696760</v>
      </c>
      <c r="J210" s="919">
        <f t="shared" si="235"/>
        <v>2695676</v>
      </c>
      <c r="K210" s="919">
        <f t="shared" si="235"/>
        <v>911138</v>
      </c>
      <c r="L210" s="919">
        <f t="shared" si="235"/>
        <v>53914</v>
      </c>
      <c r="M210" s="919">
        <f t="shared" si="235"/>
        <v>36032</v>
      </c>
      <c r="N210" s="920">
        <f t="shared" si="235"/>
        <v>6.24</v>
      </c>
      <c r="O210" s="920">
        <f t="shared" si="235"/>
        <v>4.01</v>
      </c>
      <c r="P210" s="1036">
        <f t="shared" si="235"/>
        <v>2.23</v>
      </c>
      <c r="Q210" s="918">
        <f t="shared" si="235"/>
        <v>0</v>
      </c>
      <c r="R210" s="919">
        <f t="shared" si="235"/>
        <v>0</v>
      </c>
      <c r="S210" s="919">
        <f t="shared" si="235"/>
        <v>0</v>
      </c>
      <c r="T210" s="919">
        <f t="shared" si="235"/>
        <v>0</v>
      </c>
      <c r="U210" s="919">
        <f t="shared" si="235"/>
        <v>0</v>
      </c>
      <c r="V210" s="919">
        <f t="shared" si="235"/>
        <v>0</v>
      </c>
      <c r="W210" s="919">
        <f t="shared" si="235"/>
        <v>0</v>
      </c>
      <c r="X210" s="919">
        <f t="shared" si="235"/>
        <v>0</v>
      </c>
      <c r="Y210" s="919">
        <f t="shared" si="235"/>
        <v>0</v>
      </c>
      <c r="Z210" s="919">
        <f t="shared" si="235"/>
        <v>0</v>
      </c>
      <c r="AA210" s="919">
        <f t="shared" si="235"/>
        <v>0</v>
      </c>
      <c r="AB210" s="919">
        <f t="shared" si="235"/>
        <v>0</v>
      </c>
      <c r="AC210" s="919">
        <f t="shared" si="235"/>
        <v>0</v>
      </c>
      <c r="AD210" s="919">
        <f t="shared" si="235"/>
        <v>0</v>
      </c>
      <c r="AE210" s="919">
        <f t="shared" si="235"/>
        <v>0</v>
      </c>
      <c r="AF210" s="919">
        <f t="shared" si="235"/>
        <v>0</v>
      </c>
      <c r="AG210" s="920">
        <f t="shared" si="235"/>
        <v>0</v>
      </c>
      <c r="AH210" s="920">
        <f t="shared" si="235"/>
        <v>0</v>
      </c>
      <c r="AI210" s="920">
        <f t="shared" si="235"/>
        <v>0</v>
      </c>
      <c r="AJ210" s="920">
        <f t="shared" si="235"/>
        <v>0</v>
      </c>
      <c r="AK210" s="920">
        <f t="shared" si="235"/>
        <v>0</v>
      </c>
      <c r="AL210" s="920">
        <f t="shared" si="235"/>
        <v>0</v>
      </c>
      <c r="AM210" s="920">
        <f t="shared" si="235"/>
        <v>0</v>
      </c>
      <c r="AN210" s="1036">
        <f t="shared" si="235"/>
        <v>0</v>
      </c>
      <c r="AO210" s="918">
        <f t="shared" si="235"/>
        <v>3696760</v>
      </c>
      <c r="AP210" s="919">
        <f t="shared" si="235"/>
        <v>2695676</v>
      </c>
      <c r="AQ210" s="919">
        <f t="shared" si="235"/>
        <v>0</v>
      </c>
      <c r="AR210" s="919">
        <f t="shared" si="235"/>
        <v>911138</v>
      </c>
      <c r="AS210" s="919">
        <f t="shared" si="235"/>
        <v>53914</v>
      </c>
      <c r="AT210" s="919">
        <f t="shared" si="235"/>
        <v>36032</v>
      </c>
      <c r="AU210" s="920">
        <f t="shared" si="235"/>
        <v>6.24</v>
      </c>
      <c r="AV210" s="920">
        <f t="shared" si="235"/>
        <v>4.01</v>
      </c>
      <c r="AW210" s="996">
        <f t="shared" si="235"/>
        <v>2.23</v>
      </c>
    </row>
    <row r="211" spans="1:49" s="925" customFormat="1" ht="12.95" customHeight="1" x14ac:dyDescent="0.25">
      <c r="A211" s="1110"/>
      <c r="B211" s="751"/>
      <c r="C211" s="751"/>
      <c r="D211" s="751"/>
      <c r="E211" s="751"/>
      <c r="F211" s="751"/>
      <c r="G211" s="751"/>
      <c r="H211" s="1111"/>
      <c r="I211" s="751"/>
      <c r="J211" s="751"/>
      <c r="K211" s="751"/>
      <c r="L211" s="751"/>
      <c r="M211" s="751"/>
      <c r="N211" s="926"/>
      <c r="O211" s="926"/>
      <c r="P211" s="926"/>
      <c r="AG211" s="926"/>
      <c r="AH211" s="926"/>
      <c r="AI211" s="926"/>
      <c r="AJ211" s="926"/>
      <c r="AK211" s="926"/>
      <c r="AL211" s="926"/>
      <c r="AM211" s="926"/>
      <c r="AN211" s="926"/>
      <c r="AU211" s="926"/>
      <c r="AV211" s="926"/>
      <c r="AW211" s="926"/>
    </row>
    <row r="212" spans="1:49" s="925" customFormat="1" ht="12.95" customHeight="1" x14ac:dyDescent="0.25">
      <c r="A212" s="1110"/>
      <c r="B212" s="751"/>
      <c r="C212" s="751"/>
      <c r="D212" s="751"/>
      <c r="E212" s="751"/>
      <c r="F212" s="878"/>
      <c r="G212" s="751"/>
      <c r="H212" s="1111"/>
      <c r="I212" s="751"/>
      <c r="J212" s="751"/>
      <c r="K212" s="751"/>
      <c r="L212" s="751"/>
      <c r="M212" s="751"/>
      <c r="N212" s="926"/>
      <c r="O212" s="926"/>
      <c r="P212" s="926"/>
      <c r="AG212" s="926"/>
      <c r="AH212" s="926"/>
      <c r="AI212" s="926"/>
      <c r="AJ212" s="926"/>
      <c r="AK212" s="926"/>
      <c r="AL212" s="926"/>
      <c r="AM212" s="926"/>
      <c r="AN212" s="926"/>
      <c r="AU212" s="926"/>
      <c r="AV212" s="926"/>
      <c r="AW212" s="926"/>
    </row>
    <row r="213" spans="1:49" s="925" customFormat="1" ht="12.95" customHeight="1" x14ac:dyDescent="0.25">
      <c r="A213" s="1110"/>
      <c r="B213" s="751"/>
      <c r="C213" s="751"/>
      <c r="D213" s="751"/>
      <c r="E213" s="751"/>
      <c r="F213" s="878"/>
      <c r="G213" s="751"/>
      <c r="H213" s="1111"/>
      <c r="I213" s="751"/>
      <c r="J213" s="751"/>
      <c r="K213" s="751"/>
      <c r="L213" s="751"/>
      <c r="M213" s="751"/>
      <c r="N213" s="926"/>
      <c r="O213" s="926"/>
      <c r="P213" s="926"/>
      <c r="AG213" s="926"/>
      <c r="AH213" s="926"/>
      <c r="AI213" s="926"/>
      <c r="AJ213" s="926"/>
      <c r="AK213" s="926"/>
      <c r="AL213" s="926"/>
      <c r="AM213" s="926"/>
      <c r="AN213" s="926"/>
      <c r="AU213" s="926"/>
      <c r="AV213" s="926"/>
      <c r="AW213" s="926"/>
    </row>
    <row r="214" spans="1:49" s="925" customFormat="1" x14ac:dyDescent="0.25">
      <c r="A214" s="1110"/>
      <c r="B214" s="751"/>
      <c r="C214" s="751"/>
      <c r="D214" s="751"/>
      <c r="E214" s="751"/>
      <c r="F214" s="878"/>
      <c r="G214" s="751"/>
      <c r="H214" s="1111"/>
      <c r="I214" s="751"/>
      <c r="J214" s="751"/>
      <c r="K214" s="751"/>
      <c r="L214" s="751"/>
      <c r="M214" s="751"/>
      <c r="N214" s="926"/>
      <c r="O214" s="926"/>
      <c r="P214" s="926"/>
      <c r="AG214" s="926"/>
      <c r="AH214" s="926"/>
      <c r="AI214" s="926"/>
      <c r="AJ214" s="926"/>
      <c r="AK214" s="926"/>
      <c r="AL214" s="926"/>
      <c r="AM214" s="926"/>
      <c r="AN214" s="926"/>
      <c r="AU214" s="926"/>
      <c r="AV214" s="926"/>
      <c r="AW214" s="926"/>
    </row>
    <row r="215" spans="1:49" s="925" customFormat="1" x14ac:dyDescent="0.25">
      <c r="A215" s="1110"/>
      <c r="B215" s="751"/>
      <c r="C215" s="751"/>
      <c r="D215" s="751"/>
      <c r="E215" s="751"/>
      <c r="F215" s="878"/>
      <c r="G215" s="751"/>
      <c r="H215" s="1111"/>
      <c r="I215" s="751"/>
      <c r="J215" s="751"/>
      <c r="K215" s="751"/>
      <c r="L215" s="751"/>
      <c r="M215" s="751"/>
      <c r="N215" s="926"/>
      <c r="O215" s="926"/>
      <c r="P215" s="926"/>
      <c r="AG215" s="926"/>
      <c r="AH215" s="926"/>
      <c r="AI215" s="926"/>
      <c r="AJ215" s="926"/>
      <c r="AK215" s="926"/>
      <c r="AL215" s="926"/>
      <c r="AM215" s="926"/>
      <c r="AN215" s="926"/>
      <c r="AU215" s="926"/>
      <c r="AV215" s="926"/>
      <c r="AW215" s="926"/>
    </row>
    <row r="216" spans="1:49" s="925" customFormat="1" x14ac:dyDescent="0.25">
      <c r="A216" s="1110"/>
      <c r="B216" s="751"/>
      <c r="C216" s="751"/>
      <c r="D216" s="751"/>
      <c r="E216" s="751"/>
      <c r="F216" s="878"/>
      <c r="G216" s="751"/>
      <c r="H216" s="1111"/>
      <c r="I216" s="751"/>
      <c r="J216" s="751"/>
      <c r="K216" s="751"/>
      <c r="L216" s="751"/>
      <c r="M216" s="751"/>
      <c r="N216" s="926"/>
      <c r="O216" s="926"/>
      <c r="P216" s="926"/>
      <c r="AG216" s="926"/>
      <c r="AH216" s="926"/>
      <c r="AI216" s="926"/>
      <c r="AJ216" s="926"/>
      <c r="AK216" s="926"/>
      <c r="AL216" s="926"/>
      <c r="AM216" s="926"/>
      <c r="AN216" s="926"/>
      <c r="AU216" s="926"/>
      <c r="AV216" s="926"/>
      <c r="AW216" s="926"/>
    </row>
    <row r="217" spans="1:49" s="925" customFormat="1" x14ac:dyDescent="0.25">
      <c r="A217" s="1110"/>
      <c r="B217" s="751"/>
      <c r="C217" s="751"/>
      <c r="D217" s="751"/>
      <c r="E217" s="751"/>
      <c r="F217" s="878"/>
      <c r="G217" s="751"/>
      <c r="H217" s="1111"/>
      <c r="I217" s="751"/>
      <c r="J217" s="751"/>
      <c r="K217" s="751"/>
      <c r="L217" s="751"/>
      <c r="M217" s="751"/>
      <c r="N217" s="926"/>
      <c r="O217" s="926"/>
      <c r="P217" s="926"/>
      <c r="AG217" s="926"/>
      <c r="AH217" s="926"/>
      <c r="AI217" s="926"/>
      <c r="AJ217" s="926"/>
      <c r="AK217" s="926"/>
      <c r="AL217" s="926"/>
      <c r="AM217" s="926"/>
      <c r="AN217" s="926"/>
      <c r="AU217" s="926"/>
      <c r="AV217" s="926"/>
      <c r="AW217" s="926"/>
    </row>
    <row r="223" spans="1:49" x14ac:dyDescent="0.25">
      <c r="I223" s="925"/>
      <c r="J223" s="925"/>
      <c r="K223" s="925"/>
      <c r="L223" s="925"/>
      <c r="M223" s="925"/>
      <c r="Q223" s="925">
        <f t="shared" ref="Q223:AW223" si="236">SUBTOTAL(9,Q50:Q195)</f>
        <v>-2316000</v>
      </c>
      <c r="R223" s="925">
        <f t="shared" si="236"/>
        <v>21941385</v>
      </c>
      <c r="S223" s="925">
        <f t="shared" si="236"/>
        <v>0</v>
      </c>
      <c r="T223" s="925">
        <f t="shared" si="236"/>
        <v>105064</v>
      </c>
      <c r="U223" s="925">
        <f t="shared" si="236"/>
        <v>19730449</v>
      </c>
      <c r="V223" s="925">
        <f t="shared" si="236"/>
        <v>2316000</v>
      </c>
      <c r="W223" s="925">
        <f t="shared" si="236"/>
        <v>584728</v>
      </c>
      <c r="X223" s="925">
        <f t="shared" si="236"/>
        <v>224000</v>
      </c>
      <c r="Y223" s="925">
        <f t="shared" si="236"/>
        <v>3124728</v>
      </c>
      <c r="Z223" s="925">
        <f t="shared" si="236"/>
        <v>22855177</v>
      </c>
      <c r="AA223" s="925">
        <f t="shared" si="236"/>
        <v>7649341</v>
      </c>
      <c r="AB223" s="925">
        <f t="shared" si="236"/>
        <v>394612</v>
      </c>
      <c r="AC223" s="925">
        <f t="shared" si="236"/>
        <v>6000</v>
      </c>
      <c r="AD223" s="925">
        <f t="shared" si="236"/>
        <v>0</v>
      </c>
      <c r="AE223" s="925">
        <f t="shared" si="236"/>
        <v>6000</v>
      </c>
      <c r="AF223" s="925">
        <f t="shared" si="236"/>
        <v>30905130</v>
      </c>
      <c r="AG223" s="926">
        <f t="shared" si="236"/>
        <v>-1.9500000000000002</v>
      </c>
      <c r="AH223" s="926">
        <f t="shared" si="236"/>
        <v>-2.989999999999998</v>
      </c>
      <c r="AI223" s="926">
        <f t="shared" si="236"/>
        <v>61.52</v>
      </c>
      <c r="AJ223" s="926">
        <f t="shared" si="236"/>
        <v>0.18</v>
      </c>
      <c r="AK223" s="926">
        <f t="shared" si="236"/>
        <v>0</v>
      </c>
      <c r="AL223" s="926">
        <f t="shared" si="236"/>
        <v>59.749999999999993</v>
      </c>
      <c r="AM223" s="926">
        <f t="shared" si="236"/>
        <v>-2.989999999999998</v>
      </c>
      <c r="AN223" s="926">
        <f t="shared" si="236"/>
        <v>56.759999999999991</v>
      </c>
      <c r="AO223" s="925">
        <f t="shared" si="236"/>
        <v>649607423</v>
      </c>
      <c r="AP223" s="925">
        <f t="shared" si="236"/>
        <v>468502780</v>
      </c>
      <c r="AQ223" s="925">
        <f t="shared" si="236"/>
        <v>3124728</v>
      </c>
      <c r="AR223" s="925">
        <f t="shared" si="236"/>
        <v>159334387</v>
      </c>
      <c r="AS223" s="925">
        <f t="shared" si="236"/>
        <v>9370066</v>
      </c>
      <c r="AT223" s="925">
        <f t="shared" si="236"/>
        <v>9275462</v>
      </c>
      <c r="AU223" s="926">
        <f t="shared" si="236"/>
        <v>1004.9480000000002</v>
      </c>
      <c r="AV223" s="926">
        <f t="shared" si="236"/>
        <v>697.36759999999992</v>
      </c>
      <c r="AW223" s="926">
        <f t="shared" si="236"/>
        <v>307.58040000000028</v>
      </c>
    </row>
    <row r="224" spans="1:49" x14ac:dyDescent="0.25">
      <c r="N224" s="751"/>
      <c r="O224" s="751"/>
      <c r="P224" s="751"/>
    </row>
    <row r="225" spans="14:16" x14ac:dyDescent="0.25">
      <c r="N225" s="751"/>
      <c r="O225" s="751"/>
      <c r="P225" s="751"/>
    </row>
    <row r="226" spans="14:16" x14ac:dyDescent="0.25">
      <c r="N226" s="751"/>
      <c r="O226" s="751"/>
      <c r="P226" s="751"/>
    </row>
  </sheetData>
  <mergeCells count="24">
    <mergeCell ref="A3:E3"/>
    <mergeCell ref="AO6:AW7"/>
    <mergeCell ref="AB7:AB10"/>
    <mergeCell ref="AC7:AE9"/>
    <mergeCell ref="AF7:AF10"/>
    <mergeCell ref="AG7:AN7"/>
    <mergeCell ref="AG8:AH9"/>
    <mergeCell ref="AI8:AI9"/>
    <mergeCell ref="AJ8:AK9"/>
    <mergeCell ref="AL8:AN9"/>
    <mergeCell ref="AO8:AO10"/>
    <mergeCell ref="AP8:AT9"/>
    <mergeCell ref="AU8:AU10"/>
    <mergeCell ref="Z7:Z10"/>
    <mergeCell ref="AA7:AA10"/>
    <mergeCell ref="AV8:AW9"/>
    <mergeCell ref="I8:I10"/>
    <mergeCell ref="I6:P7"/>
    <mergeCell ref="Q6:AN6"/>
    <mergeCell ref="Q7:U9"/>
    <mergeCell ref="V7:Y9"/>
    <mergeCell ref="J8:M9"/>
    <mergeCell ref="N8:N10"/>
    <mergeCell ref="O8:P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P256"/>
  <sheetViews>
    <sheetView workbookViewId="0">
      <pane xSplit="1" ySplit="12" topLeftCell="B13" activePane="bottomRight" state="frozen"/>
      <selection activeCell="Q6" sqref="Q6:AN6"/>
      <selection pane="topRight" activeCell="Q6" sqref="Q6:AN6"/>
      <selection pane="bottomLeft" activeCell="Q6" sqref="Q6:AN6"/>
      <selection pane="bottomRight" activeCell="S4" sqref="S4"/>
    </sheetView>
  </sheetViews>
  <sheetFormatPr defaultRowHeight="12.75" x14ac:dyDescent="0.2"/>
  <cols>
    <col min="1" max="1" width="7.85546875" style="45" customWidth="1"/>
    <col min="2" max="2" width="12.28515625" customWidth="1"/>
    <col min="3" max="4" width="11.85546875" customWidth="1"/>
    <col min="5" max="5" width="11.28515625" customWidth="1"/>
    <col min="6" max="6" width="11.5703125" customWidth="1"/>
    <col min="7" max="7" width="11.5703125" style="15" customWidth="1"/>
    <col min="8" max="8" width="9.5703125" style="15" customWidth="1"/>
    <col min="9" max="9" width="9" style="15" customWidth="1"/>
    <col min="10" max="10" width="9.7109375" style="28" customWidth="1"/>
    <col min="11" max="11" width="9.5703125" bestFit="1" customWidth="1"/>
    <col min="13" max="13" width="10.85546875" customWidth="1"/>
    <col min="14" max="14" width="9.5703125" bestFit="1" customWidth="1"/>
    <col min="19" max="19" width="9.85546875" customWidth="1"/>
    <col min="25" max="25" width="11.85546875" customWidth="1"/>
    <col min="26" max="33" width="9.140625" style="15"/>
    <col min="34" max="35" width="10.85546875" bestFit="1" customWidth="1"/>
    <col min="36" max="36" width="9.85546875" bestFit="1" customWidth="1"/>
    <col min="37" max="37" width="12.42578125" bestFit="1" customWidth="1"/>
    <col min="39" max="39" width="10.140625" bestFit="1" customWidth="1"/>
    <col min="40" max="40" width="11.85546875" style="15" customWidth="1"/>
    <col min="41" max="41" width="9.140625" style="15"/>
    <col min="42" max="42" width="9.140625" style="15" customWidth="1"/>
    <col min="116" max="116" width="7.42578125" customWidth="1"/>
    <col min="117" max="118" width="10.85546875" bestFit="1" customWidth="1"/>
    <col min="119" max="120" width="10.85546875" customWidth="1"/>
    <col min="121" max="125" width="10" customWidth="1"/>
    <col min="129" max="130" width="10.85546875" bestFit="1" customWidth="1"/>
    <col min="131" max="131" width="10" bestFit="1" customWidth="1"/>
    <col min="132" max="133" width="9.28515625" bestFit="1" customWidth="1"/>
    <col min="372" max="372" width="7.42578125" customWidth="1"/>
    <col min="373" max="374" width="10.85546875" bestFit="1" customWidth="1"/>
    <col min="375" max="376" width="10.85546875" customWidth="1"/>
    <col min="377" max="381" width="10" customWidth="1"/>
    <col min="385" max="386" width="10.85546875" bestFit="1" customWidth="1"/>
    <col min="387" max="387" width="10" bestFit="1" customWidth="1"/>
    <col min="388" max="389" width="9.28515625" bestFit="1" customWidth="1"/>
    <col min="628" max="628" width="7.42578125" customWidth="1"/>
    <col min="629" max="630" width="10.85546875" bestFit="1" customWidth="1"/>
    <col min="631" max="632" width="10.85546875" customWidth="1"/>
    <col min="633" max="637" width="10" customWidth="1"/>
    <col min="641" max="642" width="10.85546875" bestFit="1" customWidth="1"/>
    <col min="643" max="643" width="10" bestFit="1" customWidth="1"/>
    <col min="644" max="645" width="9.28515625" bestFit="1" customWidth="1"/>
    <col min="884" max="884" width="7.42578125" customWidth="1"/>
    <col min="885" max="886" width="10.85546875" bestFit="1" customWidth="1"/>
    <col min="887" max="888" width="10.85546875" customWidth="1"/>
    <col min="889" max="893" width="10" customWidth="1"/>
    <col min="897" max="898" width="10.85546875" bestFit="1" customWidth="1"/>
    <col min="899" max="899" width="10" bestFit="1" customWidth="1"/>
    <col min="900" max="901" width="9.28515625" bestFit="1" customWidth="1"/>
    <col min="1140" max="1140" width="7.42578125" customWidth="1"/>
    <col min="1141" max="1142" width="10.85546875" bestFit="1" customWidth="1"/>
    <col min="1143" max="1144" width="10.85546875" customWidth="1"/>
    <col min="1145" max="1149" width="10" customWidth="1"/>
    <col min="1153" max="1154" width="10.85546875" bestFit="1" customWidth="1"/>
    <col min="1155" max="1155" width="10" bestFit="1" customWidth="1"/>
    <col min="1156" max="1157" width="9.28515625" bestFit="1" customWidth="1"/>
    <col min="1396" max="1396" width="7.42578125" customWidth="1"/>
    <col min="1397" max="1398" width="10.85546875" bestFit="1" customWidth="1"/>
    <col min="1399" max="1400" width="10.85546875" customWidth="1"/>
    <col min="1401" max="1405" width="10" customWidth="1"/>
    <col min="1409" max="1410" width="10.85546875" bestFit="1" customWidth="1"/>
    <col min="1411" max="1411" width="10" bestFit="1" customWidth="1"/>
    <col min="1412" max="1413" width="9.28515625" bestFit="1" customWidth="1"/>
    <col min="1652" max="1652" width="7.42578125" customWidth="1"/>
    <col min="1653" max="1654" width="10.85546875" bestFit="1" customWidth="1"/>
    <col min="1655" max="1656" width="10.85546875" customWidth="1"/>
    <col min="1657" max="1661" width="10" customWidth="1"/>
    <col min="1665" max="1666" width="10.85546875" bestFit="1" customWidth="1"/>
    <col min="1667" max="1667" width="10" bestFit="1" customWidth="1"/>
    <col min="1668" max="1669" width="9.28515625" bestFit="1" customWidth="1"/>
    <col min="1908" max="1908" width="7.42578125" customWidth="1"/>
    <col min="1909" max="1910" width="10.85546875" bestFit="1" customWidth="1"/>
    <col min="1911" max="1912" width="10.85546875" customWidth="1"/>
    <col min="1913" max="1917" width="10" customWidth="1"/>
    <col min="1921" max="1922" width="10.85546875" bestFit="1" customWidth="1"/>
    <col min="1923" max="1923" width="10" bestFit="1" customWidth="1"/>
    <col min="1924" max="1925" width="9.28515625" bestFit="1" customWidth="1"/>
    <col min="2164" max="2164" width="7.42578125" customWidth="1"/>
    <col min="2165" max="2166" width="10.85546875" bestFit="1" customWidth="1"/>
    <col min="2167" max="2168" width="10.85546875" customWidth="1"/>
    <col min="2169" max="2173" width="10" customWidth="1"/>
    <col min="2177" max="2178" width="10.85546875" bestFit="1" customWidth="1"/>
    <col min="2179" max="2179" width="10" bestFit="1" customWidth="1"/>
    <col min="2180" max="2181" width="9.28515625" bestFit="1" customWidth="1"/>
    <col min="2420" max="2420" width="7.42578125" customWidth="1"/>
    <col min="2421" max="2422" width="10.85546875" bestFit="1" customWidth="1"/>
    <col min="2423" max="2424" width="10.85546875" customWidth="1"/>
    <col min="2425" max="2429" width="10" customWidth="1"/>
    <col min="2433" max="2434" width="10.85546875" bestFit="1" customWidth="1"/>
    <col min="2435" max="2435" width="10" bestFit="1" customWidth="1"/>
    <col min="2436" max="2437" width="9.28515625" bestFit="1" customWidth="1"/>
    <col min="2676" max="2676" width="7.42578125" customWidth="1"/>
    <col min="2677" max="2678" width="10.85546875" bestFit="1" customWidth="1"/>
    <col min="2679" max="2680" width="10.85546875" customWidth="1"/>
    <col min="2681" max="2685" width="10" customWidth="1"/>
    <col min="2689" max="2690" width="10.85546875" bestFit="1" customWidth="1"/>
    <col min="2691" max="2691" width="10" bestFit="1" customWidth="1"/>
    <col min="2692" max="2693" width="9.28515625" bestFit="1" customWidth="1"/>
    <col min="2932" max="2932" width="7.42578125" customWidth="1"/>
    <col min="2933" max="2934" width="10.85546875" bestFit="1" customWidth="1"/>
    <col min="2935" max="2936" width="10.85546875" customWidth="1"/>
    <col min="2937" max="2941" width="10" customWidth="1"/>
    <col min="2945" max="2946" width="10.85546875" bestFit="1" customWidth="1"/>
    <col min="2947" max="2947" width="10" bestFit="1" customWidth="1"/>
    <col min="2948" max="2949" width="9.28515625" bestFit="1" customWidth="1"/>
    <col min="3188" max="3188" width="7.42578125" customWidth="1"/>
    <col min="3189" max="3190" width="10.85546875" bestFit="1" customWidth="1"/>
    <col min="3191" max="3192" width="10.85546875" customWidth="1"/>
    <col min="3193" max="3197" width="10" customWidth="1"/>
    <col min="3201" max="3202" width="10.85546875" bestFit="1" customWidth="1"/>
    <col min="3203" max="3203" width="10" bestFit="1" customWidth="1"/>
    <col min="3204" max="3205" width="9.28515625" bestFit="1" customWidth="1"/>
    <col min="3444" max="3444" width="7.42578125" customWidth="1"/>
    <col min="3445" max="3446" width="10.85546875" bestFit="1" customWidth="1"/>
    <col min="3447" max="3448" width="10.85546875" customWidth="1"/>
    <col min="3449" max="3453" width="10" customWidth="1"/>
    <col min="3457" max="3458" width="10.85546875" bestFit="1" customWidth="1"/>
    <col min="3459" max="3459" width="10" bestFit="1" customWidth="1"/>
    <col min="3460" max="3461" width="9.28515625" bestFit="1" customWidth="1"/>
    <col min="3700" max="3700" width="7.42578125" customWidth="1"/>
    <col min="3701" max="3702" width="10.85546875" bestFit="1" customWidth="1"/>
    <col min="3703" max="3704" width="10.85546875" customWidth="1"/>
    <col min="3705" max="3709" width="10" customWidth="1"/>
    <col min="3713" max="3714" width="10.85546875" bestFit="1" customWidth="1"/>
    <col min="3715" max="3715" width="10" bestFit="1" customWidth="1"/>
    <col min="3716" max="3717" width="9.28515625" bestFit="1" customWidth="1"/>
    <col min="3956" max="3956" width="7.42578125" customWidth="1"/>
    <col min="3957" max="3958" width="10.85546875" bestFit="1" customWidth="1"/>
    <col min="3959" max="3960" width="10.85546875" customWidth="1"/>
    <col min="3961" max="3965" width="10" customWidth="1"/>
    <col min="3969" max="3970" width="10.85546875" bestFit="1" customWidth="1"/>
    <col min="3971" max="3971" width="10" bestFit="1" customWidth="1"/>
    <col min="3972" max="3973" width="9.28515625" bestFit="1" customWidth="1"/>
    <col min="4212" max="4212" width="7.42578125" customWidth="1"/>
    <col min="4213" max="4214" width="10.85546875" bestFit="1" customWidth="1"/>
    <col min="4215" max="4216" width="10.85546875" customWidth="1"/>
    <col min="4217" max="4221" width="10" customWidth="1"/>
    <col min="4225" max="4226" width="10.85546875" bestFit="1" customWidth="1"/>
    <col min="4227" max="4227" width="10" bestFit="1" customWidth="1"/>
    <col min="4228" max="4229" width="9.28515625" bestFit="1" customWidth="1"/>
    <col min="4468" max="4468" width="7.42578125" customWidth="1"/>
    <col min="4469" max="4470" width="10.85546875" bestFit="1" customWidth="1"/>
    <col min="4471" max="4472" width="10.85546875" customWidth="1"/>
    <col min="4473" max="4477" width="10" customWidth="1"/>
    <col min="4481" max="4482" width="10.85546875" bestFit="1" customWidth="1"/>
    <col min="4483" max="4483" width="10" bestFit="1" customWidth="1"/>
    <col min="4484" max="4485" width="9.28515625" bestFit="1" customWidth="1"/>
    <col min="4724" max="4724" width="7.42578125" customWidth="1"/>
    <col min="4725" max="4726" width="10.85546875" bestFit="1" customWidth="1"/>
    <col min="4727" max="4728" width="10.85546875" customWidth="1"/>
    <col min="4729" max="4733" width="10" customWidth="1"/>
    <col min="4737" max="4738" width="10.85546875" bestFit="1" customWidth="1"/>
    <col min="4739" max="4739" width="10" bestFit="1" customWidth="1"/>
    <col min="4740" max="4741" width="9.28515625" bestFit="1" customWidth="1"/>
    <col min="4980" max="4980" width="7.42578125" customWidth="1"/>
    <col min="4981" max="4982" width="10.85546875" bestFit="1" customWidth="1"/>
    <col min="4983" max="4984" width="10.85546875" customWidth="1"/>
    <col min="4985" max="4989" width="10" customWidth="1"/>
    <col min="4993" max="4994" width="10.85546875" bestFit="1" customWidth="1"/>
    <col min="4995" max="4995" width="10" bestFit="1" customWidth="1"/>
    <col min="4996" max="4997" width="9.28515625" bestFit="1" customWidth="1"/>
    <col min="5236" max="5236" width="7.42578125" customWidth="1"/>
    <col min="5237" max="5238" width="10.85546875" bestFit="1" customWidth="1"/>
    <col min="5239" max="5240" width="10.85546875" customWidth="1"/>
    <col min="5241" max="5245" width="10" customWidth="1"/>
    <col min="5249" max="5250" width="10.85546875" bestFit="1" customWidth="1"/>
    <col min="5251" max="5251" width="10" bestFit="1" customWidth="1"/>
    <col min="5252" max="5253" width="9.28515625" bestFit="1" customWidth="1"/>
    <col min="5492" max="5492" width="7.42578125" customWidth="1"/>
    <col min="5493" max="5494" width="10.85546875" bestFit="1" customWidth="1"/>
    <col min="5495" max="5496" width="10.85546875" customWidth="1"/>
    <col min="5497" max="5501" width="10" customWidth="1"/>
    <col min="5505" max="5506" width="10.85546875" bestFit="1" customWidth="1"/>
    <col min="5507" max="5507" width="10" bestFit="1" customWidth="1"/>
    <col min="5508" max="5509" width="9.28515625" bestFit="1" customWidth="1"/>
    <col min="5748" max="5748" width="7.42578125" customWidth="1"/>
    <col min="5749" max="5750" width="10.85546875" bestFit="1" customWidth="1"/>
    <col min="5751" max="5752" width="10.85546875" customWidth="1"/>
    <col min="5753" max="5757" width="10" customWidth="1"/>
    <col min="5761" max="5762" width="10.85546875" bestFit="1" customWidth="1"/>
    <col min="5763" max="5763" width="10" bestFit="1" customWidth="1"/>
    <col min="5764" max="5765" width="9.28515625" bestFit="1" customWidth="1"/>
    <col min="6004" max="6004" width="7.42578125" customWidth="1"/>
    <col min="6005" max="6006" width="10.85546875" bestFit="1" customWidth="1"/>
    <col min="6007" max="6008" width="10.85546875" customWidth="1"/>
    <col min="6009" max="6013" width="10" customWidth="1"/>
    <col min="6017" max="6018" width="10.85546875" bestFit="1" customWidth="1"/>
    <col min="6019" max="6019" width="10" bestFit="1" customWidth="1"/>
    <col min="6020" max="6021" width="9.28515625" bestFit="1" customWidth="1"/>
    <col min="6260" max="6260" width="7.42578125" customWidth="1"/>
    <col min="6261" max="6262" width="10.85546875" bestFit="1" customWidth="1"/>
    <col min="6263" max="6264" width="10.85546875" customWidth="1"/>
    <col min="6265" max="6269" width="10" customWidth="1"/>
    <col min="6273" max="6274" width="10.85546875" bestFit="1" customWidth="1"/>
    <col min="6275" max="6275" width="10" bestFit="1" customWidth="1"/>
    <col min="6276" max="6277" width="9.28515625" bestFit="1" customWidth="1"/>
    <col min="6516" max="6516" width="7.42578125" customWidth="1"/>
    <col min="6517" max="6518" width="10.85546875" bestFit="1" customWidth="1"/>
    <col min="6519" max="6520" width="10.85546875" customWidth="1"/>
    <col min="6521" max="6525" width="10" customWidth="1"/>
    <col min="6529" max="6530" width="10.85546875" bestFit="1" customWidth="1"/>
    <col min="6531" max="6531" width="10" bestFit="1" customWidth="1"/>
    <col min="6532" max="6533" width="9.28515625" bestFit="1" customWidth="1"/>
    <col min="6772" max="6772" width="7.42578125" customWidth="1"/>
    <col min="6773" max="6774" width="10.85546875" bestFit="1" customWidth="1"/>
    <col min="6775" max="6776" width="10.85546875" customWidth="1"/>
    <col min="6777" max="6781" width="10" customWidth="1"/>
    <col min="6785" max="6786" width="10.85546875" bestFit="1" customWidth="1"/>
    <col min="6787" max="6787" width="10" bestFit="1" customWidth="1"/>
    <col min="6788" max="6789" width="9.28515625" bestFit="1" customWidth="1"/>
    <col min="7028" max="7028" width="7.42578125" customWidth="1"/>
    <col min="7029" max="7030" width="10.85546875" bestFit="1" customWidth="1"/>
    <col min="7031" max="7032" width="10.85546875" customWidth="1"/>
    <col min="7033" max="7037" width="10" customWidth="1"/>
    <col min="7041" max="7042" width="10.85546875" bestFit="1" customWidth="1"/>
    <col min="7043" max="7043" width="10" bestFit="1" customWidth="1"/>
    <col min="7044" max="7045" width="9.28515625" bestFit="1" customWidth="1"/>
    <col min="7284" max="7284" width="7.42578125" customWidth="1"/>
    <col min="7285" max="7286" width="10.85546875" bestFit="1" customWidth="1"/>
    <col min="7287" max="7288" width="10.85546875" customWidth="1"/>
    <col min="7289" max="7293" width="10" customWidth="1"/>
    <col min="7297" max="7298" width="10.85546875" bestFit="1" customWidth="1"/>
    <col min="7299" max="7299" width="10" bestFit="1" customWidth="1"/>
    <col min="7300" max="7301" width="9.28515625" bestFit="1" customWidth="1"/>
    <col min="7540" max="7540" width="7.42578125" customWidth="1"/>
    <col min="7541" max="7542" width="10.85546875" bestFit="1" customWidth="1"/>
    <col min="7543" max="7544" width="10.85546875" customWidth="1"/>
    <col min="7545" max="7549" width="10" customWidth="1"/>
    <col min="7553" max="7554" width="10.85546875" bestFit="1" customWidth="1"/>
    <col min="7555" max="7555" width="10" bestFit="1" customWidth="1"/>
    <col min="7556" max="7557" width="9.28515625" bestFit="1" customWidth="1"/>
    <col min="7796" max="7796" width="7.42578125" customWidth="1"/>
    <col min="7797" max="7798" width="10.85546875" bestFit="1" customWidth="1"/>
    <col min="7799" max="7800" width="10.85546875" customWidth="1"/>
    <col min="7801" max="7805" width="10" customWidth="1"/>
    <col min="7809" max="7810" width="10.85546875" bestFit="1" customWidth="1"/>
    <col min="7811" max="7811" width="10" bestFit="1" customWidth="1"/>
    <col min="7812" max="7813" width="9.28515625" bestFit="1" customWidth="1"/>
    <col min="8052" max="8052" width="7.42578125" customWidth="1"/>
    <col min="8053" max="8054" width="10.85546875" bestFit="1" customWidth="1"/>
    <col min="8055" max="8056" width="10.85546875" customWidth="1"/>
    <col min="8057" max="8061" width="10" customWidth="1"/>
    <col min="8065" max="8066" width="10.85546875" bestFit="1" customWidth="1"/>
    <col min="8067" max="8067" width="10" bestFit="1" customWidth="1"/>
    <col min="8068" max="8069" width="9.28515625" bestFit="1" customWidth="1"/>
    <col min="8308" max="8308" width="7.42578125" customWidth="1"/>
    <col min="8309" max="8310" width="10.85546875" bestFit="1" customWidth="1"/>
    <col min="8311" max="8312" width="10.85546875" customWidth="1"/>
    <col min="8313" max="8317" width="10" customWidth="1"/>
    <col min="8321" max="8322" width="10.85546875" bestFit="1" customWidth="1"/>
    <col min="8323" max="8323" width="10" bestFit="1" customWidth="1"/>
    <col min="8324" max="8325" width="9.28515625" bestFit="1" customWidth="1"/>
    <col min="8564" max="8564" width="7.42578125" customWidth="1"/>
    <col min="8565" max="8566" width="10.85546875" bestFit="1" customWidth="1"/>
    <col min="8567" max="8568" width="10.85546875" customWidth="1"/>
    <col min="8569" max="8573" width="10" customWidth="1"/>
    <col min="8577" max="8578" width="10.85546875" bestFit="1" customWidth="1"/>
    <col min="8579" max="8579" width="10" bestFit="1" customWidth="1"/>
    <col min="8580" max="8581" width="9.28515625" bestFit="1" customWidth="1"/>
    <col min="8820" max="8820" width="7.42578125" customWidth="1"/>
    <col min="8821" max="8822" width="10.85546875" bestFit="1" customWidth="1"/>
    <col min="8823" max="8824" width="10.85546875" customWidth="1"/>
    <col min="8825" max="8829" width="10" customWidth="1"/>
    <col min="8833" max="8834" width="10.85546875" bestFit="1" customWidth="1"/>
    <col min="8835" max="8835" width="10" bestFit="1" customWidth="1"/>
    <col min="8836" max="8837" width="9.28515625" bestFit="1" customWidth="1"/>
    <col min="9076" max="9076" width="7.42578125" customWidth="1"/>
    <col min="9077" max="9078" width="10.85546875" bestFit="1" customWidth="1"/>
    <col min="9079" max="9080" width="10.85546875" customWidth="1"/>
    <col min="9081" max="9085" width="10" customWidth="1"/>
    <col min="9089" max="9090" width="10.85546875" bestFit="1" customWidth="1"/>
    <col min="9091" max="9091" width="10" bestFit="1" customWidth="1"/>
    <col min="9092" max="9093" width="9.28515625" bestFit="1" customWidth="1"/>
    <col min="9332" max="9332" width="7.42578125" customWidth="1"/>
    <col min="9333" max="9334" width="10.85546875" bestFit="1" customWidth="1"/>
    <col min="9335" max="9336" width="10.85546875" customWidth="1"/>
    <col min="9337" max="9341" width="10" customWidth="1"/>
    <col min="9345" max="9346" width="10.85546875" bestFit="1" customWidth="1"/>
    <col min="9347" max="9347" width="10" bestFit="1" customWidth="1"/>
    <col min="9348" max="9349" width="9.28515625" bestFit="1" customWidth="1"/>
    <col min="9588" max="9588" width="7.42578125" customWidth="1"/>
    <col min="9589" max="9590" width="10.85546875" bestFit="1" customWidth="1"/>
    <col min="9591" max="9592" width="10.85546875" customWidth="1"/>
    <col min="9593" max="9597" width="10" customWidth="1"/>
    <col min="9601" max="9602" width="10.85546875" bestFit="1" customWidth="1"/>
    <col min="9603" max="9603" width="10" bestFit="1" customWidth="1"/>
    <col min="9604" max="9605" width="9.28515625" bestFit="1" customWidth="1"/>
    <col min="9844" max="9844" width="7.42578125" customWidth="1"/>
    <col min="9845" max="9846" width="10.85546875" bestFit="1" customWidth="1"/>
    <col min="9847" max="9848" width="10.85546875" customWidth="1"/>
    <col min="9849" max="9853" width="10" customWidth="1"/>
    <col min="9857" max="9858" width="10.85546875" bestFit="1" customWidth="1"/>
    <col min="9859" max="9859" width="10" bestFit="1" customWidth="1"/>
    <col min="9860" max="9861" width="9.28515625" bestFit="1" customWidth="1"/>
    <col min="10100" max="10100" width="7.42578125" customWidth="1"/>
    <col min="10101" max="10102" width="10.85546875" bestFit="1" customWidth="1"/>
    <col min="10103" max="10104" width="10.85546875" customWidth="1"/>
    <col min="10105" max="10109" width="10" customWidth="1"/>
    <col min="10113" max="10114" width="10.85546875" bestFit="1" customWidth="1"/>
    <col min="10115" max="10115" width="10" bestFit="1" customWidth="1"/>
    <col min="10116" max="10117" width="9.28515625" bestFit="1" customWidth="1"/>
    <col min="10356" max="10356" width="7.42578125" customWidth="1"/>
    <col min="10357" max="10358" width="10.85546875" bestFit="1" customWidth="1"/>
    <col min="10359" max="10360" width="10.85546875" customWidth="1"/>
    <col min="10361" max="10365" width="10" customWidth="1"/>
    <col min="10369" max="10370" width="10.85546875" bestFit="1" customWidth="1"/>
    <col min="10371" max="10371" width="10" bestFit="1" customWidth="1"/>
    <col min="10372" max="10373" width="9.28515625" bestFit="1" customWidth="1"/>
    <col min="10612" max="10612" width="7.42578125" customWidth="1"/>
    <col min="10613" max="10614" width="10.85546875" bestFit="1" customWidth="1"/>
    <col min="10615" max="10616" width="10.85546875" customWidth="1"/>
    <col min="10617" max="10621" width="10" customWidth="1"/>
    <col min="10625" max="10626" width="10.85546875" bestFit="1" customWidth="1"/>
    <col min="10627" max="10627" width="10" bestFit="1" customWidth="1"/>
    <col min="10628" max="10629" width="9.28515625" bestFit="1" customWidth="1"/>
    <col min="10868" max="10868" width="7.42578125" customWidth="1"/>
    <col min="10869" max="10870" width="10.85546875" bestFit="1" customWidth="1"/>
    <col min="10871" max="10872" width="10.85546875" customWidth="1"/>
    <col min="10873" max="10877" width="10" customWidth="1"/>
    <col min="10881" max="10882" width="10.85546875" bestFit="1" customWidth="1"/>
    <col min="10883" max="10883" width="10" bestFit="1" customWidth="1"/>
    <col min="10884" max="10885" width="9.28515625" bestFit="1" customWidth="1"/>
    <col min="11124" max="11124" width="7.42578125" customWidth="1"/>
    <col min="11125" max="11126" width="10.85546875" bestFit="1" customWidth="1"/>
    <col min="11127" max="11128" width="10.85546875" customWidth="1"/>
    <col min="11129" max="11133" width="10" customWidth="1"/>
    <col min="11137" max="11138" width="10.85546875" bestFit="1" customWidth="1"/>
    <col min="11139" max="11139" width="10" bestFit="1" customWidth="1"/>
    <col min="11140" max="11141" width="9.28515625" bestFit="1" customWidth="1"/>
    <col min="11380" max="11380" width="7.42578125" customWidth="1"/>
    <col min="11381" max="11382" width="10.85546875" bestFit="1" customWidth="1"/>
    <col min="11383" max="11384" width="10.85546875" customWidth="1"/>
    <col min="11385" max="11389" width="10" customWidth="1"/>
    <col min="11393" max="11394" width="10.85546875" bestFit="1" customWidth="1"/>
    <col min="11395" max="11395" width="10" bestFit="1" customWidth="1"/>
    <col min="11396" max="11397" width="9.28515625" bestFit="1" customWidth="1"/>
    <col min="11636" max="11636" width="7.42578125" customWidth="1"/>
    <col min="11637" max="11638" width="10.85546875" bestFit="1" customWidth="1"/>
    <col min="11639" max="11640" width="10.85546875" customWidth="1"/>
    <col min="11641" max="11645" width="10" customWidth="1"/>
    <col min="11649" max="11650" width="10.85546875" bestFit="1" customWidth="1"/>
    <col min="11651" max="11651" width="10" bestFit="1" customWidth="1"/>
    <col min="11652" max="11653" width="9.28515625" bestFit="1" customWidth="1"/>
    <col min="11892" max="11892" width="7.42578125" customWidth="1"/>
    <col min="11893" max="11894" width="10.85546875" bestFit="1" customWidth="1"/>
    <col min="11895" max="11896" width="10.85546875" customWidth="1"/>
    <col min="11897" max="11901" width="10" customWidth="1"/>
    <col min="11905" max="11906" width="10.85546875" bestFit="1" customWidth="1"/>
    <col min="11907" max="11907" width="10" bestFit="1" customWidth="1"/>
    <col min="11908" max="11909" width="9.28515625" bestFit="1" customWidth="1"/>
    <col min="12148" max="12148" width="7.42578125" customWidth="1"/>
    <col min="12149" max="12150" width="10.85546875" bestFit="1" customWidth="1"/>
    <col min="12151" max="12152" width="10.85546875" customWidth="1"/>
    <col min="12153" max="12157" width="10" customWidth="1"/>
    <col min="12161" max="12162" width="10.85546875" bestFit="1" customWidth="1"/>
    <col min="12163" max="12163" width="10" bestFit="1" customWidth="1"/>
    <col min="12164" max="12165" width="9.28515625" bestFit="1" customWidth="1"/>
    <col min="12404" max="12404" width="7.42578125" customWidth="1"/>
    <col min="12405" max="12406" width="10.85546875" bestFit="1" customWidth="1"/>
    <col min="12407" max="12408" width="10.85546875" customWidth="1"/>
    <col min="12409" max="12413" width="10" customWidth="1"/>
    <col min="12417" max="12418" width="10.85546875" bestFit="1" customWidth="1"/>
    <col min="12419" max="12419" width="10" bestFit="1" customWidth="1"/>
    <col min="12420" max="12421" width="9.28515625" bestFit="1" customWidth="1"/>
    <col min="12660" max="12660" width="7.42578125" customWidth="1"/>
    <col min="12661" max="12662" width="10.85546875" bestFit="1" customWidth="1"/>
    <col min="12663" max="12664" width="10.85546875" customWidth="1"/>
    <col min="12665" max="12669" width="10" customWidth="1"/>
    <col min="12673" max="12674" width="10.85546875" bestFit="1" customWidth="1"/>
    <col min="12675" max="12675" width="10" bestFit="1" customWidth="1"/>
    <col min="12676" max="12677" width="9.28515625" bestFit="1" customWidth="1"/>
    <col min="12916" max="12916" width="7.42578125" customWidth="1"/>
    <col min="12917" max="12918" width="10.85546875" bestFit="1" customWidth="1"/>
    <col min="12919" max="12920" width="10.85546875" customWidth="1"/>
    <col min="12921" max="12925" width="10" customWidth="1"/>
    <col min="12929" max="12930" width="10.85546875" bestFit="1" customWidth="1"/>
    <col min="12931" max="12931" width="10" bestFit="1" customWidth="1"/>
    <col min="12932" max="12933" width="9.28515625" bestFit="1" customWidth="1"/>
    <col min="13172" max="13172" width="7.42578125" customWidth="1"/>
    <col min="13173" max="13174" width="10.85546875" bestFit="1" customWidth="1"/>
    <col min="13175" max="13176" width="10.85546875" customWidth="1"/>
    <col min="13177" max="13181" width="10" customWidth="1"/>
    <col min="13185" max="13186" width="10.85546875" bestFit="1" customWidth="1"/>
    <col min="13187" max="13187" width="10" bestFit="1" customWidth="1"/>
    <col min="13188" max="13189" width="9.28515625" bestFit="1" customWidth="1"/>
    <col min="13428" max="13428" width="7.42578125" customWidth="1"/>
    <col min="13429" max="13430" width="10.85546875" bestFit="1" customWidth="1"/>
    <col min="13431" max="13432" width="10.85546875" customWidth="1"/>
    <col min="13433" max="13437" width="10" customWidth="1"/>
    <col min="13441" max="13442" width="10.85546875" bestFit="1" customWidth="1"/>
    <col min="13443" max="13443" width="10" bestFit="1" customWidth="1"/>
    <col min="13444" max="13445" width="9.28515625" bestFit="1" customWidth="1"/>
    <col min="13684" max="13684" width="7.42578125" customWidth="1"/>
    <col min="13685" max="13686" width="10.85546875" bestFit="1" customWidth="1"/>
    <col min="13687" max="13688" width="10.85546875" customWidth="1"/>
    <col min="13689" max="13693" width="10" customWidth="1"/>
    <col min="13697" max="13698" width="10.85546875" bestFit="1" customWidth="1"/>
    <col min="13699" max="13699" width="10" bestFit="1" customWidth="1"/>
    <col min="13700" max="13701" width="9.28515625" bestFit="1" customWidth="1"/>
    <col min="13940" max="13940" width="7.42578125" customWidth="1"/>
    <col min="13941" max="13942" width="10.85546875" bestFit="1" customWidth="1"/>
    <col min="13943" max="13944" width="10.85546875" customWidth="1"/>
    <col min="13945" max="13949" width="10" customWidth="1"/>
    <col min="13953" max="13954" width="10.85546875" bestFit="1" customWidth="1"/>
    <col min="13955" max="13955" width="10" bestFit="1" customWidth="1"/>
    <col min="13956" max="13957" width="9.28515625" bestFit="1" customWidth="1"/>
    <col min="14196" max="14196" width="7.42578125" customWidth="1"/>
    <col min="14197" max="14198" width="10.85546875" bestFit="1" customWidth="1"/>
    <col min="14199" max="14200" width="10.85546875" customWidth="1"/>
    <col min="14201" max="14205" width="10" customWidth="1"/>
    <col min="14209" max="14210" width="10.85546875" bestFit="1" customWidth="1"/>
    <col min="14211" max="14211" width="10" bestFit="1" customWidth="1"/>
    <col min="14212" max="14213" width="9.28515625" bestFit="1" customWidth="1"/>
    <col min="14452" max="14452" width="7.42578125" customWidth="1"/>
    <col min="14453" max="14454" width="10.85546875" bestFit="1" customWidth="1"/>
    <col min="14455" max="14456" width="10.85546875" customWidth="1"/>
    <col min="14457" max="14461" width="10" customWidth="1"/>
    <col min="14465" max="14466" width="10.85546875" bestFit="1" customWidth="1"/>
    <col min="14467" max="14467" width="10" bestFit="1" customWidth="1"/>
    <col min="14468" max="14469" width="9.28515625" bestFit="1" customWidth="1"/>
    <col min="14708" max="14708" width="7.42578125" customWidth="1"/>
    <col min="14709" max="14710" width="10.85546875" bestFit="1" customWidth="1"/>
    <col min="14711" max="14712" width="10.85546875" customWidth="1"/>
    <col min="14713" max="14717" width="10" customWidth="1"/>
    <col min="14721" max="14722" width="10.85546875" bestFit="1" customWidth="1"/>
    <col min="14723" max="14723" width="10" bestFit="1" customWidth="1"/>
    <col min="14724" max="14725" width="9.28515625" bestFit="1" customWidth="1"/>
    <col min="14964" max="14964" width="7.42578125" customWidth="1"/>
    <col min="14965" max="14966" width="10.85546875" bestFit="1" customWidth="1"/>
    <col min="14967" max="14968" width="10.85546875" customWidth="1"/>
    <col min="14969" max="14973" width="10" customWidth="1"/>
    <col min="14977" max="14978" width="10.85546875" bestFit="1" customWidth="1"/>
    <col min="14979" max="14979" width="10" bestFit="1" customWidth="1"/>
    <col min="14980" max="14981" width="9.28515625" bestFit="1" customWidth="1"/>
    <col min="15220" max="15220" width="7.42578125" customWidth="1"/>
    <col min="15221" max="15222" width="10.85546875" bestFit="1" customWidth="1"/>
    <col min="15223" max="15224" width="10.85546875" customWidth="1"/>
    <col min="15225" max="15229" width="10" customWidth="1"/>
    <col min="15233" max="15234" width="10.85546875" bestFit="1" customWidth="1"/>
    <col min="15235" max="15235" width="10" bestFit="1" customWidth="1"/>
    <col min="15236" max="15237" width="9.28515625" bestFit="1" customWidth="1"/>
    <col min="15476" max="15476" width="7.42578125" customWidth="1"/>
    <col min="15477" max="15478" width="10.85546875" bestFit="1" customWidth="1"/>
    <col min="15479" max="15480" width="10.85546875" customWidth="1"/>
    <col min="15481" max="15485" width="10" customWidth="1"/>
    <col min="15489" max="15490" width="10.85546875" bestFit="1" customWidth="1"/>
    <col min="15491" max="15491" width="10" bestFit="1" customWidth="1"/>
    <col min="15492" max="15493" width="9.28515625" bestFit="1" customWidth="1"/>
    <col min="15732" max="15732" width="7.42578125" customWidth="1"/>
    <col min="15733" max="15734" width="10.85546875" bestFit="1" customWidth="1"/>
    <col min="15735" max="15736" width="10.85546875" customWidth="1"/>
    <col min="15737" max="15741" width="10" customWidth="1"/>
    <col min="15745" max="15746" width="10.85546875" bestFit="1" customWidth="1"/>
    <col min="15747" max="15747" width="10" bestFit="1" customWidth="1"/>
    <col min="15748" max="15749" width="9.28515625" bestFit="1" customWidth="1"/>
    <col min="15988" max="15988" width="7.42578125" customWidth="1"/>
    <col min="15989" max="15990" width="10.85546875" bestFit="1" customWidth="1"/>
    <col min="15991" max="15992" width="10.85546875" customWidth="1"/>
    <col min="15993" max="15997" width="10" customWidth="1"/>
    <col min="16001" max="16002" width="10.85546875" bestFit="1" customWidth="1"/>
    <col min="16003" max="16003" width="10" bestFit="1" customWidth="1"/>
    <col min="16004" max="16005" width="9.28515625" bestFit="1" customWidth="1"/>
  </cols>
  <sheetData>
    <row r="1" spans="1:42" x14ac:dyDescent="0.2">
      <c r="A1" s="99" t="s">
        <v>2</v>
      </c>
      <c r="B1" s="15"/>
      <c r="C1" s="16"/>
      <c r="D1" s="16"/>
      <c r="E1" s="16"/>
      <c r="F1" s="16"/>
    </row>
    <row r="2" spans="1:42" x14ac:dyDescent="0.2">
      <c r="A2" s="99" t="s">
        <v>3</v>
      </c>
      <c r="B2" s="15"/>
      <c r="C2" s="16"/>
      <c r="D2" s="16"/>
      <c r="E2" s="16"/>
      <c r="F2" s="16"/>
    </row>
    <row r="3" spans="1:42" x14ac:dyDescent="0.2">
      <c r="A3" s="1312" t="s">
        <v>4</v>
      </c>
      <c r="B3" s="1312"/>
      <c r="C3" s="1312"/>
      <c r="D3" s="1312"/>
      <c r="E3" s="1312"/>
      <c r="F3" s="1312"/>
      <c r="G3" s="1312"/>
    </row>
    <row r="4" spans="1:42" x14ac:dyDescent="0.2">
      <c r="A4" s="13"/>
      <c r="B4" s="15"/>
      <c r="C4" s="16"/>
      <c r="D4" s="16"/>
      <c r="E4" s="16"/>
      <c r="F4" s="16"/>
      <c r="AH4" s="15"/>
      <c r="AI4" s="15"/>
      <c r="AJ4" s="15"/>
      <c r="AK4" s="15"/>
      <c r="AL4" s="15"/>
      <c r="AM4" s="15"/>
    </row>
    <row r="5" spans="1:42" ht="16.5" customHeight="1" x14ac:dyDescent="0.25">
      <c r="A5" s="400" t="s">
        <v>838</v>
      </c>
      <c r="B5" s="107"/>
      <c r="C5" s="107"/>
      <c r="D5" s="107"/>
      <c r="E5" s="108"/>
      <c r="F5" s="108"/>
      <c r="G5" s="388"/>
      <c r="H5" s="346"/>
      <c r="I5" s="346"/>
      <c r="J5" s="237"/>
      <c r="AH5" s="15"/>
      <c r="AI5" s="15"/>
      <c r="AJ5" s="15"/>
      <c r="AK5" s="15"/>
      <c r="AL5" s="15"/>
      <c r="AM5" s="15"/>
    </row>
    <row r="6" spans="1:42" ht="16.5" customHeight="1" thickBot="1" x14ac:dyDescent="0.3">
      <c r="A6" s="105"/>
      <c r="B6" s="13"/>
      <c r="D6" s="18"/>
      <c r="E6" s="13"/>
      <c r="F6" s="20"/>
      <c r="G6" s="19"/>
      <c r="Z6"/>
      <c r="AA6"/>
      <c r="AB6"/>
      <c r="AC6"/>
      <c r="AD6"/>
      <c r="AE6"/>
      <c r="AF6"/>
      <c r="AG6"/>
      <c r="AN6"/>
      <c r="AO6"/>
      <c r="AP6"/>
    </row>
    <row r="7" spans="1:42" ht="16.5" customHeight="1" x14ac:dyDescent="0.25">
      <c r="A7" s="18"/>
      <c r="B7" s="1158" t="s">
        <v>837</v>
      </c>
      <c r="C7" s="1159"/>
      <c r="D7" s="1159"/>
      <c r="E7" s="1159"/>
      <c r="F7" s="1159"/>
      <c r="G7" s="1159"/>
      <c r="H7" s="1159"/>
      <c r="I7" s="1160"/>
      <c r="J7" s="1182" t="s">
        <v>839</v>
      </c>
      <c r="K7" s="1183"/>
      <c r="L7" s="1183"/>
      <c r="M7" s="1183"/>
      <c r="N7" s="1183"/>
      <c r="O7" s="1183"/>
      <c r="P7" s="1183"/>
      <c r="Q7" s="1183"/>
      <c r="R7" s="1183"/>
      <c r="S7" s="1183"/>
      <c r="T7" s="1183"/>
      <c r="U7" s="1183"/>
      <c r="V7" s="1183"/>
      <c r="W7" s="1183"/>
      <c r="X7" s="1183"/>
      <c r="Y7" s="1183"/>
      <c r="Z7" s="1183"/>
      <c r="AA7" s="1183"/>
      <c r="AB7" s="1183"/>
      <c r="AC7" s="1183"/>
      <c r="AD7" s="1183"/>
      <c r="AE7" s="1183"/>
      <c r="AF7" s="1183"/>
      <c r="AG7" s="1184"/>
      <c r="AH7" s="1185" t="s">
        <v>868</v>
      </c>
      <c r="AI7" s="1186"/>
      <c r="AJ7" s="1186"/>
      <c r="AK7" s="1186"/>
      <c r="AL7" s="1186"/>
      <c r="AM7" s="1186"/>
      <c r="AN7" s="1186"/>
      <c r="AO7" s="1186"/>
      <c r="AP7" s="1187"/>
    </row>
    <row r="8" spans="1:42" ht="16.5" customHeight="1" thickBot="1" x14ac:dyDescent="0.25">
      <c r="B8" s="1161"/>
      <c r="C8" s="1162"/>
      <c r="D8" s="1162"/>
      <c r="E8" s="1162"/>
      <c r="F8" s="1162"/>
      <c r="G8" s="1162"/>
      <c r="H8" s="1162"/>
      <c r="I8" s="1163"/>
      <c r="J8" s="1191" t="s">
        <v>289</v>
      </c>
      <c r="K8" s="1192"/>
      <c r="L8" s="1192"/>
      <c r="M8" s="1192"/>
      <c r="N8" s="1193"/>
      <c r="O8" s="1200" t="s">
        <v>290</v>
      </c>
      <c r="P8" s="1192"/>
      <c r="Q8" s="1192"/>
      <c r="R8" s="1193"/>
      <c r="S8" s="1165" t="s">
        <v>291</v>
      </c>
      <c r="T8" s="1165" t="s">
        <v>5</v>
      </c>
      <c r="U8" s="1165" t="s">
        <v>292</v>
      </c>
      <c r="V8" s="1203" t="s">
        <v>293</v>
      </c>
      <c r="W8" s="1204"/>
      <c r="X8" s="1205"/>
      <c r="Y8" s="1165" t="s">
        <v>315</v>
      </c>
      <c r="Z8" s="1212" t="s">
        <v>294</v>
      </c>
      <c r="AA8" s="1213"/>
      <c r="AB8" s="1213"/>
      <c r="AC8" s="1213"/>
      <c r="AD8" s="1213"/>
      <c r="AE8" s="1213"/>
      <c r="AF8" s="1213"/>
      <c r="AG8" s="1214"/>
      <c r="AH8" s="1188"/>
      <c r="AI8" s="1189"/>
      <c r="AJ8" s="1189"/>
      <c r="AK8" s="1189"/>
      <c r="AL8" s="1189"/>
      <c r="AM8" s="1189"/>
      <c r="AN8" s="1189"/>
      <c r="AO8" s="1189"/>
      <c r="AP8" s="1190"/>
    </row>
    <row r="9" spans="1:42" ht="12.75" customHeight="1" x14ac:dyDescent="0.2">
      <c r="B9" s="1168" t="s">
        <v>6</v>
      </c>
      <c r="C9" s="1171" t="s">
        <v>827</v>
      </c>
      <c r="D9" s="1172"/>
      <c r="E9" s="1172"/>
      <c r="F9" s="1173"/>
      <c r="G9" s="1177" t="s">
        <v>286</v>
      </c>
      <c r="H9" s="1171" t="s">
        <v>828</v>
      </c>
      <c r="I9" s="1180"/>
      <c r="J9" s="1194"/>
      <c r="K9" s="1195"/>
      <c r="L9" s="1195"/>
      <c r="M9" s="1195"/>
      <c r="N9" s="1196"/>
      <c r="O9" s="1201"/>
      <c r="P9" s="1195"/>
      <c r="Q9" s="1195"/>
      <c r="R9" s="1196"/>
      <c r="S9" s="1166"/>
      <c r="T9" s="1166"/>
      <c r="U9" s="1166"/>
      <c r="V9" s="1206"/>
      <c r="W9" s="1207"/>
      <c r="X9" s="1208"/>
      <c r="Y9" s="1166"/>
      <c r="Z9" s="1215" t="s">
        <v>295</v>
      </c>
      <c r="AA9" s="1216"/>
      <c r="AB9" s="1231" t="s">
        <v>296</v>
      </c>
      <c r="AC9" s="1215" t="s">
        <v>297</v>
      </c>
      <c r="AD9" s="1216"/>
      <c r="AE9" s="1219" t="s">
        <v>298</v>
      </c>
      <c r="AF9" s="1220"/>
      <c r="AG9" s="1221"/>
      <c r="AH9" s="1168" t="s">
        <v>6</v>
      </c>
      <c r="AI9" s="1225" t="s">
        <v>827</v>
      </c>
      <c r="AJ9" s="1226"/>
      <c r="AK9" s="1226"/>
      <c r="AL9" s="1226"/>
      <c r="AM9" s="1227"/>
      <c r="AN9" s="1177" t="s">
        <v>286</v>
      </c>
      <c r="AO9" s="1171" t="s">
        <v>829</v>
      </c>
      <c r="AP9" s="1180"/>
    </row>
    <row r="10" spans="1:42" ht="13.5" customHeight="1" thickBot="1" x14ac:dyDescent="0.25">
      <c r="A10" s="21" t="s">
        <v>256</v>
      </c>
      <c r="B10" s="1169"/>
      <c r="C10" s="1174"/>
      <c r="D10" s="1175"/>
      <c r="E10" s="1175"/>
      <c r="F10" s="1176"/>
      <c r="G10" s="1178"/>
      <c r="H10" s="1174"/>
      <c r="I10" s="1181"/>
      <c r="J10" s="1197"/>
      <c r="K10" s="1198"/>
      <c r="L10" s="1198"/>
      <c r="M10" s="1198"/>
      <c r="N10" s="1199"/>
      <c r="O10" s="1202"/>
      <c r="P10" s="1198"/>
      <c r="Q10" s="1198"/>
      <c r="R10" s="1199"/>
      <c r="S10" s="1166"/>
      <c r="T10" s="1166"/>
      <c r="U10" s="1166"/>
      <c r="V10" s="1209"/>
      <c r="W10" s="1210"/>
      <c r="X10" s="1211"/>
      <c r="Y10" s="1166"/>
      <c r="Z10" s="1217"/>
      <c r="AA10" s="1218"/>
      <c r="AB10" s="1232"/>
      <c r="AC10" s="1217"/>
      <c r="AD10" s="1218"/>
      <c r="AE10" s="1222"/>
      <c r="AF10" s="1223"/>
      <c r="AG10" s="1224"/>
      <c r="AH10" s="1169"/>
      <c r="AI10" s="1228"/>
      <c r="AJ10" s="1229"/>
      <c r="AK10" s="1229"/>
      <c r="AL10" s="1229"/>
      <c r="AM10" s="1230"/>
      <c r="AN10" s="1178"/>
      <c r="AO10" s="1174"/>
      <c r="AP10" s="1181"/>
    </row>
    <row r="11" spans="1:42" s="12" customFormat="1" ht="34.5" thickBot="1" x14ac:dyDescent="0.25">
      <c r="A11" s="40" t="s">
        <v>257</v>
      </c>
      <c r="B11" s="1170"/>
      <c r="C11" s="75" t="s">
        <v>280</v>
      </c>
      <c r="D11" s="76" t="s">
        <v>5</v>
      </c>
      <c r="E11" s="76" t="s">
        <v>1</v>
      </c>
      <c r="F11" s="76" t="s">
        <v>7</v>
      </c>
      <c r="G11" s="1179"/>
      <c r="H11" s="77" t="s">
        <v>287</v>
      </c>
      <c r="I11" s="78" t="s">
        <v>288</v>
      </c>
      <c r="J11" s="483" t="s">
        <v>299</v>
      </c>
      <c r="K11" s="81" t="s">
        <v>296</v>
      </c>
      <c r="L11" s="81" t="s">
        <v>815</v>
      </c>
      <c r="M11" s="82" t="s">
        <v>297</v>
      </c>
      <c r="N11" s="81" t="s">
        <v>791</v>
      </c>
      <c r="O11" s="85" t="s">
        <v>300</v>
      </c>
      <c r="P11" s="81" t="s">
        <v>826</v>
      </c>
      <c r="Q11" s="85" t="s">
        <v>301</v>
      </c>
      <c r="R11" s="81" t="s">
        <v>792</v>
      </c>
      <c r="S11" s="1167"/>
      <c r="T11" s="1167"/>
      <c r="U11" s="1167"/>
      <c r="V11" s="81" t="s">
        <v>296</v>
      </c>
      <c r="W11" s="82" t="s">
        <v>302</v>
      </c>
      <c r="X11" s="81" t="s">
        <v>793</v>
      </c>
      <c r="Y11" s="1167"/>
      <c r="Z11" s="317" t="s">
        <v>287</v>
      </c>
      <c r="AA11" s="337" t="s">
        <v>288</v>
      </c>
      <c r="AB11" s="317" t="s">
        <v>287</v>
      </c>
      <c r="AC11" s="317" t="s">
        <v>287</v>
      </c>
      <c r="AD11" s="337" t="s">
        <v>288</v>
      </c>
      <c r="AE11" s="317" t="s">
        <v>287</v>
      </c>
      <c r="AF11" s="337" t="s">
        <v>288</v>
      </c>
      <c r="AG11" s="345" t="s">
        <v>311</v>
      </c>
      <c r="AH11" s="1170"/>
      <c r="AI11" s="79" t="s">
        <v>280</v>
      </c>
      <c r="AJ11" s="80" t="s">
        <v>290</v>
      </c>
      <c r="AK11" s="76" t="s">
        <v>5</v>
      </c>
      <c r="AL11" s="76" t="s">
        <v>1</v>
      </c>
      <c r="AM11" s="76" t="s">
        <v>7</v>
      </c>
      <c r="AN11" s="1179"/>
      <c r="AO11" s="77" t="s">
        <v>287</v>
      </c>
      <c r="AP11" s="78" t="s">
        <v>288</v>
      </c>
    </row>
    <row r="12" spans="1:42" s="12" customFormat="1" ht="12" customHeight="1" thickBot="1" x14ac:dyDescent="0.25">
      <c r="A12" s="40"/>
      <c r="B12" s="272" t="s">
        <v>274</v>
      </c>
      <c r="C12" s="273" t="s">
        <v>275</v>
      </c>
      <c r="D12" s="273" t="s">
        <v>276</v>
      </c>
      <c r="E12" s="273" t="s">
        <v>277</v>
      </c>
      <c r="F12" s="273" t="s">
        <v>278</v>
      </c>
      <c r="G12" s="347" t="s">
        <v>279</v>
      </c>
      <c r="H12" s="274" t="s">
        <v>572</v>
      </c>
      <c r="I12" s="348" t="s">
        <v>573</v>
      </c>
      <c r="J12" s="484" t="s">
        <v>303</v>
      </c>
      <c r="K12" s="484" t="s">
        <v>303</v>
      </c>
      <c r="L12" s="273" t="s">
        <v>303</v>
      </c>
      <c r="M12" s="273" t="s">
        <v>303</v>
      </c>
      <c r="N12" s="273" t="s">
        <v>303</v>
      </c>
      <c r="O12" s="273" t="s">
        <v>304</v>
      </c>
      <c r="P12" s="273" t="s">
        <v>304</v>
      </c>
      <c r="Q12" s="273" t="s">
        <v>305</v>
      </c>
      <c r="R12" s="273" t="s">
        <v>304</v>
      </c>
      <c r="S12" s="273" t="s">
        <v>306</v>
      </c>
      <c r="T12" s="273" t="s">
        <v>307</v>
      </c>
      <c r="U12" s="273" t="s">
        <v>308</v>
      </c>
      <c r="V12" s="273" t="s">
        <v>310</v>
      </c>
      <c r="W12" s="273" t="s">
        <v>309</v>
      </c>
      <c r="X12" s="273" t="s">
        <v>309</v>
      </c>
      <c r="Y12" s="273" t="s">
        <v>316</v>
      </c>
      <c r="Z12" s="274" t="s">
        <v>312</v>
      </c>
      <c r="AA12" s="274" t="s">
        <v>313</v>
      </c>
      <c r="AB12" s="274" t="s">
        <v>312</v>
      </c>
      <c r="AC12" s="274" t="s">
        <v>312</v>
      </c>
      <c r="AD12" s="274" t="s">
        <v>313</v>
      </c>
      <c r="AE12" s="274" t="s">
        <v>312</v>
      </c>
      <c r="AF12" s="274" t="s">
        <v>313</v>
      </c>
      <c r="AG12" s="275" t="s">
        <v>314</v>
      </c>
      <c r="AH12" s="272" t="s">
        <v>274</v>
      </c>
      <c r="AI12" s="273" t="s">
        <v>275</v>
      </c>
      <c r="AJ12" s="273" t="s">
        <v>281</v>
      </c>
      <c r="AK12" s="273" t="s">
        <v>276</v>
      </c>
      <c r="AL12" s="273" t="s">
        <v>277</v>
      </c>
      <c r="AM12" s="273" t="s">
        <v>278</v>
      </c>
      <c r="AN12" s="274" t="s">
        <v>279</v>
      </c>
      <c r="AO12" s="274" t="s">
        <v>572</v>
      </c>
      <c r="AP12" s="348" t="s">
        <v>573</v>
      </c>
    </row>
    <row r="13" spans="1:42" x14ac:dyDescent="0.2">
      <c r="A13" s="338" t="s">
        <v>258</v>
      </c>
      <c r="B13" s="41">
        <f>LB!I459</f>
        <v>1576587347</v>
      </c>
      <c r="C13" s="1133">
        <f>LB!J459</f>
        <v>1143313334</v>
      </c>
      <c r="D13" s="1133">
        <f>LB!K459</f>
        <v>386439901</v>
      </c>
      <c r="E13" s="1133">
        <f>LB!L459</f>
        <v>22866275</v>
      </c>
      <c r="F13" s="1133">
        <f>LB!M459</f>
        <v>23967837</v>
      </c>
      <c r="G13" s="1144">
        <f>LB!N459</f>
        <v>2420.4033999999997</v>
      </c>
      <c r="H13" s="1144">
        <f>LB!O459</f>
        <v>1675.9028000000003</v>
      </c>
      <c r="I13" s="1145">
        <f>LB!P459</f>
        <v>744.50060000000042</v>
      </c>
      <c r="J13" s="1134">
        <f>LB!Q459</f>
        <v>-5234337</v>
      </c>
      <c r="K13" s="1133">
        <f>LB!R459</f>
        <v>77010359</v>
      </c>
      <c r="L13" s="1133">
        <f>LB!S459</f>
        <v>0</v>
      </c>
      <c r="M13" s="1133">
        <f>LB!T459</f>
        <v>524140</v>
      </c>
      <c r="N13" s="1133">
        <f>LB!U459</f>
        <v>72300162</v>
      </c>
      <c r="O13" s="1133">
        <f>LB!V459</f>
        <v>5203361</v>
      </c>
      <c r="P13" s="1133">
        <f>LB!W459</f>
        <v>274080</v>
      </c>
      <c r="Q13" s="1133">
        <f>LB!X459</f>
        <v>30976</v>
      </c>
      <c r="R13" s="1133">
        <f>LB!Y459</f>
        <v>5508417</v>
      </c>
      <c r="S13" s="1133">
        <f>LB!Z459</f>
        <v>77808579</v>
      </c>
      <c r="T13" s="1133">
        <f>LB!AA459</f>
        <v>26288834</v>
      </c>
      <c r="U13" s="1133">
        <f>LB!AB459</f>
        <v>1446005</v>
      </c>
      <c r="V13" s="1133">
        <f>LB!AC459</f>
        <v>95750</v>
      </c>
      <c r="W13" s="1133">
        <f>LB!AD459</f>
        <v>5104</v>
      </c>
      <c r="X13" s="1133">
        <f>LB!AE459</f>
        <v>100854</v>
      </c>
      <c r="Y13" s="1133">
        <f>LB!AF459</f>
        <v>105644272</v>
      </c>
      <c r="Z13" s="1144">
        <f>LB!AG459</f>
        <v>-4.25</v>
      </c>
      <c r="AA13" s="1144">
        <f>LB!AH459</f>
        <v>-7.669999999999999</v>
      </c>
      <c r="AB13" s="1144">
        <f>LB!AI459</f>
        <v>220.55000000000004</v>
      </c>
      <c r="AC13" s="1144">
        <f>LB!AJ459</f>
        <v>-0.93000000000000016</v>
      </c>
      <c r="AD13" s="1144">
        <f>LB!AK459</f>
        <v>2.12</v>
      </c>
      <c r="AE13" s="1144">
        <f>LB!AL459</f>
        <v>215.37000000000003</v>
      </c>
      <c r="AF13" s="1144">
        <f>LB!AM459</f>
        <v>-5.5499999999999989</v>
      </c>
      <c r="AG13" s="1154">
        <f>LB!AN459</f>
        <v>209.82000000000008</v>
      </c>
      <c r="AH13" s="41">
        <f>LB!AO459</f>
        <v>1682231619</v>
      </c>
      <c r="AI13" s="1133">
        <f>LB!AP459</f>
        <v>1215613496</v>
      </c>
      <c r="AJ13" s="1133">
        <f>LB!AQ459</f>
        <v>5508417</v>
      </c>
      <c r="AK13" s="1133">
        <f>LB!AR459</f>
        <v>412728735</v>
      </c>
      <c r="AL13" s="1133">
        <f>LB!AS459</f>
        <v>24312280</v>
      </c>
      <c r="AM13" s="1133">
        <f>LB!AT459</f>
        <v>24068691</v>
      </c>
      <c r="AN13" s="1144">
        <f>LB!AU459</f>
        <v>2630.2233999999999</v>
      </c>
      <c r="AO13" s="1144">
        <f>LB!AV459</f>
        <v>1891.2728000000009</v>
      </c>
      <c r="AP13" s="1145">
        <f>LB!AW459</f>
        <v>738.95060000000024</v>
      </c>
    </row>
    <row r="14" spans="1:42" x14ac:dyDescent="0.2">
      <c r="A14" s="339" t="s">
        <v>259</v>
      </c>
      <c r="B14" s="4">
        <f>FR!I130</f>
        <v>285332229</v>
      </c>
      <c r="C14" s="1132">
        <f>FR!J130</f>
        <v>207179090</v>
      </c>
      <c r="D14" s="1132">
        <f>FR!K130</f>
        <v>70026534</v>
      </c>
      <c r="E14" s="1132">
        <f>FR!L130</f>
        <v>4143583</v>
      </c>
      <c r="F14" s="1132">
        <f>FR!M130</f>
        <v>3983022</v>
      </c>
      <c r="G14" s="1146">
        <f>FR!N130</f>
        <v>441.8807000000001</v>
      </c>
      <c r="H14" s="1146">
        <f>FR!O130</f>
        <v>304.67489999999998</v>
      </c>
      <c r="I14" s="1147">
        <f>FR!P130</f>
        <v>137.20580000000001</v>
      </c>
      <c r="J14" s="1135">
        <f>FR!Q130</f>
        <v>-1096160</v>
      </c>
      <c r="K14" s="1132">
        <f>FR!R130</f>
        <v>21793716</v>
      </c>
      <c r="L14" s="1132">
        <f>FR!S130</f>
        <v>0</v>
      </c>
      <c r="M14" s="1132">
        <f>FR!T130</f>
        <v>773378</v>
      </c>
      <c r="N14" s="1132">
        <f>FR!U130</f>
        <v>21470934</v>
      </c>
      <c r="O14" s="1132">
        <f>FR!V130</f>
        <v>1096160</v>
      </c>
      <c r="P14" s="1132">
        <f>FR!W130</f>
        <v>0</v>
      </c>
      <c r="Q14" s="1132">
        <f>FR!X130</f>
        <v>0</v>
      </c>
      <c r="R14" s="1132">
        <f>FR!Y130</f>
        <v>1096160</v>
      </c>
      <c r="S14" s="1132">
        <f>FR!Z130</f>
        <v>22567094</v>
      </c>
      <c r="T14" s="1132">
        <f>FR!AA130</f>
        <v>7627678</v>
      </c>
      <c r="U14" s="1132">
        <f>FR!AB130</f>
        <v>429419</v>
      </c>
      <c r="V14" s="1132">
        <f>FR!AC130</f>
        <v>81650</v>
      </c>
      <c r="W14" s="1132">
        <f>FR!AD130</f>
        <v>0</v>
      </c>
      <c r="X14" s="1132">
        <f>FR!AE130</f>
        <v>81650</v>
      </c>
      <c r="Y14" s="1132">
        <f>FR!AF130</f>
        <v>30705841</v>
      </c>
      <c r="Z14" s="1146">
        <f>FR!AG130</f>
        <v>-0.55000000000000004</v>
      </c>
      <c r="AA14" s="1146">
        <f>FR!AH130</f>
        <v>-1.52</v>
      </c>
      <c r="AB14" s="1146">
        <f>FR!AI130</f>
        <v>63.149999999999991</v>
      </c>
      <c r="AC14" s="1146">
        <f>FR!AJ130</f>
        <v>0.97000000000000008</v>
      </c>
      <c r="AD14" s="1146">
        <f>FR!AK130</f>
        <v>1.1100000000000001</v>
      </c>
      <c r="AE14" s="1146">
        <f>FR!AL130</f>
        <v>63.569999999999986</v>
      </c>
      <c r="AF14" s="1146">
        <f>FR!AM130</f>
        <v>-0.40999999999999992</v>
      </c>
      <c r="AG14" s="1155">
        <f>FR!AN130</f>
        <v>63.159999999999989</v>
      </c>
      <c r="AH14" s="4">
        <f>FR!AO130</f>
        <v>316038070</v>
      </c>
      <c r="AI14" s="1132">
        <f>FR!AP130</f>
        <v>228650024</v>
      </c>
      <c r="AJ14" s="1132">
        <f>FR!AQ130</f>
        <v>1096160</v>
      </c>
      <c r="AK14" s="1132">
        <f>FR!AR130</f>
        <v>77654212</v>
      </c>
      <c r="AL14" s="1132">
        <f>FR!AS130</f>
        <v>4573002</v>
      </c>
      <c r="AM14" s="1132">
        <f>FR!AT130</f>
        <v>4064672</v>
      </c>
      <c r="AN14" s="1146">
        <f>FR!AU130</f>
        <v>505.04069999999996</v>
      </c>
      <c r="AO14" s="1146">
        <f>FR!AV130</f>
        <v>368.24490000000003</v>
      </c>
      <c r="AP14" s="1147">
        <f>FR!AW130</f>
        <v>136.79580000000001</v>
      </c>
    </row>
    <row r="15" spans="1:42" s="3" customFormat="1" x14ac:dyDescent="0.2">
      <c r="A15" s="339" t="s">
        <v>260</v>
      </c>
      <c r="B15" s="37">
        <f>JN!I184</f>
        <v>578254377</v>
      </c>
      <c r="C15" s="31">
        <f>JN!J184</f>
        <v>419533164</v>
      </c>
      <c r="D15" s="31">
        <f>JN!K184</f>
        <v>141802208</v>
      </c>
      <c r="E15" s="31">
        <f>JN!L184</f>
        <v>8390663</v>
      </c>
      <c r="F15" s="31">
        <f>JN!M184</f>
        <v>8528342</v>
      </c>
      <c r="G15" s="1148">
        <f>JN!N184</f>
        <v>905.21600000000012</v>
      </c>
      <c r="H15" s="1148">
        <f>JN!O184</f>
        <v>601.88800000000015</v>
      </c>
      <c r="I15" s="1149">
        <f>JN!P184</f>
        <v>303.32799999999997</v>
      </c>
      <c r="J15" s="1136">
        <f>JN!Q184</f>
        <v>-1513536</v>
      </c>
      <c r="K15" s="31">
        <f>JN!R184</f>
        <v>30139071</v>
      </c>
      <c r="L15" s="31">
        <f>JN!S184</f>
        <v>0</v>
      </c>
      <c r="M15" s="31">
        <f>JN!T184</f>
        <v>52826</v>
      </c>
      <c r="N15" s="31">
        <f>JN!U184</f>
        <v>28678361</v>
      </c>
      <c r="O15" s="31">
        <f>JN!V184</f>
        <v>1513536</v>
      </c>
      <c r="P15" s="31">
        <f>JN!W184</f>
        <v>0</v>
      </c>
      <c r="Q15" s="31">
        <f>JN!X184</f>
        <v>0</v>
      </c>
      <c r="R15" s="31">
        <f>JN!Y184</f>
        <v>1513536</v>
      </c>
      <c r="S15" s="31">
        <f>JN!Z184</f>
        <v>30191897</v>
      </c>
      <c r="T15" s="31">
        <f>JN!AA184</f>
        <v>10204862</v>
      </c>
      <c r="U15" s="31">
        <f>JN!AB184</f>
        <v>573566</v>
      </c>
      <c r="V15" s="31">
        <f>JN!AC184</f>
        <v>9750</v>
      </c>
      <c r="W15" s="31">
        <f>JN!AD184</f>
        <v>0</v>
      </c>
      <c r="X15" s="31">
        <f>JN!AE184</f>
        <v>9750</v>
      </c>
      <c r="Y15" s="31">
        <f>JN!AF184</f>
        <v>40980075</v>
      </c>
      <c r="Z15" s="1148">
        <f>JN!AG184</f>
        <v>-0.45000000000000007</v>
      </c>
      <c r="AA15" s="1148">
        <f>JN!AH184</f>
        <v>-3.4299999999999997</v>
      </c>
      <c r="AB15" s="1148">
        <f>JN!AI184</f>
        <v>85.920000000000016</v>
      </c>
      <c r="AC15" s="1148">
        <f>JN!AJ184</f>
        <v>0.13</v>
      </c>
      <c r="AD15" s="1148">
        <f>JN!AK184</f>
        <v>0</v>
      </c>
      <c r="AE15" s="1148">
        <f>JN!AL184</f>
        <v>85.6</v>
      </c>
      <c r="AF15" s="1148">
        <f>JN!AM184</f>
        <v>-3.4299999999999997</v>
      </c>
      <c r="AG15" s="34">
        <f>JN!AN184</f>
        <v>82.17</v>
      </c>
      <c r="AH15" s="37">
        <f>JN!AO184</f>
        <v>619234452</v>
      </c>
      <c r="AI15" s="31">
        <f>JN!AP184</f>
        <v>448211525</v>
      </c>
      <c r="AJ15" s="31">
        <f>JN!AQ184</f>
        <v>1513536</v>
      </c>
      <c r="AK15" s="31">
        <f>JN!AR184</f>
        <v>152007070</v>
      </c>
      <c r="AL15" s="31">
        <f>JN!AS184</f>
        <v>8964229</v>
      </c>
      <c r="AM15" s="31">
        <f>JN!AT184</f>
        <v>8538092</v>
      </c>
      <c r="AN15" s="1148">
        <f>JN!AU184</f>
        <v>987.38600000000008</v>
      </c>
      <c r="AO15" s="1148">
        <f>JN!AV184</f>
        <v>687.48800000000006</v>
      </c>
      <c r="AP15" s="1149">
        <f>JN!AW184</f>
        <v>299.89800000000002</v>
      </c>
    </row>
    <row r="16" spans="1:42" x14ac:dyDescent="0.2">
      <c r="A16" s="339" t="s">
        <v>261</v>
      </c>
      <c r="B16" s="4">
        <f>TA!I99</f>
        <v>216333946</v>
      </c>
      <c r="C16" s="1132">
        <f>TA!J99</f>
        <v>156836692</v>
      </c>
      <c r="D16" s="1132">
        <f>TA!K99</f>
        <v>53010803</v>
      </c>
      <c r="E16" s="1132">
        <f>TA!L99</f>
        <v>3136734</v>
      </c>
      <c r="F16" s="1132">
        <f>TA!M99</f>
        <v>3349717</v>
      </c>
      <c r="G16" s="1146">
        <f>TA!N99</f>
        <v>339.16399999999993</v>
      </c>
      <c r="H16" s="1146">
        <f>TA!O99</f>
        <v>232.07770000000002</v>
      </c>
      <c r="I16" s="1147">
        <f>TA!P99</f>
        <v>107.08629999999999</v>
      </c>
      <c r="J16" s="1135">
        <f>TA!Q99</f>
        <v>-787200</v>
      </c>
      <c r="K16" s="1132">
        <f>TA!R99</f>
        <v>16755829</v>
      </c>
      <c r="L16" s="1132">
        <f>TA!S99</f>
        <v>0</v>
      </c>
      <c r="M16" s="1132">
        <f>TA!T99</f>
        <v>263408</v>
      </c>
      <c r="N16" s="1132">
        <f>TA!U99</f>
        <v>16232037</v>
      </c>
      <c r="O16" s="1132">
        <f>TA!V99</f>
        <v>787200</v>
      </c>
      <c r="P16" s="1132">
        <f>TA!W99</f>
        <v>73088</v>
      </c>
      <c r="Q16" s="1132">
        <f>TA!X99</f>
        <v>0</v>
      </c>
      <c r="R16" s="1132">
        <f>TA!Y99</f>
        <v>860288</v>
      </c>
      <c r="S16" s="1132">
        <f>TA!Z99</f>
        <v>17092325</v>
      </c>
      <c r="T16" s="1132">
        <f>TA!AA99</f>
        <v>5777208</v>
      </c>
      <c r="U16" s="1132">
        <f>TA!AB99</f>
        <v>324639</v>
      </c>
      <c r="V16" s="1132">
        <f>TA!AC99</f>
        <v>21250</v>
      </c>
      <c r="W16" s="1132">
        <f>TA!AD99</f>
        <v>16180</v>
      </c>
      <c r="X16" s="1132">
        <f>TA!AE99</f>
        <v>37430</v>
      </c>
      <c r="Y16" s="1132">
        <f>TA!AF99</f>
        <v>23231602</v>
      </c>
      <c r="Z16" s="1146">
        <f>TA!AG99</f>
        <v>-0.4</v>
      </c>
      <c r="AA16" s="1146">
        <f>TA!AH99</f>
        <v>-1.8</v>
      </c>
      <c r="AB16" s="1146">
        <f>TA!AI99</f>
        <v>47.220000000000006</v>
      </c>
      <c r="AC16" s="1146">
        <f>TA!AJ99</f>
        <v>0.47</v>
      </c>
      <c r="AD16" s="1146">
        <f>TA!AK99</f>
        <v>0</v>
      </c>
      <c r="AE16" s="1146">
        <f>TA!AL99</f>
        <v>47.290000000000006</v>
      </c>
      <c r="AF16" s="1146">
        <f>TA!AM99</f>
        <v>-1.8</v>
      </c>
      <c r="AG16" s="1155">
        <f>TA!AN99</f>
        <v>45.490000000000009</v>
      </c>
      <c r="AH16" s="4">
        <f>TA!AO99</f>
        <v>239565548</v>
      </c>
      <c r="AI16" s="1132">
        <f>TA!AP99</f>
        <v>173068729</v>
      </c>
      <c r="AJ16" s="1132">
        <f>TA!AQ99</f>
        <v>860288</v>
      </c>
      <c r="AK16" s="1132">
        <f>TA!AR99</f>
        <v>58788011</v>
      </c>
      <c r="AL16" s="1132">
        <f>TA!AS99</f>
        <v>3461373</v>
      </c>
      <c r="AM16" s="1132">
        <f>TA!AT99</f>
        <v>3387147</v>
      </c>
      <c r="AN16" s="1146">
        <f>TA!AU99</f>
        <v>384.65399999999994</v>
      </c>
      <c r="AO16" s="1146">
        <f>TA!AV99</f>
        <v>279.36770000000001</v>
      </c>
      <c r="AP16" s="1147">
        <f>TA!AW99</f>
        <v>105.28630000000001</v>
      </c>
    </row>
    <row r="17" spans="1:42" x14ac:dyDescent="0.2">
      <c r="A17" s="339" t="s">
        <v>262</v>
      </c>
      <c r="B17" s="4">
        <f>ŽB!I73</f>
        <v>133346237</v>
      </c>
      <c r="C17" s="1132">
        <f>ŽB!J73</f>
        <v>96839473</v>
      </c>
      <c r="D17" s="1132">
        <f>ŽB!K73</f>
        <v>32731739</v>
      </c>
      <c r="E17" s="1132">
        <f>ŽB!L73</f>
        <v>1936790</v>
      </c>
      <c r="F17" s="1132">
        <f>ŽB!M73</f>
        <v>1838235</v>
      </c>
      <c r="G17" s="1146">
        <f>ŽB!N73</f>
        <v>205.84630000000001</v>
      </c>
      <c r="H17" s="1146">
        <f>ŽB!O73</f>
        <v>136.7046</v>
      </c>
      <c r="I17" s="1147">
        <f>ŽB!P73</f>
        <v>69.1417</v>
      </c>
      <c r="J17" s="1135">
        <f>ŽB!Q73</f>
        <v>-563992</v>
      </c>
      <c r="K17" s="1132">
        <f>ŽB!R73</f>
        <v>4736613</v>
      </c>
      <c r="L17" s="1132">
        <f>ŽB!S73</f>
        <v>0</v>
      </c>
      <c r="M17" s="1132">
        <f>ŽB!T73</f>
        <v>-248512</v>
      </c>
      <c r="N17" s="1132">
        <f>ŽB!U73</f>
        <v>3924109</v>
      </c>
      <c r="O17" s="1132">
        <f>ŽB!V73</f>
        <v>563992</v>
      </c>
      <c r="P17" s="1132">
        <f>ŽB!W73</f>
        <v>0</v>
      </c>
      <c r="Q17" s="1132">
        <f>ŽB!X73</f>
        <v>0</v>
      </c>
      <c r="R17" s="1132">
        <f>ŽB!Y73</f>
        <v>563992</v>
      </c>
      <c r="S17" s="1132">
        <f>ŽB!Z73</f>
        <v>4488101</v>
      </c>
      <c r="T17" s="1132">
        <f>ŽB!AA73</f>
        <v>1516980</v>
      </c>
      <c r="U17" s="1132">
        <f>ŽB!AB73</f>
        <v>78481</v>
      </c>
      <c r="V17" s="1132">
        <f>ŽB!AC73</f>
        <v>0</v>
      </c>
      <c r="W17" s="1132">
        <f>ŽB!AD73</f>
        <v>-585</v>
      </c>
      <c r="X17" s="1132">
        <f>ŽB!AE73</f>
        <v>-585</v>
      </c>
      <c r="Y17" s="1132">
        <f>ŽB!AF73</f>
        <v>6082977</v>
      </c>
      <c r="Z17" s="1146">
        <f>ŽB!AG73</f>
        <v>-0.41000000000000003</v>
      </c>
      <c r="AA17" s="1146">
        <f>ŽB!AH73</f>
        <v>-1.4400000000000002</v>
      </c>
      <c r="AB17" s="1146">
        <f>ŽB!AI73</f>
        <v>13.73</v>
      </c>
      <c r="AC17" s="1146">
        <f>ŽB!AJ73</f>
        <v>-0.5</v>
      </c>
      <c r="AD17" s="1146">
        <f>ŽB!AK73</f>
        <v>-2.2499999999999999E-2</v>
      </c>
      <c r="AE17" s="1146">
        <f>ŽB!AL73</f>
        <v>12.819999999999999</v>
      </c>
      <c r="AF17" s="1146">
        <f>ŽB!AM73</f>
        <v>-1.4625000000000001</v>
      </c>
      <c r="AG17" s="1155">
        <f>ŽB!AN73</f>
        <v>11.357499999999998</v>
      </c>
      <c r="AH17" s="4">
        <f>ŽB!AO73</f>
        <v>139429214</v>
      </c>
      <c r="AI17" s="1132">
        <f>ŽB!AP73</f>
        <v>100763582</v>
      </c>
      <c r="AJ17" s="1132">
        <f>ŽB!AQ73</f>
        <v>563992</v>
      </c>
      <c r="AK17" s="1132">
        <f>ŽB!AR73</f>
        <v>34248719</v>
      </c>
      <c r="AL17" s="1132">
        <f>ŽB!AS73</f>
        <v>2015271</v>
      </c>
      <c r="AM17" s="1132">
        <f>ŽB!AT73</f>
        <v>1837650</v>
      </c>
      <c r="AN17" s="1146">
        <f>ŽB!AU73</f>
        <v>217.2038</v>
      </c>
      <c r="AO17" s="1146">
        <f>ŽB!AV73</f>
        <v>149.52459999999999</v>
      </c>
      <c r="AP17" s="1147">
        <f>ŽB!AW73</f>
        <v>67.679199999999994</v>
      </c>
    </row>
    <row r="18" spans="1:42" s="3" customFormat="1" x14ac:dyDescent="0.2">
      <c r="A18" s="339" t="s">
        <v>263</v>
      </c>
      <c r="B18" s="37">
        <f>ČL!I300</f>
        <v>895055873</v>
      </c>
      <c r="C18" s="31">
        <f>ČL!J300</f>
        <v>649482549</v>
      </c>
      <c r="D18" s="31">
        <f>ČL!K300</f>
        <v>219525094</v>
      </c>
      <c r="E18" s="31">
        <f>ČL!L300</f>
        <v>12989654</v>
      </c>
      <c r="F18" s="31">
        <f>ČL!M300</f>
        <v>13058576</v>
      </c>
      <c r="G18" s="1148">
        <f>ČL!N300</f>
        <v>1382.9390000000001</v>
      </c>
      <c r="H18" s="1148">
        <f>ČL!O300</f>
        <v>945.48090000000002</v>
      </c>
      <c r="I18" s="1149">
        <f>ČL!P300</f>
        <v>437.45809999999994</v>
      </c>
      <c r="J18" s="1136">
        <f>ČL!Q300</f>
        <v>-2961288</v>
      </c>
      <c r="K18" s="31">
        <f>ČL!R300</f>
        <v>47698036</v>
      </c>
      <c r="L18" s="31">
        <f>ČL!S300</f>
        <v>0</v>
      </c>
      <c r="M18" s="31">
        <f>ČL!T300</f>
        <v>1409272</v>
      </c>
      <c r="N18" s="31">
        <f>ČL!U300</f>
        <v>46146020</v>
      </c>
      <c r="O18" s="31">
        <f>ČL!V300</f>
        <v>2961288</v>
      </c>
      <c r="P18" s="31">
        <f>ČL!W300</f>
        <v>125088</v>
      </c>
      <c r="Q18" s="31">
        <f>ČL!X300</f>
        <v>0</v>
      </c>
      <c r="R18" s="31">
        <f>ČL!Y300</f>
        <v>3086376</v>
      </c>
      <c r="S18" s="31">
        <f>ČL!Z300</f>
        <v>49232396</v>
      </c>
      <c r="T18" s="31">
        <f>ČL!AA300</f>
        <v>16640554</v>
      </c>
      <c r="U18" s="31">
        <f>ČL!AB300</f>
        <v>922921</v>
      </c>
      <c r="V18" s="31">
        <f>ČL!AC300</f>
        <v>77400</v>
      </c>
      <c r="W18" s="31">
        <f>ČL!AD300</f>
        <v>0</v>
      </c>
      <c r="X18" s="31">
        <f>ČL!AE300</f>
        <v>77400</v>
      </c>
      <c r="Y18" s="31">
        <f>ČL!AF300</f>
        <v>66873271</v>
      </c>
      <c r="Z18" s="1148">
        <f>ČL!AG300</f>
        <v>-2.6999999999999997</v>
      </c>
      <c r="AA18" s="1148">
        <f>ČL!AH300</f>
        <v>-4.4599999999999991</v>
      </c>
      <c r="AB18" s="1148">
        <f>ČL!AI300</f>
        <v>137.18</v>
      </c>
      <c r="AC18" s="1148">
        <f>ČL!AJ300</f>
        <v>1.9500000000000002</v>
      </c>
      <c r="AD18" s="1148">
        <f>ČL!AK300</f>
        <v>1.2</v>
      </c>
      <c r="AE18" s="1148">
        <f>ČL!AL300</f>
        <v>136.43000000000004</v>
      </c>
      <c r="AF18" s="1148">
        <f>ČL!AM300</f>
        <v>-3.26</v>
      </c>
      <c r="AG18" s="34">
        <f>ČL!AN300</f>
        <v>133.16999999999999</v>
      </c>
      <c r="AH18" s="37">
        <f>ČL!AO300</f>
        <v>961929144</v>
      </c>
      <c r="AI18" s="31">
        <f>ČL!AP300</f>
        <v>695628569</v>
      </c>
      <c r="AJ18" s="31">
        <f>ČL!AQ300</f>
        <v>3086376</v>
      </c>
      <c r="AK18" s="31">
        <f>ČL!AR300</f>
        <v>236165648</v>
      </c>
      <c r="AL18" s="31">
        <f>ČL!AS300</f>
        <v>13912575</v>
      </c>
      <c r="AM18" s="31">
        <f>ČL!AT300</f>
        <v>13135976</v>
      </c>
      <c r="AN18" s="1148">
        <f>ČL!AU300</f>
        <v>1516.1089999999999</v>
      </c>
      <c r="AO18" s="1148">
        <f>ČL!AV300</f>
        <v>1081.9108999999999</v>
      </c>
      <c r="AP18" s="1149">
        <f>ČL!AW300</f>
        <v>434.19810000000001</v>
      </c>
    </row>
    <row r="19" spans="1:42" x14ac:dyDescent="0.2">
      <c r="A19" s="339" t="s">
        <v>264</v>
      </c>
      <c r="B19" s="4">
        <f>NB!I123</f>
        <v>295968309</v>
      </c>
      <c r="C19" s="1132">
        <f>NB!J123</f>
        <v>214808181</v>
      </c>
      <c r="D19" s="1132">
        <f>NB!K123</f>
        <v>72605160</v>
      </c>
      <c r="E19" s="1132">
        <f>NB!L123</f>
        <v>4296170</v>
      </c>
      <c r="F19" s="1132">
        <f>NB!M123</f>
        <v>4258798</v>
      </c>
      <c r="G19" s="1146">
        <f>NB!N123</f>
        <v>457.68309999999997</v>
      </c>
      <c r="H19" s="1146">
        <f>NB!O123</f>
        <v>306.46800000000002</v>
      </c>
      <c r="I19" s="1147">
        <f>NB!P123</f>
        <v>151.21510000000001</v>
      </c>
      <c r="J19" s="1135">
        <f>NB!Q123</f>
        <v>-727960</v>
      </c>
      <c r="K19" s="1132">
        <f>NB!R123</f>
        <v>12793455</v>
      </c>
      <c r="L19" s="1132">
        <f>NB!S123</f>
        <v>0</v>
      </c>
      <c r="M19" s="1132">
        <f>NB!T123</f>
        <v>472024</v>
      </c>
      <c r="N19" s="1132">
        <f>NB!U123</f>
        <v>12537519</v>
      </c>
      <c r="O19" s="1132">
        <f>NB!V123</f>
        <v>727960</v>
      </c>
      <c r="P19" s="1132">
        <f>NB!W123</f>
        <v>0</v>
      </c>
      <c r="Q19" s="1132">
        <f>NB!X123</f>
        <v>0</v>
      </c>
      <c r="R19" s="1132">
        <f>NB!Y123</f>
        <v>727960</v>
      </c>
      <c r="S19" s="1132">
        <f>NB!Z123</f>
        <v>13265479</v>
      </c>
      <c r="T19" s="1132">
        <f>NB!AA123</f>
        <v>4483733</v>
      </c>
      <c r="U19" s="1132">
        <f>NB!AB123</f>
        <v>250752</v>
      </c>
      <c r="V19" s="1132">
        <f>NB!AC123</f>
        <v>24000</v>
      </c>
      <c r="W19" s="1132">
        <f>NB!AD123</f>
        <v>0</v>
      </c>
      <c r="X19" s="1132">
        <f>NB!AE123</f>
        <v>24000</v>
      </c>
      <c r="Y19" s="1132">
        <f>NB!AF123</f>
        <v>18023964</v>
      </c>
      <c r="Z19" s="1146">
        <f>NB!AG123</f>
        <v>-0.44000000000000006</v>
      </c>
      <c r="AA19" s="1146">
        <f>NB!AH123</f>
        <v>-1.1600000000000004</v>
      </c>
      <c r="AB19" s="1146">
        <f>NB!AI123</f>
        <v>38.530000000000008</v>
      </c>
      <c r="AC19" s="1146">
        <f>NB!AJ123</f>
        <v>1.01</v>
      </c>
      <c r="AD19" s="1146">
        <f>NB!AK123</f>
        <v>0</v>
      </c>
      <c r="AE19" s="1146">
        <f>NB!AL123</f>
        <v>39.100000000000016</v>
      </c>
      <c r="AF19" s="1146">
        <f>NB!AM123</f>
        <v>-1.1600000000000004</v>
      </c>
      <c r="AG19" s="1155">
        <f>NB!AN123</f>
        <v>37.940000000000012</v>
      </c>
      <c r="AH19" s="4">
        <f>NB!AO123</f>
        <v>313992273</v>
      </c>
      <c r="AI19" s="1132">
        <f>NB!AP123</f>
        <v>227345700</v>
      </c>
      <c r="AJ19" s="1132">
        <f>NB!AQ123</f>
        <v>727960</v>
      </c>
      <c r="AK19" s="1132">
        <f>NB!AR123</f>
        <v>77088893</v>
      </c>
      <c r="AL19" s="1132">
        <f>NB!AS123</f>
        <v>4546922</v>
      </c>
      <c r="AM19" s="1132">
        <f>NB!AT123</f>
        <v>4282798</v>
      </c>
      <c r="AN19" s="1146">
        <f>NB!AU123</f>
        <v>495.62309999999997</v>
      </c>
      <c r="AO19" s="1146">
        <f>NB!AV123</f>
        <v>345.56799999999998</v>
      </c>
      <c r="AP19" s="1147">
        <f>NB!AW123</f>
        <v>150.05510000000001</v>
      </c>
    </row>
    <row r="20" spans="1:42" x14ac:dyDescent="0.2">
      <c r="A20" s="339" t="s">
        <v>265</v>
      </c>
      <c r="B20" s="4">
        <f>SM!I164</f>
        <v>319098199</v>
      </c>
      <c r="C20" s="1132">
        <f>SM!J164</f>
        <v>231797449</v>
      </c>
      <c r="D20" s="1132">
        <f>SM!K164</f>
        <v>78347538</v>
      </c>
      <c r="E20" s="1132">
        <f>SM!L164</f>
        <v>4635953</v>
      </c>
      <c r="F20" s="1132">
        <f>SM!M164</f>
        <v>4317259</v>
      </c>
      <c r="G20" s="1146">
        <f>SM!N164</f>
        <v>492.25704999999994</v>
      </c>
      <c r="H20" s="1146">
        <f>SM!O164</f>
        <v>329.47040000000004</v>
      </c>
      <c r="I20" s="1147">
        <f>SM!P164</f>
        <v>162.78664999999998</v>
      </c>
      <c r="J20" s="1135">
        <f>SM!Q164</f>
        <v>-1248160</v>
      </c>
      <c r="K20" s="1132">
        <f>SM!R164</f>
        <v>9373570</v>
      </c>
      <c r="L20" s="1132">
        <f>SM!S164</f>
        <v>0</v>
      </c>
      <c r="M20" s="1132">
        <f>SM!T164</f>
        <v>85650</v>
      </c>
      <c r="N20" s="1132">
        <f>SM!U164</f>
        <v>8211060</v>
      </c>
      <c r="O20" s="1132">
        <f>SM!V164</f>
        <v>1248160</v>
      </c>
      <c r="P20" s="1132">
        <f>SM!W164</f>
        <v>203968</v>
      </c>
      <c r="Q20" s="1132">
        <f>SM!X164</f>
        <v>27418</v>
      </c>
      <c r="R20" s="1132">
        <f>SM!Y164</f>
        <v>1479546</v>
      </c>
      <c r="S20" s="1132">
        <f>SM!Z164</f>
        <v>9690606</v>
      </c>
      <c r="T20" s="1132">
        <f>SM!AA164</f>
        <v>3266159</v>
      </c>
      <c r="U20" s="1132">
        <f>SM!AB164</f>
        <v>164222</v>
      </c>
      <c r="V20" s="1132">
        <f>SM!AC164</f>
        <v>15050</v>
      </c>
      <c r="W20" s="1132">
        <f>SM!AD164</f>
        <v>0</v>
      </c>
      <c r="X20" s="1132">
        <f>SM!AE164</f>
        <v>15050</v>
      </c>
      <c r="Y20" s="1132">
        <f>SM!AF164</f>
        <v>13136037</v>
      </c>
      <c r="Z20" s="1146">
        <f>SM!AG164</f>
        <v>-0.65</v>
      </c>
      <c r="AA20" s="1146">
        <f>SM!AH164</f>
        <v>-1.2100000000000004</v>
      </c>
      <c r="AB20" s="1146">
        <f>SM!AI164</f>
        <v>25.460000000000008</v>
      </c>
      <c r="AC20" s="1146">
        <f>SM!AJ164</f>
        <v>0.14000000000000001</v>
      </c>
      <c r="AD20" s="1146">
        <f>SM!AK164</f>
        <v>0</v>
      </c>
      <c r="AE20" s="1146">
        <f>SM!AL164</f>
        <v>24.950000000000003</v>
      </c>
      <c r="AF20" s="1146">
        <f>SM!AM164</f>
        <v>-1.2100000000000004</v>
      </c>
      <c r="AG20" s="1155">
        <f>SM!AN164</f>
        <v>23.740000000000002</v>
      </c>
      <c r="AH20" s="4">
        <f>SM!AO164</f>
        <v>332234236</v>
      </c>
      <c r="AI20" s="1132">
        <f>SM!AP164</f>
        <v>240008509</v>
      </c>
      <c r="AJ20" s="1132">
        <f>SM!AQ164</f>
        <v>1479546</v>
      </c>
      <c r="AK20" s="1132">
        <f>SM!AR164</f>
        <v>81613697</v>
      </c>
      <c r="AL20" s="1132">
        <f>SM!AS164</f>
        <v>4800175</v>
      </c>
      <c r="AM20" s="1132">
        <f>SM!AT164</f>
        <v>4332309</v>
      </c>
      <c r="AN20" s="1146">
        <f>SM!AU164</f>
        <v>515.99704999999994</v>
      </c>
      <c r="AO20" s="1146">
        <f>SM!AV164</f>
        <v>354.42040000000009</v>
      </c>
      <c r="AP20" s="1147">
        <f>SM!AW164</f>
        <v>161.57664999999997</v>
      </c>
    </row>
    <row r="21" spans="1:42" s="3" customFormat="1" x14ac:dyDescent="0.2">
      <c r="A21" s="339" t="s">
        <v>266</v>
      </c>
      <c r="B21" s="37">
        <f>JI!I143</f>
        <v>263704475</v>
      </c>
      <c r="C21" s="31">
        <f>JI!J143</f>
        <v>191695081</v>
      </c>
      <c r="D21" s="31">
        <f>JI!K143</f>
        <v>64792935</v>
      </c>
      <c r="E21" s="31">
        <f>JI!L143</f>
        <v>3833901</v>
      </c>
      <c r="F21" s="31">
        <f>JI!M143</f>
        <v>3382558</v>
      </c>
      <c r="G21" s="1148">
        <f>JI!N143</f>
        <v>410.20330000000001</v>
      </c>
      <c r="H21" s="1148">
        <f>JI!O143</f>
        <v>281.26459999999997</v>
      </c>
      <c r="I21" s="1149">
        <f>JI!P143</f>
        <v>128.93870000000001</v>
      </c>
      <c r="J21" s="1136">
        <f>JI!Q143</f>
        <v>-637960</v>
      </c>
      <c r="K21" s="31">
        <f>JI!R143</f>
        <v>7630344</v>
      </c>
      <c r="L21" s="31">
        <f>JI!S143</f>
        <v>0</v>
      </c>
      <c r="M21" s="31">
        <f>JI!T143</f>
        <v>0</v>
      </c>
      <c r="N21" s="31">
        <f>JI!U143</f>
        <v>6992384</v>
      </c>
      <c r="O21" s="31">
        <f>JI!V143</f>
        <v>637960</v>
      </c>
      <c r="P21" s="31">
        <f>JI!W143</f>
        <v>0</v>
      </c>
      <c r="Q21" s="31">
        <f>JI!X143</f>
        <v>0</v>
      </c>
      <c r="R21" s="31">
        <f>JI!Y143</f>
        <v>637960</v>
      </c>
      <c r="S21" s="31">
        <f>JI!Z143</f>
        <v>7630344</v>
      </c>
      <c r="T21" s="31">
        <f>JI!AA143</f>
        <v>2579057</v>
      </c>
      <c r="U21" s="31">
        <f>JI!AB143</f>
        <v>139848</v>
      </c>
      <c r="V21" s="31">
        <f>JI!AC143</f>
        <v>4600</v>
      </c>
      <c r="W21" s="31">
        <f>JI!AD143</f>
        <v>0</v>
      </c>
      <c r="X21" s="31">
        <f>JI!AE143</f>
        <v>4600</v>
      </c>
      <c r="Y21" s="31">
        <f>JI!AF143</f>
        <v>10353849</v>
      </c>
      <c r="Z21" s="1148">
        <f>JI!AG143</f>
        <v>-0.26</v>
      </c>
      <c r="AA21" s="1148">
        <f>JI!AH143</f>
        <v>-1.1800000000000002</v>
      </c>
      <c r="AB21" s="1148">
        <f>JI!AI143</f>
        <v>21.44</v>
      </c>
      <c r="AC21" s="1148">
        <f>JI!AJ143</f>
        <v>0</v>
      </c>
      <c r="AD21" s="1148">
        <f>JI!AK143</f>
        <v>0</v>
      </c>
      <c r="AE21" s="1148">
        <f>JI!AL143</f>
        <v>21.18</v>
      </c>
      <c r="AF21" s="1148">
        <f>JI!AM143</f>
        <v>-1.1800000000000002</v>
      </c>
      <c r="AG21" s="34">
        <f>JI!AN143</f>
        <v>20</v>
      </c>
      <c r="AH21" s="37">
        <f>JI!AO143</f>
        <v>274058324</v>
      </c>
      <c r="AI21" s="31">
        <f>JI!AP143</f>
        <v>198687465</v>
      </c>
      <c r="AJ21" s="31">
        <f>JI!AQ143</f>
        <v>637960</v>
      </c>
      <c r="AK21" s="31">
        <f>JI!AR143</f>
        <v>67371992</v>
      </c>
      <c r="AL21" s="31">
        <f>JI!AS143</f>
        <v>3973749</v>
      </c>
      <c r="AM21" s="31">
        <f>JI!AT143</f>
        <v>3387158</v>
      </c>
      <c r="AN21" s="1148">
        <f>JI!AU143</f>
        <v>430.20330000000001</v>
      </c>
      <c r="AO21" s="1148">
        <f>JI!AV143</f>
        <v>302.44459999999998</v>
      </c>
      <c r="AP21" s="1149">
        <f>JI!AW143</f>
        <v>127.75869999999999</v>
      </c>
    </row>
    <row r="22" spans="1:42" ht="13.5" thickBot="1" x14ac:dyDescent="0.25">
      <c r="A22" s="340" t="s">
        <v>267</v>
      </c>
      <c r="B22" s="469">
        <f>TU!I197</f>
        <v>401081676</v>
      </c>
      <c r="C22" s="1139">
        <f>TU!J197</f>
        <v>291295027</v>
      </c>
      <c r="D22" s="1139">
        <f>TU!K197</f>
        <v>98457718</v>
      </c>
      <c r="E22" s="1139">
        <f>TU!L197</f>
        <v>5825908</v>
      </c>
      <c r="F22" s="1139">
        <f>TU!M197</f>
        <v>5503023</v>
      </c>
      <c r="G22" s="1150">
        <f>TU!N197</f>
        <v>629.32700000000011</v>
      </c>
      <c r="H22" s="1150">
        <f>TU!O197</f>
        <v>420.10390000000001</v>
      </c>
      <c r="I22" s="1151">
        <f>TU!P197</f>
        <v>209.22309999999996</v>
      </c>
      <c r="J22" s="1140">
        <f>TU!Q197</f>
        <v>-1362000</v>
      </c>
      <c r="K22" s="1139">
        <f>TU!R197</f>
        <v>12472710</v>
      </c>
      <c r="L22" s="1139">
        <f>TU!S197</f>
        <v>0</v>
      </c>
      <c r="M22" s="1139">
        <f>TU!T197</f>
        <v>52532</v>
      </c>
      <c r="N22" s="1139">
        <f>TU!U197</f>
        <v>11163242</v>
      </c>
      <c r="O22" s="1139">
        <f>TU!V197</f>
        <v>1362000</v>
      </c>
      <c r="P22" s="1139">
        <f>TU!W197</f>
        <v>292364</v>
      </c>
      <c r="Q22" s="1139">
        <f>TU!X197</f>
        <v>112000</v>
      </c>
      <c r="R22" s="1139">
        <f>TU!Y197</f>
        <v>1766364</v>
      </c>
      <c r="S22" s="1139">
        <f>TU!Z197</f>
        <v>12929606</v>
      </c>
      <c r="T22" s="1139">
        <f>TU!AA197</f>
        <v>4332353</v>
      </c>
      <c r="U22" s="1139">
        <f>TU!AB197</f>
        <v>223266</v>
      </c>
      <c r="V22" s="1139">
        <f>TU!AC197</f>
        <v>3000</v>
      </c>
      <c r="W22" s="1139">
        <f>TU!AD197</f>
        <v>0</v>
      </c>
      <c r="X22" s="1139">
        <f>TU!AE197</f>
        <v>3000</v>
      </c>
      <c r="Y22" s="1139">
        <f>TU!AF197</f>
        <v>17488225</v>
      </c>
      <c r="Z22" s="1150">
        <f>TU!AG197</f>
        <v>-1.1900000000000002</v>
      </c>
      <c r="AA22" s="1150">
        <f>TU!AH197</f>
        <v>-1.58</v>
      </c>
      <c r="AB22" s="1150">
        <f>TU!AI197</f>
        <v>34.99</v>
      </c>
      <c r="AC22" s="1150">
        <f>TU!AJ197</f>
        <v>0.09</v>
      </c>
      <c r="AD22" s="1150">
        <f>TU!AK197</f>
        <v>0</v>
      </c>
      <c r="AE22" s="1150">
        <f>TU!AL197</f>
        <v>33.89</v>
      </c>
      <c r="AF22" s="1150">
        <f>TU!AM197</f>
        <v>-1.58</v>
      </c>
      <c r="AG22" s="1156">
        <f>TU!AN197</f>
        <v>32.31</v>
      </c>
      <c r="AH22" s="469">
        <f>TU!AO197</f>
        <v>418569901</v>
      </c>
      <c r="AI22" s="1139">
        <f>TU!AP197</f>
        <v>302458269</v>
      </c>
      <c r="AJ22" s="1139">
        <f>TU!AQ197</f>
        <v>1766364</v>
      </c>
      <c r="AK22" s="1139">
        <f>TU!AR197</f>
        <v>102790071</v>
      </c>
      <c r="AL22" s="1139">
        <f>TU!AS197</f>
        <v>6049174</v>
      </c>
      <c r="AM22" s="1139">
        <f>TU!AT197</f>
        <v>5506023</v>
      </c>
      <c r="AN22" s="1150">
        <f>TU!AU197</f>
        <v>661.63700000000006</v>
      </c>
      <c r="AO22" s="1150">
        <f>TU!AV197</f>
        <v>453.9939</v>
      </c>
      <c r="AP22" s="1151">
        <f>TU!AW197</f>
        <v>207.64309999999998</v>
      </c>
    </row>
    <row r="23" spans="1:42" s="3" customFormat="1" ht="13.5" thickBot="1" x14ac:dyDescent="0.25">
      <c r="A23" s="341" t="s">
        <v>268</v>
      </c>
      <c r="B23" s="470">
        <f>SUM(B13:B22)</f>
        <v>4964762668</v>
      </c>
      <c r="C23" s="471">
        <f t="shared" ref="C23:AP23" si="0">SUM(C13:C22)</f>
        <v>3602780040</v>
      </c>
      <c r="D23" s="471">
        <f t="shared" si="0"/>
        <v>1217739630</v>
      </c>
      <c r="E23" s="471">
        <f t="shared" si="0"/>
        <v>72055631</v>
      </c>
      <c r="F23" s="471">
        <f t="shared" si="0"/>
        <v>72187367</v>
      </c>
      <c r="G23" s="472">
        <f t="shared" si="0"/>
        <v>7684.9198500000011</v>
      </c>
      <c r="H23" s="472">
        <f t="shared" si="0"/>
        <v>5234.0358000000015</v>
      </c>
      <c r="I23" s="474">
        <f t="shared" si="0"/>
        <v>2450.8840500000006</v>
      </c>
      <c r="J23" s="473">
        <f t="shared" si="0"/>
        <v>-16132593</v>
      </c>
      <c r="K23" s="471">
        <f t="shared" si="0"/>
        <v>240403703</v>
      </c>
      <c r="L23" s="471">
        <f t="shared" si="0"/>
        <v>0</v>
      </c>
      <c r="M23" s="471">
        <f t="shared" si="0"/>
        <v>3384718</v>
      </c>
      <c r="N23" s="471">
        <f t="shared" si="0"/>
        <v>227655828</v>
      </c>
      <c r="O23" s="471">
        <f t="shared" si="0"/>
        <v>16101617</v>
      </c>
      <c r="P23" s="471">
        <f t="shared" si="0"/>
        <v>968588</v>
      </c>
      <c r="Q23" s="471">
        <f t="shared" si="0"/>
        <v>170394</v>
      </c>
      <c r="R23" s="471">
        <f t="shared" si="0"/>
        <v>17240599</v>
      </c>
      <c r="S23" s="471">
        <f t="shared" si="0"/>
        <v>244896427</v>
      </c>
      <c r="T23" s="471">
        <f t="shared" si="0"/>
        <v>82717418</v>
      </c>
      <c r="U23" s="471">
        <f t="shared" si="0"/>
        <v>4553119</v>
      </c>
      <c r="V23" s="471">
        <f t="shared" si="0"/>
        <v>332450</v>
      </c>
      <c r="W23" s="471">
        <f t="shared" si="0"/>
        <v>20699</v>
      </c>
      <c r="X23" s="471">
        <f t="shared" si="0"/>
        <v>353149</v>
      </c>
      <c r="Y23" s="471">
        <f t="shared" si="0"/>
        <v>332520113</v>
      </c>
      <c r="Z23" s="472">
        <f t="shared" si="0"/>
        <v>-11.299999999999999</v>
      </c>
      <c r="AA23" s="472">
        <f t="shared" si="0"/>
        <v>-25.450000000000003</v>
      </c>
      <c r="AB23" s="472">
        <f t="shared" si="0"/>
        <v>688.17000000000019</v>
      </c>
      <c r="AC23" s="472">
        <f t="shared" si="0"/>
        <v>3.3299999999999996</v>
      </c>
      <c r="AD23" s="472">
        <f t="shared" si="0"/>
        <v>4.4075000000000006</v>
      </c>
      <c r="AE23" s="472">
        <f t="shared" si="0"/>
        <v>680.2</v>
      </c>
      <c r="AF23" s="472">
        <f t="shared" si="0"/>
        <v>-21.042500000000004</v>
      </c>
      <c r="AG23" s="475">
        <f t="shared" si="0"/>
        <v>659.15750000000025</v>
      </c>
      <c r="AH23" s="470">
        <f t="shared" si="0"/>
        <v>5297282781</v>
      </c>
      <c r="AI23" s="471">
        <f t="shared" si="0"/>
        <v>3830435868</v>
      </c>
      <c r="AJ23" s="471">
        <f t="shared" si="0"/>
        <v>17240599</v>
      </c>
      <c r="AK23" s="471">
        <f t="shared" si="0"/>
        <v>1300457048</v>
      </c>
      <c r="AL23" s="471">
        <f t="shared" si="0"/>
        <v>76608750</v>
      </c>
      <c r="AM23" s="471">
        <f t="shared" si="0"/>
        <v>72540516</v>
      </c>
      <c r="AN23" s="472">
        <f t="shared" si="0"/>
        <v>8344.0773499999996</v>
      </c>
      <c r="AO23" s="472">
        <f t="shared" si="0"/>
        <v>5914.2358000000004</v>
      </c>
      <c r="AP23" s="474">
        <f t="shared" si="0"/>
        <v>2429.8415500000001</v>
      </c>
    </row>
    <row r="24" spans="1:42" x14ac:dyDescent="0.2">
      <c r="A24" s="42" t="s">
        <v>269</v>
      </c>
      <c r="B24" s="110">
        <f>SUM(C23:F23)</f>
        <v>4964762668</v>
      </c>
      <c r="C24" s="110"/>
      <c r="D24" s="110"/>
      <c r="E24" s="110"/>
      <c r="F24" s="110"/>
      <c r="G24" s="111">
        <f>SUM(H23:I23)</f>
        <v>7684.919850000002</v>
      </c>
      <c r="H24" s="111"/>
      <c r="I24" s="111"/>
      <c r="J24" s="176"/>
      <c r="K24" s="176"/>
      <c r="L24" s="176"/>
      <c r="M24" s="176"/>
      <c r="N24" s="276">
        <f>SUM(J23:M23)</f>
        <v>227655828</v>
      </c>
      <c r="O24" s="277"/>
      <c r="P24" s="277"/>
      <c r="Q24" s="277"/>
      <c r="R24" s="276">
        <f>SUM(O23:Q23)</f>
        <v>17240599</v>
      </c>
      <c r="S24" s="276">
        <f>N23+R23</f>
        <v>244896427</v>
      </c>
      <c r="T24" s="278"/>
      <c r="U24" s="278"/>
      <c r="V24" s="277"/>
      <c r="W24" s="277"/>
      <c r="X24" s="276">
        <f>SUM(V23:W23)</f>
        <v>353149</v>
      </c>
      <c r="Y24" s="276">
        <f>S23+T23+U23+X23</f>
        <v>332520113</v>
      </c>
      <c r="Z24" s="158"/>
      <c r="AA24" s="158"/>
      <c r="AB24" s="158"/>
      <c r="AC24" s="158"/>
      <c r="AD24" s="158"/>
      <c r="AE24" s="159">
        <f>Z23+AB23+AC23</f>
        <v>680.20000000000027</v>
      </c>
      <c r="AF24" s="159">
        <f>AA23+AD23</f>
        <v>-21.042500000000004</v>
      </c>
      <c r="AG24" s="159">
        <f>SUM(AE23:AF23)</f>
        <v>659.15750000000003</v>
      </c>
      <c r="AH24" s="315">
        <f>SUM(AI23:AM23)</f>
        <v>5297282781</v>
      </c>
      <c r="AI24" s="160"/>
      <c r="AJ24" s="160"/>
      <c r="AK24" s="172"/>
      <c r="AL24" s="172"/>
      <c r="AM24" s="160"/>
      <c r="AN24" s="161">
        <f>SUM(AO23:AP23)</f>
        <v>8344.0773499999996</v>
      </c>
      <c r="AO24" s="173"/>
      <c r="AP24" s="173"/>
    </row>
    <row r="25" spans="1:42" ht="13.5" thickBot="1" x14ac:dyDescent="0.25">
      <c r="A25" s="42"/>
      <c r="B25" s="162">
        <f ca="1">SUM(C26:F26)</f>
        <v>4964762668</v>
      </c>
      <c r="C25" s="163"/>
      <c r="D25" s="163"/>
      <c r="E25" s="163"/>
      <c r="F25" s="163"/>
      <c r="G25" s="164">
        <f ca="1">SUM(H26:I26)</f>
        <v>7684.9198500000002</v>
      </c>
      <c r="H25" s="336"/>
      <c r="I25" s="336"/>
      <c r="J25" s="176"/>
      <c r="K25" s="176"/>
      <c r="L25" s="176"/>
      <c r="M25" s="176"/>
      <c r="N25" s="276">
        <f ca="1">SUM(J26:M26)</f>
        <v>227655828</v>
      </c>
      <c r="O25" s="277"/>
      <c r="P25" s="277"/>
      <c r="Q25" s="277"/>
      <c r="R25" s="276">
        <f ca="1">SUM(O26:Q26)</f>
        <v>17240599</v>
      </c>
      <c r="S25" s="276">
        <f ca="1">N26+R26</f>
        <v>244896427</v>
      </c>
      <c r="T25" s="278"/>
      <c r="U25" s="278"/>
      <c r="V25" s="277"/>
      <c r="W25" s="277"/>
      <c r="X25" s="276">
        <f ca="1">SUM(V26:W26)</f>
        <v>353149</v>
      </c>
      <c r="Y25" s="276">
        <f ca="1">S26+T26+U26+X26</f>
        <v>332520113</v>
      </c>
      <c r="Z25" s="158"/>
      <c r="AA25" s="158"/>
      <c r="AB25" s="158"/>
      <c r="AC25" s="158"/>
      <c r="AD25" s="158"/>
      <c r="AE25" s="159">
        <f ca="1">Z26+AB26+AC26</f>
        <v>680.19999999999993</v>
      </c>
      <c r="AF25" s="159">
        <f ca="1">AA26+AD26</f>
        <v>-21.042499999999997</v>
      </c>
      <c r="AG25" s="159">
        <f ca="1">SUM(AE26:AF26)</f>
        <v>659.15750000000014</v>
      </c>
      <c r="AH25" s="315">
        <f ca="1">SUM(AI26:AM26)</f>
        <v>5297282781</v>
      </c>
      <c r="AI25" s="160"/>
      <c r="AJ25" s="160"/>
      <c r="AK25" s="160"/>
      <c r="AL25" s="160"/>
      <c r="AM25" s="160"/>
      <c r="AN25" s="161">
        <f ca="1">SUM(AO26:AP26)</f>
        <v>8344.0773499999996</v>
      </c>
      <c r="AO25" s="173"/>
      <c r="AP25" s="173"/>
    </row>
    <row r="26" spans="1:42" ht="13.5" thickBot="1" x14ac:dyDescent="0.25">
      <c r="A26" s="47" t="s">
        <v>0</v>
      </c>
      <c r="B26" s="271">
        <f t="shared" ref="B26:F26" ca="1" si="1">SUM(B27:B36)</f>
        <v>4964762668</v>
      </c>
      <c r="C26" s="63">
        <f t="shared" ca="1" si="1"/>
        <v>3602780040</v>
      </c>
      <c r="D26" s="63">
        <f t="shared" ca="1" si="1"/>
        <v>1217739630</v>
      </c>
      <c r="E26" s="63">
        <f t="shared" ca="1" si="1"/>
        <v>72055631</v>
      </c>
      <c r="F26" s="63">
        <f t="shared" ca="1" si="1"/>
        <v>72187367</v>
      </c>
      <c r="G26" s="64">
        <f t="shared" ref="G26:AP26" ca="1" si="2">SUM(G27:G36)</f>
        <v>7684.9198500000002</v>
      </c>
      <c r="H26" s="64">
        <f t="shared" ca="1" si="2"/>
        <v>5234.0357999999997</v>
      </c>
      <c r="I26" s="65">
        <f t="shared" ca="1" si="2"/>
        <v>2450.8840500000001</v>
      </c>
      <c r="J26" s="289">
        <f t="shared" ca="1" si="2"/>
        <v>-16132593</v>
      </c>
      <c r="K26" s="63">
        <f t="shared" ca="1" si="2"/>
        <v>240403703</v>
      </c>
      <c r="L26" s="63">
        <f t="shared" ca="1" si="2"/>
        <v>0</v>
      </c>
      <c r="M26" s="63">
        <f t="shared" ca="1" si="2"/>
        <v>3384718</v>
      </c>
      <c r="N26" s="63">
        <f t="shared" ca="1" si="2"/>
        <v>227655828</v>
      </c>
      <c r="O26" s="63">
        <f t="shared" ca="1" si="2"/>
        <v>16101617</v>
      </c>
      <c r="P26" s="63">
        <f t="shared" ca="1" si="2"/>
        <v>968588</v>
      </c>
      <c r="Q26" s="63">
        <f t="shared" ca="1" si="2"/>
        <v>170394</v>
      </c>
      <c r="R26" s="63">
        <f t="shared" ca="1" si="2"/>
        <v>17240599</v>
      </c>
      <c r="S26" s="63">
        <f t="shared" ca="1" si="2"/>
        <v>244896427</v>
      </c>
      <c r="T26" s="63">
        <f t="shared" ca="1" si="2"/>
        <v>82717418</v>
      </c>
      <c r="U26" s="63">
        <f t="shared" ca="1" si="2"/>
        <v>4553119</v>
      </c>
      <c r="V26" s="63">
        <f t="shared" ca="1" si="2"/>
        <v>332450</v>
      </c>
      <c r="W26" s="63">
        <f t="shared" ca="1" si="2"/>
        <v>20699</v>
      </c>
      <c r="X26" s="63">
        <f t="shared" ca="1" si="2"/>
        <v>353149</v>
      </c>
      <c r="Y26" s="63">
        <f t="shared" ca="1" si="2"/>
        <v>332520113</v>
      </c>
      <c r="Z26" s="64">
        <f t="shared" ca="1" si="2"/>
        <v>-11.3</v>
      </c>
      <c r="AA26" s="64">
        <f t="shared" ca="1" si="2"/>
        <v>-25.449999999999996</v>
      </c>
      <c r="AB26" s="64">
        <f t="shared" ca="1" si="2"/>
        <v>688.16999999999985</v>
      </c>
      <c r="AC26" s="64">
        <f t="shared" ca="1" si="2"/>
        <v>3.3299999999999996</v>
      </c>
      <c r="AD26" s="64">
        <f t="shared" ca="1" si="2"/>
        <v>4.4075000000000006</v>
      </c>
      <c r="AE26" s="64">
        <f t="shared" ca="1" si="2"/>
        <v>680.20000000000016</v>
      </c>
      <c r="AF26" s="64">
        <f t="shared" ca="1" si="2"/>
        <v>-21.042499999999997</v>
      </c>
      <c r="AG26" s="288">
        <f t="shared" ca="1" si="2"/>
        <v>659.15749999999991</v>
      </c>
      <c r="AH26" s="271">
        <f t="shared" ca="1" si="2"/>
        <v>5297282781</v>
      </c>
      <c r="AI26" s="63">
        <f t="shared" ca="1" si="2"/>
        <v>3830435868</v>
      </c>
      <c r="AJ26" s="63">
        <f t="shared" ca="1" si="2"/>
        <v>17240599</v>
      </c>
      <c r="AK26" s="63">
        <f t="shared" ca="1" si="2"/>
        <v>1300457048</v>
      </c>
      <c r="AL26" s="63">
        <f t="shared" ca="1" si="2"/>
        <v>76608750</v>
      </c>
      <c r="AM26" s="63">
        <f t="shared" ca="1" si="2"/>
        <v>72540516</v>
      </c>
      <c r="AN26" s="64">
        <f t="shared" ca="1" si="2"/>
        <v>8344.0773499999996</v>
      </c>
      <c r="AO26" s="64">
        <f t="shared" ca="1" si="2"/>
        <v>5914.2357999999995</v>
      </c>
      <c r="AP26" s="65">
        <f t="shared" ca="1" si="2"/>
        <v>2429.8415499999996</v>
      </c>
    </row>
    <row r="27" spans="1:42" x14ac:dyDescent="0.2">
      <c r="A27" s="1">
        <v>3111</v>
      </c>
      <c r="B27" s="1141">
        <f ca="1">LB!I463+FR!I134+JN!I188+TA!I103+ŽB!I77+ČL!I304+NB!I127+SM!I168+JI!I147+TU!I201</f>
        <v>1077875084</v>
      </c>
      <c r="C27" s="1142">
        <f ca="1">LB!J463+FR!J134+JN!J188+TA!J103+ŽB!J77+ČL!J304+NB!J127+SM!J168+JI!J147+TU!J201</f>
        <v>788794861</v>
      </c>
      <c r="D27" s="1142">
        <f ca="1">LB!K463+FR!K134+JN!K188+TA!K103+ŽB!K77+ČL!K304+NB!K127+SM!K168+JI!K147+TU!K201</f>
        <v>266612665</v>
      </c>
      <c r="E27" s="1142">
        <f ca="1">LB!L463+FR!L134+JN!L188+TA!L103+ŽB!L77+ČL!L304+NB!L127+SM!L168+JI!L147+TU!L201</f>
        <v>15775908</v>
      </c>
      <c r="F27" s="1142">
        <f ca="1">LB!M463+FR!M134+JN!M188+TA!M103+ŽB!M77+ČL!M304+NB!M127+SM!M168+JI!M147+TU!M201</f>
        <v>6691650</v>
      </c>
      <c r="G27" s="1152">
        <f ca="1">LB!N463+FR!N134+JN!N188+TA!N103+ŽB!N77+ČL!N304+NB!N127+SM!N168+JI!N147+TU!N201</f>
        <v>1834.4881500000006</v>
      </c>
      <c r="H27" s="1152">
        <f ca="1">LB!O463+FR!O134+JN!O188+TA!O103+ŽB!O77+ČL!O304+NB!O127+SM!O168+JI!O147+TU!O201</f>
        <v>1383.3987000000002</v>
      </c>
      <c r="I27" s="1153">
        <f ca="1">LB!P463+FR!P134+JN!P188+TA!P103+ŽB!P77+ČL!P304+NB!P127+SM!P168+JI!P147+TU!P201</f>
        <v>451.08945</v>
      </c>
      <c r="J27" s="1143">
        <f ca="1">LB!Q463+FR!Q134+JN!Q188+TA!Q103+ŽB!Q77+ČL!Q304+NB!Q127+SM!Q168+JI!Q147+TU!Q201</f>
        <v>-2510897</v>
      </c>
      <c r="K27" s="1142">
        <f ca="1">LB!R463+FR!R134+JN!R188+TA!R103+ŽB!R77+ČL!R304+NB!R127+SM!R168+JI!R147+TU!R201</f>
        <v>25157995</v>
      </c>
      <c r="L27" s="1142">
        <f ca="1">LB!S463+FR!S134+JN!S188+TA!S103+ŽB!S77+ČL!S304+NB!S127+SM!S168+JI!S147+TU!S201</f>
        <v>0</v>
      </c>
      <c r="M27" s="1142">
        <f ca="1">LB!T463+FR!T134+JN!T188+TA!T103+ŽB!T77+ČL!T304+NB!T127+SM!T168+JI!T147+TU!T201</f>
        <v>299303</v>
      </c>
      <c r="N27" s="1142">
        <f ca="1">LB!U463+FR!U134+JN!U188+TA!U103+ŽB!U77+ČL!U304+NB!U127+SM!U168+JI!U147+TU!U201</f>
        <v>22946401</v>
      </c>
      <c r="O27" s="1142">
        <f ca="1">LB!V463+FR!V134+JN!V188+TA!V103+ŽB!V77+ČL!V304+NB!V127+SM!V168+JI!V147+TU!V201</f>
        <v>2479921</v>
      </c>
      <c r="P27" s="1142">
        <f ca="1">LB!W463+FR!W134+JN!W188+TA!W103+ŽB!W77+ČL!W304+NB!W127+SM!W168+JI!W147+TU!W201</f>
        <v>0</v>
      </c>
      <c r="Q27" s="1142">
        <f ca="1">LB!X463+FR!X134+JN!X188+TA!X103+ŽB!X77+ČL!X304+NB!X127+SM!X168+JI!X147+TU!X201</f>
        <v>30976</v>
      </c>
      <c r="R27" s="1142">
        <f ca="1">LB!Y463+FR!Y134+JN!Y188+TA!Y103+ŽB!Y77+ČL!Y304+NB!Y127+SM!Y168+JI!Y147+TU!Y201</f>
        <v>2510897</v>
      </c>
      <c r="S27" s="1142">
        <f ca="1">LB!Z463+FR!Z134+JN!Z188+TA!Z103+ŽB!Z77+ČL!Z304+NB!Z127+SM!Z168+JI!Z147+TU!Z201</f>
        <v>25457298</v>
      </c>
      <c r="T27" s="1142">
        <f ca="1">LB!AA463+FR!AA134+JN!AA188+TA!AA103+ŽB!AA77+ČL!AA304+NB!AA127+SM!AA168+JI!AA147+TU!AA201</f>
        <v>8594104</v>
      </c>
      <c r="U27" s="1142">
        <f ca="1">LB!AB463+FR!AB134+JN!AB188+TA!AB103+ŽB!AB77+ČL!AB304+NB!AB127+SM!AB168+JI!AB147+TU!AB201</f>
        <v>458929</v>
      </c>
      <c r="V27" s="1142">
        <f ca="1">LB!AC463+FR!AC134+JN!AC188+TA!AC103+ŽB!AC77+ČL!AC304+NB!AC127+SM!AC168+JI!AC147+TU!AC201</f>
        <v>15500</v>
      </c>
      <c r="W27" s="1142">
        <f ca="1">LB!AD463+FR!AD134+JN!AD188+TA!AD103+ŽB!AD77+ČL!AD304+NB!AD127+SM!AD168+JI!AD147+TU!AD201</f>
        <v>0</v>
      </c>
      <c r="X27" s="1142">
        <f ca="1">LB!AE463+FR!AE134+JN!AE188+TA!AE103+ŽB!AE77+ČL!AE304+NB!AE127+SM!AE168+JI!AE147+TU!AE201</f>
        <v>15500</v>
      </c>
      <c r="Y27" s="1142">
        <f ca="1">LB!AF463+FR!AF134+JN!AF188+TA!AF103+ŽB!AF77+ČL!AF304+NB!AF127+SM!AF168+JI!AF147+TU!AF201</f>
        <v>34525831</v>
      </c>
      <c r="Z27" s="1152">
        <f ca="1">LB!AG463+FR!AG134+JN!AG188+TA!AG103+ŽB!AG77+ČL!AG304+NB!AG127+SM!AG168+JI!AG147+TU!AG201</f>
        <v>-0.69</v>
      </c>
      <c r="AA27" s="1152">
        <f ca="1">LB!AH463+FR!AH134+JN!AH188+TA!AH103+ŽB!AH77+ČL!AH304+NB!AH127+SM!AH168+JI!AH147+TU!AH201</f>
        <v>-6.1499999999999995</v>
      </c>
      <c r="AB27" s="1152">
        <f ca="1">LB!AI463+FR!AI134+JN!AI188+TA!AI103+ŽB!AI77+ČL!AI304+NB!AI127+SM!AI168+JI!AI147+TU!AI201</f>
        <v>73.679999999999993</v>
      </c>
      <c r="AC27" s="1152">
        <f ca="1">LB!AJ463+FR!AJ134+JN!AJ188+TA!AJ103+ŽB!AJ77+ČL!AJ304+NB!AJ127+SM!AJ168+JI!AJ147+TU!AJ201</f>
        <v>0.1100000000000001</v>
      </c>
      <c r="AD27" s="1152">
        <f ca="1">LB!AK463+FR!AK134+JN!AK188+TA!AK103+ŽB!AK77+ČL!AK304+NB!AK127+SM!AK168+JI!AK147+TU!AK201</f>
        <v>7.0000000000000007E-2</v>
      </c>
      <c r="AE27" s="1152">
        <f ca="1">LB!AL463+FR!AL134+JN!AL188+TA!AL103+ŽB!AL77+ČL!AL304+NB!AL127+SM!AL168+JI!AL147+TU!AL201</f>
        <v>73.100000000000009</v>
      </c>
      <c r="AF27" s="1152">
        <f ca="1">LB!AM463+FR!AM134+JN!AM188+TA!AM103+ŽB!AM77+ČL!AM304+NB!AM127+SM!AM168+JI!AM147+TU!AM201</f>
        <v>-6.0799999999999992</v>
      </c>
      <c r="AG27" s="1157">
        <f ca="1">LB!AN463+FR!AN134+JN!AN188+TA!AN103+ŽB!AN77+ČL!AN304+NB!AN127+SM!AN168+JI!AN147+TU!AN201</f>
        <v>67.02</v>
      </c>
      <c r="AH27" s="1141">
        <f ca="1">LB!AO463+FR!AO134+JN!AO188+TA!AO103+ŽB!AO77+ČL!AO304+NB!AO127+SM!AO168+JI!AO147+TU!AO201</f>
        <v>1112400915</v>
      </c>
      <c r="AI27" s="1142">
        <f ca="1">LB!AP463+FR!AP134+JN!AP188+TA!AP103+ŽB!AP77+ČL!AP304+NB!AP127+SM!AP168+JI!AP147+TU!AP201</f>
        <v>811741262</v>
      </c>
      <c r="AJ27" s="1142">
        <f ca="1">LB!AQ463+FR!AQ134+JN!AQ188+TA!AQ103+ŽB!AQ77+ČL!AQ304+NB!AQ127+SM!AQ168+JI!AQ147+TU!AQ201</f>
        <v>2510897</v>
      </c>
      <c r="AK27" s="1142">
        <f ca="1">LB!AR463+FR!AR134+JN!AR188+TA!AR103+ŽB!AR77+ČL!AR304+NB!AR127+SM!AR168+JI!AR147+TU!AR201</f>
        <v>275206769</v>
      </c>
      <c r="AL27" s="1142">
        <f ca="1">LB!AS463+FR!AS134+JN!AS188+TA!AS103+ŽB!AS77+ČL!AS304+NB!AS127+SM!AS168+JI!AS147+TU!AS201</f>
        <v>16234837</v>
      </c>
      <c r="AM27" s="1142">
        <f ca="1">LB!AT463+FR!AT134+JN!AT188+TA!AT103+ŽB!AT77+ČL!AT304+NB!AT127+SM!AT168+JI!AT147+TU!AT201</f>
        <v>6707150</v>
      </c>
      <c r="AN27" s="1152">
        <f ca="1">LB!AU463+FR!AU134+JN!AU188+TA!AU103+ŽB!AU77+ČL!AU304+NB!AU127+SM!AU168+JI!AU147+TU!AU201</f>
        <v>1901.5081500000001</v>
      </c>
      <c r="AO27" s="1152">
        <f ca="1">LB!AV463+FR!AV134+JN!AV188+TA!AV103+ŽB!AV77+ČL!AV304+NB!AV127+SM!AV168+JI!AV147+TU!AV201</f>
        <v>1456.4986999999996</v>
      </c>
      <c r="AP27" s="1153">
        <f ca="1">LB!AW463+FR!AW134+JN!AW188+TA!AW103+ŽB!AW77+ČL!AW304+NB!AW127+SM!AW168+JI!AW147+TU!AW201</f>
        <v>445.00944999999996</v>
      </c>
    </row>
    <row r="28" spans="1:42" x14ac:dyDescent="0.2">
      <c r="A28" s="2">
        <v>3113</v>
      </c>
      <c r="B28" s="395">
        <f>LB!I464+FR!I135+JN!I189+TA!I104+ŽB!I78+ČL!I305+NB!I128+SM!I169+JI!I148+TU!I202</f>
        <v>2471913763</v>
      </c>
      <c r="C28" s="29">
        <f>LB!J464+FR!J135+JN!J189+TA!J104+ŽB!J78+ČL!J305+NB!J128+SM!J169+JI!J148+TU!J202</f>
        <v>1780006476</v>
      </c>
      <c r="D28" s="29">
        <f>LB!K464+FR!K135+JN!K189+TA!K104+ŽB!K78+ČL!K305+NB!K128+SM!K169+JI!K148+TU!K202</f>
        <v>601642188</v>
      </c>
      <c r="E28" s="29">
        <f>LB!L464+FR!L135+JN!L189+TA!L104+ŽB!L78+ČL!L305+NB!L128+SM!L169+JI!L148+TU!L202</f>
        <v>35600129</v>
      </c>
      <c r="F28" s="29">
        <f>LB!M464+FR!M135+JN!M189+TA!M104+ŽB!M78+ČL!M305+NB!M128+SM!M169+JI!M148+TU!M202</f>
        <v>54664970</v>
      </c>
      <c r="G28" s="22">
        <f>LB!N464+FR!N135+JN!N189+TA!N104+ŽB!N78+ČL!N305+NB!N128+SM!N169+JI!N148+TU!N202</f>
        <v>3359.0428000000002</v>
      </c>
      <c r="H28" s="22">
        <f>LB!O464+FR!O135+JN!O189+TA!O104+ŽB!O78+ČL!O305+NB!O128+SM!O169+JI!O148+TU!O202</f>
        <v>2574.2924000000003</v>
      </c>
      <c r="I28" s="30">
        <f>LB!P464+FR!P135+JN!P189+TA!P104+ŽB!P78+ČL!P305+NB!P128+SM!P169+JI!P148+TU!P202</f>
        <v>784.75040000000013</v>
      </c>
      <c r="J28" s="1137">
        <f>LB!Q464+FR!Q135+JN!Q189+TA!Q104+ŽB!Q78+ČL!Q305+NB!Q128+SM!Q169+JI!Q148+TU!Q202</f>
        <v>-6011456</v>
      </c>
      <c r="K28" s="29">
        <f>LB!R464+FR!R135+JN!R189+TA!R104+ŽB!R78+ČL!R305+NB!R128+SM!R169+JI!R148+TU!R202</f>
        <v>183419652</v>
      </c>
      <c r="L28" s="29">
        <f>LB!S464+FR!S135+JN!S189+TA!S104+ŽB!S78+ČL!S305+NB!S128+SM!S169+JI!S148+TU!S202</f>
        <v>0</v>
      </c>
      <c r="M28" s="29">
        <f>LB!T464+FR!T135+JN!T189+TA!T104+ŽB!T78+ČL!T305+NB!T128+SM!T169+JI!T148+TU!T202</f>
        <v>1530905</v>
      </c>
      <c r="N28" s="29">
        <f>LB!U464+FR!U135+JN!U189+TA!U104+ŽB!U78+ČL!U305+NB!U128+SM!U169+JI!U148+TU!U202</f>
        <v>178939101</v>
      </c>
      <c r="O28" s="29">
        <f>LB!V464+FR!V135+JN!V189+TA!V104+ŽB!V78+ČL!V305+NB!V128+SM!V169+JI!V148+TU!V202</f>
        <v>6011456</v>
      </c>
      <c r="P28" s="29">
        <f>LB!W464+FR!W135+JN!W189+TA!W104+ŽB!W78+ČL!W305+NB!W128+SM!W169+JI!W148+TU!W202</f>
        <v>657804</v>
      </c>
      <c r="Q28" s="29">
        <f>LB!X464+FR!X135+JN!X189+TA!X104+ŽB!X78+ČL!X305+NB!X128+SM!X169+JI!X148+TU!X202</f>
        <v>139418</v>
      </c>
      <c r="R28" s="29">
        <f>LB!Y464+FR!Y135+JN!Y189+TA!Y104+ŽB!Y78+ČL!Y305+NB!Y128+SM!Y169+JI!Y148+TU!Y202</f>
        <v>6808678</v>
      </c>
      <c r="S28" s="29">
        <f>LB!Z464+FR!Z135+JN!Z189+TA!Z104+ŽB!Z78+ČL!Z305+NB!Z128+SM!Z169+JI!Z148+TU!Z202</f>
        <v>185747779</v>
      </c>
      <c r="T28" s="29">
        <f>LB!AA464+FR!AA135+JN!AA189+TA!AA104+ŽB!AA78+ČL!AA305+NB!AA128+SM!AA169+JI!AA148+TU!AA202</f>
        <v>62735630</v>
      </c>
      <c r="U28" s="29">
        <f>LB!AB464+FR!AB135+JN!AB189+TA!AB104+ŽB!AB78+ČL!AB305+NB!AB128+SM!AB169+JI!AB148+TU!AB202</f>
        <v>3578781</v>
      </c>
      <c r="V28" s="29">
        <f>LB!AC464+FR!AC135+JN!AC189+TA!AC104+ŽB!AC78+ČL!AC305+NB!AC128+SM!AC169+JI!AC148+TU!AC202</f>
        <v>246850</v>
      </c>
      <c r="W28" s="29">
        <f>LB!AD464+FR!AD135+JN!AD189+TA!AD104+ŽB!AD78+ČL!AD305+NB!AD128+SM!AD169+JI!AD148+TU!AD202</f>
        <v>16180</v>
      </c>
      <c r="X28" s="29">
        <f>LB!AE464+FR!AE135+JN!AE189+TA!AE104+ŽB!AE78+ČL!AE305+NB!AE128+SM!AE169+JI!AE148+TU!AE202</f>
        <v>263030</v>
      </c>
      <c r="Y28" s="29">
        <f>LB!AF464+FR!AF135+JN!AF189+TA!AF104+ŽB!AF78+ČL!AF305+NB!AF128+SM!AF169+JI!AF148+TU!AF202</f>
        <v>252325220</v>
      </c>
      <c r="Z28" s="22">
        <f>LB!AG464+FR!AG135+JN!AG189+TA!AG104+ŽB!AG78+ČL!AG305+NB!AG128+SM!AG169+JI!AG148+TU!AG202</f>
        <v>-4.0200000000000005</v>
      </c>
      <c r="AA28" s="22">
        <f>LB!AH464+FR!AH135+JN!AH189+TA!AH104+ŽB!AH78+ČL!AH305+NB!AH128+SM!AH169+JI!AH148+TU!AH202</f>
        <v>-9.42</v>
      </c>
      <c r="AB28" s="22">
        <f>LB!AI464+FR!AI135+JN!AI189+TA!AI104+ŽB!AI78+ČL!AI305+NB!AI128+SM!AI169+JI!AI148+TU!AI202</f>
        <v>522.14</v>
      </c>
      <c r="AC28" s="22">
        <f>LB!AJ464+FR!AJ135+JN!AJ189+TA!AJ104+ŽB!AJ78+ČL!AJ305+NB!AJ128+SM!AJ169+JI!AJ148+TU!AJ202</f>
        <v>2.52</v>
      </c>
      <c r="AD28" s="22">
        <f>LB!AK464+FR!AK135+JN!AK189+TA!AK104+ŽB!AK78+ČL!AK305+NB!AK128+SM!AK169+JI!AK148+TU!AK202</f>
        <v>0</v>
      </c>
      <c r="AE28" s="22">
        <f>LB!AL464+FR!AL135+JN!AL189+TA!AL104+ŽB!AL78+ČL!AL305+NB!AL128+SM!AL169+JI!AL148+TU!AL202</f>
        <v>520.64</v>
      </c>
      <c r="AF28" s="22">
        <f>LB!AM464+FR!AM135+JN!AM189+TA!AM104+ŽB!AM78+ČL!AM305+NB!AM128+SM!AM169+JI!AM148+TU!AM202</f>
        <v>-9.42</v>
      </c>
      <c r="AG28" s="487">
        <f>LB!AN464+FR!AN135+JN!AN189+TA!AN104+ŽB!AN78+ČL!AN305+NB!AN128+SM!AN169+JI!AN148+TU!AN202</f>
        <v>511.21999999999997</v>
      </c>
      <c r="AH28" s="395">
        <f>LB!AO464+FR!AO135+JN!AO189+TA!AO104+ŽB!AO78+ČL!AO305+NB!AO128+SM!AO169+JI!AO148+TU!AO202</f>
        <v>2724238983</v>
      </c>
      <c r="AI28" s="29">
        <f>LB!AP464+FR!AP135+JN!AP189+TA!AP104+ŽB!AP78+ČL!AP305+NB!AP128+SM!AP169+JI!AP148+TU!AP202</f>
        <v>1958945577</v>
      </c>
      <c r="AJ28" s="29">
        <f>LB!AQ464+FR!AQ135+JN!AQ189+TA!AQ104+ŽB!AQ78+ČL!AQ305+NB!AQ128+SM!AQ169+JI!AQ148+TU!AQ202</f>
        <v>6808678</v>
      </c>
      <c r="AK28" s="29">
        <f>LB!AR464+FR!AR135+JN!AR189+TA!AR104+ŽB!AR78+ČL!AR305+NB!AR128+SM!AR169+JI!AR148+TU!AR202</f>
        <v>664377818</v>
      </c>
      <c r="AL28" s="29">
        <f>LB!AS464+FR!AS135+JN!AS189+TA!AS104+ŽB!AS78+ČL!AS305+NB!AS128+SM!AS169+JI!AS148+TU!AS202</f>
        <v>39178910</v>
      </c>
      <c r="AM28" s="29">
        <f>LB!AT464+FR!AT135+JN!AT189+TA!AT104+ŽB!AT78+ČL!AT305+NB!AT128+SM!AT169+JI!AT148+TU!AT202</f>
        <v>54928000</v>
      </c>
      <c r="AN28" s="22">
        <f>LB!AU464+FR!AU135+JN!AU189+TA!AU104+ŽB!AU78+ČL!AU305+NB!AU128+SM!AU169+JI!AU148+TU!AU202</f>
        <v>3870.2628</v>
      </c>
      <c r="AO28" s="22">
        <f>LB!AV464+FR!AV135+JN!AV189+TA!AV104+ŽB!AV78+ČL!AV305+NB!AV128+SM!AV169+JI!AV148+TU!AV202</f>
        <v>3094.9324000000006</v>
      </c>
      <c r="AP28" s="30">
        <f>LB!AW464+FR!AW135+JN!AW189+TA!AW104+ŽB!AW78+ČL!AW305+NB!AW128+SM!AW169+JI!AW148+TU!AW202</f>
        <v>775.33040000000005</v>
      </c>
    </row>
    <row r="29" spans="1:42" x14ac:dyDescent="0.2">
      <c r="A29" s="2">
        <v>3114</v>
      </c>
      <c r="B29" s="395">
        <f>LB!I465+FR!I136+JN!I190+TA!I105+ŽB!I79+ČL!I306+NB!I129+SM!I170+JI!I149+TU!I203</f>
        <v>160181910</v>
      </c>
      <c r="C29" s="29">
        <f>LB!J465+FR!J136+JN!J190+TA!J105+ŽB!J79+ČL!J306+NB!J129+SM!J170+JI!J149+TU!J203</f>
        <v>116871280</v>
      </c>
      <c r="D29" s="29">
        <f>LB!K465+FR!K136+JN!K190+TA!K105+ŽB!K79+ČL!K306+NB!K129+SM!K170+JI!K149+TU!K203</f>
        <v>39502493</v>
      </c>
      <c r="E29" s="29">
        <f>LB!L465+FR!L136+JN!L190+TA!L105+ŽB!L79+ČL!L306+NB!L129+SM!L170+JI!L149+TU!L203</f>
        <v>2337427</v>
      </c>
      <c r="F29" s="29">
        <f>LB!M465+FR!M136+JN!M190+TA!M105+ŽB!M79+ČL!M306+NB!M129+SM!M170+JI!M149+TU!M203</f>
        <v>1470710</v>
      </c>
      <c r="G29" s="22">
        <f>LB!N465+FR!N136+JN!N190+TA!N105+ŽB!N79+ČL!N306+NB!N129+SM!N170+JI!N149+TU!N203</f>
        <v>230.87829999999997</v>
      </c>
      <c r="H29" s="22">
        <f>LB!O465+FR!O136+JN!O190+TA!O105+ŽB!O79+ČL!O306+NB!O129+SM!O170+JI!O149+TU!O203</f>
        <v>183.73439999999999</v>
      </c>
      <c r="I29" s="30">
        <f>LB!P465+FR!P136+JN!P190+TA!P105+ŽB!P79+ČL!P306+NB!P129+SM!P170+JI!P149+TU!P203</f>
        <v>47.143899999999995</v>
      </c>
      <c r="J29" s="1137">
        <f>LB!Q465+FR!Q136+JN!Q190+TA!Q105+ŽB!Q79+ČL!Q306+NB!Q129+SM!Q170+JI!Q149+TU!Q203</f>
        <v>-343200</v>
      </c>
      <c r="K29" s="29">
        <f>LB!R465+FR!R136+JN!R190+TA!R105+ŽB!R79+ČL!R306+NB!R129+SM!R170+JI!R149+TU!R203</f>
        <v>1797688</v>
      </c>
      <c r="L29" s="29">
        <f>LB!S465+FR!S136+JN!S190+TA!S105+ŽB!S79+ČL!S306+NB!S129+SM!S170+JI!S149+TU!S203</f>
        <v>0</v>
      </c>
      <c r="M29" s="29">
        <f>LB!T465+FR!T136+JN!T190+TA!T105+ŽB!T79+ČL!T306+NB!T129+SM!T170+JI!T149+TU!T203</f>
        <v>97081</v>
      </c>
      <c r="N29" s="29">
        <f>LB!U465+FR!U136+JN!U190+TA!U105+ŽB!U79+ČL!U306+NB!U129+SM!U170+JI!U149+TU!U203</f>
        <v>1551569</v>
      </c>
      <c r="O29" s="29">
        <f>LB!V465+FR!V136+JN!V190+TA!V105+ŽB!V79+ČL!V306+NB!V129+SM!V170+JI!V149+TU!V203</f>
        <v>343200</v>
      </c>
      <c r="P29" s="29">
        <f>LB!W465+FR!W136+JN!W190+TA!W105+ŽB!W79+ČL!W306+NB!W129+SM!W170+JI!W149+TU!W203</f>
        <v>73088</v>
      </c>
      <c r="Q29" s="29">
        <f>LB!X465+FR!X136+JN!X190+TA!X105+ŽB!X79+ČL!X306+NB!X129+SM!X170+JI!X149+TU!X203</f>
        <v>0</v>
      </c>
      <c r="R29" s="29">
        <f>LB!Y465+FR!Y136+JN!Y190+TA!Y105+ŽB!Y79+ČL!Y306+NB!Y129+SM!Y170+JI!Y149+TU!Y203</f>
        <v>416288</v>
      </c>
      <c r="S29" s="29">
        <f>LB!Z465+FR!Z136+JN!Z190+TA!Z105+ŽB!Z79+ČL!Z306+NB!Z129+SM!Z170+JI!Z149+TU!Z203</f>
        <v>1967857</v>
      </c>
      <c r="T29" s="29">
        <f>LB!AA465+FR!AA136+JN!AA190+TA!AA105+ŽB!AA79+ČL!AA306+NB!AA129+SM!AA170+JI!AA149+TU!AA203</f>
        <v>665137</v>
      </c>
      <c r="U29" s="29">
        <f>LB!AB465+FR!AB136+JN!AB190+TA!AB105+ŽB!AB79+ČL!AB306+NB!AB129+SM!AB170+JI!AB149+TU!AB203</f>
        <v>31031</v>
      </c>
      <c r="V29" s="29">
        <f>LB!AC465+FR!AC136+JN!AC190+TA!AC105+ŽB!AC79+ČL!AC306+NB!AC129+SM!AC170+JI!AC149+TU!AC203</f>
        <v>14500</v>
      </c>
      <c r="W29" s="29">
        <f>LB!AD465+FR!AD136+JN!AD190+TA!AD105+ŽB!AD79+ČL!AD306+NB!AD129+SM!AD170+JI!AD149+TU!AD203</f>
        <v>0</v>
      </c>
      <c r="X29" s="29">
        <f>LB!AE465+FR!AE136+JN!AE190+TA!AE105+ŽB!AE79+ČL!AE306+NB!AE129+SM!AE170+JI!AE149+TU!AE203</f>
        <v>14500</v>
      </c>
      <c r="Y29" s="29">
        <f>LB!AF465+FR!AF136+JN!AF190+TA!AF105+ŽB!AF79+ČL!AF306+NB!AF129+SM!AF170+JI!AF149+TU!AF203</f>
        <v>2678525</v>
      </c>
      <c r="Z29" s="22">
        <f>LB!AG465+FR!AG136+JN!AG190+TA!AG105+ŽB!AG79+ČL!AG306+NB!AG129+SM!AG170+JI!AG149+TU!AG203</f>
        <v>-7.0000000000000007E-2</v>
      </c>
      <c r="AA29" s="22">
        <f>LB!AH465+FR!AH136+JN!AH190+TA!AH105+ŽB!AH79+ČL!AH306+NB!AH129+SM!AH170+JI!AH149+TU!AH203</f>
        <v>-1.27</v>
      </c>
      <c r="AB29" s="22">
        <f>LB!AI465+FR!AI136+JN!AI190+TA!AI105+ŽB!AI79+ČL!AI306+NB!AI129+SM!AI170+JI!AI149+TU!AI203</f>
        <v>5.18</v>
      </c>
      <c r="AC29" s="22">
        <f>LB!AJ465+FR!AJ136+JN!AJ190+TA!AJ105+ŽB!AJ79+ČL!AJ306+NB!AJ129+SM!AJ170+JI!AJ149+TU!AJ203</f>
        <v>0.15</v>
      </c>
      <c r="AD29" s="22">
        <f>LB!AK465+FR!AK136+JN!AK190+TA!AK105+ŽB!AK79+ČL!AK306+NB!AK129+SM!AK170+JI!AK149+TU!AK203</f>
        <v>0</v>
      </c>
      <c r="AE29" s="22">
        <f>LB!AL465+FR!AL136+JN!AL190+TA!AL105+ŽB!AL79+ČL!AL306+NB!AL129+SM!AL170+JI!AL149+TU!AL203</f>
        <v>5.26</v>
      </c>
      <c r="AF29" s="22">
        <f>LB!AM465+FR!AM136+JN!AM190+TA!AM105+ŽB!AM79+ČL!AM306+NB!AM129+SM!AM170+JI!AM149+TU!AM203</f>
        <v>-1.27</v>
      </c>
      <c r="AG29" s="487">
        <f>LB!AN465+FR!AN136+JN!AN190+TA!AN105+ŽB!AN79+ČL!AN306+NB!AN129+SM!AN170+JI!AN149+TU!AN203</f>
        <v>3.9899999999999989</v>
      </c>
      <c r="AH29" s="395">
        <f>LB!AO465+FR!AO136+JN!AO190+TA!AO105+ŽB!AO79+ČL!AO306+NB!AO129+SM!AO170+JI!AO149+TU!AO203</f>
        <v>162860435</v>
      </c>
      <c r="AI29" s="29">
        <f>LB!AP465+FR!AP136+JN!AP190+TA!AP105+ŽB!AP79+ČL!AP306+NB!AP129+SM!AP170+JI!AP149+TU!AP203</f>
        <v>118422849</v>
      </c>
      <c r="AJ29" s="29">
        <f>LB!AQ465+FR!AQ136+JN!AQ190+TA!AQ105+ŽB!AQ79+ČL!AQ306+NB!AQ129+SM!AQ170+JI!AQ149+TU!AQ203</f>
        <v>416288</v>
      </c>
      <c r="AK29" s="29">
        <f>LB!AR465+FR!AR136+JN!AR190+TA!AR105+ŽB!AR79+ČL!AR306+NB!AR129+SM!AR170+JI!AR149+TU!AR203</f>
        <v>40167630</v>
      </c>
      <c r="AL29" s="29">
        <f>LB!AS465+FR!AS136+JN!AS190+TA!AS105+ŽB!AS79+ČL!AS306+NB!AS129+SM!AS170+JI!AS149+TU!AS203</f>
        <v>2368458</v>
      </c>
      <c r="AM29" s="29">
        <f>LB!AT465+FR!AT136+JN!AT190+TA!AT105+ŽB!AT79+ČL!AT306+NB!AT129+SM!AT170+JI!AT149+TU!AT203</f>
        <v>1485210</v>
      </c>
      <c r="AN29" s="22">
        <f>LB!AU465+FR!AU136+JN!AU190+TA!AU105+ŽB!AU79+ČL!AU306+NB!AU129+SM!AU170+JI!AU149+TU!AU203</f>
        <v>234.86829999999998</v>
      </c>
      <c r="AO29" s="22">
        <f>LB!AV465+FR!AV136+JN!AV190+TA!AV105+ŽB!AV79+ČL!AV306+NB!AV129+SM!AV170+JI!AV149+TU!AV203</f>
        <v>188.99440000000004</v>
      </c>
      <c r="AP29" s="30">
        <f>LB!AW465+FR!AW136+JN!AW190+TA!AW105+ŽB!AW79+ČL!AW306+NB!AW129+SM!AW170+JI!AW149+TU!AW203</f>
        <v>45.873900000000006</v>
      </c>
    </row>
    <row r="30" spans="1:42" x14ac:dyDescent="0.2">
      <c r="A30" s="2">
        <v>3117</v>
      </c>
      <c r="B30" s="395">
        <f>LB!I466+FR!I137+JN!I191+TA!I106+ŽB!I80+ČL!I307+NB!I130+SM!I171+JI!I150+TU!I204</f>
        <v>253456775</v>
      </c>
      <c r="C30" s="29">
        <f>LB!J466+FR!J137+JN!J191+TA!J106+ŽB!J80+ČL!J307+NB!J130+SM!J171+JI!J150+TU!J204</f>
        <v>183228561</v>
      </c>
      <c r="D30" s="29">
        <f>LB!K466+FR!K137+JN!K191+TA!K106+ŽB!K80+ČL!K307+NB!K130+SM!K171+JI!K150+TU!K204</f>
        <v>61931251</v>
      </c>
      <c r="E30" s="29">
        <f>LB!L466+FR!L137+JN!L191+TA!L106+ŽB!L80+ČL!L307+NB!L130+SM!L171+JI!L150+TU!L204</f>
        <v>3664573</v>
      </c>
      <c r="F30" s="29">
        <f>LB!M466+FR!M137+JN!M191+TA!M106+ŽB!M80+ČL!M307+NB!M130+SM!M171+JI!M150+TU!M204</f>
        <v>4632390</v>
      </c>
      <c r="G30" s="22">
        <f>LB!N466+FR!N137+JN!N191+TA!N106+ŽB!N80+ČL!N307+NB!N130+SM!N171+JI!N150+TU!N204</f>
        <v>363.94910000000004</v>
      </c>
      <c r="H30" s="22">
        <f>LB!O466+FR!O137+JN!O191+TA!O106+ŽB!O80+ČL!O307+NB!O130+SM!O171+JI!O150+TU!O204</f>
        <v>246.39509999999999</v>
      </c>
      <c r="I30" s="30">
        <f>LB!P466+FR!P137+JN!P191+TA!P106+ŽB!P80+ČL!P307+NB!P130+SM!P171+JI!P150+TU!P204</f>
        <v>117.554</v>
      </c>
      <c r="J30" s="1137">
        <f>LB!Q466+FR!Q137+JN!Q191+TA!Q106+ŽB!Q80+ČL!Q307+NB!Q130+SM!Q171+JI!Q150+TU!Q204</f>
        <v>-1020192</v>
      </c>
      <c r="K30" s="29">
        <f>LB!R466+FR!R137+JN!R191+TA!R106+ŽB!R80+ČL!R307+NB!R130+SM!R171+JI!R150+TU!R204</f>
        <v>29941757</v>
      </c>
      <c r="L30" s="29">
        <f>LB!S466+FR!S137+JN!S191+TA!S106+ŽB!S80+ČL!S307+NB!S130+SM!S171+JI!S150+TU!S204</f>
        <v>0</v>
      </c>
      <c r="M30" s="29">
        <f>LB!T466+FR!T137+JN!T191+TA!T106+ŽB!T80+ČL!T307+NB!T130+SM!T171+JI!T150+TU!T204</f>
        <v>0</v>
      </c>
      <c r="N30" s="29">
        <f>LB!U466+FR!U137+JN!U191+TA!U106+ŽB!U80+ČL!U307+NB!U130+SM!U171+JI!U150+TU!U204</f>
        <v>28921565</v>
      </c>
      <c r="O30" s="29">
        <f>LB!V466+FR!V137+JN!V191+TA!V106+ŽB!V80+ČL!V307+NB!V130+SM!V171+JI!V150+TU!V204</f>
        <v>1020192</v>
      </c>
      <c r="P30" s="29">
        <f>LB!W466+FR!W137+JN!W191+TA!W106+ŽB!W80+ČL!W307+NB!W130+SM!W171+JI!W150+TU!W204</f>
        <v>54816</v>
      </c>
      <c r="Q30" s="29">
        <f>LB!X466+FR!X137+JN!X191+TA!X106+ŽB!X80+ČL!X307+NB!X130+SM!X171+JI!X150+TU!X204</f>
        <v>0</v>
      </c>
      <c r="R30" s="29">
        <f>LB!Y466+FR!Y137+JN!Y191+TA!Y106+ŽB!Y80+ČL!Y307+NB!Y130+SM!Y171+JI!Y150+TU!Y204</f>
        <v>1075008</v>
      </c>
      <c r="S30" s="29">
        <f>LB!Z466+FR!Z137+JN!Z191+TA!Z106+ŽB!Z80+ČL!Z307+NB!Z130+SM!Z171+JI!Z150+TU!Z204</f>
        <v>29996573</v>
      </c>
      <c r="T30" s="29">
        <f>LB!AA466+FR!AA137+JN!AA191+TA!AA106+ŽB!AA80+ČL!AA307+NB!AA130+SM!AA171+JI!AA150+TU!AA204</f>
        <v>10138848</v>
      </c>
      <c r="U30" s="29">
        <f>LB!AB466+FR!AB137+JN!AB191+TA!AB106+ŽB!AB80+ČL!AB307+NB!AB130+SM!AB171+JI!AB150+TU!AB204</f>
        <v>578433</v>
      </c>
      <c r="V30" s="29">
        <f>LB!AC466+FR!AC137+JN!AC191+TA!AC106+ŽB!AC80+ČL!AC307+NB!AC130+SM!AC171+JI!AC150+TU!AC204</f>
        <v>55600</v>
      </c>
      <c r="W30" s="29">
        <f>LB!AD466+FR!AD137+JN!AD191+TA!AD106+ŽB!AD80+ČL!AD307+NB!AD130+SM!AD171+JI!AD150+TU!AD204</f>
        <v>0</v>
      </c>
      <c r="X30" s="29">
        <f>LB!AE466+FR!AE137+JN!AE191+TA!AE106+ŽB!AE80+ČL!AE307+NB!AE130+SM!AE171+JI!AE150+TU!AE204</f>
        <v>55600</v>
      </c>
      <c r="Y30" s="29">
        <f>LB!AF466+FR!AF137+JN!AF191+TA!AF106+ŽB!AF80+ČL!AF307+NB!AF130+SM!AF171+JI!AF150+TU!AF204</f>
        <v>40769454</v>
      </c>
      <c r="Z30" s="22">
        <f>LB!AG466+FR!AG137+JN!AG191+TA!AG106+ŽB!AG80+ČL!AG307+NB!AG130+SM!AG171+JI!AG150+TU!AG204</f>
        <v>-0.48000000000000004</v>
      </c>
      <c r="AA30" s="22">
        <f>LB!AH466+FR!AH137+JN!AH191+TA!AH106+ŽB!AH80+ČL!AH307+NB!AH130+SM!AH171+JI!AH150+TU!AH204</f>
        <v>-2.2200000000000002</v>
      </c>
      <c r="AB30" s="22">
        <f>LB!AI466+FR!AI137+JN!AI191+TA!AI106+ŽB!AI80+ČL!AI307+NB!AI130+SM!AI171+JI!AI150+TU!AI204</f>
        <v>86.92</v>
      </c>
      <c r="AC30" s="22">
        <f>LB!AJ466+FR!AJ137+JN!AJ191+TA!AJ106+ŽB!AJ80+ČL!AJ307+NB!AJ130+SM!AJ171+JI!AJ150+TU!AJ204</f>
        <v>0</v>
      </c>
      <c r="AD30" s="22">
        <f>LB!AK466+FR!AK137+JN!AK191+TA!AK106+ŽB!AK80+ČL!AK307+NB!AK130+SM!AK171+JI!AK150+TU!AK204</f>
        <v>0</v>
      </c>
      <c r="AE30" s="22">
        <f>LB!AL466+FR!AL137+JN!AL191+TA!AL106+ŽB!AL80+ČL!AL307+NB!AL130+SM!AL171+JI!AL150+TU!AL204</f>
        <v>86.44</v>
      </c>
      <c r="AF30" s="22">
        <f>LB!AM466+FR!AM137+JN!AM191+TA!AM106+ŽB!AM80+ČL!AM307+NB!AM130+SM!AM171+JI!AM150+TU!AM204</f>
        <v>-2.2200000000000002</v>
      </c>
      <c r="AG30" s="487">
        <f>LB!AN466+FR!AN137+JN!AN191+TA!AN106+ŽB!AN80+ČL!AN307+NB!AN130+SM!AN171+JI!AN150+TU!AN204</f>
        <v>84.22</v>
      </c>
      <c r="AH30" s="395">
        <f>LB!AO466+FR!AO137+JN!AO191+TA!AO106+ŽB!AO80+ČL!AO307+NB!AO130+SM!AO171+JI!AO150+TU!AO204</f>
        <v>294226229</v>
      </c>
      <c r="AI30" s="29">
        <f>LB!AP466+FR!AP137+JN!AP191+TA!AP106+ŽB!AP80+ČL!AP307+NB!AP130+SM!AP171+JI!AP150+TU!AP204</f>
        <v>212150126</v>
      </c>
      <c r="AJ30" s="29">
        <f>LB!AQ466+FR!AQ137+JN!AQ191+TA!AQ106+ŽB!AQ80+ČL!AQ307+NB!AQ130+SM!AQ171+JI!AQ150+TU!AQ204</f>
        <v>1075008</v>
      </c>
      <c r="AK30" s="29">
        <f>LB!AR466+FR!AR137+JN!AR191+TA!AR106+ŽB!AR80+ČL!AR307+NB!AR130+SM!AR171+JI!AR150+TU!AR204</f>
        <v>72070099</v>
      </c>
      <c r="AL30" s="29">
        <f>LB!AS466+FR!AS137+JN!AS191+TA!AS106+ŽB!AS80+ČL!AS307+NB!AS130+SM!AS171+JI!AS150+TU!AS204</f>
        <v>4243006</v>
      </c>
      <c r="AM30" s="29">
        <f>LB!AT466+FR!AT137+JN!AT191+TA!AT106+ŽB!AT80+ČL!AT307+NB!AT130+SM!AT171+JI!AT150+TU!AT204</f>
        <v>4687990</v>
      </c>
      <c r="AN30" s="22">
        <f>LB!AU466+FR!AU137+JN!AU191+TA!AU106+ŽB!AU80+ČL!AU307+NB!AU130+SM!AU171+JI!AU150+TU!AU204</f>
        <v>448.16909999999996</v>
      </c>
      <c r="AO30" s="22">
        <f>LB!AV466+FR!AV137+JN!AV191+TA!AV106+ŽB!AV80+ČL!AV307+NB!AV130+SM!AV171+JI!AV150+TU!AV204</f>
        <v>332.83510000000001</v>
      </c>
      <c r="AP30" s="30">
        <f>LB!AW466+FR!AW137+JN!AW191+TA!AW106+ŽB!AW80+ČL!AW307+NB!AW130+SM!AW171+JI!AW150+TU!AW204</f>
        <v>115.334</v>
      </c>
    </row>
    <row r="31" spans="1:42" x14ac:dyDescent="0.2">
      <c r="A31" s="2">
        <v>3122</v>
      </c>
      <c r="B31" s="395">
        <f>LB!I467+FR!I138+JN!I192+TA!I107+ŽB!I81+ČL!I308+NB!I131+SM!I172+JI!I151+TU!I205</f>
        <v>8132482</v>
      </c>
      <c r="C31" s="29">
        <f>LB!J467+FR!J138+JN!J192+TA!J107+ŽB!J81+ČL!J308+NB!J131+SM!J172+JI!J151+TU!J205</f>
        <v>5920826</v>
      </c>
      <c r="D31" s="29">
        <f>LB!K467+FR!K138+JN!K192+TA!K107+ŽB!K81+ČL!K308+NB!K131+SM!K172+JI!K151+TU!K205</f>
        <v>2001239</v>
      </c>
      <c r="E31" s="29">
        <f>LB!L467+FR!L138+JN!L192+TA!L107+ŽB!L81+ČL!L308+NB!L131+SM!L172+JI!L151+TU!L205</f>
        <v>118417</v>
      </c>
      <c r="F31" s="29">
        <f>LB!M467+FR!M138+JN!M192+TA!M107+ŽB!M81+ČL!M308+NB!M131+SM!M172+JI!M151+TU!M205</f>
        <v>92000</v>
      </c>
      <c r="G31" s="22">
        <f>LB!N467+FR!N138+JN!N192+TA!N107+ŽB!N81+ČL!N308+NB!N131+SM!N172+JI!N151+TU!N205</f>
        <v>10.152899999999999</v>
      </c>
      <c r="H31" s="22">
        <f>LB!O467+FR!O138+JN!O192+TA!O107+ŽB!O81+ČL!O308+NB!O131+SM!O172+JI!O151+TU!O205</f>
        <v>8.8300999999999998</v>
      </c>
      <c r="I31" s="30">
        <f>LB!P467+FR!P138+JN!P192+TA!P107+ŽB!P81+ČL!P308+NB!P131+SM!P172+JI!P151+TU!P205</f>
        <v>1.3228</v>
      </c>
      <c r="J31" s="1137">
        <f>LB!Q467+FR!Q138+JN!Q192+TA!Q107+ŽB!Q81+ČL!Q308+NB!Q131+SM!Q172+JI!Q151+TU!Q205</f>
        <v>-128000</v>
      </c>
      <c r="K31" s="29">
        <f>LB!R467+FR!R138+JN!R192+TA!R107+ŽB!R81+ČL!R308+NB!R131+SM!R172+JI!R151+TU!R205</f>
        <v>0</v>
      </c>
      <c r="L31" s="29">
        <f>LB!S467+FR!S138+JN!S192+TA!S107+ŽB!S81+ČL!S308+NB!S131+SM!S172+JI!S151+TU!S205</f>
        <v>0</v>
      </c>
      <c r="M31" s="29">
        <f>LB!T467+FR!T138+JN!T192+TA!T107+ŽB!T81+ČL!T308+NB!T131+SM!T172+JI!T151+TU!T205</f>
        <v>0</v>
      </c>
      <c r="N31" s="29">
        <f>LB!U467+FR!U138+JN!U192+TA!U107+ŽB!U81+ČL!U308+NB!U131+SM!U172+JI!U151+TU!U205</f>
        <v>-128000</v>
      </c>
      <c r="O31" s="29">
        <f>LB!V467+FR!V138+JN!V192+TA!V107+ŽB!V81+ČL!V308+NB!V131+SM!V172+JI!V151+TU!V205</f>
        <v>128000</v>
      </c>
      <c r="P31" s="29">
        <f>LB!W467+FR!W138+JN!W192+TA!W107+ŽB!W81+ČL!W308+NB!W131+SM!W172+JI!W151+TU!W205</f>
        <v>58080</v>
      </c>
      <c r="Q31" s="29">
        <f>LB!X467+FR!X138+JN!X192+TA!X107+ŽB!X81+ČL!X308+NB!X131+SM!X172+JI!X151+TU!X205</f>
        <v>0</v>
      </c>
      <c r="R31" s="29">
        <f>LB!Y467+FR!Y138+JN!Y192+TA!Y107+ŽB!Y81+ČL!Y308+NB!Y131+SM!Y172+JI!Y151+TU!Y205</f>
        <v>186080</v>
      </c>
      <c r="S31" s="29">
        <f>LB!Z467+FR!Z138+JN!Z192+TA!Z107+ŽB!Z81+ČL!Z308+NB!Z131+SM!Z172+JI!Z151+TU!Z205</f>
        <v>58080</v>
      </c>
      <c r="T31" s="29">
        <f>LB!AA467+FR!AA138+JN!AA192+TA!AA107+ŽB!AA81+ČL!AA308+NB!AA131+SM!AA172+JI!AA151+TU!AA205</f>
        <v>19631</v>
      </c>
      <c r="U31" s="29">
        <f>LB!AB467+FR!AB138+JN!AB192+TA!AB107+ŽB!AB81+ČL!AB308+NB!AB131+SM!AB172+JI!AB151+TU!AB205</f>
        <v>-2560</v>
      </c>
      <c r="V31" s="29">
        <f>LB!AC467+FR!AC138+JN!AC192+TA!AC107+ŽB!AC81+ČL!AC308+NB!AC131+SM!AC172+JI!AC151+TU!AC205</f>
        <v>0</v>
      </c>
      <c r="W31" s="29">
        <f>LB!AD467+FR!AD138+JN!AD192+TA!AD107+ŽB!AD81+ČL!AD308+NB!AD131+SM!AD172+JI!AD151+TU!AD205</f>
        <v>0</v>
      </c>
      <c r="X31" s="29">
        <f>LB!AE467+FR!AE138+JN!AE192+TA!AE107+ŽB!AE81+ČL!AE308+NB!AE131+SM!AE172+JI!AE151+TU!AE205</f>
        <v>0</v>
      </c>
      <c r="Y31" s="29">
        <f>LB!AF467+FR!AF138+JN!AF192+TA!AF107+ŽB!AF81+ČL!AF308+NB!AF131+SM!AF172+JI!AF151+TU!AF205</f>
        <v>75151</v>
      </c>
      <c r="Z31" s="22">
        <f>LB!AG467+FR!AG138+JN!AG192+TA!AG107+ŽB!AG81+ČL!AG308+NB!AG131+SM!AG172+JI!AG151+TU!AG205</f>
        <v>-0.1</v>
      </c>
      <c r="AA31" s="22">
        <f>LB!AH467+FR!AH138+JN!AH192+TA!AH107+ŽB!AH81+ČL!AH308+NB!AH131+SM!AH172+JI!AH151+TU!AH205</f>
        <v>0</v>
      </c>
      <c r="AB31" s="22">
        <f>LB!AI467+FR!AI138+JN!AI192+TA!AI107+ŽB!AI81+ČL!AI308+NB!AI131+SM!AI172+JI!AI151+TU!AI205</f>
        <v>0</v>
      </c>
      <c r="AC31" s="22">
        <f>LB!AJ467+FR!AJ138+JN!AJ192+TA!AJ107+ŽB!AJ81+ČL!AJ308+NB!AJ131+SM!AJ172+JI!AJ151+TU!AJ205</f>
        <v>0</v>
      </c>
      <c r="AD31" s="22">
        <f>LB!AK467+FR!AK138+JN!AK192+TA!AK107+ŽB!AK81+ČL!AK308+NB!AK131+SM!AK172+JI!AK151+TU!AK205</f>
        <v>0</v>
      </c>
      <c r="AE31" s="22">
        <f>LB!AL467+FR!AL138+JN!AL192+TA!AL107+ŽB!AL81+ČL!AL308+NB!AL131+SM!AL172+JI!AL151+TU!AL205</f>
        <v>-0.1</v>
      </c>
      <c r="AF31" s="22">
        <f>LB!AM467+FR!AM138+JN!AM192+TA!AM107+ŽB!AM81+ČL!AM308+NB!AM131+SM!AM172+JI!AM151+TU!AM205</f>
        <v>0</v>
      </c>
      <c r="AG31" s="487">
        <f>LB!AN467+FR!AN138+JN!AN192+TA!AN107+ŽB!AN81+ČL!AN308+NB!AN131+SM!AN172+JI!AN151+TU!AN205</f>
        <v>-0.1</v>
      </c>
      <c r="AH31" s="395">
        <f>LB!AO467+FR!AO138+JN!AO192+TA!AO107+ŽB!AO81+ČL!AO308+NB!AO131+SM!AO172+JI!AO151+TU!AO205</f>
        <v>8207633</v>
      </c>
      <c r="AI31" s="29">
        <f>LB!AP467+FR!AP138+JN!AP192+TA!AP107+ŽB!AP81+ČL!AP308+NB!AP131+SM!AP172+JI!AP151+TU!AP205</f>
        <v>5792826</v>
      </c>
      <c r="AJ31" s="29">
        <f>LB!AQ467+FR!AQ138+JN!AQ192+TA!AQ107+ŽB!AQ81+ČL!AQ308+NB!AQ131+SM!AQ172+JI!AQ151+TU!AQ205</f>
        <v>186080</v>
      </c>
      <c r="AK31" s="29">
        <f>LB!AR467+FR!AR138+JN!AR192+TA!AR107+ŽB!AR81+ČL!AR308+NB!AR131+SM!AR172+JI!AR151+TU!AR205</f>
        <v>2020870</v>
      </c>
      <c r="AL31" s="29">
        <f>LB!AS467+FR!AS138+JN!AS192+TA!AS107+ŽB!AS81+ČL!AS308+NB!AS131+SM!AS172+JI!AS151+TU!AS205</f>
        <v>115857</v>
      </c>
      <c r="AM31" s="29">
        <f>LB!AT467+FR!AT138+JN!AT192+TA!AT107+ŽB!AT81+ČL!AT308+NB!AT131+SM!AT172+JI!AT151+TU!AT205</f>
        <v>92000</v>
      </c>
      <c r="AN31" s="22">
        <f>LB!AU467+FR!AU138+JN!AU192+TA!AU107+ŽB!AU81+ČL!AU308+NB!AU131+SM!AU172+JI!AU151+TU!AU205</f>
        <v>10.052899999999999</v>
      </c>
      <c r="AO31" s="22">
        <f>LB!AV467+FR!AV138+JN!AV192+TA!AV107+ŽB!AV81+ČL!AV308+NB!AV131+SM!AV172+JI!AV151+TU!AV205</f>
        <v>8.7301000000000002</v>
      </c>
      <c r="AP31" s="30">
        <f>LB!AW467+FR!AW138+JN!AW192+TA!AW107+ŽB!AW81+ČL!AW308+NB!AW131+SM!AW172+JI!AW151+TU!AW205</f>
        <v>1.3228</v>
      </c>
    </row>
    <row r="32" spans="1:42" x14ac:dyDescent="0.2">
      <c r="A32" s="2">
        <v>3124</v>
      </c>
      <c r="B32" s="395">
        <f>LB!I468+FR!I139+JN!I193+TA!I108+ŽB!I82+ČL!I309+NB!I132+SM!I173+JI!I152+TU!I206</f>
        <v>4189511</v>
      </c>
      <c r="C32" s="29">
        <f>LB!J468+FR!J139+JN!J193+TA!J108+ŽB!J82+ČL!J309+NB!J132+SM!J173+JI!J152+TU!J206</f>
        <v>3067534</v>
      </c>
      <c r="D32" s="29">
        <f>LB!K468+FR!K139+JN!K193+TA!K108+ŽB!K82+ČL!K309+NB!K132+SM!K173+JI!K152+TU!K206</f>
        <v>1036826</v>
      </c>
      <c r="E32" s="29">
        <f>LB!L468+FR!L139+JN!L193+TA!L108+ŽB!L82+ČL!L309+NB!L132+SM!L173+JI!L152+TU!L206</f>
        <v>61351</v>
      </c>
      <c r="F32" s="29">
        <f>LB!M468+FR!M139+JN!M193+TA!M108+ŽB!M82+ČL!M309+NB!M132+SM!M173+JI!M152+TU!M206</f>
        <v>23800</v>
      </c>
      <c r="G32" s="22">
        <f>LB!N468+FR!N139+JN!N193+TA!N108+ŽB!N82+ČL!N309+NB!N132+SM!N173+JI!N152+TU!N206</f>
        <v>5.9693000000000005</v>
      </c>
      <c r="H32" s="22">
        <f>LB!O468+FR!O139+JN!O193+TA!O108+ŽB!O82+ČL!O309+NB!O132+SM!O173+JI!O152+TU!O206</f>
        <v>5.2062999999999997</v>
      </c>
      <c r="I32" s="30">
        <f>LB!P468+FR!P139+JN!P193+TA!P108+ŽB!P82+ČL!P309+NB!P132+SM!P173+JI!P152+TU!P206</f>
        <v>0.76300000000000001</v>
      </c>
      <c r="J32" s="1137">
        <f>LB!Q468+FR!Q139+JN!Q193+TA!Q108+ŽB!Q82+ČL!Q309+NB!Q132+SM!Q173+JI!Q152+TU!Q206</f>
        <v>0</v>
      </c>
      <c r="K32" s="29">
        <f>LB!R468+FR!R139+JN!R193+TA!R108+ŽB!R82+ČL!R309+NB!R132+SM!R173+JI!R152+TU!R206</f>
        <v>0</v>
      </c>
      <c r="L32" s="29">
        <f>LB!S468+FR!S139+JN!S193+TA!S108+ŽB!S82+ČL!S309+NB!S132+SM!S173+JI!S152+TU!S206</f>
        <v>0</v>
      </c>
      <c r="M32" s="29">
        <f>LB!T468+FR!T139+JN!T193+TA!T108+ŽB!T82+ČL!T309+NB!T132+SM!T173+JI!T152+TU!T206</f>
        <v>0</v>
      </c>
      <c r="N32" s="29">
        <f>LB!U468+FR!U139+JN!U193+TA!U108+ŽB!U82+ČL!U309+NB!U132+SM!U173+JI!U152+TU!U206</f>
        <v>0</v>
      </c>
      <c r="O32" s="29">
        <f>LB!V468+FR!V139+JN!V193+TA!V108+ŽB!V82+ČL!V309+NB!V132+SM!V173+JI!V152+TU!V206</f>
        <v>0</v>
      </c>
      <c r="P32" s="29">
        <f>LB!W468+FR!W139+JN!W193+TA!W108+ŽB!W82+ČL!W309+NB!W132+SM!W173+JI!W152+TU!W206</f>
        <v>0</v>
      </c>
      <c r="Q32" s="29">
        <f>LB!X468+FR!X139+JN!X193+TA!X108+ŽB!X82+ČL!X309+NB!X132+SM!X173+JI!X152+TU!X206</f>
        <v>0</v>
      </c>
      <c r="R32" s="29">
        <f>LB!Y468+FR!Y139+JN!Y193+TA!Y108+ŽB!Y82+ČL!Y309+NB!Y132+SM!Y173+JI!Y152+TU!Y206</f>
        <v>0</v>
      </c>
      <c r="S32" s="29">
        <f>LB!Z468+FR!Z139+JN!Z193+TA!Z108+ŽB!Z82+ČL!Z309+NB!Z132+SM!Z173+JI!Z152+TU!Z206</f>
        <v>0</v>
      </c>
      <c r="T32" s="29">
        <f>LB!AA468+FR!AA139+JN!AA193+TA!AA108+ŽB!AA82+ČL!AA309+NB!AA132+SM!AA173+JI!AA152+TU!AA206</f>
        <v>0</v>
      </c>
      <c r="U32" s="29">
        <f>LB!AB468+FR!AB139+JN!AB193+TA!AB108+ŽB!AB82+ČL!AB309+NB!AB132+SM!AB173+JI!AB152+TU!AB206</f>
        <v>0</v>
      </c>
      <c r="V32" s="29">
        <f>LB!AC468+FR!AC139+JN!AC193+TA!AC108+ŽB!AC82+ČL!AC309+NB!AC132+SM!AC173+JI!AC152+TU!AC206</f>
        <v>0</v>
      </c>
      <c r="W32" s="29">
        <f>LB!AD468+FR!AD139+JN!AD193+TA!AD108+ŽB!AD82+ČL!AD309+NB!AD132+SM!AD173+JI!AD152+TU!AD206</f>
        <v>0</v>
      </c>
      <c r="X32" s="29">
        <f>LB!AE468+FR!AE139+JN!AE193+TA!AE108+ŽB!AE82+ČL!AE309+NB!AE132+SM!AE173+JI!AE152+TU!AE206</f>
        <v>0</v>
      </c>
      <c r="Y32" s="29">
        <f>LB!AF468+FR!AF139+JN!AF193+TA!AF108+ŽB!AF82+ČL!AF309+NB!AF132+SM!AF173+JI!AF152+TU!AF206</f>
        <v>0</v>
      </c>
      <c r="Z32" s="22">
        <f>LB!AG468+FR!AG139+JN!AG193+TA!AG108+ŽB!AG82+ČL!AG309+NB!AG132+SM!AG173+JI!AG152+TU!AG206</f>
        <v>0</v>
      </c>
      <c r="AA32" s="22">
        <f>LB!AH468+FR!AH139+JN!AH193+TA!AH108+ŽB!AH82+ČL!AH309+NB!AH132+SM!AH173+JI!AH152+TU!AH206</f>
        <v>0</v>
      </c>
      <c r="AB32" s="22">
        <f>LB!AI468+FR!AI139+JN!AI193+TA!AI108+ŽB!AI82+ČL!AI309+NB!AI132+SM!AI173+JI!AI152+TU!AI206</f>
        <v>0</v>
      </c>
      <c r="AC32" s="22">
        <f>LB!AJ468+FR!AJ139+JN!AJ193+TA!AJ108+ŽB!AJ82+ČL!AJ309+NB!AJ132+SM!AJ173+JI!AJ152+TU!AJ206</f>
        <v>0</v>
      </c>
      <c r="AD32" s="22">
        <f>LB!AK468+FR!AK139+JN!AK193+TA!AK108+ŽB!AK82+ČL!AK309+NB!AK132+SM!AK173+JI!AK152+TU!AK206</f>
        <v>0</v>
      </c>
      <c r="AE32" s="22">
        <f>LB!AL468+FR!AL139+JN!AL193+TA!AL108+ŽB!AL82+ČL!AL309+NB!AL132+SM!AL173+JI!AL152+TU!AL206</f>
        <v>0</v>
      </c>
      <c r="AF32" s="22">
        <f>LB!AM468+FR!AM139+JN!AM193+TA!AM108+ŽB!AM82+ČL!AM309+NB!AM132+SM!AM173+JI!AM152+TU!AM206</f>
        <v>0</v>
      </c>
      <c r="AG32" s="487">
        <f>LB!AN468+FR!AN139+JN!AN193+TA!AN108+ŽB!AN82+ČL!AN309+NB!AN132+SM!AN173+JI!AN152+TU!AN206</f>
        <v>0</v>
      </c>
      <c r="AH32" s="395">
        <f>LB!AO468+FR!AO139+JN!AO193+TA!AO108+ŽB!AO82+ČL!AO309+NB!AO132+SM!AO173+JI!AO152+TU!AO206</f>
        <v>4189511</v>
      </c>
      <c r="AI32" s="29">
        <f>LB!AP468+FR!AP139+JN!AP193+TA!AP108+ŽB!AP82+ČL!AP309+NB!AP132+SM!AP173+JI!AP152+TU!AP206</f>
        <v>3067534</v>
      </c>
      <c r="AJ32" s="29">
        <f>LB!AQ468+FR!AQ139+JN!AQ193+TA!AQ108+ŽB!AQ82+ČL!AQ309+NB!AQ132+SM!AQ173+JI!AQ152+TU!AQ206</f>
        <v>0</v>
      </c>
      <c r="AK32" s="29">
        <f>LB!AR468+FR!AR139+JN!AR193+TA!AR108+ŽB!AR82+ČL!AR309+NB!AR132+SM!AR173+JI!AR152+TU!AR206</f>
        <v>1036826</v>
      </c>
      <c r="AL32" s="29">
        <f>LB!AS468+FR!AS139+JN!AS193+TA!AS108+ŽB!AS82+ČL!AS309+NB!AS132+SM!AS173+JI!AS152+TU!AS206</f>
        <v>61351</v>
      </c>
      <c r="AM32" s="29">
        <f>LB!AT468+FR!AT139+JN!AT193+TA!AT108+ŽB!AT82+ČL!AT309+NB!AT132+SM!AT173+JI!AT152+TU!AT206</f>
        <v>23800</v>
      </c>
      <c r="AN32" s="22">
        <f>LB!AU468+FR!AU139+JN!AU193+TA!AU108+ŽB!AU82+ČL!AU309+NB!AU132+SM!AU173+JI!AU152+TU!AU206</f>
        <v>5.9693000000000005</v>
      </c>
      <c r="AO32" s="22">
        <f>LB!AV468+FR!AV139+JN!AV193+TA!AV108+ŽB!AV82+ČL!AV309+NB!AV132+SM!AV173+JI!AV152+TU!AV206</f>
        <v>5.2062999999999997</v>
      </c>
      <c r="AP32" s="30">
        <f>LB!AW468+FR!AW139+JN!AW193+TA!AW108+ŽB!AW82+ČL!AW309+NB!AW132+SM!AW173+JI!AW152+TU!AW206</f>
        <v>0.76300000000000001</v>
      </c>
    </row>
    <row r="33" spans="1:42" x14ac:dyDescent="0.2">
      <c r="A33" s="2">
        <v>3141</v>
      </c>
      <c r="B33" s="395">
        <f>LB!I469+FR!I140+JN!I194+TA!I109+ŽB!I83+ČL!I310+NB!I133+SM!I174+JI!I153+TU!I207</f>
        <v>377776689</v>
      </c>
      <c r="C33" s="29">
        <f>LB!J469+FR!J140+JN!J194+TA!J109+ŽB!J83+ČL!J310+NB!J133+SM!J174+JI!J153+TU!J207</f>
        <v>276179468</v>
      </c>
      <c r="D33" s="29">
        <f>LB!K469+FR!K140+JN!K194+TA!K109+ŽB!K83+ČL!K310+NB!K133+SM!K174+JI!K153+TU!K207</f>
        <v>93348651</v>
      </c>
      <c r="E33" s="29">
        <f>LB!L469+FR!L140+JN!L194+TA!L109+ŽB!L83+ČL!L310+NB!L133+SM!L174+JI!L153+TU!L207</f>
        <v>5523594</v>
      </c>
      <c r="F33" s="29">
        <f>LB!M469+FR!M140+JN!M194+TA!M109+ŽB!M83+ČL!M310+NB!M133+SM!M174+JI!M153+TU!M207</f>
        <v>2724976</v>
      </c>
      <c r="G33" s="22">
        <f>LB!N469+FR!N140+JN!N194+TA!N109+ŽB!N83+ČL!N310+NB!N133+SM!N174+JI!N153+TU!N207</f>
        <v>939.91999999999985</v>
      </c>
      <c r="H33" s="22">
        <f>LB!O469+FR!O140+JN!O194+TA!O109+ŽB!O83+ČL!O310+NB!O133+SM!O174+JI!O153+TU!O207</f>
        <v>0</v>
      </c>
      <c r="I33" s="30">
        <f>LB!P469+FR!P140+JN!P194+TA!P109+ŽB!P83+ČL!P310+NB!P133+SM!P174+JI!P153+TU!P207</f>
        <v>939.91999999999985</v>
      </c>
      <c r="J33" s="1137">
        <f>LB!Q469+FR!Q140+JN!Q194+TA!Q109+ŽB!Q83+ČL!Q310+NB!Q133+SM!Q174+JI!Q153+TU!Q207</f>
        <v>-1325488</v>
      </c>
      <c r="K33" s="29">
        <f>LB!R469+FR!R140+JN!R194+TA!R109+ŽB!R83+ČL!R310+NB!R133+SM!R174+JI!R153+TU!R207</f>
        <v>0</v>
      </c>
      <c r="L33" s="29">
        <f>LB!S469+FR!S140+JN!S194+TA!S109+ŽB!S83+ČL!S310+NB!S133+SM!S174+JI!S153+TU!S207</f>
        <v>0</v>
      </c>
      <c r="M33" s="29">
        <f>LB!T469+FR!T140+JN!T194+TA!T109+ŽB!T83+ČL!T310+NB!T133+SM!T174+JI!T153+TU!T207</f>
        <v>1281755</v>
      </c>
      <c r="N33" s="29">
        <f>LB!U469+FR!U140+JN!U194+TA!U109+ŽB!U83+ČL!U310+NB!U133+SM!U174+JI!U153+TU!U207</f>
        <v>-43733</v>
      </c>
      <c r="O33" s="29">
        <f>LB!V469+FR!V140+JN!V194+TA!V109+ŽB!V83+ČL!V310+NB!V133+SM!V174+JI!V153+TU!V207</f>
        <v>1325488</v>
      </c>
      <c r="P33" s="29">
        <f>LB!W469+FR!W140+JN!W194+TA!W109+ŽB!W83+ČL!W310+NB!W133+SM!W174+JI!W153+TU!W207</f>
        <v>0</v>
      </c>
      <c r="Q33" s="29">
        <f>LB!X469+FR!X140+JN!X194+TA!X109+ŽB!X83+ČL!X310+NB!X133+SM!X174+JI!X153+TU!X207</f>
        <v>0</v>
      </c>
      <c r="R33" s="29">
        <f>LB!Y469+FR!Y140+JN!Y194+TA!Y109+ŽB!Y83+ČL!Y310+NB!Y133+SM!Y174+JI!Y153+TU!Y207</f>
        <v>1325488</v>
      </c>
      <c r="S33" s="29">
        <f>LB!Z469+FR!Z140+JN!Z194+TA!Z109+ŽB!Z83+ČL!Z310+NB!Z133+SM!Z174+JI!Z153+TU!Z207</f>
        <v>1281755</v>
      </c>
      <c r="T33" s="29">
        <f>LB!AA469+FR!AA140+JN!AA194+TA!AA109+ŽB!AA83+ČL!AA310+NB!AA133+SM!AA174+JI!AA153+TU!AA207</f>
        <v>433233</v>
      </c>
      <c r="U33" s="29">
        <f>LB!AB469+FR!AB140+JN!AB194+TA!AB109+ŽB!AB83+ČL!AB310+NB!AB133+SM!AB174+JI!AB153+TU!AB207</f>
        <v>-874</v>
      </c>
      <c r="V33" s="29">
        <f>LB!AC469+FR!AC140+JN!AC194+TA!AC109+ŽB!AC83+ČL!AC310+NB!AC133+SM!AC174+JI!AC153+TU!AC207</f>
        <v>0</v>
      </c>
      <c r="W33" s="29">
        <f>LB!AD469+FR!AD140+JN!AD194+TA!AD109+ŽB!AD83+ČL!AD310+NB!AD133+SM!AD174+JI!AD153+TU!AD207</f>
        <v>5104</v>
      </c>
      <c r="X33" s="29">
        <f>LB!AE469+FR!AE140+JN!AE194+TA!AE109+ŽB!AE83+ČL!AE310+NB!AE133+SM!AE174+JI!AE153+TU!AE207</f>
        <v>5104</v>
      </c>
      <c r="Y33" s="29">
        <f>LB!AF469+FR!AF140+JN!AF194+TA!AF109+ŽB!AF83+ČL!AF310+NB!AF133+SM!AF174+JI!AF153+TU!AF207</f>
        <v>1719218</v>
      </c>
      <c r="Z33" s="22">
        <f>LB!AG469+FR!AG140+JN!AG194+TA!AG109+ŽB!AG83+ČL!AG310+NB!AG133+SM!AG174+JI!AG153+TU!AG207</f>
        <v>0</v>
      </c>
      <c r="AA33" s="22">
        <f>LB!AH469+FR!AH140+JN!AH194+TA!AH109+ŽB!AH83+ČL!AH310+NB!AH133+SM!AH174+JI!AH153+TU!AH207</f>
        <v>-2.36</v>
      </c>
      <c r="AB33" s="22">
        <f>LB!AI469+FR!AI140+JN!AI194+TA!AI109+ŽB!AI83+ČL!AI310+NB!AI133+SM!AI174+JI!AI153+TU!AI207</f>
        <v>0</v>
      </c>
      <c r="AC33" s="22">
        <f>LB!AJ469+FR!AJ140+JN!AJ194+TA!AJ109+ŽB!AJ83+ČL!AJ310+NB!AJ133+SM!AJ174+JI!AJ153+TU!AJ207</f>
        <v>0</v>
      </c>
      <c r="AD33" s="22">
        <f>LB!AK469+FR!AK140+JN!AK194+TA!AK109+ŽB!AK83+ČL!AK310+NB!AK133+SM!AK174+JI!AK153+TU!AK207</f>
        <v>4.3600000000000003</v>
      </c>
      <c r="AE33" s="22">
        <f>LB!AL469+FR!AL140+JN!AL194+TA!AL109+ŽB!AL83+ČL!AL310+NB!AL133+SM!AL174+JI!AL153+TU!AL207</f>
        <v>0</v>
      </c>
      <c r="AF33" s="22">
        <f>LB!AM469+FR!AM140+JN!AM194+TA!AM109+ŽB!AM83+ČL!AM310+NB!AM133+SM!AM174+JI!AM153+TU!AM207</f>
        <v>2.0000000000000004</v>
      </c>
      <c r="AG33" s="487">
        <f>LB!AN469+FR!AN140+JN!AN194+TA!AN109+ŽB!AN83+ČL!AN310+NB!AN133+SM!AN174+JI!AN153+TU!AN207</f>
        <v>2.0000000000000004</v>
      </c>
      <c r="AH33" s="395">
        <f>LB!AO469+FR!AO140+JN!AO194+TA!AO109+ŽB!AO83+ČL!AO310+NB!AO133+SM!AO174+JI!AO153+TU!AO207</f>
        <v>379495907</v>
      </c>
      <c r="AI33" s="29">
        <f>LB!AP469+FR!AP140+JN!AP194+TA!AP109+ŽB!AP83+ČL!AP310+NB!AP133+SM!AP174+JI!AP153+TU!AP207</f>
        <v>276135735</v>
      </c>
      <c r="AJ33" s="29">
        <f>LB!AQ469+FR!AQ140+JN!AQ194+TA!AQ109+ŽB!AQ83+ČL!AQ310+NB!AQ133+SM!AQ174+JI!AQ153+TU!AQ207</f>
        <v>1325488</v>
      </c>
      <c r="AK33" s="29">
        <f>LB!AR469+FR!AR140+JN!AR194+TA!AR109+ŽB!AR83+ČL!AR310+NB!AR133+SM!AR174+JI!AR153+TU!AR207</f>
        <v>93781884</v>
      </c>
      <c r="AL33" s="29">
        <f>LB!AS469+FR!AS140+JN!AS194+TA!AS109+ŽB!AS83+ČL!AS310+NB!AS133+SM!AS174+JI!AS153+TU!AS207</f>
        <v>5522720</v>
      </c>
      <c r="AM33" s="29">
        <f>LB!AT469+FR!AT140+JN!AT194+TA!AT109+ŽB!AT83+ČL!AT310+NB!AT133+SM!AT174+JI!AT153+TU!AT207</f>
        <v>2730080</v>
      </c>
      <c r="AN33" s="22">
        <f>LB!AU469+FR!AU140+JN!AU194+TA!AU109+ŽB!AU83+ČL!AU310+NB!AU133+SM!AU174+JI!AU153+TU!AU207</f>
        <v>941.91999999999985</v>
      </c>
      <c r="AO33" s="22">
        <f>LB!AV469+FR!AV140+JN!AV194+TA!AV109+ŽB!AV83+ČL!AV310+NB!AV133+SM!AV174+JI!AV153+TU!AV207</f>
        <v>0</v>
      </c>
      <c r="AP33" s="30">
        <f>LB!AW469+FR!AW140+JN!AW194+TA!AW109+ŽB!AW83+ČL!AW310+NB!AW133+SM!AW174+JI!AW153+TU!AW207</f>
        <v>941.91999999999985</v>
      </c>
    </row>
    <row r="34" spans="1:42" x14ac:dyDescent="0.2">
      <c r="A34" s="2">
        <v>3143</v>
      </c>
      <c r="B34" s="395">
        <f>LB!I470+FR!I141+JN!I195+TA!I110+ŽB!I84+ČL!I311+NB!I134+SM!I175+JI!I154+TU!I208</f>
        <v>278480352</v>
      </c>
      <c r="C34" s="29">
        <f>LB!J470+FR!J141+JN!J195+TA!J110+ŽB!J84+ČL!J311+NB!J134+SM!J175+JI!J154+TU!J208</f>
        <v>204784251</v>
      </c>
      <c r="D34" s="29">
        <f>LB!K470+FR!K141+JN!K195+TA!K110+ŽB!K84+ČL!K311+NB!K134+SM!K175+JI!K154+TU!K208</f>
        <v>69217067</v>
      </c>
      <c r="E34" s="29">
        <f>LB!L470+FR!L141+JN!L195+TA!L110+ŽB!L84+ČL!L311+NB!L134+SM!L175+JI!L154+TU!L208</f>
        <v>4095694</v>
      </c>
      <c r="F34" s="29">
        <f>LB!M470+FR!M141+JN!M195+TA!M110+ŽB!M84+ČL!M311+NB!M134+SM!M175+JI!M154+TU!M208</f>
        <v>383340</v>
      </c>
      <c r="G34" s="22">
        <f>LB!N470+FR!N141+JN!N195+TA!N110+ŽB!N84+ČL!N311+NB!N134+SM!N175+JI!N154+TU!N208</f>
        <v>450.47159999999997</v>
      </c>
      <c r="H34" s="22">
        <f>LB!O470+FR!O141+JN!O195+TA!O110+ŽB!O84+ČL!O311+NB!O134+SM!O175+JI!O154+TU!O208</f>
        <v>423.84159999999997</v>
      </c>
      <c r="I34" s="30">
        <f>LB!P470+FR!P141+JN!P195+TA!P110+ŽB!P84+ČL!P311+NB!P134+SM!P175+JI!P154+TU!P208</f>
        <v>26.63</v>
      </c>
      <c r="J34" s="1137">
        <f>LB!Q470+FR!Q141+JN!Q195+TA!Q110+ŽB!Q84+ČL!Q311+NB!Q134+SM!Q175+JI!Q154+TU!Q208</f>
        <v>-752960</v>
      </c>
      <c r="K34" s="29">
        <f>LB!R470+FR!R141+JN!R195+TA!R110+ŽB!R84+ČL!R311+NB!R134+SM!R175+JI!R154+TU!R208</f>
        <v>0</v>
      </c>
      <c r="L34" s="29">
        <f>LB!S470+FR!S141+JN!S195+TA!S110+ŽB!S84+ČL!S311+NB!S134+SM!S175+JI!S154+TU!S208</f>
        <v>0</v>
      </c>
      <c r="M34" s="29">
        <f>LB!T470+FR!T141+JN!T195+TA!T110+ŽB!T84+ČL!T311+NB!T134+SM!T175+JI!T154+TU!T208</f>
        <v>264036</v>
      </c>
      <c r="N34" s="29">
        <f>LB!U470+FR!U141+JN!U195+TA!U110+ŽB!U84+ČL!U311+NB!U134+SM!U175+JI!U154+TU!U208</f>
        <v>-488924</v>
      </c>
      <c r="O34" s="29">
        <f>LB!V470+FR!V141+JN!V195+TA!V110+ŽB!V84+ČL!V311+NB!V134+SM!V175+JI!V154+TU!V208</f>
        <v>752960</v>
      </c>
      <c r="P34" s="29">
        <f>LB!W470+FR!W141+JN!W195+TA!W110+ŽB!W84+ČL!W311+NB!W134+SM!W175+JI!W154+TU!W208</f>
        <v>124800</v>
      </c>
      <c r="Q34" s="29">
        <f>LB!X470+FR!X141+JN!X195+TA!X110+ŽB!X84+ČL!X311+NB!X134+SM!X175+JI!X154+TU!X208</f>
        <v>0</v>
      </c>
      <c r="R34" s="29">
        <f>LB!Y470+FR!Y141+JN!Y195+TA!Y110+ŽB!Y84+ČL!Y311+NB!Y134+SM!Y175+JI!Y154+TU!Y208</f>
        <v>877760</v>
      </c>
      <c r="S34" s="29">
        <f>LB!Z470+FR!Z141+JN!Z195+TA!Z110+ŽB!Z84+ČL!Z311+NB!Z134+SM!Z175+JI!Z154+TU!Z208</f>
        <v>388836</v>
      </c>
      <c r="T34" s="29">
        <f>LB!AA470+FR!AA141+JN!AA195+TA!AA110+ŽB!AA84+ČL!AA311+NB!AA134+SM!AA175+JI!AA154+TU!AA208</f>
        <v>131426</v>
      </c>
      <c r="U34" s="29">
        <f>LB!AB470+FR!AB141+JN!AB195+TA!AB110+ŽB!AB84+ČL!AB311+NB!AB134+SM!AB175+JI!AB154+TU!AB208</f>
        <v>-9778</v>
      </c>
      <c r="V34" s="29">
        <f>LB!AC470+FR!AC141+JN!AC195+TA!AC110+ŽB!AC84+ČL!AC311+NB!AC134+SM!AC175+JI!AC154+TU!AC208</f>
        <v>0</v>
      </c>
      <c r="W34" s="29">
        <f>LB!AD470+FR!AD141+JN!AD195+TA!AD110+ŽB!AD84+ČL!AD311+NB!AD134+SM!AD175+JI!AD154+TU!AD208</f>
        <v>0</v>
      </c>
      <c r="X34" s="29">
        <f>LB!AE470+FR!AE141+JN!AE195+TA!AE110+ŽB!AE84+ČL!AE311+NB!AE134+SM!AE175+JI!AE154+TU!AE208</f>
        <v>0</v>
      </c>
      <c r="Y34" s="29">
        <f>LB!AF470+FR!AF141+JN!AF195+TA!AF110+ŽB!AF84+ČL!AF311+NB!AF134+SM!AF175+JI!AF154+TU!AF208</f>
        <v>510484</v>
      </c>
      <c r="Z34" s="22">
        <f>LB!AG470+FR!AG141+JN!AG195+TA!AG110+ŽB!AG84+ČL!AG311+NB!AG134+SM!AG175+JI!AG154+TU!AG208</f>
        <v>-0.51</v>
      </c>
      <c r="AA34" s="22">
        <f>LB!AH470+FR!AH141+JN!AH195+TA!AH110+ŽB!AH84+ČL!AH311+NB!AH134+SM!AH175+JI!AH154+TU!AH208</f>
        <v>-0.13</v>
      </c>
      <c r="AB34" s="22">
        <f>LB!AI470+FR!AI141+JN!AI195+TA!AI110+ŽB!AI84+ČL!AI311+NB!AI134+SM!AI175+JI!AI154+TU!AI208</f>
        <v>0</v>
      </c>
      <c r="AC34" s="22">
        <f>LB!AJ470+FR!AJ141+JN!AJ195+TA!AJ110+ŽB!AJ84+ČL!AJ311+NB!AJ134+SM!AJ175+JI!AJ154+TU!AJ208</f>
        <v>0.7</v>
      </c>
      <c r="AD34" s="22">
        <f>LB!AK470+FR!AK141+JN!AK195+TA!AK110+ŽB!AK84+ČL!AK311+NB!AK134+SM!AK175+JI!AK154+TU!AK208</f>
        <v>0</v>
      </c>
      <c r="AE34" s="22">
        <f>LB!AL470+FR!AL141+JN!AL195+TA!AL110+ŽB!AL84+ČL!AL311+NB!AL134+SM!AL175+JI!AL154+TU!AL208</f>
        <v>0.19000000000000006</v>
      </c>
      <c r="AF34" s="22">
        <f>LB!AM470+FR!AM141+JN!AM195+TA!AM110+ŽB!AM84+ČL!AM311+NB!AM134+SM!AM175+JI!AM154+TU!AM208</f>
        <v>-0.13</v>
      </c>
      <c r="AG34" s="487">
        <f>LB!AN470+FR!AN141+JN!AN195+TA!AN110+ŽB!AN84+ČL!AN311+NB!AN134+SM!AN175+JI!AN154+TU!AN208</f>
        <v>6.0000000000000019E-2</v>
      </c>
      <c r="AH34" s="395">
        <f>LB!AO470+FR!AO141+JN!AO195+TA!AO110+ŽB!AO84+ČL!AO311+NB!AO134+SM!AO175+JI!AO154+TU!AO208</f>
        <v>278990836</v>
      </c>
      <c r="AI34" s="29">
        <f>LB!AP470+FR!AP141+JN!AP195+TA!AP110+ŽB!AP84+ČL!AP311+NB!AP134+SM!AP175+JI!AP154+TU!AP208</f>
        <v>204295327</v>
      </c>
      <c r="AJ34" s="29">
        <f>LB!AQ470+FR!AQ141+JN!AQ195+TA!AQ110+ŽB!AQ84+ČL!AQ311+NB!AQ134+SM!AQ175+JI!AQ154+TU!AQ208</f>
        <v>877760</v>
      </c>
      <c r="AK34" s="29">
        <f>LB!AR470+FR!AR141+JN!AR195+TA!AR110+ŽB!AR84+ČL!AR311+NB!AR134+SM!AR175+JI!AR154+TU!AR208</f>
        <v>69348493</v>
      </c>
      <c r="AL34" s="29">
        <f>LB!AS470+FR!AS141+JN!AS195+TA!AS110+ŽB!AS84+ČL!AS311+NB!AS134+SM!AS175+JI!AS154+TU!AS208</f>
        <v>4085916</v>
      </c>
      <c r="AM34" s="29">
        <f>LB!AT470+FR!AT141+JN!AT195+TA!AT110+ŽB!AT84+ČL!AT311+NB!AT134+SM!AT175+JI!AT154+TU!AT208</f>
        <v>383340</v>
      </c>
      <c r="AN34" s="22">
        <f>LB!AU470+FR!AU141+JN!AU195+TA!AU110+ŽB!AU84+ČL!AU311+NB!AU134+SM!AU175+JI!AU154+TU!AU208</f>
        <v>450.53159999999997</v>
      </c>
      <c r="AO34" s="22">
        <f>LB!AV470+FR!AV141+JN!AV195+TA!AV110+ŽB!AV84+ČL!AV311+NB!AV134+SM!AV175+JI!AV154+TU!AV208</f>
        <v>424.03159999999997</v>
      </c>
      <c r="AP34" s="30">
        <f>LB!AW470+FR!AW141+JN!AW195+TA!AW110+ŽB!AW84+ČL!AW311+NB!AW134+SM!AW175+JI!AW154+TU!AW208</f>
        <v>26.499999999999996</v>
      </c>
    </row>
    <row r="35" spans="1:42" x14ac:dyDescent="0.2">
      <c r="A35" s="2">
        <v>3231</v>
      </c>
      <c r="B35" s="395">
        <f>LB!I471+FR!I142+JN!I196+TA!I111+ŽB!I85+ČL!I312+NB!I135+SM!I176+JI!I155+TU!I209</f>
        <v>273238104</v>
      </c>
      <c r="C35" s="29">
        <f>LB!J471+FR!J142+JN!J196+TA!J111+ŽB!J85+ČL!J312+NB!J135+SM!J176+JI!J155+TU!J209</f>
        <v>200531301</v>
      </c>
      <c r="D35" s="29">
        <f>LB!K471+FR!K142+JN!K196+TA!K111+ŽB!K85+ČL!K312+NB!K135+SM!K176+JI!K155+TU!K209</f>
        <v>67779580</v>
      </c>
      <c r="E35" s="29">
        <f>LB!L471+FR!L142+JN!L196+TA!L111+ŽB!L85+ČL!L312+NB!L135+SM!L176+JI!L155+TU!L209</f>
        <v>4010628</v>
      </c>
      <c r="F35" s="29">
        <f>LB!M471+FR!M142+JN!M196+TA!M111+ŽB!M85+ČL!M312+NB!M135+SM!M176+JI!M155+TU!M209</f>
        <v>916595</v>
      </c>
      <c r="G35" s="22">
        <f>LB!N471+FR!N142+JN!N196+TA!N111+ŽB!N85+ČL!N312+NB!N135+SM!N176+JI!N155+TU!N209</f>
        <v>388.41770000000002</v>
      </c>
      <c r="H35" s="22">
        <f>LB!O471+FR!O142+JN!O196+TA!O111+ŽB!O85+ČL!O312+NB!O135+SM!O176+JI!O155+TU!O209</f>
        <v>345.0172</v>
      </c>
      <c r="I35" s="30">
        <f>LB!P471+FR!P142+JN!P196+TA!P111+ŽB!P85+ČL!P312+NB!P135+SM!P176+JI!P155+TU!P209</f>
        <v>43.400500000000008</v>
      </c>
      <c r="J35" s="1137">
        <f>LB!Q471+FR!Q142+JN!Q196+TA!Q111+ŽB!Q85+ČL!Q312+NB!Q135+SM!Q176+JI!Q155+TU!Q209</f>
        <v>-1198000</v>
      </c>
      <c r="K35" s="29">
        <f>LB!R471+FR!R142+JN!R196+TA!R111+ŽB!R85+ČL!R312+NB!R135+SM!R176+JI!R155+TU!R209</f>
        <v>86611</v>
      </c>
      <c r="L35" s="29">
        <f>LB!S471+FR!S142+JN!S196+TA!S111+ŽB!S85+ČL!S312+NB!S135+SM!S176+JI!S155+TU!S209</f>
        <v>0</v>
      </c>
      <c r="M35" s="29">
        <f>LB!T471+FR!T142+JN!T196+TA!T111+ŽB!T85+ČL!T312+NB!T135+SM!T176+JI!T155+TU!T209</f>
        <v>-88362</v>
      </c>
      <c r="N35" s="29">
        <f>LB!U471+FR!U142+JN!U196+TA!U111+ŽB!U85+ČL!U312+NB!U135+SM!U176+JI!U155+TU!U209</f>
        <v>-1199751</v>
      </c>
      <c r="O35" s="29">
        <f>LB!V471+FR!V142+JN!V196+TA!V111+ŽB!V85+ČL!V312+NB!V135+SM!V176+JI!V155+TU!V209</f>
        <v>1198000</v>
      </c>
      <c r="P35" s="29">
        <f>LB!W471+FR!W142+JN!W196+TA!W111+ŽB!W85+ČL!W312+NB!W135+SM!W176+JI!W155+TU!W209</f>
        <v>0</v>
      </c>
      <c r="Q35" s="29">
        <f>LB!X471+FR!X142+JN!X196+TA!X111+ŽB!X85+ČL!X312+NB!X135+SM!X176+JI!X155+TU!X209</f>
        <v>0</v>
      </c>
      <c r="R35" s="29">
        <f>LB!Y471+FR!Y142+JN!Y196+TA!Y111+ŽB!Y85+ČL!Y312+NB!Y135+SM!Y176+JI!Y155+TU!Y209</f>
        <v>1198000</v>
      </c>
      <c r="S35" s="29">
        <f>LB!Z471+FR!Z142+JN!Z196+TA!Z111+ŽB!Z85+ČL!Z312+NB!Z135+SM!Z176+JI!Z155+TU!Z209</f>
        <v>-1751</v>
      </c>
      <c r="T35" s="29">
        <f>LB!AA471+FR!AA142+JN!AA196+TA!AA111+ŽB!AA85+ČL!AA312+NB!AA135+SM!AA176+JI!AA155+TU!AA209</f>
        <v>-591</v>
      </c>
      <c r="U35" s="29">
        <f>LB!AB471+FR!AB142+JN!AB196+TA!AB111+ŽB!AB85+ČL!AB312+NB!AB135+SM!AB176+JI!AB155+TU!AB209</f>
        <v>-23995</v>
      </c>
      <c r="V35" s="29">
        <f>LB!AC471+FR!AC142+JN!AC196+TA!AC111+ŽB!AC85+ČL!AC312+NB!AC135+SM!AC176+JI!AC155+TU!AC209</f>
        <v>0</v>
      </c>
      <c r="W35" s="29">
        <f>LB!AD471+FR!AD142+JN!AD196+TA!AD111+ŽB!AD85+ČL!AD312+NB!AD135+SM!AD176+JI!AD155+TU!AD209</f>
        <v>-585</v>
      </c>
      <c r="X35" s="29">
        <f>LB!AE471+FR!AE142+JN!AE196+TA!AE111+ŽB!AE85+ČL!AE312+NB!AE135+SM!AE176+JI!AE155+TU!AE209</f>
        <v>-585</v>
      </c>
      <c r="Y35" s="29">
        <f>LB!AF471+FR!AF142+JN!AF196+TA!AF111+ŽB!AF85+ČL!AF312+NB!AF135+SM!AF176+JI!AF155+TU!AF209</f>
        <v>-26922</v>
      </c>
      <c r="Z35" s="22">
        <f>LB!AG471+FR!AG142+JN!AG196+TA!AG111+ŽB!AG85+ČL!AG312+NB!AG135+SM!AG176+JI!AG155+TU!AG209</f>
        <v>-1.5</v>
      </c>
      <c r="AA35" s="22">
        <f>LB!AH471+FR!AH142+JN!AH196+TA!AH111+ŽB!AH85+ČL!AH312+NB!AH135+SM!AH176+JI!AH155+TU!AH209</f>
        <v>-0.97</v>
      </c>
      <c r="AB35" s="22">
        <f>LB!AI471+FR!AI142+JN!AI196+TA!AI111+ŽB!AI85+ČL!AI312+NB!AI135+SM!AI176+JI!AI155+TU!AI209</f>
        <v>0.25</v>
      </c>
      <c r="AC35" s="22">
        <f>LB!AJ471+FR!AJ142+JN!AJ196+TA!AJ111+ŽB!AJ85+ČL!AJ312+NB!AJ135+SM!AJ176+JI!AJ155+TU!AJ209</f>
        <v>-0.15</v>
      </c>
      <c r="AD35" s="22">
        <f>LB!AK471+FR!AK142+JN!AK196+TA!AK111+ŽB!AK85+ČL!AK312+NB!AK135+SM!AK176+JI!AK155+TU!AK209</f>
        <v>-2.2499999999999999E-2</v>
      </c>
      <c r="AE35" s="22">
        <f>LB!AL471+FR!AL142+JN!AL196+TA!AL111+ŽB!AL85+ČL!AL312+NB!AL135+SM!AL176+JI!AL155+TU!AL209</f>
        <v>-1.4</v>
      </c>
      <c r="AF35" s="22">
        <f>LB!AM471+FR!AM142+JN!AM196+TA!AM111+ŽB!AM85+ČL!AM312+NB!AM135+SM!AM176+JI!AM155+TU!AM209</f>
        <v>-0.99249999999999994</v>
      </c>
      <c r="AG35" s="487">
        <f>LB!AN471+FR!AN142+JN!AN196+TA!AN111+ŽB!AN85+ČL!AN312+NB!AN135+SM!AN176+JI!AN155+TU!AN209</f>
        <v>-2.3924999999999996</v>
      </c>
      <c r="AH35" s="395">
        <f>LB!AO471+FR!AO142+JN!AO196+TA!AO111+ŽB!AO85+ČL!AO312+NB!AO135+SM!AO176+JI!AO155+TU!AO209</f>
        <v>273211182</v>
      </c>
      <c r="AI35" s="29">
        <f>LB!AP471+FR!AP142+JN!AP196+TA!AP111+ŽB!AP85+ČL!AP312+NB!AP135+SM!AP176+JI!AP155+TU!AP209</f>
        <v>199331550</v>
      </c>
      <c r="AJ35" s="29">
        <f>LB!AQ471+FR!AQ142+JN!AQ196+TA!AQ111+ŽB!AQ85+ČL!AQ312+NB!AQ135+SM!AQ176+JI!AQ155+TU!AQ209</f>
        <v>1198000</v>
      </c>
      <c r="AK35" s="29">
        <f>LB!AR471+FR!AR142+JN!AR196+TA!AR111+ŽB!AR85+ČL!AR312+NB!AR135+SM!AR176+JI!AR155+TU!AR209</f>
        <v>67778989</v>
      </c>
      <c r="AL35" s="29">
        <f>LB!AS471+FR!AS142+JN!AS196+TA!AS111+ŽB!AS85+ČL!AS312+NB!AS135+SM!AS176+JI!AS155+TU!AS209</f>
        <v>3986633</v>
      </c>
      <c r="AM35" s="29">
        <f>LB!AT471+FR!AT142+JN!AT196+TA!AT111+ŽB!AT85+ČL!AT312+NB!AT135+SM!AT176+JI!AT155+TU!AT209</f>
        <v>916010</v>
      </c>
      <c r="AN35" s="22">
        <f>LB!AU471+FR!AU142+JN!AU196+TA!AU111+ŽB!AU85+ČL!AU312+NB!AU135+SM!AU176+JI!AU155+TU!AU209</f>
        <v>386.02519999999998</v>
      </c>
      <c r="AO35" s="22">
        <f>LB!AV471+FR!AV142+JN!AV196+TA!AV111+ŽB!AV85+ČL!AV312+NB!AV135+SM!AV176+JI!AV155+TU!AV209</f>
        <v>343.61719999999997</v>
      </c>
      <c r="AP35" s="30">
        <f>LB!AW471+FR!AW142+JN!AW196+TA!AW111+ŽB!AW85+ČL!AW312+NB!AW135+SM!AW176+JI!AW155+TU!AW209</f>
        <v>42.408000000000001</v>
      </c>
    </row>
    <row r="36" spans="1:42" ht="13.5" thickBot="1" x14ac:dyDescent="0.25">
      <c r="A36" s="291">
        <v>3233</v>
      </c>
      <c r="B36" s="396">
        <f>LB!I472+FR!I143+JN!I197+TA!I112+ŽB!I86+ČL!I313+NB!I136+SM!I177+JI!I156+TU!I210</f>
        <v>59517998</v>
      </c>
      <c r="C36" s="397">
        <f>LB!J472+FR!J143+JN!J197+TA!J112+ŽB!J86+ČL!J313+NB!J136+SM!J177+JI!J156+TU!J210</f>
        <v>43395482</v>
      </c>
      <c r="D36" s="397">
        <f>LB!K472+FR!K143+JN!K197+TA!K112+ŽB!K86+ČL!K313+NB!K136+SM!K177+JI!K156+TU!K210</f>
        <v>14667670</v>
      </c>
      <c r="E36" s="397">
        <f>LB!L472+FR!L143+JN!L197+TA!L112+ŽB!L86+ČL!L313+NB!L136+SM!L177+JI!L156+TU!L210</f>
        <v>867910</v>
      </c>
      <c r="F36" s="397">
        <f>LB!M472+FR!M143+JN!M197+TA!M112+ŽB!M86+ČL!M313+NB!M136+SM!M177+JI!M156+TU!M210</f>
        <v>586936</v>
      </c>
      <c r="G36" s="398">
        <f>LB!N472+FR!N143+JN!N197+TA!N112+ŽB!N86+ČL!N313+NB!N136+SM!N177+JI!N156+TU!N210</f>
        <v>101.62999999999998</v>
      </c>
      <c r="H36" s="398">
        <f>LB!O472+FR!O143+JN!O197+TA!O112+ŽB!O86+ČL!O313+NB!O136+SM!O177+JI!O156+TU!O210</f>
        <v>63.319999999999986</v>
      </c>
      <c r="I36" s="399">
        <f>LB!P472+FR!P143+JN!P197+TA!P112+ŽB!P86+ČL!P313+NB!P136+SM!P177+JI!P156+TU!P210</f>
        <v>38.309999999999995</v>
      </c>
      <c r="J36" s="1138">
        <f>LB!Q472+FR!Q143+JN!Q197+TA!Q112+ŽB!Q86+ČL!Q313+NB!Q136+SM!Q177+JI!Q156+TU!Q210</f>
        <v>-2842400</v>
      </c>
      <c r="K36" s="397">
        <f>LB!R472+FR!R143+JN!R197+TA!R112+ŽB!R86+ČL!R313+NB!R136+SM!R177+JI!R156+TU!R210</f>
        <v>0</v>
      </c>
      <c r="L36" s="397">
        <f>LB!S472+FR!S143+JN!S197+TA!S112+ŽB!S86+ČL!S313+NB!S136+SM!S177+JI!S156+TU!S210</f>
        <v>0</v>
      </c>
      <c r="M36" s="397">
        <f>LB!T472+FR!T143+JN!T197+TA!T112+ŽB!T86+ČL!T313+NB!T136+SM!T177+JI!T156+TU!T210</f>
        <v>0</v>
      </c>
      <c r="N36" s="397">
        <f>LB!U472+FR!U143+JN!U197+TA!U112+ŽB!U86+ČL!U313+NB!U136+SM!U177+JI!U156+TU!U210</f>
        <v>-2842400</v>
      </c>
      <c r="O36" s="397">
        <f>LB!V472+FR!V143+JN!V197+TA!V112+ŽB!V86+ČL!V313+NB!V136+SM!V177+JI!V156+TU!V210</f>
        <v>2842400</v>
      </c>
      <c r="P36" s="397">
        <f>LB!W472+FR!W143+JN!W197+TA!W112+ŽB!W86+ČL!W313+NB!W136+SM!W177+JI!W156+TU!W210</f>
        <v>0</v>
      </c>
      <c r="Q36" s="397">
        <f>LB!X472+FR!X143+JN!X197+TA!X112+ŽB!X86+ČL!X313+NB!X136+SM!X177+JI!X156+TU!X210</f>
        <v>0</v>
      </c>
      <c r="R36" s="397">
        <f>LB!Y472+FR!Y143+JN!Y197+TA!Y112+ŽB!Y86+ČL!Y313+NB!Y136+SM!Y177+JI!Y156+TU!Y210</f>
        <v>2842400</v>
      </c>
      <c r="S36" s="397">
        <f>LB!Z472+FR!Z143+JN!Z197+TA!Z112+ŽB!Z86+ČL!Z313+NB!Z136+SM!Z177+JI!Z156+TU!Z210</f>
        <v>0</v>
      </c>
      <c r="T36" s="397">
        <f>LB!AA472+FR!AA143+JN!AA197+TA!AA112+ŽB!AA86+ČL!AA313+NB!AA136+SM!AA177+JI!AA156+TU!AA210</f>
        <v>0</v>
      </c>
      <c r="U36" s="397">
        <f>LB!AB472+FR!AB143+JN!AB197+TA!AB112+ŽB!AB86+ČL!AB313+NB!AB136+SM!AB177+JI!AB156+TU!AB210</f>
        <v>-56848</v>
      </c>
      <c r="V36" s="397">
        <f>LB!AC472+FR!AC143+JN!AC197+TA!AC112+ŽB!AC86+ČL!AC313+NB!AC136+SM!AC177+JI!AC156+TU!AC210</f>
        <v>0</v>
      </c>
      <c r="W36" s="397">
        <f>LB!AD472+FR!AD143+JN!AD197+TA!AD112+ŽB!AD86+ČL!AD313+NB!AD136+SM!AD177+JI!AD156+TU!AD210</f>
        <v>0</v>
      </c>
      <c r="X36" s="397">
        <f>LB!AE472+FR!AE143+JN!AE197+TA!AE112+ŽB!AE86+ČL!AE313+NB!AE136+SM!AE177+JI!AE156+TU!AE210</f>
        <v>0</v>
      </c>
      <c r="Y36" s="397">
        <f>LB!AF472+FR!AF143+JN!AF197+TA!AF112+ŽB!AF86+ČL!AF313+NB!AF136+SM!AF177+JI!AF156+TU!AF210</f>
        <v>-56848</v>
      </c>
      <c r="Z36" s="398">
        <f>LB!AG472+FR!AG143+JN!AG197+TA!AG112+ŽB!AG86+ČL!AG313+NB!AG136+SM!AG177+JI!AG156+TU!AG210</f>
        <v>-3.93</v>
      </c>
      <c r="AA36" s="398">
        <f>LB!AH472+FR!AH143+JN!AH197+TA!AH112+ŽB!AH86+ČL!AH313+NB!AH136+SM!AH177+JI!AH156+TU!AH210</f>
        <v>-2.9299999999999993</v>
      </c>
      <c r="AB36" s="398">
        <f>LB!AI472+FR!AI143+JN!AI197+TA!AI112+ŽB!AI86+ČL!AI313+NB!AI136+SM!AI177+JI!AI156+TU!AI210</f>
        <v>0</v>
      </c>
      <c r="AC36" s="398">
        <f>LB!AJ472+FR!AJ143+JN!AJ197+TA!AJ112+ŽB!AJ86+ČL!AJ313+NB!AJ136+SM!AJ177+JI!AJ156+TU!AJ210</f>
        <v>0</v>
      </c>
      <c r="AD36" s="398">
        <f>LB!AK472+FR!AK143+JN!AK197+TA!AK112+ŽB!AK86+ČL!AK313+NB!AK136+SM!AK177+JI!AK156+TU!AK210</f>
        <v>0</v>
      </c>
      <c r="AE36" s="398">
        <f>LB!AL472+FR!AL143+JN!AL197+TA!AL112+ŽB!AL86+ČL!AL313+NB!AL136+SM!AL177+JI!AL156+TU!AL210</f>
        <v>-3.93</v>
      </c>
      <c r="AF36" s="398">
        <f>LB!AM472+FR!AM143+JN!AM197+TA!AM112+ŽB!AM86+ČL!AM313+NB!AM136+SM!AM177+JI!AM156+TU!AM210</f>
        <v>-2.9299999999999993</v>
      </c>
      <c r="AG36" s="488">
        <f>LB!AN472+FR!AN143+JN!AN197+TA!AN112+ŽB!AN86+ČL!AN313+NB!AN136+SM!AN177+JI!AN156+TU!AN210</f>
        <v>-6.8599999999999994</v>
      </c>
      <c r="AH36" s="396">
        <f>LB!AO472+FR!AO143+JN!AO197+TA!AO112+ŽB!AO86+ČL!AO313+NB!AO136+SM!AO177+JI!AO156+TU!AO210</f>
        <v>59461150</v>
      </c>
      <c r="AI36" s="397">
        <f>LB!AP472+FR!AP143+JN!AP197+TA!AP112+ŽB!AP86+ČL!AP313+NB!AP136+SM!AP177+JI!AP156+TU!AP210</f>
        <v>40553082</v>
      </c>
      <c r="AJ36" s="397">
        <f>LB!AQ472+FR!AQ143+JN!AQ197+TA!AQ112+ŽB!AQ86+ČL!AQ313+NB!AQ136+SM!AQ177+JI!AQ156+TU!AQ210</f>
        <v>2842400</v>
      </c>
      <c r="AK36" s="397">
        <f>LB!AR472+FR!AR143+JN!AR197+TA!AR112+ŽB!AR86+ČL!AR313+NB!AR136+SM!AR177+JI!AR156+TU!AR210</f>
        <v>14667670</v>
      </c>
      <c r="AL36" s="397">
        <f>LB!AS472+FR!AS143+JN!AS197+TA!AS112+ŽB!AS86+ČL!AS313+NB!AS136+SM!AS177+JI!AS156+TU!AS210</f>
        <v>811062</v>
      </c>
      <c r="AM36" s="397">
        <f>LB!AT472+FR!AT143+JN!AT197+TA!AT112+ŽB!AT86+ČL!AT313+NB!AT136+SM!AT177+JI!AT156+TU!AT210</f>
        <v>586936</v>
      </c>
      <c r="AN36" s="398">
        <f>LB!AU472+FR!AU143+JN!AU197+TA!AU112+ŽB!AU86+ČL!AU313+NB!AU136+SM!AU177+JI!AU156+TU!AU210</f>
        <v>94.77</v>
      </c>
      <c r="AO36" s="398">
        <f>LB!AV472+FR!AV143+JN!AV197+TA!AV112+ŽB!AV86+ČL!AV313+NB!AV136+SM!AV177+JI!AV156+TU!AV210</f>
        <v>59.389999999999993</v>
      </c>
      <c r="AP36" s="399">
        <f>LB!AW472+FR!AW143+JN!AW197+TA!AW112+ŽB!AW86+ČL!AW313+NB!AW136+SM!AW177+JI!AW156+TU!AW210</f>
        <v>35.379999999999995</v>
      </c>
    </row>
    <row r="37" spans="1:42" x14ac:dyDescent="0.2">
      <c r="A37" s="17"/>
      <c r="B37" s="43"/>
      <c r="C37" s="43"/>
      <c r="D37" s="43"/>
      <c r="E37" s="43"/>
      <c r="F37" s="43"/>
      <c r="G37" s="44"/>
      <c r="H37" s="44"/>
      <c r="I37" s="44"/>
    </row>
    <row r="38" spans="1:42" x14ac:dyDescent="0.2">
      <c r="A38" s="17"/>
      <c r="B38" s="12"/>
      <c r="C38" s="12"/>
      <c r="D38" s="12"/>
      <c r="E38" s="12"/>
      <c r="F38" s="12"/>
      <c r="G38" s="7"/>
      <c r="H38" s="7"/>
      <c r="I38" s="7"/>
    </row>
    <row r="39" spans="1:42" x14ac:dyDescent="0.2">
      <c r="A39" s="17"/>
      <c r="B39" s="12"/>
      <c r="C39" s="12"/>
      <c r="D39" s="12"/>
      <c r="E39" s="12"/>
      <c r="F39" s="12"/>
      <c r="G39" s="7"/>
      <c r="H39" s="7"/>
      <c r="I39" s="7"/>
    </row>
    <row r="40" spans="1:42" x14ac:dyDescent="0.2">
      <c r="A40" s="17"/>
      <c r="B40" s="12"/>
      <c r="C40" s="12"/>
      <c r="D40" s="12"/>
      <c r="E40" s="12"/>
      <c r="F40" s="12"/>
      <c r="G40" s="7"/>
      <c r="H40" s="7"/>
      <c r="I40" s="7"/>
    </row>
    <row r="41" spans="1:42" x14ac:dyDescent="0.2">
      <c r="A41" s="17"/>
      <c r="B41" s="12"/>
      <c r="C41" s="12"/>
      <c r="D41" s="12"/>
      <c r="E41" s="12"/>
      <c r="F41" s="12"/>
      <c r="G41" s="7"/>
      <c r="H41" s="7"/>
      <c r="I41" s="7"/>
    </row>
    <row r="42" spans="1:42" x14ac:dyDescent="0.2">
      <c r="A42" s="17"/>
      <c r="B42" s="12"/>
      <c r="C42" s="12"/>
      <c r="D42" s="12"/>
      <c r="E42" s="12"/>
      <c r="F42" s="12"/>
      <c r="G42" s="7"/>
      <c r="H42" s="7"/>
      <c r="I42" s="7"/>
    </row>
    <row r="43" spans="1:42" x14ac:dyDescent="0.2">
      <c r="A43" s="17"/>
      <c r="B43" s="12"/>
      <c r="C43" s="12"/>
      <c r="D43" s="12"/>
      <c r="E43" s="12"/>
      <c r="F43" s="12"/>
      <c r="G43" s="7"/>
      <c r="H43" s="7"/>
      <c r="I43" s="7"/>
    </row>
    <row r="44" spans="1:42" x14ac:dyDescent="0.2">
      <c r="A44" s="17"/>
      <c r="B44" s="12"/>
      <c r="C44" s="12"/>
      <c r="D44" s="12"/>
      <c r="E44" s="12"/>
      <c r="F44" s="12"/>
      <c r="G44" s="7"/>
      <c r="H44" s="7"/>
      <c r="I44" s="7"/>
    </row>
    <row r="45" spans="1:42" x14ac:dyDescent="0.2">
      <c r="A45" s="17"/>
      <c r="B45" s="12"/>
      <c r="C45" s="12"/>
      <c r="D45" s="12"/>
      <c r="E45" s="12"/>
      <c r="F45" s="12"/>
      <c r="G45" s="7"/>
      <c r="H45" s="7"/>
      <c r="I45" s="7"/>
    </row>
    <row r="46" spans="1:42" x14ac:dyDescent="0.2">
      <c r="A46" s="17"/>
      <c r="B46" s="12"/>
      <c r="C46" s="12"/>
      <c r="D46" s="12"/>
      <c r="E46" s="12"/>
      <c r="F46" s="12"/>
      <c r="G46" s="7"/>
      <c r="H46" s="7"/>
      <c r="I46" s="7"/>
    </row>
    <row r="47" spans="1:42" x14ac:dyDescent="0.2">
      <c r="A47" s="17"/>
      <c r="B47" s="12"/>
      <c r="C47" s="12"/>
      <c r="D47" s="12"/>
      <c r="E47" s="12"/>
      <c r="F47" s="12"/>
      <c r="G47" s="7"/>
      <c r="H47" s="7"/>
      <c r="I47" s="7"/>
    </row>
    <row r="48" spans="1:42" x14ac:dyDescent="0.2">
      <c r="A48" s="17"/>
      <c r="B48" s="12"/>
      <c r="C48" s="12"/>
      <c r="D48" s="12"/>
      <c r="E48" s="12"/>
      <c r="F48" s="12"/>
      <c r="G48" s="7"/>
      <c r="H48" s="7"/>
      <c r="I48" s="7"/>
    </row>
    <row r="49" spans="1:9" x14ac:dyDescent="0.2">
      <c r="A49" s="17"/>
      <c r="B49" s="12"/>
      <c r="C49" s="12"/>
      <c r="D49" s="12"/>
      <c r="E49" s="12"/>
      <c r="F49" s="12"/>
      <c r="G49" s="7"/>
      <c r="H49" s="7"/>
      <c r="I49" s="7"/>
    </row>
    <row r="50" spans="1:9" x14ac:dyDescent="0.2">
      <c r="A50" s="17"/>
      <c r="B50" s="12"/>
      <c r="C50" s="12"/>
      <c r="D50" s="12"/>
      <c r="E50" s="12"/>
      <c r="F50" s="12"/>
      <c r="G50" s="7"/>
      <c r="H50" s="7"/>
      <c r="I50" s="7"/>
    </row>
    <row r="51" spans="1:9" x14ac:dyDescent="0.2">
      <c r="A51" s="17"/>
      <c r="B51" s="12"/>
      <c r="C51" s="12"/>
      <c r="D51" s="12"/>
      <c r="E51" s="12"/>
      <c r="F51" s="12"/>
      <c r="G51" s="7"/>
      <c r="H51" s="7"/>
      <c r="I51" s="7"/>
    </row>
    <row r="52" spans="1:9" x14ac:dyDescent="0.2">
      <c r="A52" s="17"/>
      <c r="B52" s="12"/>
      <c r="C52" s="12"/>
      <c r="D52" s="12"/>
      <c r="E52" s="12"/>
      <c r="F52" s="12"/>
      <c r="G52" s="7"/>
      <c r="H52" s="7"/>
      <c r="I52" s="7"/>
    </row>
    <row r="53" spans="1:9" x14ac:dyDescent="0.2">
      <c r="A53" s="17"/>
      <c r="B53" s="12"/>
      <c r="C53" s="12"/>
      <c r="D53" s="12"/>
      <c r="E53" s="12"/>
      <c r="F53" s="12"/>
      <c r="G53" s="7"/>
      <c r="H53" s="7"/>
      <c r="I53" s="7"/>
    </row>
    <row r="54" spans="1:9" x14ac:dyDescent="0.2">
      <c r="A54" s="17"/>
      <c r="B54" s="12"/>
      <c r="C54" s="12"/>
      <c r="D54" s="12"/>
      <c r="E54" s="12"/>
      <c r="F54" s="12"/>
      <c r="G54" s="7"/>
      <c r="H54" s="7"/>
      <c r="I54" s="7"/>
    </row>
    <row r="55" spans="1:9" x14ac:dyDescent="0.2">
      <c r="A55" s="17"/>
      <c r="B55" s="12"/>
      <c r="C55" s="12"/>
      <c r="D55" s="12"/>
      <c r="E55" s="12"/>
      <c r="F55" s="12"/>
      <c r="G55" s="7"/>
      <c r="H55" s="7"/>
      <c r="I55" s="7"/>
    </row>
    <row r="56" spans="1:9" x14ac:dyDescent="0.2">
      <c r="A56" s="17"/>
      <c r="B56" s="12"/>
      <c r="C56" s="12"/>
      <c r="D56" s="12"/>
      <c r="E56" s="12"/>
      <c r="F56" s="12"/>
      <c r="G56" s="7"/>
      <c r="H56" s="7"/>
      <c r="I56" s="7"/>
    </row>
    <row r="57" spans="1:9" x14ac:dyDescent="0.2">
      <c r="A57" s="17"/>
      <c r="B57" s="12"/>
      <c r="C57" s="12"/>
      <c r="D57" s="12"/>
      <c r="E57" s="12"/>
      <c r="F57" s="12"/>
      <c r="G57" s="7"/>
      <c r="H57" s="7"/>
      <c r="I57" s="7"/>
    </row>
    <row r="58" spans="1:9" x14ac:dyDescent="0.2">
      <c r="A58" s="17"/>
      <c r="B58" s="12"/>
      <c r="C58" s="12"/>
      <c r="D58" s="12"/>
      <c r="E58" s="12"/>
      <c r="F58" s="12"/>
      <c r="G58" s="7"/>
      <c r="H58" s="7"/>
      <c r="I58" s="7"/>
    </row>
    <row r="59" spans="1:9" x14ac:dyDescent="0.2">
      <c r="A59" s="17"/>
      <c r="B59" s="12"/>
      <c r="C59" s="12"/>
      <c r="D59" s="12"/>
      <c r="E59" s="12"/>
      <c r="F59" s="12"/>
      <c r="G59" s="7"/>
      <c r="H59" s="7"/>
      <c r="I59" s="7"/>
    </row>
    <row r="60" spans="1:9" x14ac:dyDescent="0.2">
      <c r="A60" s="17"/>
      <c r="B60" s="12"/>
      <c r="C60" s="12"/>
      <c r="D60" s="12"/>
      <c r="E60" s="12"/>
      <c r="F60" s="12"/>
      <c r="G60" s="7"/>
      <c r="H60" s="7"/>
      <c r="I60" s="7"/>
    </row>
    <row r="61" spans="1:9" x14ac:dyDescent="0.2">
      <c r="A61" s="17"/>
      <c r="B61" s="12"/>
      <c r="C61" s="12"/>
      <c r="D61" s="12"/>
      <c r="E61" s="12"/>
      <c r="F61" s="12"/>
      <c r="G61" s="7"/>
      <c r="H61" s="7"/>
      <c r="I61" s="7"/>
    </row>
    <row r="62" spans="1:9" x14ac:dyDescent="0.2">
      <c r="A62" s="17"/>
      <c r="B62" s="12"/>
      <c r="C62" s="12"/>
      <c r="D62" s="12"/>
      <c r="E62" s="12"/>
      <c r="F62" s="12"/>
      <c r="G62" s="7"/>
      <c r="H62" s="7"/>
      <c r="I62" s="7"/>
    </row>
    <row r="63" spans="1:9" x14ac:dyDescent="0.2">
      <c r="A63" s="17"/>
      <c r="B63" s="12"/>
      <c r="C63" s="12"/>
      <c r="D63" s="12"/>
      <c r="E63" s="12"/>
      <c r="F63" s="12"/>
      <c r="G63" s="7"/>
      <c r="H63" s="7"/>
      <c r="I63" s="7"/>
    </row>
    <row r="64" spans="1:9" x14ac:dyDescent="0.2">
      <c r="A64" s="17"/>
      <c r="B64" s="12"/>
      <c r="C64" s="12"/>
      <c r="D64" s="12"/>
      <c r="E64" s="12"/>
      <c r="F64" s="12"/>
      <c r="G64" s="7"/>
      <c r="H64" s="7"/>
      <c r="I64" s="7"/>
    </row>
    <row r="65" spans="1:9" x14ac:dyDescent="0.2">
      <c r="A65" s="17"/>
      <c r="B65" s="12"/>
      <c r="C65" s="12"/>
      <c r="D65" s="12"/>
      <c r="E65" s="12"/>
      <c r="F65" s="12"/>
      <c r="G65" s="7"/>
      <c r="H65" s="7"/>
      <c r="I65" s="7"/>
    </row>
    <row r="66" spans="1:9" x14ac:dyDescent="0.2">
      <c r="A66" s="17"/>
      <c r="B66" s="12"/>
      <c r="C66" s="12"/>
      <c r="D66" s="12"/>
      <c r="E66" s="12"/>
      <c r="F66" s="12"/>
      <c r="G66" s="7"/>
      <c r="H66" s="7"/>
      <c r="I66" s="7"/>
    </row>
    <row r="67" spans="1:9" x14ac:dyDescent="0.2">
      <c r="A67" s="17"/>
      <c r="B67" s="12"/>
      <c r="C67" s="12"/>
      <c r="D67" s="12"/>
      <c r="E67" s="12"/>
      <c r="F67" s="12"/>
      <c r="G67" s="7"/>
      <c r="H67" s="7"/>
      <c r="I67" s="7"/>
    </row>
    <row r="68" spans="1:9" x14ac:dyDescent="0.2">
      <c r="A68" s="17"/>
      <c r="B68" s="12"/>
      <c r="C68" s="12"/>
      <c r="D68" s="12"/>
      <c r="E68" s="12"/>
      <c r="F68" s="12"/>
      <c r="G68" s="7"/>
      <c r="H68" s="7"/>
      <c r="I68" s="7"/>
    </row>
    <row r="69" spans="1:9" x14ac:dyDescent="0.2">
      <c r="A69" s="17"/>
      <c r="B69" s="12"/>
      <c r="C69" s="12"/>
      <c r="D69" s="12"/>
      <c r="E69" s="12"/>
      <c r="F69" s="12"/>
      <c r="G69" s="7"/>
      <c r="H69" s="7"/>
      <c r="I69" s="7"/>
    </row>
    <row r="70" spans="1:9" x14ac:dyDescent="0.2">
      <c r="A70" s="17"/>
      <c r="B70" s="12"/>
      <c r="C70" s="12"/>
      <c r="D70" s="12"/>
      <c r="E70" s="12"/>
      <c r="F70" s="12"/>
      <c r="G70" s="7"/>
      <c r="H70" s="7"/>
      <c r="I70" s="7"/>
    </row>
    <row r="71" spans="1:9" x14ac:dyDescent="0.2">
      <c r="A71" s="17"/>
      <c r="B71" s="12"/>
      <c r="C71" s="12"/>
      <c r="D71" s="12"/>
      <c r="E71" s="12"/>
      <c r="F71" s="12"/>
      <c r="G71" s="7"/>
      <c r="H71" s="7"/>
      <c r="I71" s="7"/>
    </row>
    <row r="72" spans="1:9" x14ac:dyDescent="0.2">
      <c r="A72" s="17"/>
      <c r="B72" s="12"/>
      <c r="C72" s="12"/>
      <c r="D72" s="12"/>
      <c r="E72" s="12"/>
      <c r="F72" s="12"/>
      <c r="G72" s="7"/>
      <c r="H72" s="7"/>
      <c r="I72" s="7"/>
    </row>
    <row r="73" spans="1:9" x14ac:dyDescent="0.2">
      <c r="A73" s="17"/>
      <c r="B73" s="12"/>
      <c r="C73" s="12"/>
      <c r="D73" s="12"/>
      <c r="E73" s="12"/>
      <c r="F73" s="12"/>
      <c r="G73" s="7"/>
      <c r="H73" s="7"/>
      <c r="I73" s="7"/>
    </row>
    <row r="74" spans="1:9" x14ac:dyDescent="0.2">
      <c r="A74" s="17"/>
      <c r="B74" s="12"/>
      <c r="C74" s="12"/>
      <c r="D74" s="12"/>
      <c r="E74" s="12"/>
      <c r="F74" s="12"/>
      <c r="G74" s="7"/>
      <c r="H74" s="7"/>
      <c r="I74" s="7"/>
    </row>
    <row r="75" spans="1:9" x14ac:dyDescent="0.2">
      <c r="A75" s="17"/>
      <c r="B75" s="12"/>
      <c r="C75" s="12"/>
      <c r="D75" s="12"/>
      <c r="E75" s="12"/>
      <c r="F75" s="12"/>
      <c r="G75" s="7"/>
      <c r="H75" s="7"/>
      <c r="I75" s="7"/>
    </row>
    <row r="76" spans="1:9" x14ac:dyDescent="0.2">
      <c r="A76" s="17"/>
      <c r="B76" s="12"/>
      <c r="C76" s="12"/>
      <c r="D76" s="12"/>
      <c r="E76" s="12"/>
      <c r="F76" s="12"/>
      <c r="G76" s="7"/>
      <c r="H76" s="7"/>
      <c r="I76" s="7"/>
    </row>
    <row r="77" spans="1:9" x14ac:dyDescent="0.2">
      <c r="A77" s="17"/>
      <c r="B77" s="12"/>
      <c r="C77" s="12"/>
      <c r="D77" s="12"/>
      <c r="E77" s="12"/>
      <c r="F77" s="12"/>
      <c r="G77" s="7"/>
      <c r="H77" s="7"/>
      <c r="I77" s="7"/>
    </row>
    <row r="78" spans="1:9" x14ac:dyDescent="0.2">
      <c r="A78" s="17"/>
      <c r="B78" s="12"/>
      <c r="C78" s="12"/>
      <c r="D78" s="12"/>
      <c r="E78" s="12"/>
      <c r="F78" s="12"/>
      <c r="G78" s="7"/>
      <c r="H78" s="7"/>
      <c r="I78" s="7"/>
    </row>
    <row r="79" spans="1:9" x14ac:dyDescent="0.2">
      <c r="A79" s="17"/>
      <c r="B79" s="12"/>
      <c r="C79" s="12"/>
      <c r="D79" s="12"/>
      <c r="E79" s="12"/>
      <c r="F79" s="12"/>
      <c r="G79" s="7"/>
      <c r="H79" s="7"/>
      <c r="I79" s="7"/>
    </row>
    <row r="80" spans="1:9" x14ac:dyDescent="0.2">
      <c r="A80" s="17"/>
      <c r="B80" s="12"/>
      <c r="C80" s="12"/>
      <c r="D80" s="12"/>
      <c r="E80" s="12"/>
      <c r="F80" s="12"/>
      <c r="G80" s="7"/>
      <c r="H80" s="7"/>
      <c r="I80" s="7"/>
    </row>
    <row r="81" spans="1:9" x14ac:dyDescent="0.2">
      <c r="A81" s="17"/>
      <c r="B81" s="12"/>
      <c r="C81" s="12"/>
      <c r="D81" s="12"/>
      <c r="E81" s="12"/>
      <c r="F81" s="12"/>
      <c r="G81" s="7"/>
      <c r="H81" s="7"/>
      <c r="I81" s="7"/>
    </row>
    <row r="82" spans="1:9" x14ac:dyDescent="0.2">
      <c r="A82" s="17"/>
      <c r="B82" s="12"/>
      <c r="C82" s="12"/>
      <c r="D82" s="12"/>
      <c r="E82" s="12"/>
      <c r="F82" s="12"/>
      <c r="G82" s="7"/>
      <c r="H82" s="7"/>
      <c r="I82" s="7"/>
    </row>
    <row r="83" spans="1:9" x14ac:dyDescent="0.2">
      <c r="A83" s="17"/>
      <c r="B83" s="12"/>
      <c r="C83" s="12"/>
      <c r="D83" s="12"/>
      <c r="E83" s="12"/>
      <c r="F83" s="12"/>
      <c r="G83" s="7"/>
      <c r="H83" s="7"/>
      <c r="I83" s="7"/>
    </row>
    <row r="84" spans="1:9" x14ac:dyDescent="0.2">
      <c r="A84" s="17"/>
      <c r="B84" s="12"/>
      <c r="C84" s="12"/>
      <c r="D84" s="12"/>
      <c r="E84" s="12"/>
      <c r="F84" s="12"/>
      <c r="G84" s="7"/>
      <c r="H84" s="7"/>
      <c r="I84" s="7"/>
    </row>
    <row r="85" spans="1:9" x14ac:dyDescent="0.2">
      <c r="A85" s="17"/>
      <c r="B85" s="12"/>
      <c r="C85" s="12"/>
      <c r="D85" s="12"/>
      <c r="E85" s="12"/>
      <c r="F85" s="12"/>
      <c r="G85" s="7"/>
      <c r="H85" s="7"/>
      <c r="I85" s="7"/>
    </row>
    <row r="86" spans="1:9" x14ac:dyDescent="0.2">
      <c r="A86" s="17"/>
      <c r="B86" s="12"/>
      <c r="C86" s="12"/>
      <c r="D86" s="12"/>
      <c r="E86" s="12"/>
      <c r="F86" s="12"/>
      <c r="G86" s="7"/>
      <c r="H86" s="7"/>
      <c r="I86" s="7"/>
    </row>
    <row r="87" spans="1:9" x14ac:dyDescent="0.2">
      <c r="A87" s="17"/>
      <c r="B87" s="12"/>
      <c r="C87" s="12"/>
      <c r="D87" s="12"/>
      <c r="E87" s="12"/>
      <c r="F87" s="12"/>
      <c r="G87" s="7"/>
      <c r="H87" s="7"/>
      <c r="I87" s="7"/>
    </row>
    <row r="88" spans="1:9" x14ac:dyDescent="0.2">
      <c r="A88" s="17"/>
      <c r="B88" s="12"/>
      <c r="C88" s="12"/>
      <c r="D88" s="12"/>
      <c r="E88" s="12"/>
      <c r="F88" s="12"/>
      <c r="G88" s="7"/>
      <c r="H88" s="7"/>
      <c r="I88" s="7"/>
    </row>
    <row r="89" spans="1:9" x14ac:dyDescent="0.2">
      <c r="A89" s="17"/>
      <c r="B89" s="12"/>
      <c r="C89" s="12"/>
      <c r="D89" s="12"/>
      <c r="E89" s="12"/>
      <c r="F89" s="12"/>
      <c r="G89" s="7"/>
      <c r="H89" s="7"/>
      <c r="I89" s="7"/>
    </row>
    <row r="90" spans="1:9" x14ac:dyDescent="0.2">
      <c r="A90" s="17"/>
      <c r="B90" s="12"/>
      <c r="C90" s="12"/>
      <c r="D90" s="12"/>
      <c r="E90" s="12"/>
      <c r="F90" s="12"/>
      <c r="G90" s="7"/>
      <c r="H90" s="7"/>
      <c r="I90" s="7"/>
    </row>
    <row r="91" spans="1:9" x14ac:dyDescent="0.2">
      <c r="A91" s="17"/>
      <c r="B91" s="12"/>
      <c r="C91" s="12"/>
      <c r="D91" s="12"/>
      <c r="E91" s="12"/>
      <c r="F91" s="12"/>
      <c r="G91" s="7"/>
      <c r="H91" s="7"/>
      <c r="I91" s="7"/>
    </row>
    <row r="92" spans="1:9" x14ac:dyDescent="0.2">
      <c r="A92" s="17"/>
      <c r="B92" s="12"/>
      <c r="C92" s="12"/>
      <c r="D92" s="12"/>
      <c r="E92" s="12"/>
      <c r="F92" s="12"/>
      <c r="G92" s="7"/>
      <c r="H92" s="7"/>
      <c r="I92" s="7"/>
    </row>
    <row r="93" spans="1:9" x14ac:dyDescent="0.2">
      <c r="A93" s="17"/>
      <c r="B93" s="12"/>
      <c r="C93" s="12"/>
      <c r="D93" s="12"/>
      <c r="E93" s="12"/>
      <c r="F93" s="12"/>
      <c r="G93" s="7"/>
      <c r="H93" s="7"/>
      <c r="I93" s="7"/>
    </row>
    <row r="94" spans="1:9" x14ac:dyDescent="0.2">
      <c r="A94" s="17"/>
      <c r="B94" s="12"/>
      <c r="C94" s="12"/>
      <c r="D94" s="12"/>
      <c r="E94" s="12"/>
      <c r="F94" s="12"/>
      <c r="G94" s="7"/>
      <c r="H94" s="7"/>
      <c r="I94" s="7"/>
    </row>
    <row r="95" spans="1:9" x14ac:dyDescent="0.2">
      <c r="A95" s="17"/>
      <c r="B95" s="12"/>
      <c r="C95" s="12"/>
      <c r="D95" s="12"/>
      <c r="E95" s="12"/>
      <c r="F95" s="12"/>
      <c r="G95" s="7"/>
      <c r="H95" s="7"/>
      <c r="I95" s="7"/>
    </row>
    <row r="96" spans="1:9" x14ac:dyDescent="0.2">
      <c r="A96" s="17"/>
      <c r="B96" s="12"/>
      <c r="C96" s="12"/>
      <c r="D96" s="12"/>
      <c r="E96" s="12"/>
      <c r="F96" s="12"/>
      <c r="G96" s="7"/>
      <c r="H96" s="7"/>
      <c r="I96" s="7"/>
    </row>
    <row r="97" spans="1:9" x14ac:dyDescent="0.2">
      <c r="A97" s="17"/>
      <c r="B97" s="12"/>
      <c r="C97" s="12"/>
      <c r="D97" s="12"/>
      <c r="E97" s="12"/>
      <c r="F97" s="12"/>
      <c r="G97" s="7"/>
      <c r="H97" s="7"/>
      <c r="I97" s="7"/>
    </row>
    <row r="98" spans="1:9" x14ac:dyDescent="0.2">
      <c r="A98" s="17"/>
      <c r="B98" s="12"/>
      <c r="C98" s="12"/>
      <c r="D98" s="12"/>
      <c r="E98" s="12"/>
      <c r="F98" s="12"/>
      <c r="G98" s="7"/>
      <c r="H98" s="7"/>
      <c r="I98" s="7"/>
    </row>
    <row r="99" spans="1:9" x14ac:dyDescent="0.2">
      <c r="A99" s="17"/>
      <c r="B99" s="12"/>
      <c r="C99" s="12"/>
      <c r="D99" s="12"/>
      <c r="E99" s="12"/>
      <c r="F99" s="12"/>
      <c r="G99" s="7"/>
      <c r="H99" s="7"/>
      <c r="I99" s="7"/>
    </row>
    <row r="100" spans="1:9" x14ac:dyDescent="0.2">
      <c r="A100" s="17"/>
      <c r="B100" s="12"/>
      <c r="C100" s="12"/>
      <c r="D100" s="12"/>
      <c r="E100" s="12"/>
      <c r="F100" s="12"/>
      <c r="G100" s="7"/>
      <c r="H100" s="7"/>
      <c r="I100" s="7"/>
    </row>
    <row r="101" spans="1:9" x14ac:dyDescent="0.2">
      <c r="A101" s="17"/>
      <c r="B101" s="12"/>
      <c r="C101" s="12"/>
      <c r="D101" s="12"/>
      <c r="E101" s="12"/>
      <c r="F101" s="12"/>
      <c r="G101" s="7"/>
      <c r="H101" s="7"/>
      <c r="I101" s="7"/>
    </row>
    <row r="102" spans="1:9" x14ac:dyDescent="0.2">
      <c r="A102" s="17"/>
      <c r="B102" s="12"/>
      <c r="C102" s="12"/>
      <c r="D102" s="12"/>
      <c r="E102" s="12"/>
      <c r="F102" s="12"/>
      <c r="G102" s="7"/>
      <c r="H102" s="7"/>
      <c r="I102" s="7"/>
    </row>
    <row r="103" spans="1:9" x14ac:dyDescent="0.2">
      <c r="A103" s="17"/>
      <c r="B103" s="12"/>
      <c r="C103" s="12"/>
      <c r="D103" s="12"/>
      <c r="E103" s="12"/>
      <c r="F103" s="12"/>
      <c r="G103" s="7"/>
      <c r="H103" s="7"/>
      <c r="I103" s="7"/>
    </row>
    <row r="104" spans="1:9" x14ac:dyDescent="0.2">
      <c r="A104" s="17"/>
      <c r="B104" s="12"/>
      <c r="C104" s="12"/>
      <c r="D104" s="12"/>
      <c r="E104" s="12"/>
      <c r="F104" s="12"/>
      <c r="G104" s="7"/>
      <c r="H104" s="7"/>
      <c r="I104" s="7"/>
    </row>
    <row r="105" spans="1:9" x14ac:dyDescent="0.2">
      <c r="A105" s="17"/>
      <c r="B105" s="12"/>
      <c r="C105" s="12"/>
      <c r="D105" s="12"/>
      <c r="E105" s="12"/>
      <c r="F105" s="12"/>
      <c r="G105" s="7"/>
      <c r="H105" s="7"/>
      <c r="I105" s="7"/>
    </row>
    <row r="106" spans="1:9" x14ac:dyDescent="0.2">
      <c r="A106" s="17"/>
      <c r="B106" s="12"/>
      <c r="C106" s="12"/>
      <c r="D106" s="12"/>
      <c r="E106" s="12"/>
      <c r="F106" s="12"/>
      <c r="G106" s="7"/>
      <c r="H106" s="7"/>
      <c r="I106" s="7"/>
    </row>
    <row r="107" spans="1:9" x14ac:dyDescent="0.2">
      <c r="A107" s="17"/>
      <c r="B107" s="12"/>
      <c r="C107" s="12"/>
      <c r="D107" s="12"/>
      <c r="E107" s="12"/>
      <c r="F107" s="12"/>
      <c r="G107" s="7"/>
      <c r="H107" s="7"/>
      <c r="I107" s="7"/>
    </row>
    <row r="108" spans="1:9" x14ac:dyDescent="0.2">
      <c r="A108" s="17"/>
      <c r="B108" s="12"/>
      <c r="C108" s="12"/>
      <c r="D108" s="12"/>
      <c r="E108" s="12"/>
      <c r="F108" s="12"/>
      <c r="G108" s="7"/>
      <c r="H108" s="7"/>
      <c r="I108" s="7"/>
    </row>
    <row r="109" spans="1:9" x14ac:dyDescent="0.2">
      <c r="A109" s="17"/>
      <c r="B109" s="12"/>
      <c r="C109" s="12"/>
      <c r="D109" s="12"/>
      <c r="E109" s="12"/>
      <c r="F109" s="12"/>
      <c r="G109" s="7"/>
      <c r="H109" s="7"/>
      <c r="I109" s="7"/>
    </row>
    <row r="110" spans="1:9" x14ac:dyDescent="0.2">
      <c r="A110" s="17"/>
      <c r="B110" s="12"/>
      <c r="C110" s="12"/>
      <c r="D110" s="12"/>
      <c r="E110" s="12"/>
      <c r="F110" s="12"/>
      <c r="G110" s="7"/>
      <c r="H110" s="7"/>
      <c r="I110" s="7"/>
    </row>
    <row r="111" spans="1:9" x14ac:dyDescent="0.2">
      <c r="A111" s="17"/>
      <c r="B111" s="12"/>
      <c r="C111" s="12"/>
      <c r="D111" s="12"/>
      <c r="E111" s="12"/>
      <c r="F111" s="12"/>
      <c r="G111" s="7"/>
      <c r="H111" s="7"/>
      <c r="I111" s="7"/>
    </row>
    <row r="112" spans="1:9" x14ac:dyDescent="0.2">
      <c r="A112" s="17"/>
      <c r="B112" s="12"/>
      <c r="C112" s="12"/>
      <c r="D112" s="12"/>
      <c r="E112" s="12"/>
      <c r="F112" s="12"/>
      <c r="G112" s="7"/>
      <c r="H112" s="7"/>
      <c r="I112" s="7"/>
    </row>
    <row r="113" spans="1:9" x14ac:dyDescent="0.2">
      <c r="A113" s="17"/>
      <c r="B113" s="12"/>
      <c r="C113" s="12"/>
      <c r="D113" s="12"/>
      <c r="E113" s="12"/>
      <c r="F113" s="12"/>
      <c r="G113" s="7"/>
      <c r="H113" s="7"/>
      <c r="I113" s="7"/>
    </row>
    <row r="114" spans="1:9" x14ac:dyDescent="0.2">
      <c r="A114" s="17"/>
      <c r="B114" s="12"/>
      <c r="C114" s="12"/>
      <c r="D114" s="12"/>
      <c r="E114" s="12"/>
      <c r="F114" s="12"/>
      <c r="G114" s="7"/>
      <c r="H114" s="7"/>
      <c r="I114" s="7"/>
    </row>
    <row r="115" spans="1:9" x14ac:dyDescent="0.2">
      <c r="A115" s="17"/>
      <c r="B115" s="12"/>
      <c r="C115" s="12"/>
      <c r="D115" s="12"/>
      <c r="E115" s="12"/>
      <c r="F115" s="12"/>
      <c r="G115" s="7"/>
      <c r="H115" s="7"/>
      <c r="I115" s="7"/>
    </row>
    <row r="116" spans="1:9" x14ac:dyDescent="0.2">
      <c r="A116" s="17"/>
      <c r="B116" s="12"/>
      <c r="C116" s="12"/>
      <c r="D116" s="12"/>
      <c r="E116" s="12"/>
      <c r="F116" s="12"/>
      <c r="G116" s="7"/>
      <c r="H116" s="7"/>
      <c r="I116" s="7"/>
    </row>
    <row r="117" spans="1:9" x14ac:dyDescent="0.2">
      <c r="A117" s="17"/>
      <c r="B117" s="12"/>
      <c r="C117" s="12"/>
      <c r="D117" s="12"/>
      <c r="E117" s="12"/>
      <c r="F117" s="12"/>
      <c r="G117" s="7"/>
      <c r="H117" s="7"/>
      <c r="I117" s="7"/>
    </row>
    <row r="118" spans="1:9" x14ac:dyDescent="0.2">
      <c r="A118" s="17"/>
      <c r="B118" s="12"/>
      <c r="C118" s="12"/>
      <c r="D118" s="12"/>
      <c r="E118" s="12"/>
      <c r="F118" s="12"/>
      <c r="G118" s="7"/>
      <c r="H118" s="7"/>
      <c r="I118" s="7"/>
    </row>
    <row r="119" spans="1:9" x14ac:dyDescent="0.2">
      <c r="A119" s="17"/>
      <c r="B119" s="12"/>
      <c r="C119" s="12"/>
      <c r="D119" s="12"/>
      <c r="E119" s="12"/>
      <c r="F119" s="12"/>
      <c r="G119" s="7"/>
      <c r="H119" s="7"/>
      <c r="I119" s="7"/>
    </row>
    <row r="120" spans="1:9" x14ac:dyDescent="0.2">
      <c r="A120" s="17"/>
      <c r="B120" s="12"/>
      <c r="C120" s="12"/>
      <c r="D120" s="12"/>
      <c r="E120" s="12"/>
      <c r="F120" s="12"/>
      <c r="G120" s="7"/>
      <c r="H120" s="7"/>
      <c r="I120" s="7"/>
    </row>
    <row r="121" spans="1:9" x14ac:dyDescent="0.2">
      <c r="A121" s="17"/>
      <c r="B121" s="12"/>
      <c r="C121" s="12"/>
      <c r="D121" s="12"/>
      <c r="E121" s="12"/>
      <c r="F121" s="12"/>
      <c r="G121" s="7"/>
      <c r="H121" s="7"/>
      <c r="I121" s="7"/>
    </row>
    <row r="122" spans="1:9" x14ac:dyDescent="0.2">
      <c r="A122" s="17"/>
      <c r="B122" s="12"/>
      <c r="C122" s="12"/>
      <c r="D122" s="12"/>
      <c r="E122" s="12"/>
      <c r="F122" s="12"/>
      <c r="G122" s="7"/>
      <c r="H122" s="7"/>
      <c r="I122" s="7"/>
    </row>
    <row r="123" spans="1:9" x14ac:dyDescent="0.2">
      <c r="A123" s="17"/>
      <c r="B123" s="12"/>
      <c r="C123" s="12"/>
      <c r="D123" s="12"/>
      <c r="E123" s="12"/>
      <c r="F123" s="12"/>
      <c r="G123" s="7"/>
      <c r="H123" s="7"/>
      <c r="I123" s="7"/>
    </row>
    <row r="124" spans="1:9" x14ac:dyDescent="0.2">
      <c r="A124" s="17"/>
      <c r="B124" s="12"/>
      <c r="C124" s="12"/>
      <c r="D124" s="12"/>
      <c r="E124" s="12"/>
      <c r="F124" s="12"/>
      <c r="G124" s="7"/>
      <c r="H124" s="7"/>
      <c r="I124" s="7"/>
    </row>
    <row r="125" spans="1:9" x14ac:dyDescent="0.2">
      <c r="A125" s="17"/>
      <c r="B125" s="12"/>
      <c r="C125" s="12"/>
      <c r="D125" s="12"/>
      <c r="E125" s="12"/>
      <c r="F125" s="12"/>
      <c r="G125" s="7"/>
      <c r="H125" s="7"/>
      <c r="I125" s="7"/>
    </row>
    <row r="126" spans="1:9" x14ac:dyDescent="0.2">
      <c r="A126" s="17"/>
      <c r="B126" s="12"/>
      <c r="C126" s="12"/>
      <c r="D126" s="12"/>
      <c r="E126" s="12"/>
      <c r="F126" s="12"/>
      <c r="G126" s="7"/>
      <c r="H126" s="7"/>
      <c r="I126" s="7"/>
    </row>
    <row r="127" spans="1:9" x14ac:dyDescent="0.2">
      <c r="A127" s="17"/>
      <c r="B127" s="12"/>
      <c r="C127" s="12"/>
      <c r="D127" s="12"/>
      <c r="E127" s="12"/>
      <c r="F127" s="12"/>
      <c r="G127" s="7"/>
      <c r="H127" s="7"/>
      <c r="I127" s="7"/>
    </row>
    <row r="128" spans="1:9" x14ac:dyDescent="0.2">
      <c r="A128" s="17"/>
      <c r="B128" s="12"/>
      <c r="C128" s="12"/>
      <c r="D128" s="12"/>
      <c r="E128" s="12"/>
      <c r="F128" s="12"/>
      <c r="G128" s="7"/>
      <c r="H128" s="7"/>
      <c r="I128" s="7"/>
    </row>
    <row r="129" spans="1:9" x14ac:dyDescent="0.2">
      <c r="A129" s="17"/>
      <c r="B129" s="12"/>
      <c r="C129" s="12"/>
      <c r="D129" s="12"/>
      <c r="E129" s="12"/>
      <c r="F129" s="12"/>
      <c r="G129" s="7"/>
      <c r="H129" s="7"/>
      <c r="I129" s="7"/>
    </row>
    <row r="130" spans="1:9" x14ac:dyDescent="0.2">
      <c r="A130" s="17"/>
      <c r="B130" s="12"/>
      <c r="C130" s="12"/>
      <c r="D130" s="12"/>
      <c r="E130" s="12"/>
      <c r="F130" s="12"/>
      <c r="G130" s="7"/>
      <c r="H130" s="7"/>
      <c r="I130" s="7"/>
    </row>
    <row r="131" spans="1:9" x14ac:dyDescent="0.2">
      <c r="A131" s="17"/>
      <c r="B131" s="12"/>
      <c r="C131" s="12"/>
      <c r="D131" s="12"/>
      <c r="E131" s="12"/>
      <c r="F131" s="12"/>
      <c r="G131" s="7"/>
      <c r="H131" s="7"/>
      <c r="I131" s="7"/>
    </row>
    <row r="132" spans="1:9" x14ac:dyDescent="0.2">
      <c r="A132" s="17"/>
      <c r="B132" s="12"/>
      <c r="C132" s="12"/>
      <c r="D132" s="12"/>
      <c r="E132" s="12"/>
      <c r="F132" s="12"/>
      <c r="G132" s="7"/>
      <c r="H132" s="7"/>
      <c r="I132" s="7"/>
    </row>
    <row r="133" spans="1:9" x14ac:dyDescent="0.2">
      <c r="A133" s="17"/>
      <c r="B133" s="12"/>
      <c r="C133" s="12"/>
      <c r="D133" s="12"/>
      <c r="E133" s="12"/>
      <c r="F133" s="12"/>
      <c r="G133" s="7"/>
      <c r="H133" s="7"/>
      <c r="I133" s="7"/>
    </row>
    <row r="134" spans="1:9" x14ac:dyDescent="0.2">
      <c r="A134" s="17"/>
      <c r="B134" s="12"/>
      <c r="C134" s="12"/>
      <c r="D134" s="12"/>
      <c r="E134" s="12"/>
      <c r="F134" s="12"/>
      <c r="G134" s="7"/>
      <c r="H134" s="7"/>
      <c r="I134" s="7"/>
    </row>
    <row r="135" spans="1:9" x14ac:dyDescent="0.2">
      <c r="A135" s="17"/>
      <c r="B135" s="12"/>
      <c r="C135" s="12"/>
      <c r="D135" s="12"/>
      <c r="E135" s="12"/>
      <c r="F135" s="12"/>
      <c r="G135" s="7"/>
      <c r="H135" s="7"/>
      <c r="I135" s="7"/>
    </row>
    <row r="136" spans="1:9" x14ac:dyDescent="0.2">
      <c r="A136" s="17"/>
      <c r="B136" s="12"/>
      <c r="C136" s="12"/>
      <c r="D136" s="12"/>
      <c r="E136" s="12"/>
      <c r="F136" s="12"/>
      <c r="G136" s="7"/>
      <c r="H136" s="7"/>
      <c r="I136" s="7"/>
    </row>
    <row r="137" spans="1:9" x14ac:dyDescent="0.2">
      <c r="A137" s="17"/>
      <c r="B137" s="12"/>
      <c r="C137" s="12"/>
      <c r="D137" s="12"/>
      <c r="E137" s="12"/>
      <c r="F137" s="12"/>
      <c r="G137" s="7"/>
      <c r="H137" s="7"/>
      <c r="I137" s="7"/>
    </row>
    <row r="138" spans="1:9" x14ac:dyDescent="0.2">
      <c r="A138" s="17"/>
      <c r="B138" s="12"/>
      <c r="C138" s="12"/>
      <c r="D138" s="12"/>
      <c r="E138" s="12"/>
      <c r="F138" s="12"/>
      <c r="G138" s="7"/>
      <c r="H138" s="7"/>
      <c r="I138" s="7"/>
    </row>
    <row r="139" spans="1:9" x14ac:dyDescent="0.2">
      <c r="A139" s="17"/>
      <c r="B139" s="12"/>
      <c r="C139" s="12"/>
      <c r="D139" s="12"/>
      <c r="E139" s="12"/>
      <c r="F139" s="12"/>
      <c r="G139" s="7"/>
      <c r="H139" s="7"/>
      <c r="I139" s="7"/>
    </row>
    <row r="140" spans="1:9" x14ac:dyDescent="0.2">
      <c r="A140" s="17"/>
      <c r="B140" s="12"/>
      <c r="C140" s="12"/>
      <c r="D140" s="12"/>
      <c r="E140" s="12"/>
      <c r="F140" s="12"/>
      <c r="G140" s="7"/>
      <c r="H140" s="7"/>
      <c r="I140" s="7"/>
    </row>
    <row r="141" spans="1:9" x14ac:dyDescent="0.2">
      <c r="A141" s="17"/>
      <c r="B141" s="12"/>
      <c r="C141" s="12"/>
      <c r="D141" s="12"/>
      <c r="E141" s="12"/>
      <c r="F141" s="12"/>
      <c r="G141" s="7"/>
      <c r="H141" s="7"/>
      <c r="I141" s="7"/>
    </row>
    <row r="142" spans="1:9" x14ac:dyDescent="0.2">
      <c r="A142" s="17"/>
      <c r="B142" s="12"/>
      <c r="C142" s="12"/>
      <c r="D142" s="12"/>
      <c r="E142" s="12"/>
      <c r="F142" s="12"/>
      <c r="G142" s="7"/>
      <c r="H142" s="7"/>
      <c r="I142" s="7"/>
    </row>
    <row r="143" spans="1:9" x14ac:dyDescent="0.2">
      <c r="A143" s="17"/>
      <c r="B143" s="12"/>
      <c r="C143" s="12"/>
      <c r="D143" s="12"/>
      <c r="E143" s="12"/>
      <c r="F143" s="12"/>
      <c r="G143" s="7"/>
      <c r="H143" s="7"/>
      <c r="I143" s="7"/>
    </row>
    <row r="144" spans="1:9" x14ac:dyDescent="0.2">
      <c r="A144" s="17"/>
      <c r="B144" s="12"/>
      <c r="C144" s="12"/>
      <c r="D144" s="12"/>
      <c r="E144" s="12"/>
      <c r="F144" s="12"/>
      <c r="G144" s="7"/>
      <c r="H144" s="7"/>
      <c r="I144" s="7"/>
    </row>
    <row r="145" spans="1:9" x14ac:dyDescent="0.2">
      <c r="A145" s="17"/>
      <c r="B145" s="12"/>
      <c r="C145" s="12"/>
      <c r="D145" s="12"/>
      <c r="E145" s="12"/>
      <c r="F145" s="12"/>
      <c r="G145" s="7"/>
      <c r="H145" s="7"/>
      <c r="I145" s="7"/>
    </row>
    <row r="146" spans="1:9" x14ac:dyDescent="0.2">
      <c r="A146" s="17"/>
      <c r="B146" s="12"/>
      <c r="C146" s="12"/>
      <c r="D146" s="12"/>
      <c r="E146" s="12"/>
      <c r="F146" s="12"/>
      <c r="G146" s="7"/>
      <c r="H146" s="7"/>
      <c r="I146" s="7"/>
    </row>
    <row r="147" spans="1:9" x14ac:dyDescent="0.2">
      <c r="A147" s="17"/>
      <c r="B147" s="12"/>
      <c r="C147" s="12"/>
      <c r="D147" s="12"/>
      <c r="E147" s="12"/>
      <c r="F147" s="12"/>
      <c r="G147" s="7"/>
      <c r="H147" s="7"/>
      <c r="I147" s="7"/>
    </row>
    <row r="148" spans="1:9" x14ac:dyDescent="0.2">
      <c r="A148" s="17"/>
      <c r="B148" s="12"/>
      <c r="C148" s="12"/>
      <c r="D148" s="12"/>
      <c r="E148" s="12"/>
      <c r="F148" s="12"/>
      <c r="G148" s="7"/>
      <c r="H148" s="7"/>
      <c r="I148" s="7"/>
    </row>
    <row r="149" spans="1:9" x14ac:dyDescent="0.2">
      <c r="A149" s="17"/>
      <c r="B149" s="12"/>
      <c r="C149" s="12"/>
      <c r="D149" s="12"/>
      <c r="E149" s="12"/>
      <c r="F149" s="12"/>
      <c r="G149" s="7"/>
      <c r="H149" s="7"/>
      <c r="I149" s="7"/>
    </row>
    <row r="150" spans="1:9" x14ac:dyDescent="0.2">
      <c r="A150" s="17"/>
      <c r="B150" s="12"/>
      <c r="C150" s="12"/>
      <c r="D150" s="12"/>
      <c r="E150" s="12"/>
      <c r="F150" s="12"/>
      <c r="G150" s="7"/>
      <c r="H150" s="7"/>
      <c r="I150" s="7"/>
    </row>
    <row r="151" spans="1:9" x14ac:dyDescent="0.2">
      <c r="A151" s="17"/>
      <c r="B151" s="12"/>
      <c r="C151" s="12"/>
      <c r="D151" s="12"/>
      <c r="E151" s="12"/>
      <c r="F151" s="12"/>
      <c r="G151" s="7"/>
      <c r="H151" s="7"/>
      <c r="I151" s="7"/>
    </row>
    <row r="152" spans="1:9" x14ac:dyDescent="0.2">
      <c r="A152" s="17"/>
      <c r="B152" s="12"/>
      <c r="C152" s="12"/>
      <c r="D152" s="12"/>
      <c r="E152" s="12"/>
      <c r="F152" s="12"/>
      <c r="G152" s="7"/>
      <c r="H152" s="7"/>
      <c r="I152" s="7"/>
    </row>
    <row r="153" spans="1:9" x14ac:dyDescent="0.2">
      <c r="A153" s="17"/>
      <c r="B153" s="12"/>
      <c r="C153" s="12"/>
      <c r="D153" s="12"/>
      <c r="E153" s="12"/>
      <c r="F153" s="12"/>
      <c r="G153" s="7"/>
      <c r="H153" s="7"/>
      <c r="I153" s="7"/>
    </row>
    <row r="154" spans="1:9" x14ac:dyDescent="0.2">
      <c r="A154" s="17"/>
      <c r="B154" s="12"/>
      <c r="C154" s="12"/>
      <c r="D154" s="12"/>
      <c r="E154" s="12"/>
      <c r="F154" s="12"/>
      <c r="G154" s="7"/>
      <c r="H154" s="7"/>
      <c r="I154" s="7"/>
    </row>
    <row r="155" spans="1:9" x14ac:dyDescent="0.2">
      <c r="A155" s="17"/>
      <c r="B155" s="12"/>
      <c r="C155" s="12"/>
      <c r="D155" s="12"/>
      <c r="E155" s="12"/>
      <c r="F155" s="12"/>
      <c r="G155" s="7"/>
      <c r="H155" s="7"/>
      <c r="I155" s="7"/>
    </row>
    <row r="156" spans="1:9" x14ac:dyDescent="0.2">
      <c r="A156" s="17"/>
      <c r="B156" s="12"/>
      <c r="C156" s="12"/>
      <c r="D156" s="12"/>
      <c r="E156" s="12"/>
      <c r="F156" s="12"/>
      <c r="G156" s="7"/>
      <c r="H156" s="7"/>
      <c r="I156" s="7"/>
    </row>
    <row r="157" spans="1:9" x14ac:dyDescent="0.2">
      <c r="A157" s="17"/>
      <c r="B157" s="12"/>
      <c r="C157" s="12"/>
      <c r="D157" s="12"/>
      <c r="E157" s="12"/>
      <c r="F157" s="12"/>
      <c r="G157" s="7"/>
      <c r="H157" s="7"/>
      <c r="I157" s="7"/>
    </row>
    <row r="158" spans="1:9" x14ac:dyDescent="0.2">
      <c r="A158" s="17"/>
      <c r="B158" s="12"/>
      <c r="C158" s="12"/>
      <c r="D158" s="12"/>
      <c r="E158" s="12"/>
      <c r="F158" s="12"/>
      <c r="G158" s="7"/>
      <c r="H158" s="7"/>
      <c r="I158" s="7"/>
    </row>
    <row r="159" spans="1:9" x14ac:dyDescent="0.2">
      <c r="A159" s="17"/>
      <c r="B159" s="12"/>
      <c r="C159" s="12"/>
      <c r="D159" s="12"/>
      <c r="E159" s="12"/>
      <c r="F159" s="12"/>
      <c r="G159" s="7"/>
      <c r="H159" s="7"/>
      <c r="I159" s="7"/>
    </row>
    <row r="160" spans="1:9" x14ac:dyDescent="0.2">
      <c r="A160" s="17"/>
      <c r="B160" s="12"/>
      <c r="C160" s="12"/>
      <c r="D160" s="12"/>
      <c r="E160" s="12"/>
      <c r="F160" s="12"/>
      <c r="G160" s="7"/>
      <c r="H160" s="7"/>
      <c r="I160" s="7"/>
    </row>
    <row r="161" spans="1:9" x14ac:dyDescent="0.2">
      <c r="A161" s="17"/>
      <c r="B161" s="12"/>
      <c r="C161" s="12"/>
      <c r="D161" s="12"/>
      <c r="E161" s="12"/>
      <c r="F161" s="12"/>
      <c r="G161" s="7"/>
      <c r="H161" s="7"/>
      <c r="I161" s="7"/>
    </row>
    <row r="162" spans="1:9" x14ac:dyDescent="0.2">
      <c r="A162" s="17"/>
      <c r="B162" s="12"/>
      <c r="C162" s="12"/>
      <c r="D162" s="12"/>
      <c r="E162" s="12"/>
      <c r="F162" s="12"/>
      <c r="G162" s="7"/>
      <c r="H162" s="7"/>
      <c r="I162" s="7"/>
    </row>
    <row r="163" spans="1:9" x14ac:dyDescent="0.2">
      <c r="A163" s="17"/>
      <c r="B163" s="12"/>
      <c r="C163" s="12"/>
      <c r="D163" s="12"/>
      <c r="E163" s="12"/>
      <c r="F163" s="12"/>
      <c r="G163" s="7"/>
      <c r="H163" s="7"/>
      <c r="I163" s="7"/>
    </row>
    <row r="164" spans="1:9" x14ac:dyDescent="0.2">
      <c r="A164" s="17"/>
      <c r="B164" s="12"/>
      <c r="C164" s="12"/>
      <c r="D164" s="12"/>
      <c r="E164" s="12"/>
      <c r="F164" s="12"/>
      <c r="G164" s="7"/>
      <c r="H164" s="7"/>
      <c r="I164" s="7"/>
    </row>
    <row r="165" spans="1:9" x14ac:dyDescent="0.2">
      <c r="A165" s="17"/>
      <c r="B165" s="12"/>
      <c r="C165" s="12"/>
      <c r="D165" s="12"/>
      <c r="E165" s="12"/>
      <c r="F165" s="12"/>
      <c r="G165" s="7"/>
      <c r="H165" s="7"/>
      <c r="I165" s="7"/>
    </row>
    <row r="166" spans="1:9" x14ac:dyDescent="0.2">
      <c r="A166" s="17"/>
      <c r="B166" s="12"/>
      <c r="C166" s="12"/>
      <c r="D166" s="12"/>
      <c r="E166" s="12"/>
      <c r="F166" s="12"/>
      <c r="G166" s="7"/>
      <c r="H166" s="7"/>
      <c r="I166" s="7"/>
    </row>
    <row r="167" spans="1:9" x14ac:dyDescent="0.2">
      <c r="A167" s="17"/>
      <c r="B167" s="12"/>
      <c r="C167" s="12"/>
      <c r="D167" s="12"/>
      <c r="E167" s="12"/>
      <c r="F167" s="12"/>
      <c r="G167" s="7"/>
      <c r="H167" s="7"/>
      <c r="I167" s="7"/>
    </row>
    <row r="168" spans="1:9" x14ac:dyDescent="0.2">
      <c r="A168" s="17"/>
      <c r="B168" s="12"/>
      <c r="C168" s="12"/>
      <c r="D168" s="12"/>
      <c r="E168" s="12"/>
      <c r="F168" s="12"/>
      <c r="G168" s="7"/>
      <c r="H168" s="7"/>
      <c r="I168" s="7"/>
    </row>
    <row r="169" spans="1:9" x14ac:dyDescent="0.2">
      <c r="A169" s="17"/>
      <c r="B169" s="12"/>
      <c r="C169" s="12"/>
      <c r="D169" s="12"/>
      <c r="E169" s="12"/>
      <c r="F169" s="12"/>
      <c r="G169" s="7"/>
      <c r="H169" s="7"/>
      <c r="I169" s="7"/>
    </row>
    <row r="170" spans="1:9" x14ac:dyDescent="0.2">
      <c r="A170" s="17"/>
      <c r="B170" s="12"/>
      <c r="C170" s="12"/>
      <c r="D170" s="12"/>
      <c r="E170" s="12"/>
      <c r="F170" s="12"/>
      <c r="G170" s="7"/>
      <c r="H170" s="7"/>
      <c r="I170" s="7"/>
    </row>
    <row r="171" spans="1:9" x14ac:dyDescent="0.2">
      <c r="A171" s="17"/>
      <c r="B171" s="12"/>
      <c r="C171" s="12"/>
      <c r="D171" s="12"/>
      <c r="E171" s="12"/>
      <c r="F171" s="12"/>
      <c r="G171" s="7"/>
      <c r="H171" s="7"/>
      <c r="I171" s="7"/>
    </row>
    <row r="172" spans="1:9" x14ac:dyDescent="0.2">
      <c r="A172" s="17"/>
      <c r="B172" s="12"/>
      <c r="C172" s="12"/>
      <c r="D172" s="12"/>
      <c r="E172" s="12"/>
      <c r="F172" s="12"/>
      <c r="G172" s="7"/>
      <c r="H172" s="7"/>
      <c r="I172" s="7"/>
    </row>
    <row r="173" spans="1:9" x14ac:dyDescent="0.2">
      <c r="A173" s="17"/>
      <c r="B173" s="12"/>
      <c r="C173" s="12"/>
      <c r="D173" s="12"/>
      <c r="E173" s="12"/>
      <c r="F173" s="12"/>
      <c r="G173" s="7"/>
      <c r="H173" s="7"/>
      <c r="I173" s="7"/>
    </row>
    <row r="174" spans="1:9" x14ac:dyDescent="0.2">
      <c r="A174" s="17"/>
      <c r="B174" s="12"/>
      <c r="C174" s="12"/>
      <c r="D174" s="12"/>
      <c r="E174" s="12"/>
      <c r="F174" s="12"/>
      <c r="G174" s="7"/>
      <c r="H174" s="7"/>
      <c r="I174" s="7"/>
    </row>
    <row r="175" spans="1:9" x14ac:dyDescent="0.2">
      <c r="A175" s="17"/>
      <c r="B175" s="12"/>
      <c r="C175" s="12"/>
      <c r="D175" s="12"/>
      <c r="E175" s="12"/>
      <c r="F175" s="12"/>
      <c r="G175" s="7"/>
      <c r="H175" s="7"/>
      <c r="I175" s="7"/>
    </row>
    <row r="176" spans="1:9" x14ac:dyDescent="0.2">
      <c r="A176" s="17"/>
      <c r="B176" s="12"/>
      <c r="C176" s="12"/>
      <c r="D176" s="12"/>
      <c r="E176" s="12"/>
      <c r="F176" s="12"/>
      <c r="G176" s="7"/>
      <c r="H176" s="7"/>
      <c r="I176" s="7"/>
    </row>
    <row r="177" spans="1:9" x14ac:dyDescent="0.2">
      <c r="A177" s="17"/>
      <c r="B177" s="12"/>
      <c r="C177" s="12"/>
      <c r="D177" s="12"/>
      <c r="E177" s="12"/>
      <c r="F177" s="12"/>
      <c r="G177" s="7"/>
      <c r="H177" s="7"/>
      <c r="I177" s="7"/>
    </row>
    <row r="178" spans="1:9" x14ac:dyDescent="0.2">
      <c r="A178" s="17"/>
      <c r="B178" s="12"/>
      <c r="C178" s="12"/>
      <c r="D178" s="12"/>
      <c r="E178" s="12"/>
      <c r="F178" s="12"/>
      <c r="G178" s="7"/>
      <c r="H178" s="7"/>
      <c r="I178" s="7"/>
    </row>
    <row r="179" spans="1:9" x14ac:dyDescent="0.2">
      <c r="A179" s="17"/>
      <c r="B179" s="12"/>
      <c r="C179" s="12"/>
      <c r="D179" s="12"/>
      <c r="E179" s="12"/>
      <c r="F179" s="12"/>
      <c r="G179" s="7"/>
      <c r="H179" s="7"/>
      <c r="I179" s="7"/>
    </row>
    <row r="180" spans="1:9" x14ac:dyDescent="0.2">
      <c r="A180" s="17"/>
      <c r="B180" s="12"/>
      <c r="C180" s="12"/>
      <c r="D180" s="12"/>
      <c r="E180" s="12"/>
      <c r="F180" s="12"/>
      <c r="G180" s="7"/>
      <c r="H180" s="7"/>
      <c r="I180" s="7"/>
    </row>
    <row r="181" spans="1:9" x14ac:dyDescent="0.2">
      <c r="A181" s="17"/>
      <c r="B181" s="12"/>
      <c r="C181" s="12"/>
      <c r="D181" s="12"/>
      <c r="E181" s="12"/>
      <c r="F181" s="12"/>
      <c r="G181" s="7"/>
      <c r="H181" s="7"/>
      <c r="I181" s="7"/>
    </row>
    <row r="182" spans="1:9" x14ac:dyDescent="0.2">
      <c r="A182" s="17"/>
      <c r="B182" s="12"/>
      <c r="C182" s="12"/>
      <c r="D182" s="12"/>
      <c r="E182" s="12"/>
      <c r="F182" s="12"/>
      <c r="G182" s="7"/>
      <c r="H182" s="7"/>
      <c r="I182" s="7"/>
    </row>
    <row r="183" spans="1:9" x14ac:dyDescent="0.2">
      <c r="A183" s="17"/>
      <c r="B183" s="12"/>
      <c r="C183" s="12"/>
      <c r="D183" s="12"/>
      <c r="E183" s="12"/>
      <c r="F183" s="12"/>
      <c r="G183" s="7"/>
      <c r="H183" s="7"/>
      <c r="I183" s="7"/>
    </row>
    <row r="184" spans="1:9" x14ac:dyDescent="0.2">
      <c r="A184" s="17"/>
      <c r="B184" s="12"/>
      <c r="C184" s="12"/>
      <c r="D184" s="12"/>
      <c r="E184" s="12"/>
      <c r="F184" s="12"/>
      <c r="G184" s="7"/>
      <c r="H184" s="7"/>
      <c r="I184" s="7"/>
    </row>
    <row r="185" spans="1:9" x14ac:dyDescent="0.2">
      <c r="A185" s="17"/>
      <c r="B185" s="12"/>
      <c r="C185" s="12"/>
      <c r="D185" s="12"/>
      <c r="E185" s="12"/>
      <c r="F185" s="12"/>
      <c r="G185" s="7"/>
      <c r="H185" s="7"/>
      <c r="I185" s="7"/>
    </row>
    <row r="186" spans="1:9" x14ac:dyDescent="0.2">
      <c r="A186" s="17"/>
      <c r="B186" s="12"/>
      <c r="C186" s="12"/>
      <c r="D186" s="12"/>
      <c r="E186" s="12"/>
      <c r="F186" s="12"/>
      <c r="G186" s="7"/>
      <c r="H186" s="7"/>
      <c r="I186" s="7"/>
    </row>
    <row r="187" spans="1:9" x14ac:dyDescent="0.2">
      <c r="A187" s="17"/>
      <c r="B187" s="12"/>
      <c r="C187" s="12"/>
      <c r="D187" s="12"/>
      <c r="E187" s="12"/>
      <c r="F187" s="12"/>
      <c r="G187" s="7"/>
      <c r="H187" s="7"/>
      <c r="I187" s="7"/>
    </row>
    <row r="188" spans="1:9" x14ac:dyDescent="0.2">
      <c r="A188" s="17"/>
      <c r="B188" s="12"/>
      <c r="C188" s="12"/>
      <c r="D188" s="12"/>
      <c r="E188" s="12"/>
      <c r="F188" s="12"/>
      <c r="G188" s="7"/>
      <c r="H188" s="7"/>
      <c r="I188" s="7"/>
    </row>
    <row r="189" spans="1:9" x14ac:dyDescent="0.2">
      <c r="A189" s="17"/>
      <c r="B189" s="12"/>
      <c r="C189" s="12"/>
      <c r="D189" s="12"/>
      <c r="E189" s="12"/>
      <c r="F189" s="12"/>
      <c r="G189" s="7"/>
      <c r="H189" s="7"/>
      <c r="I189" s="7"/>
    </row>
    <row r="190" spans="1:9" x14ac:dyDescent="0.2">
      <c r="A190" s="17"/>
      <c r="B190" s="12"/>
      <c r="C190" s="12"/>
      <c r="D190" s="12"/>
      <c r="E190" s="12"/>
      <c r="F190" s="12"/>
      <c r="G190" s="7"/>
      <c r="H190" s="7"/>
      <c r="I190" s="7"/>
    </row>
    <row r="191" spans="1:9" x14ac:dyDescent="0.2">
      <c r="A191" s="17"/>
      <c r="B191" s="12"/>
      <c r="C191" s="12"/>
      <c r="D191" s="12"/>
      <c r="E191" s="12"/>
      <c r="F191" s="12"/>
      <c r="G191" s="7"/>
      <c r="H191" s="7"/>
      <c r="I191" s="7"/>
    </row>
    <row r="192" spans="1:9" x14ac:dyDescent="0.2">
      <c r="A192" s="17"/>
      <c r="B192" s="12"/>
      <c r="C192" s="12"/>
      <c r="D192" s="12"/>
      <c r="E192" s="12"/>
      <c r="F192" s="12"/>
      <c r="G192" s="7"/>
      <c r="H192" s="7"/>
      <c r="I192" s="7"/>
    </row>
    <row r="193" spans="1:9" x14ac:dyDescent="0.2">
      <c r="A193" s="17"/>
      <c r="B193" s="12"/>
      <c r="C193" s="12"/>
      <c r="D193" s="12"/>
      <c r="E193" s="12"/>
      <c r="F193" s="12"/>
      <c r="G193" s="7"/>
      <c r="H193" s="7"/>
      <c r="I193" s="7"/>
    </row>
    <row r="194" spans="1:9" x14ac:dyDescent="0.2">
      <c r="A194" s="17"/>
      <c r="B194" s="12"/>
      <c r="C194" s="12"/>
      <c r="D194" s="12"/>
      <c r="E194" s="12"/>
      <c r="F194" s="12"/>
      <c r="G194" s="7"/>
      <c r="H194" s="7"/>
      <c r="I194" s="7"/>
    </row>
    <row r="195" spans="1:9" x14ac:dyDescent="0.2">
      <c r="A195" s="17"/>
      <c r="B195" s="12"/>
      <c r="C195" s="12"/>
      <c r="D195" s="12"/>
      <c r="E195" s="12"/>
      <c r="F195" s="12"/>
      <c r="G195" s="7"/>
      <c r="H195" s="7"/>
      <c r="I195" s="7"/>
    </row>
    <row r="196" spans="1:9" x14ac:dyDescent="0.2">
      <c r="A196" s="17"/>
      <c r="B196" s="12"/>
      <c r="C196" s="12"/>
      <c r="D196" s="12"/>
      <c r="E196" s="12"/>
      <c r="F196" s="12"/>
      <c r="G196" s="7"/>
      <c r="H196" s="7"/>
      <c r="I196" s="7"/>
    </row>
    <row r="197" spans="1:9" x14ac:dyDescent="0.2">
      <c r="A197" s="17"/>
      <c r="B197" s="12"/>
      <c r="C197" s="12"/>
      <c r="D197" s="12"/>
      <c r="E197" s="12"/>
      <c r="F197" s="12"/>
      <c r="G197" s="7"/>
      <c r="H197" s="7"/>
      <c r="I197" s="7"/>
    </row>
    <row r="198" spans="1:9" x14ac:dyDescent="0.2">
      <c r="A198" s="17"/>
      <c r="B198" s="12"/>
      <c r="C198" s="12"/>
      <c r="D198" s="12"/>
      <c r="E198" s="12"/>
      <c r="F198" s="12"/>
      <c r="G198" s="7"/>
      <c r="H198" s="7"/>
      <c r="I198" s="7"/>
    </row>
    <row r="199" spans="1:9" x14ac:dyDescent="0.2">
      <c r="A199" s="17"/>
      <c r="B199" s="12"/>
      <c r="C199" s="12"/>
      <c r="D199" s="12"/>
      <c r="E199" s="12"/>
      <c r="F199" s="12"/>
      <c r="G199" s="7"/>
      <c r="H199" s="7"/>
      <c r="I199" s="7"/>
    </row>
    <row r="200" spans="1:9" x14ac:dyDescent="0.2">
      <c r="A200" s="17"/>
      <c r="B200" s="12"/>
      <c r="C200" s="12"/>
      <c r="D200" s="12"/>
      <c r="E200" s="12"/>
      <c r="F200" s="12"/>
      <c r="G200" s="7"/>
      <c r="H200" s="7"/>
      <c r="I200" s="7"/>
    </row>
    <row r="201" spans="1:9" x14ac:dyDescent="0.2">
      <c r="A201" s="17"/>
      <c r="B201" s="12"/>
      <c r="C201" s="12"/>
      <c r="D201" s="12"/>
      <c r="E201" s="12"/>
      <c r="F201" s="12"/>
      <c r="G201" s="7"/>
      <c r="H201" s="7"/>
      <c r="I201" s="7"/>
    </row>
    <row r="202" spans="1:9" x14ac:dyDescent="0.2">
      <c r="A202" s="17"/>
      <c r="B202" s="12"/>
      <c r="C202" s="12"/>
      <c r="D202" s="12"/>
      <c r="E202" s="12"/>
      <c r="F202" s="12"/>
      <c r="G202" s="7"/>
      <c r="H202" s="7"/>
      <c r="I202" s="7"/>
    </row>
    <row r="203" spans="1:9" x14ac:dyDescent="0.2">
      <c r="A203" s="17"/>
      <c r="B203" s="12"/>
      <c r="C203" s="12"/>
      <c r="D203" s="12"/>
      <c r="E203" s="12"/>
      <c r="F203" s="12"/>
      <c r="G203" s="7"/>
      <c r="H203" s="7"/>
      <c r="I203" s="7"/>
    </row>
    <row r="204" spans="1:9" x14ac:dyDescent="0.2">
      <c r="A204" s="17"/>
      <c r="B204" s="12"/>
      <c r="C204" s="12"/>
      <c r="D204" s="12"/>
      <c r="E204" s="12"/>
      <c r="F204" s="12"/>
      <c r="G204" s="7"/>
      <c r="H204" s="7"/>
      <c r="I204" s="7"/>
    </row>
    <row r="205" spans="1:9" x14ac:dyDescent="0.2">
      <c r="A205" s="17"/>
      <c r="B205" s="12"/>
      <c r="C205" s="12"/>
      <c r="D205" s="12"/>
      <c r="E205" s="12"/>
      <c r="F205" s="12"/>
      <c r="G205" s="7"/>
      <c r="H205" s="7"/>
      <c r="I205" s="7"/>
    </row>
    <row r="206" spans="1:9" x14ac:dyDescent="0.2">
      <c r="A206" s="17"/>
      <c r="B206" s="12"/>
      <c r="C206" s="12"/>
      <c r="D206" s="12"/>
      <c r="E206" s="12"/>
      <c r="F206" s="12"/>
      <c r="G206" s="7"/>
      <c r="H206" s="7"/>
      <c r="I206" s="7"/>
    </row>
    <row r="207" spans="1:9" x14ac:dyDescent="0.2">
      <c r="A207" s="17"/>
      <c r="B207" s="12"/>
      <c r="C207" s="12"/>
      <c r="D207" s="12"/>
      <c r="E207" s="12"/>
      <c r="F207" s="12"/>
      <c r="G207" s="7"/>
      <c r="H207" s="7"/>
      <c r="I207" s="7"/>
    </row>
    <row r="208" spans="1:9" x14ac:dyDescent="0.2">
      <c r="A208" s="17"/>
      <c r="B208" s="12"/>
      <c r="C208" s="12"/>
      <c r="D208" s="12"/>
      <c r="E208" s="12"/>
      <c r="F208" s="12"/>
      <c r="G208" s="7"/>
      <c r="H208" s="7"/>
      <c r="I208" s="7"/>
    </row>
    <row r="209" spans="1:9" x14ac:dyDescent="0.2">
      <c r="A209" s="17"/>
      <c r="B209" s="12"/>
      <c r="C209" s="12"/>
      <c r="D209" s="12"/>
      <c r="E209" s="12"/>
      <c r="F209" s="12"/>
      <c r="G209" s="7"/>
      <c r="H209" s="7"/>
      <c r="I209" s="7"/>
    </row>
    <row r="210" spans="1:9" x14ac:dyDescent="0.2">
      <c r="A210" s="17"/>
      <c r="B210" s="12"/>
      <c r="C210" s="12"/>
      <c r="D210" s="12"/>
      <c r="E210" s="12"/>
      <c r="F210" s="12"/>
      <c r="G210" s="7"/>
      <c r="H210" s="7"/>
      <c r="I210" s="7"/>
    </row>
    <row r="211" spans="1:9" x14ac:dyDescent="0.2">
      <c r="A211" s="17"/>
      <c r="B211" s="12"/>
      <c r="C211" s="12"/>
      <c r="D211" s="12"/>
      <c r="E211" s="12"/>
      <c r="F211" s="12"/>
      <c r="G211" s="7"/>
      <c r="H211" s="7"/>
      <c r="I211" s="7"/>
    </row>
    <row r="212" spans="1:9" x14ac:dyDescent="0.2">
      <c r="A212" s="17"/>
      <c r="B212" s="12"/>
      <c r="C212" s="12"/>
      <c r="D212" s="12"/>
      <c r="E212" s="12"/>
      <c r="F212" s="12"/>
      <c r="G212" s="7"/>
      <c r="H212" s="7"/>
      <c r="I212" s="7"/>
    </row>
    <row r="213" spans="1:9" x14ac:dyDescent="0.2">
      <c r="A213" s="17"/>
      <c r="B213" s="12"/>
      <c r="C213" s="12"/>
      <c r="D213" s="12"/>
      <c r="E213" s="12"/>
      <c r="F213" s="12"/>
      <c r="G213" s="7"/>
      <c r="H213" s="7"/>
      <c r="I213" s="7"/>
    </row>
    <row r="214" spans="1:9" x14ac:dyDescent="0.2">
      <c r="A214" s="17"/>
      <c r="B214" s="12"/>
      <c r="C214" s="12"/>
      <c r="D214" s="12"/>
      <c r="E214" s="12"/>
      <c r="F214" s="12"/>
      <c r="G214" s="7"/>
      <c r="H214" s="7"/>
      <c r="I214" s="7"/>
    </row>
    <row r="215" spans="1:9" x14ac:dyDescent="0.2">
      <c r="A215" s="17"/>
      <c r="B215" s="12"/>
      <c r="C215" s="12"/>
      <c r="D215" s="12"/>
      <c r="E215" s="12"/>
      <c r="F215" s="12"/>
      <c r="G215" s="7"/>
      <c r="H215" s="7"/>
      <c r="I215" s="7"/>
    </row>
    <row r="216" spans="1:9" x14ac:dyDescent="0.2">
      <c r="A216" s="17"/>
      <c r="B216" s="12"/>
      <c r="C216" s="12"/>
      <c r="D216" s="12"/>
      <c r="E216" s="12"/>
      <c r="F216" s="12"/>
      <c r="G216" s="7"/>
      <c r="H216" s="7"/>
      <c r="I216" s="7"/>
    </row>
    <row r="217" spans="1:9" x14ac:dyDescent="0.2">
      <c r="A217" s="17"/>
      <c r="B217" s="12"/>
      <c r="C217" s="12"/>
      <c r="D217" s="12"/>
      <c r="E217" s="12"/>
      <c r="F217" s="12"/>
      <c r="G217" s="7"/>
      <c r="H217" s="7"/>
      <c r="I217" s="7"/>
    </row>
    <row r="218" spans="1:9" x14ac:dyDescent="0.2">
      <c r="A218" s="17"/>
      <c r="B218" s="12"/>
      <c r="C218" s="12"/>
      <c r="D218" s="12"/>
      <c r="E218" s="12"/>
      <c r="F218" s="12"/>
      <c r="G218" s="7"/>
      <c r="H218" s="7"/>
      <c r="I218" s="7"/>
    </row>
    <row r="219" spans="1:9" x14ac:dyDescent="0.2">
      <c r="A219" s="17"/>
      <c r="B219" s="12"/>
      <c r="C219" s="12"/>
      <c r="D219" s="12"/>
      <c r="E219" s="12"/>
      <c r="F219" s="12"/>
      <c r="G219" s="7"/>
      <c r="H219" s="7"/>
      <c r="I219" s="7"/>
    </row>
    <row r="220" spans="1:9" x14ac:dyDescent="0.2">
      <c r="A220" s="17"/>
      <c r="B220" s="12"/>
      <c r="C220" s="12"/>
      <c r="D220" s="12"/>
      <c r="E220" s="12"/>
      <c r="F220" s="12"/>
      <c r="G220" s="7"/>
      <c r="H220" s="7"/>
      <c r="I220" s="7"/>
    </row>
    <row r="221" spans="1:9" x14ac:dyDescent="0.2">
      <c r="A221" s="17"/>
      <c r="B221" s="12"/>
      <c r="C221" s="12"/>
      <c r="D221" s="12"/>
      <c r="E221" s="12"/>
      <c r="F221" s="12"/>
      <c r="G221" s="7"/>
      <c r="H221" s="7"/>
      <c r="I221" s="7"/>
    </row>
    <row r="222" spans="1:9" x14ac:dyDescent="0.2">
      <c r="A222" s="17"/>
      <c r="B222" s="12"/>
      <c r="C222" s="12"/>
      <c r="D222" s="12"/>
      <c r="E222" s="12"/>
      <c r="F222" s="12"/>
      <c r="G222" s="7"/>
      <c r="H222" s="7"/>
      <c r="I222" s="7"/>
    </row>
    <row r="223" spans="1:9" x14ac:dyDescent="0.2">
      <c r="A223" s="17"/>
      <c r="B223" s="12"/>
      <c r="C223" s="12"/>
      <c r="D223" s="12"/>
      <c r="E223" s="12"/>
      <c r="F223" s="12"/>
      <c r="G223" s="7"/>
      <c r="H223" s="7"/>
      <c r="I223" s="7"/>
    </row>
    <row r="224" spans="1:9" x14ac:dyDescent="0.2">
      <c r="A224" s="17"/>
      <c r="B224" s="12"/>
      <c r="C224" s="12"/>
      <c r="D224" s="12"/>
      <c r="E224" s="12"/>
      <c r="F224" s="12"/>
      <c r="G224" s="7"/>
      <c r="H224" s="7"/>
      <c r="I224" s="7"/>
    </row>
    <row r="225" spans="1:9" x14ac:dyDescent="0.2">
      <c r="A225" s="17"/>
      <c r="B225" s="12"/>
      <c r="C225" s="12"/>
      <c r="D225" s="12"/>
      <c r="E225" s="12"/>
      <c r="F225" s="12"/>
      <c r="G225" s="7"/>
      <c r="H225" s="7"/>
      <c r="I225" s="7"/>
    </row>
    <row r="226" spans="1:9" x14ac:dyDescent="0.2">
      <c r="A226" s="17"/>
      <c r="B226" s="12"/>
      <c r="C226" s="12"/>
      <c r="D226" s="12"/>
      <c r="E226" s="12"/>
      <c r="F226" s="12"/>
      <c r="G226" s="7"/>
      <c r="H226" s="7"/>
      <c r="I226" s="7"/>
    </row>
    <row r="227" spans="1:9" x14ac:dyDescent="0.2">
      <c r="A227" s="17"/>
      <c r="B227" s="12"/>
      <c r="C227" s="12"/>
      <c r="D227" s="12"/>
      <c r="E227" s="12"/>
      <c r="F227" s="12"/>
      <c r="G227" s="7"/>
      <c r="H227" s="7"/>
      <c r="I227" s="7"/>
    </row>
    <row r="228" spans="1:9" x14ac:dyDescent="0.2">
      <c r="A228" s="17"/>
      <c r="B228" s="12"/>
      <c r="C228" s="12"/>
      <c r="D228" s="12"/>
      <c r="E228" s="12"/>
      <c r="F228" s="12"/>
      <c r="G228" s="7"/>
      <c r="H228" s="7"/>
      <c r="I228" s="7"/>
    </row>
    <row r="229" spans="1:9" x14ac:dyDescent="0.2">
      <c r="A229" s="17"/>
      <c r="B229" s="12"/>
      <c r="C229" s="12"/>
      <c r="D229" s="12"/>
      <c r="E229" s="12"/>
      <c r="F229" s="12"/>
      <c r="G229" s="7"/>
      <c r="H229" s="7"/>
      <c r="I229" s="7"/>
    </row>
    <row r="230" spans="1:9" x14ac:dyDescent="0.2">
      <c r="A230" s="17"/>
      <c r="B230" s="12"/>
      <c r="C230" s="12"/>
      <c r="D230" s="12"/>
      <c r="E230" s="12"/>
      <c r="F230" s="12"/>
      <c r="G230" s="7"/>
      <c r="H230" s="7"/>
      <c r="I230" s="7"/>
    </row>
    <row r="231" spans="1:9" x14ac:dyDescent="0.2">
      <c r="A231" s="17"/>
      <c r="B231" s="12"/>
      <c r="C231" s="12"/>
      <c r="D231" s="12"/>
      <c r="E231" s="12"/>
      <c r="F231" s="12"/>
      <c r="G231" s="7"/>
      <c r="H231" s="7"/>
      <c r="I231" s="7"/>
    </row>
    <row r="232" spans="1:9" x14ac:dyDescent="0.2">
      <c r="A232" s="17"/>
      <c r="B232" s="12"/>
      <c r="C232" s="12"/>
      <c r="D232" s="12"/>
      <c r="E232" s="12"/>
      <c r="F232" s="12"/>
      <c r="G232" s="7"/>
      <c r="H232" s="7"/>
      <c r="I232" s="7"/>
    </row>
    <row r="233" spans="1:9" x14ac:dyDescent="0.2">
      <c r="A233" s="17"/>
      <c r="B233" s="12"/>
      <c r="C233" s="12"/>
      <c r="D233" s="12"/>
      <c r="E233" s="12"/>
      <c r="F233" s="12"/>
      <c r="G233" s="7"/>
      <c r="H233" s="7"/>
      <c r="I233" s="7"/>
    </row>
    <row r="234" spans="1:9" x14ac:dyDescent="0.2">
      <c r="A234" s="17"/>
      <c r="B234" s="12"/>
      <c r="C234" s="12"/>
      <c r="D234" s="12"/>
      <c r="E234" s="12"/>
      <c r="F234" s="12"/>
      <c r="G234" s="7"/>
      <c r="H234" s="7"/>
      <c r="I234" s="7"/>
    </row>
    <row r="235" spans="1:9" x14ac:dyDescent="0.2">
      <c r="A235" s="17"/>
      <c r="B235" s="12"/>
      <c r="C235" s="12"/>
      <c r="D235" s="12"/>
      <c r="E235" s="12"/>
      <c r="F235" s="12"/>
      <c r="G235" s="7"/>
      <c r="H235" s="7"/>
      <c r="I235" s="7"/>
    </row>
    <row r="236" spans="1:9" x14ac:dyDescent="0.2">
      <c r="A236" s="17"/>
      <c r="B236" s="12"/>
      <c r="C236" s="12"/>
      <c r="D236" s="12"/>
      <c r="E236" s="12"/>
      <c r="F236" s="12"/>
      <c r="G236" s="7"/>
      <c r="H236" s="7"/>
      <c r="I236" s="7"/>
    </row>
    <row r="237" spans="1:9" x14ac:dyDescent="0.2">
      <c r="A237" s="17"/>
      <c r="B237" s="12"/>
      <c r="C237" s="12"/>
      <c r="D237" s="12"/>
      <c r="E237" s="12"/>
      <c r="F237" s="12"/>
      <c r="G237" s="7"/>
      <c r="H237" s="7"/>
      <c r="I237" s="7"/>
    </row>
    <row r="238" spans="1:9" x14ac:dyDescent="0.2">
      <c r="A238" s="17"/>
      <c r="B238" s="12"/>
      <c r="C238" s="12"/>
      <c r="D238" s="12"/>
      <c r="E238" s="12"/>
      <c r="F238" s="12"/>
      <c r="G238" s="7"/>
      <c r="H238" s="7"/>
      <c r="I238" s="7"/>
    </row>
    <row r="239" spans="1:9" x14ac:dyDescent="0.2">
      <c r="A239" s="17"/>
      <c r="B239" s="12"/>
      <c r="C239" s="12"/>
      <c r="D239" s="12"/>
      <c r="E239" s="12"/>
      <c r="F239" s="12"/>
      <c r="G239" s="7"/>
      <c r="H239" s="7"/>
      <c r="I239" s="7"/>
    </row>
    <row r="240" spans="1:9" x14ac:dyDescent="0.2">
      <c r="A240" s="17"/>
      <c r="B240" s="12"/>
      <c r="C240" s="12"/>
      <c r="D240" s="12"/>
      <c r="E240" s="12"/>
      <c r="F240" s="12"/>
      <c r="G240" s="7"/>
      <c r="H240" s="7"/>
      <c r="I240" s="7"/>
    </row>
    <row r="241" spans="1:9" x14ac:dyDescent="0.2">
      <c r="A241" s="17"/>
      <c r="B241" s="12"/>
      <c r="C241" s="12"/>
      <c r="D241" s="12"/>
      <c r="E241" s="12"/>
      <c r="F241" s="12"/>
      <c r="G241" s="7"/>
      <c r="H241" s="7"/>
      <c r="I241" s="7"/>
    </row>
    <row r="242" spans="1:9" x14ac:dyDescent="0.2">
      <c r="A242" s="17"/>
      <c r="B242" s="12"/>
      <c r="C242" s="12"/>
      <c r="D242" s="12"/>
      <c r="E242" s="12"/>
      <c r="F242" s="12"/>
      <c r="G242" s="7"/>
      <c r="H242" s="7"/>
      <c r="I242" s="7"/>
    </row>
    <row r="243" spans="1:9" x14ac:dyDescent="0.2">
      <c r="A243" s="17"/>
      <c r="B243" s="12"/>
      <c r="C243" s="12"/>
      <c r="D243" s="12"/>
      <c r="E243" s="12"/>
      <c r="F243" s="12"/>
      <c r="G243" s="7"/>
      <c r="H243" s="7"/>
      <c r="I243" s="7"/>
    </row>
    <row r="244" spans="1:9" x14ac:dyDescent="0.2">
      <c r="A244" s="17"/>
      <c r="B244" s="12"/>
      <c r="C244" s="12"/>
      <c r="D244" s="12"/>
      <c r="E244" s="12"/>
      <c r="F244" s="12"/>
      <c r="G244" s="7"/>
      <c r="H244" s="7"/>
      <c r="I244" s="7"/>
    </row>
    <row r="245" spans="1:9" x14ac:dyDescent="0.2">
      <c r="A245" s="17"/>
      <c r="B245" s="12"/>
      <c r="C245" s="12"/>
      <c r="D245" s="12"/>
      <c r="E245" s="12"/>
      <c r="F245" s="12"/>
      <c r="G245" s="7"/>
      <c r="H245" s="7"/>
      <c r="I245" s="7"/>
    </row>
    <row r="246" spans="1:9" x14ac:dyDescent="0.2">
      <c r="A246" s="17"/>
      <c r="B246" s="12"/>
      <c r="C246" s="12"/>
      <c r="D246" s="12"/>
      <c r="E246" s="12"/>
      <c r="F246" s="12"/>
      <c r="G246" s="7"/>
      <c r="H246" s="7"/>
      <c r="I246" s="7"/>
    </row>
    <row r="247" spans="1:9" x14ac:dyDescent="0.2">
      <c r="A247" s="17"/>
      <c r="B247" s="12"/>
      <c r="C247" s="12"/>
      <c r="D247" s="12"/>
      <c r="E247" s="12"/>
      <c r="F247" s="12"/>
      <c r="G247" s="7"/>
      <c r="H247" s="7"/>
      <c r="I247" s="7"/>
    </row>
    <row r="248" spans="1:9" x14ac:dyDescent="0.2">
      <c r="A248" s="17"/>
      <c r="B248" s="12"/>
      <c r="C248" s="12"/>
      <c r="D248" s="12"/>
      <c r="E248" s="12"/>
      <c r="F248" s="12"/>
      <c r="G248" s="7"/>
      <c r="H248" s="7"/>
      <c r="I248" s="7"/>
    </row>
    <row r="249" spans="1:9" x14ac:dyDescent="0.2">
      <c r="A249" s="17"/>
      <c r="B249" s="12"/>
      <c r="C249" s="12"/>
      <c r="D249" s="12"/>
      <c r="E249" s="12"/>
      <c r="F249" s="12"/>
      <c r="G249" s="7"/>
      <c r="H249" s="7"/>
      <c r="I249" s="7"/>
    </row>
    <row r="250" spans="1:9" x14ac:dyDescent="0.2">
      <c r="A250" s="17"/>
      <c r="B250" s="12"/>
      <c r="C250" s="12"/>
      <c r="D250" s="12"/>
      <c r="E250" s="12"/>
      <c r="F250" s="12"/>
      <c r="G250" s="7"/>
      <c r="H250" s="7"/>
      <c r="I250" s="7"/>
    </row>
    <row r="251" spans="1:9" x14ac:dyDescent="0.2">
      <c r="A251" s="17"/>
      <c r="B251" s="12"/>
      <c r="C251" s="12"/>
      <c r="D251" s="12"/>
      <c r="E251" s="12"/>
      <c r="F251" s="12"/>
      <c r="G251" s="7"/>
      <c r="H251" s="7"/>
      <c r="I251" s="7"/>
    </row>
    <row r="252" spans="1:9" x14ac:dyDescent="0.2">
      <c r="A252" s="17"/>
      <c r="B252" s="12"/>
      <c r="C252" s="12"/>
      <c r="D252" s="12"/>
      <c r="E252" s="12"/>
      <c r="F252" s="12"/>
      <c r="G252" s="7"/>
      <c r="H252" s="7"/>
      <c r="I252" s="7"/>
    </row>
    <row r="253" spans="1:9" x14ac:dyDescent="0.2">
      <c r="A253" s="17"/>
      <c r="B253" s="12"/>
      <c r="C253" s="12"/>
      <c r="D253" s="12"/>
      <c r="E253" s="12"/>
      <c r="F253" s="12"/>
      <c r="G253" s="7"/>
      <c r="H253" s="7"/>
      <c r="I253" s="7"/>
    </row>
    <row r="254" spans="1:9" x14ac:dyDescent="0.2">
      <c r="A254" s="17"/>
      <c r="B254" s="12"/>
      <c r="C254" s="12"/>
      <c r="D254" s="12"/>
      <c r="E254" s="12"/>
      <c r="F254" s="12"/>
      <c r="G254" s="7"/>
      <c r="H254" s="7"/>
      <c r="I254" s="7"/>
    </row>
    <row r="255" spans="1:9" x14ac:dyDescent="0.2">
      <c r="A255" s="17"/>
      <c r="B255" s="12"/>
      <c r="C255" s="12"/>
      <c r="D255" s="12"/>
      <c r="E255" s="12"/>
      <c r="F255" s="12"/>
      <c r="G255" s="7"/>
      <c r="H255" s="7"/>
      <c r="I255" s="7"/>
    </row>
    <row r="256" spans="1:9" x14ac:dyDescent="0.2">
      <c r="A256" s="17"/>
      <c r="B256" s="12"/>
      <c r="C256" s="12"/>
      <c r="D256" s="12"/>
      <c r="E256" s="12"/>
      <c r="F256" s="12"/>
      <c r="G256" s="7"/>
      <c r="H256" s="7"/>
      <c r="I256" s="7"/>
    </row>
  </sheetData>
  <mergeCells count="24">
    <mergeCell ref="AH9:AH11"/>
    <mergeCell ref="AI9:AM10"/>
    <mergeCell ref="Y8:Y11"/>
    <mergeCell ref="Z8:AG8"/>
    <mergeCell ref="Z9:AA10"/>
    <mergeCell ref="AB9:AB10"/>
    <mergeCell ref="AC9:AD10"/>
    <mergeCell ref="AE9:AG10"/>
    <mergeCell ref="AO9:AP10"/>
    <mergeCell ref="A3:G3"/>
    <mergeCell ref="B7:I8"/>
    <mergeCell ref="B9:B11"/>
    <mergeCell ref="C9:F10"/>
    <mergeCell ref="G9:G11"/>
    <mergeCell ref="H9:I10"/>
    <mergeCell ref="J7:AG7"/>
    <mergeCell ref="AH7:AP8"/>
    <mergeCell ref="J8:N10"/>
    <mergeCell ref="O8:R10"/>
    <mergeCell ref="S8:S11"/>
    <mergeCell ref="T8:T11"/>
    <mergeCell ref="U8:U11"/>
    <mergeCell ref="V8:X10"/>
    <mergeCell ref="AN9:AN11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O28"/>
  <sheetViews>
    <sheetView tabSelected="1" zoomScaleNormal="100" workbookViewId="0">
      <selection activeCell="L25" sqref="L25"/>
    </sheetView>
  </sheetViews>
  <sheetFormatPr defaultRowHeight="20.100000000000001" customHeight="1" x14ac:dyDescent="0.2"/>
  <cols>
    <col min="1" max="1" width="3.28515625" style="569" customWidth="1"/>
    <col min="2" max="16" width="9.140625" style="569"/>
    <col min="17" max="17" width="18.140625" style="569" customWidth="1"/>
    <col min="18" max="16384" width="9.140625" style="569"/>
  </cols>
  <sheetData>
    <row r="2" spans="1:2" ht="20.100000000000001" customHeight="1" x14ac:dyDescent="0.2">
      <c r="A2" s="739" t="s">
        <v>866</v>
      </c>
    </row>
    <row r="4" spans="1:2" ht="20.100000000000001" customHeight="1" x14ac:dyDescent="0.2">
      <c r="A4" s="3" t="s">
        <v>831</v>
      </c>
    </row>
    <row r="6" spans="1:2" ht="20.100000000000001" customHeight="1" x14ac:dyDescent="0.2">
      <c r="A6" s="569" t="s">
        <v>864</v>
      </c>
    </row>
    <row r="7" spans="1:2" ht="20.100000000000001" customHeight="1" x14ac:dyDescent="0.2">
      <c r="A7" s="569" t="s">
        <v>863</v>
      </c>
    </row>
    <row r="9" spans="1:2" ht="20.100000000000001" customHeight="1" x14ac:dyDescent="0.2">
      <c r="A9" s="569" t="s">
        <v>862</v>
      </c>
    </row>
    <row r="10" spans="1:2" ht="20.100000000000001" customHeight="1" x14ac:dyDescent="0.2">
      <c r="A10" s="569" t="s">
        <v>841</v>
      </c>
      <c r="B10" s="569" t="s">
        <v>853</v>
      </c>
    </row>
    <row r="11" spans="1:2" ht="20.100000000000001" customHeight="1" x14ac:dyDescent="0.2">
      <c r="A11" s="569" t="s">
        <v>842</v>
      </c>
      <c r="B11" s="569" t="s">
        <v>854</v>
      </c>
    </row>
    <row r="12" spans="1:2" ht="20.100000000000001" customHeight="1" x14ac:dyDescent="0.2">
      <c r="A12" s="569" t="s">
        <v>843</v>
      </c>
      <c r="B12" s="569" t="s">
        <v>861</v>
      </c>
    </row>
    <row r="13" spans="1:2" ht="20.100000000000001" customHeight="1" x14ac:dyDescent="0.2">
      <c r="B13" s="569" t="s">
        <v>860</v>
      </c>
    </row>
    <row r="14" spans="1:2" ht="20.100000000000001" customHeight="1" x14ac:dyDescent="0.2">
      <c r="A14" s="740" t="s">
        <v>850</v>
      </c>
    </row>
    <row r="15" spans="1:2" ht="20.100000000000001" customHeight="1" x14ac:dyDescent="0.2">
      <c r="B15" s="740" t="s">
        <v>852</v>
      </c>
    </row>
    <row r="16" spans="1:2" ht="20.100000000000001" customHeight="1" x14ac:dyDescent="0.2">
      <c r="B16" s="740"/>
    </row>
    <row r="17" spans="1:15" ht="20.100000000000001" customHeight="1" x14ac:dyDescent="0.2">
      <c r="A17" s="569" t="s">
        <v>844</v>
      </c>
      <c r="B17" s="569" t="s">
        <v>865</v>
      </c>
    </row>
    <row r="18" spans="1:15" ht="20.100000000000001" customHeight="1" x14ac:dyDescent="0.2">
      <c r="A18" s="569" t="s">
        <v>845</v>
      </c>
      <c r="B18" s="569" t="s">
        <v>855</v>
      </c>
    </row>
    <row r="19" spans="1:15" ht="20.100000000000001" customHeight="1" x14ac:dyDescent="0.2">
      <c r="A19" s="569" t="s">
        <v>846</v>
      </c>
      <c r="B19" s="569" t="s">
        <v>856</v>
      </c>
    </row>
    <row r="20" spans="1:15" ht="20.100000000000001" customHeight="1" x14ac:dyDescent="0.2">
      <c r="A20" s="569" t="s">
        <v>847</v>
      </c>
      <c r="B20" s="569" t="s">
        <v>857</v>
      </c>
    </row>
    <row r="21" spans="1:15" ht="20.100000000000001" customHeight="1" x14ac:dyDescent="0.2">
      <c r="A21" s="569" t="s">
        <v>851</v>
      </c>
      <c r="B21" s="569" t="s">
        <v>858</v>
      </c>
    </row>
    <row r="22" spans="1:15" ht="20.100000000000001" customHeight="1" x14ac:dyDescent="0.2">
      <c r="B22" s="569" t="s">
        <v>859</v>
      </c>
    </row>
    <row r="23" spans="1:15" ht="20.100000000000001" customHeight="1" x14ac:dyDescent="0.2">
      <c r="B23" s="740" t="s">
        <v>848</v>
      </c>
      <c r="C23" s="740"/>
      <c r="D23" s="740"/>
      <c r="E23" s="740"/>
      <c r="F23" s="740"/>
      <c r="G23" s="740"/>
      <c r="H23" s="740"/>
      <c r="I23" s="740"/>
      <c r="J23" s="740"/>
      <c r="K23" s="740"/>
      <c r="L23" s="740"/>
    </row>
    <row r="24" spans="1:15" ht="20.100000000000001" customHeight="1" x14ac:dyDescent="0.2">
      <c r="B24" s="740" t="s">
        <v>849</v>
      </c>
      <c r="C24" s="740"/>
      <c r="D24" s="740"/>
      <c r="E24" s="740"/>
      <c r="F24" s="740"/>
      <c r="G24" s="740"/>
      <c r="H24" s="740"/>
      <c r="I24" s="740"/>
      <c r="J24" s="740"/>
      <c r="K24" s="740"/>
      <c r="L24" s="740"/>
      <c r="M24" s="740"/>
      <c r="N24" s="740"/>
      <c r="O24" s="740"/>
    </row>
    <row r="25" spans="1:15" ht="20.100000000000001" customHeight="1" x14ac:dyDescent="0.2">
      <c r="B25" s="740" t="s">
        <v>840</v>
      </c>
      <c r="C25" s="740"/>
      <c r="D25" s="740"/>
      <c r="E25" s="740"/>
      <c r="F25" s="740"/>
      <c r="G25" s="740"/>
      <c r="H25" s="740"/>
      <c r="I25" s="740"/>
      <c r="J25" s="740"/>
      <c r="K25" s="740"/>
      <c r="L25" s="740"/>
      <c r="M25" s="740"/>
      <c r="N25" s="740"/>
      <c r="O25" s="740"/>
    </row>
    <row r="26" spans="1:15" ht="20.100000000000001" customHeight="1" x14ac:dyDescent="0.2">
      <c r="B26" s="740"/>
      <c r="C26" s="740"/>
      <c r="D26" s="740"/>
      <c r="E26" s="740"/>
      <c r="F26" s="740"/>
      <c r="G26" s="740"/>
      <c r="H26" s="740"/>
      <c r="I26" s="740"/>
      <c r="J26" s="740"/>
      <c r="K26" s="740"/>
      <c r="L26" s="740"/>
      <c r="M26" s="740"/>
      <c r="N26" s="740"/>
      <c r="O26" s="740"/>
    </row>
    <row r="27" spans="1:15" ht="20.100000000000001" customHeight="1" x14ac:dyDescent="0.2">
      <c r="B27" s="569" t="s">
        <v>867</v>
      </c>
    </row>
    <row r="28" spans="1:15" ht="20.100000000000001" customHeight="1" x14ac:dyDescent="0.2">
      <c r="B28" s="569" t="s">
        <v>832</v>
      </c>
      <c r="C28" s="741"/>
      <c r="D28" s="741"/>
      <c r="E28" s="741"/>
      <c r="F28" s="741"/>
      <c r="G28" s="741"/>
    </row>
  </sheetData>
  <pageMargins left="0.19685039370078741" right="0.19685039370078741" top="0.59055118110236227" bottom="0.59055118110236227" header="0.31496062992125984" footer="0.31496062992125984"/>
  <pageSetup paperSize="9" scale="9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250"/>
  <sheetViews>
    <sheetView zoomScaleNormal="100" workbookViewId="0">
      <pane xSplit="8" ySplit="11" topLeftCell="I12" activePane="bottomRight" state="frozen"/>
      <selection activeCell="AU1" sqref="AU1:AW1048576"/>
      <selection pane="topRight" activeCell="AU1" sqref="AU1:AW1048576"/>
      <selection pane="bottomLeft" activeCell="AU1" sqref="AU1:AW1048576"/>
      <selection pane="bottomRight" activeCell="AO6" sqref="AO6:AW7"/>
    </sheetView>
  </sheetViews>
  <sheetFormatPr defaultColWidth="9.140625" defaultRowHeight="15" x14ac:dyDescent="0.25"/>
  <cols>
    <col min="1" max="1" width="5" style="179" customWidth="1"/>
    <col min="2" max="2" width="4.7109375" style="178" bestFit="1" customWidth="1"/>
    <col min="3" max="3" width="8.7109375" style="178" customWidth="1"/>
    <col min="4" max="4" width="7.85546875" style="178" customWidth="1"/>
    <col min="5" max="5" width="29.42578125" style="179" customWidth="1"/>
    <col min="6" max="6" width="4.42578125" style="179" customWidth="1"/>
    <col min="7" max="7" width="10.28515625" style="179" bestFit="1" customWidth="1"/>
    <col min="8" max="8" width="8" style="179" customWidth="1"/>
    <col min="9" max="9" width="10.7109375" style="180" customWidth="1"/>
    <col min="10" max="13" width="10.7109375" style="181" customWidth="1"/>
    <col min="14" max="14" width="11.7109375" style="653" customWidth="1"/>
    <col min="15" max="16" width="10.7109375" style="182" customWidth="1"/>
    <col min="17" max="32" width="10.7109375" style="112" customWidth="1"/>
    <col min="33" max="40" width="10.7109375" style="113" customWidth="1"/>
    <col min="41" max="46" width="10.7109375" style="112" customWidth="1"/>
    <col min="47" max="47" width="11.7109375" style="113" customWidth="1"/>
    <col min="48" max="49" width="10.7109375" style="113" customWidth="1"/>
    <col min="50" max="16384" width="9.140625" style="183"/>
  </cols>
  <sheetData>
    <row r="1" spans="1:49" ht="12.75" customHeight="1" x14ac:dyDescent="0.25">
      <c r="A1" s="106" t="s">
        <v>2</v>
      </c>
      <c r="B1" s="106"/>
      <c r="C1" s="97"/>
      <c r="D1" s="106"/>
      <c r="E1" s="106"/>
      <c r="I1" s="179"/>
      <c r="J1" s="179"/>
      <c r="K1" s="179"/>
      <c r="L1" s="179"/>
      <c r="M1" s="179"/>
      <c r="N1" s="652"/>
      <c r="O1" s="652"/>
      <c r="P1" s="652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652"/>
      <c r="AH1" s="652"/>
      <c r="AI1" s="652"/>
      <c r="AJ1" s="652"/>
      <c r="AK1" s="652"/>
      <c r="AL1" s="652"/>
      <c r="AM1" s="182"/>
      <c r="AN1" s="182"/>
      <c r="AO1" s="181"/>
      <c r="AP1" s="181"/>
      <c r="AQ1" s="181"/>
      <c r="AR1" s="181"/>
      <c r="AS1" s="181"/>
      <c r="AT1" s="181"/>
      <c r="AU1" s="182"/>
      <c r="AV1" s="182"/>
      <c r="AW1" s="182"/>
    </row>
    <row r="2" spans="1:49" ht="12.75" customHeight="1" x14ac:dyDescent="0.25">
      <c r="A2" s="106" t="s">
        <v>3</v>
      </c>
      <c r="B2" s="106"/>
      <c r="C2" s="97"/>
      <c r="D2" s="106"/>
      <c r="E2" s="106"/>
      <c r="I2" s="231"/>
      <c r="J2" s="231"/>
      <c r="K2" s="231"/>
      <c r="L2" s="231"/>
      <c r="M2" s="231"/>
      <c r="N2" s="283"/>
      <c r="O2" s="283"/>
      <c r="P2" s="283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83"/>
      <c r="AH2" s="283"/>
      <c r="AI2" s="283"/>
      <c r="AJ2" s="283"/>
      <c r="AK2" s="283"/>
      <c r="AL2" s="283"/>
      <c r="AM2" s="283"/>
      <c r="AN2" s="283"/>
      <c r="AO2" s="231"/>
      <c r="AP2" s="231"/>
      <c r="AQ2" s="231"/>
      <c r="AR2" s="231"/>
      <c r="AS2" s="231"/>
      <c r="AT2" s="231"/>
      <c r="AU2" s="283"/>
      <c r="AV2" s="283"/>
    </row>
    <row r="3" spans="1:49" ht="12.75" customHeight="1" x14ac:dyDescent="0.25">
      <c r="A3" s="1164" t="s">
        <v>4</v>
      </c>
      <c r="B3" s="1164"/>
      <c r="C3" s="1164"/>
      <c r="D3" s="1164"/>
      <c r="E3" s="1164"/>
      <c r="I3" s="179"/>
      <c r="L3" s="231"/>
      <c r="M3" s="231"/>
      <c r="N3" s="283"/>
      <c r="O3" s="283"/>
      <c r="P3" s="283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1126"/>
      <c r="AH3" s="1126"/>
      <c r="AI3" s="1126"/>
      <c r="AJ3" s="1126"/>
      <c r="AK3" s="1126"/>
      <c r="AL3" s="1126"/>
      <c r="AM3" s="232"/>
      <c r="AN3" s="283"/>
      <c r="AO3" s="231"/>
      <c r="AP3" s="231"/>
      <c r="AQ3" s="231"/>
      <c r="AR3" s="231"/>
      <c r="AS3" s="231"/>
      <c r="AT3" s="231"/>
      <c r="AU3" s="283"/>
      <c r="AV3" s="283"/>
    </row>
    <row r="4" spans="1:49" ht="12.75" customHeight="1" x14ac:dyDescent="0.25">
      <c r="A4" s="183"/>
      <c r="B4" s="246"/>
      <c r="C4" s="246"/>
      <c r="D4" s="246"/>
      <c r="E4" s="246"/>
      <c r="I4" s="231"/>
      <c r="J4" s="231"/>
      <c r="K4" s="231"/>
      <c r="L4" s="231"/>
      <c r="M4" s="231"/>
      <c r="N4" s="283"/>
      <c r="O4" s="283"/>
      <c r="P4" s="283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1126"/>
      <c r="AH4" s="1126"/>
      <c r="AI4" s="1126"/>
      <c r="AJ4" s="1126"/>
      <c r="AK4" s="1126"/>
      <c r="AL4" s="1126"/>
      <c r="AM4" s="232"/>
      <c r="AN4" s="283"/>
      <c r="AO4" s="231"/>
      <c r="AP4" s="231"/>
      <c r="AQ4" s="231"/>
      <c r="AR4" s="231"/>
      <c r="AS4" s="231"/>
      <c r="AT4" s="231"/>
      <c r="AU4" s="283"/>
      <c r="AV4" s="283"/>
    </row>
    <row r="5" spans="1:49" ht="16.5" thickBot="1" x14ac:dyDescent="0.3">
      <c r="A5" s="400" t="s">
        <v>838</v>
      </c>
      <c r="B5" s="107"/>
      <c r="C5" s="107"/>
      <c r="D5" s="107"/>
      <c r="E5" s="108"/>
      <c r="F5" s="108"/>
      <c r="G5" s="108"/>
      <c r="H5" s="108"/>
      <c r="I5" s="237"/>
      <c r="J5" s="237"/>
      <c r="K5" s="237"/>
      <c r="L5" s="237"/>
      <c r="M5" s="237"/>
      <c r="N5" s="346"/>
      <c r="O5" s="346"/>
      <c r="P5" s="346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1126"/>
      <c r="AH5" s="1126"/>
      <c r="AI5" s="1126"/>
      <c r="AJ5" s="1126"/>
      <c r="AK5" s="1126"/>
      <c r="AL5" s="1126"/>
      <c r="AM5" s="233"/>
      <c r="AN5" s="346"/>
      <c r="AO5" s="237"/>
      <c r="AP5" s="237"/>
      <c r="AQ5" s="237"/>
      <c r="AR5" s="237"/>
      <c r="AS5" s="237"/>
      <c r="AT5" s="237"/>
      <c r="AU5" s="346"/>
      <c r="AV5" s="346"/>
    </row>
    <row r="6" spans="1:49" ht="12.75" customHeight="1" x14ac:dyDescent="0.25">
      <c r="I6" s="1158" t="s">
        <v>837</v>
      </c>
      <c r="J6" s="1159"/>
      <c r="K6" s="1159"/>
      <c r="L6" s="1159"/>
      <c r="M6" s="1159"/>
      <c r="N6" s="1159"/>
      <c r="O6" s="1159"/>
      <c r="P6" s="1160"/>
      <c r="Q6" s="1182" t="s">
        <v>839</v>
      </c>
      <c r="R6" s="1183"/>
      <c r="S6" s="1183"/>
      <c r="T6" s="1183"/>
      <c r="U6" s="1183"/>
      <c r="V6" s="1183"/>
      <c r="W6" s="1183"/>
      <c r="X6" s="1183"/>
      <c r="Y6" s="1183"/>
      <c r="Z6" s="1183"/>
      <c r="AA6" s="1183"/>
      <c r="AB6" s="1183"/>
      <c r="AC6" s="1183"/>
      <c r="AD6" s="1183"/>
      <c r="AE6" s="1183"/>
      <c r="AF6" s="1183"/>
      <c r="AG6" s="1183"/>
      <c r="AH6" s="1183"/>
      <c r="AI6" s="1183"/>
      <c r="AJ6" s="1183"/>
      <c r="AK6" s="1183"/>
      <c r="AL6" s="1183"/>
      <c r="AM6" s="1183"/>
      <c r="AN6" s="1184"/>
      <c r="AO6" s="1185" t="s">
        <v>868</v>
      </c>
      <c r="AP6" s="1186"/>
      <c r="AQ6" s="1186"/>
      <c r="AR6" s="1186"/>
      <c r="AS6" s="1186"/>
      <c r="AT6" s="1186"/>
      <c r="AU6" s="1186"/>
      <c r="AV6" s="1186"/>
      <c r="AW6" s="1187"/>
    </row>
    <row r="7" spans="1:49" ht="15.75" customHeight="1" thickBot="1" x14ac:dyDescent="0.3">
      <c r="A7" s="183"/>
      <c r="B7" s="13"/>
      <c r="C7"/>
      <c r="D7" s="18"/>
      <c r="E7" s="13"/>
      <c r="I7" s="1161"/>
      <c r="J7" s="1162"/>
      <c r="K7" s="1162"/>
      <c r="L7" s="1162"/>
      <c r="M7" s="1162"/>
      <c r="N7" s="1162"/>
      <c r="O7" s="1162"/>
      <c r="P7" s="1163"/>
      <c r="Q7" s="1191" t="s">
        <v>289</v>
      </c>
      <c r="R7" s="1192"/>
      <c r="S7" s="1192"/>
      <c r="T7" s="1192"/>
      <c r="U7" s="1193"/>
      <c r="V7" s="1200" t="s">
        <v>290</v>
      </c>
      <c r="W7" s="1192"/>
      <c r="X7" s="1192"/>
      <c r="Y7" s="1193"/>
      <c r="Z7" s="1165" t="s">
        <v>291</v>
      </c>
      <c r="AA7" s="1165" t="s">
        <v>5</v>
      </c>
      <c r="AB7" s="1165" t="s">
        <v>292</v>
      </c>
      <c r="AC7" s="1203" t="s">
        <v>293</v>
      </c>
      <c r="AD7" s="1204"/>
      <c r="AE7" s="1205"/>
      <c r="AF7" s="1165" t="s">
        <v>315</v>
      </c>
      <c r="AG7" s="1212" t="s">
        <v>294</v>
      </c>
      <c r="AH7" s="1213"/>
      <c r="AI7" s="1213"/>
      <c r="AJ7" s="1213"/>
      <c r="AK7" s="1213"/>
      <c r="AL7" s="1213"/>
      <c r="AM7" s="1213"/>
      <c r="AN7" s="1214"/>
      <c r="AO7" s="1188"/>
      <c r="AP7" s="1189"/>
      <c r="AQ7" s="1189"/>
      <c r="AR7" s="1189"/>
      <c r="AS7" s="1189"/>
      <c r="AT7" s="1189"/>
      <c r="AU7" s="1189"/>
      <c r="AV7" s="1189"/>
      <c r="AW7" s="1190"/>
    </row>
    <row r="8" spans="1:49" s="185" customFormat="1" ht="15" customHeight="1" x14ac:dyDescent="0.25">
      <c r="A8" s="240"/>
      <c r="B8" s="184"/>
      <c r="C8" s="184"/>
      <c r="D8" s="184"/>
      <c r="I8" s="1168" t="s">
        <v>6</v>
      </c>
      <c r="J8" s="1171" t="s">
        <v>827</v>
      </c>
      <c r="K8" s="1172"/>
      <c r="L8" s="1172"/>
      <c r="M8" s="1173"/>
      <c r="N8" s="1177" t="s">
        <v>286</v>
      </c>
      <c r="O8" s="1171" t="s">
        <v>828</v>
      </c>
      <c r="P8" s="1180"/>
      <c r="Q8" s="1194"/>
      <c r="R8" s="1195"/>
      <c r="S8" s="1195"/>
      <c r="T8" s="1195"/>
      <c r="U8" s="1196"/>
      <c r="V8" s="1201"/>
      <c r="W8" s="1195"/>
      <c r="X8" s="1195"/>
      <c r="Y8" s="1196"/>
      <c r="Z8" s="1166"/>
      <c r="AA8" s="1166"/>
      <c r="AB8" s="1166"/>
      <c r="AC8" s="1206"/>
      <c r="AD8" s="1207"/>
      <c r="AE8" s="1208"/>
      <c r="AF8" s="1166"/>
      <c r="AG8" s="1215" t="s">
        <v>295</v>
      </c>
      <c r="AH8" s="1216"/>
      <c r="AI8" s="1231" t="s">
        <v>296</v>
      </c>
      <c r="AJ8" s="1215" t="s">
        <v>297</v>
      </c>
      <c r="AK8" s="1216"/>
      <c r="AL8" s="1219" t="s">
        <v>298</v>
      </c>
      <c r="AM8" s="1220"/>
      <c r="AN8" s="1221"/>
      <c r="AO8" s="1168" t="s">
        <v>6</v>
      </c>
      <c r="AP8" s="1225" t="s">
        <v>827</v>
      </c>
      <c r="AQ8" s="1226"/>
      <c r="AR8" s="1226"/>
      <c r="AS8" s="1226"/>
      <c r="AT8" s="1227"/>
      <c r="AU8" s="1177" t="s">
        <v>286</v>
      </c>
      <c r="AV8" s="1171" t="s">
        <v>829</v>
      </c>
      <c r="AW8" s="1180"/>
    </row>
    <row r="9" spans="1:49" s="188" customFormat="1" ht="15.75" thickBot="1" x14ac:dyDescent="0.25">
      <c r="A9" s="239" t="s">
        <v>795</v>
      </c>
      <c r="B9" s="14"/>
      <c r="C9"/>
      <c r="D9" s="21"/>
      <c r="E9" s="14"/>
      <c r="F9" s="186"/>
      <c r="G9" s="187"/>
      <c r="H9" s="187"/>
      <c r="I9" s="1169"/>
      <c r="J9" s="1174"/>
      <c r="K9" s="1175"/>
      <c r="L9" s="1175"/>
      <c r="M9" s="1176"/>
      <c r="N9" s="1178"/>
      <c r="O9" s="1174"/>
      <c r="P9" s="1181"/>
      <c r="Q9" s="1197"/>
      <c r="R9" s="1198"/>
      <c r="S9" s="1198"/>
      <c r="T9" s="1198"/>
      <c r="U9" s="1199"/>
      <c r="V9" s="1202"/>
      <c r="W9" s="1198"/>
      <c r="X9" s="1198"/>
      <c r="Y9" s="1199"/>
      <c r="Z9" s="1166"/>
      <c r="AA9" s="1166"/>
      <c r="AB9" s="1166"/>
      <c r="AC9" s="1209"/>
      <c r="AD9" s="1210"/>
      <c r="AE9" s="1211"/>
      <c r="AF9" s="1166"/>
      <c r="AG9" s="1217"/>
      <c r="AH9" s="1218"/>
      <c r="AI9" s="1232"/>
      <c r="AJ9" s="1217"/>
      <c r="AK9" s="1218"/>
      <c r="AL9" s="1222"/>
      <c r="AM9" s="1223"/>
      <c r="AN9" s="1224"/>
      <c r="AO9" s="1169"/>
      <c r="AP9" s="1228"/>
      <c r="AQ9" s="1229"/>
      <c r="AR9" s="1229"/>
      <c r="AS9" s="1229"/>
      <c r="AT9" s="1230"/>
      <c r="AU9" s="1178"/>
      <c r="AV9" s="1174"/>
      <c r="AW9" s="1181"/>
    </row>
    <row r="10" spans="1:49" s="188" customFormat="1" ht="23.25" thickBot="1" x14ac:dyDescent="0.25">
      <c r="A10" s="189" t="s">
        <v>800</v>
      </c>
      <c r="B10" s="190" t="s">
        <v>566</v>
      </c>
      <c r="C10" s="190" t="s">
        <v>567</v>
      </c>
      <c r="D10" s="190" t="s">
        <v>270</v>
      </c>
      <c r="E10" s="310" t="s">
        <v>802</v>
      </c>
      <c r="F10" s="190" t="s">
        <v>0</v>
      </c>
      <c r="G10" s="244" t="s">
        <v>271</v>
      </c>
      <c r="H10" s="74" t="s">
        <v>282</v>
      </c>
      <c r="I10" s="1170"/>
      <c r="J10" s="75" t="s">
        <v>280</v>
      </c>
      <c r="K10" s="76" t="s">
        <v>5</v>
      </c>
      <c r="L10" s="76" t="s">
        <v>1</v>
      </c>
      <c r="M10" s="76" t="s">
        <v>7</v>
      </c>
      <c r="N10" s="1179"/>
      <c r="O10" s="77" t="s">
        <v>287</v>
      </c>
      <c r="P10" s="78" t="s">
        <v>288</v>
      </c>
      <c r="Q10" s="483" t="s">
        <v>299</v>
      </c>
      <c r="R10" s="81" t="s">
        <v>296</v>
      </c>
      <c r="S10" s="81" t="s">
        <v>815</v>
      </c>
      <c r="T10" s="82" t="s">
        <v>297</v>
      </c>
      <c r="U10" s="81" t="s">
        <v>791</v>
      </c>
      <c r="V10" s="85" t="s">
        <v>300</v>
      </c>
      <c r="W10" s="81" t="s">
        <v>826</v>
      </c>
      <c r="X10" s="85" t="s">
        <v>301</v>
      </c>
      <c r="Y10" s="81" t="s">
        <v>792</v>
      </c>
      <c r="Z10" s="1167"/>
      <c r="AA10" s="1167"/>
      <c r="AB10" s="1167"/>
      <c r="AC10" s="81" t="s">
        <v>296</v>
      </c>
      <c r="AD10" s="82" t="s">
        <v>302</v>
      </c>
      <c r="AE10" s="81" t="s">
        <v>793</v>
      </c>
      <c r="AF10" s="1167"/>
      <c r="AG10" s="317" t="s">
        <v>287</v>
      </c>
      <c r="AH10" s="337" t="s">
        <v>288</v>
      </c>
      <c r="AI10" s="317" t="s">
        <v>287</v>
      </c>
      <c r="AJ10" s="317" t="s">
        <v>287</v>
      </c>
      <c r="AK10" s="337" t="s">
        <v>288</v>
      </c>
      <c r="AL10" s="317" t="s">
        <v>287</v>
      </c>
      <c r="AM10" s="337" t="s">
        <v>288</v>
      </c>
      <c r="AN10" s="345" t="s">
        <v>311</v>
      </c>
      <c r="AO10" s="1170"/>
      <c r="AP10" s="79" t="s">
        <v>280</v>
      </c>
      <c r="AQ10" s="80" t="s">
        <v>290</v>
      </c>
      <c r="AR10" s="76" t="s">
        <v>5</v>
      </c>
      <c r="AS10" s="76" t="s">
        <v>1</v>
      </c>
      <c r="AT10" s="76" t="s">
        <v>7</v>
      </c>
      <c r="AU10" s="1179"/>
      <c r="AV10" s="77" t="s">
        <v>287</v>
      </c>
      <c r="AW10" s="78" t="s">
        <v>288</v>
      </c>
    </row>
    <row r="11" spans="1:49" s="247" customFormat="1" ht="11.25" customHeight="1" thickBot="1" x14ac:dyDescent="0.25">
      <c r="A11" s="263" t="s">
        <v>568</v>
      </c>
      <c r="B11" s="264" t="s">
        <v>569</v>
      </c>
      <c r="C11" s="264" t="s">
        <v>272</v>
      </c>
      <c r="D11" s="264" t="s">
        <v>273</v>
      </c>
      <c r="E11" s="264" t="s">
        <v>570</v>
      </c>
      <c r="F11" s="264" t="s">
        <v>0</v>
      </c>
      <c r="G11" s="264" t="s">
        <v>571</v>
      </c>
      <c r="H11" s="265" t="s">
        <v>796</v>
      </c>
      <c r="I11" s="266" t="s">
        <v>274</v>
      </c>
      <c r="J11" s="485" t="s">
        <v>275</v>
      </c>
      <c r="K11" s="267" t="s">
        <v>276</v>
      </c>
      <c r="L11" s="267" t="s">
        <v>277</v>
      </c>
      <c r="M11" s="267" t="s">
        <v>278</v>
      </c>
      <c r="N11" s="481" t="s">
        <v>279</v>
      </c>
      <c r="O11" s="481" t="s">
        <v>572</v>
      </c>
      <c r="P11" s="482" t="s">
        <v>573</v>
      </c>
      <c r="Q11" s="266" t="s">
        <v>303</v>
      </c>
      <c r="R11" s="485" t="s">
        <v>303</v>
      </c>
      <c r="S11" s="267" t="s">
        <v>303</v>
      </c>
      <c r="T11" s="267" t="s">
        <v>303</v>
      </c>
      <c r="U11" s="267" t="s">
        <v>303</v>
      </c>
      <c r="V11" s="267" t="s">
        <v>304</v>
      </c>
      <c r="W11" s="267" t="s">
        <v>304</v>
      </c>
      <c r="X11" s="267" t="s">
        <v>305</v>
      </c>
      <c r="Y11" s="267" t="s">
        <v>304</v>
      </c>
      <c r="Z11" s="267" t="s">
        <v>306</v>
      </c>
      <c r="AA11" s="267" t="s">
        <v>307</v>
      </c>
      <c r="AB11" s="267" t="s">
        <v>308</v>
      </c>
      <c r="AC11" s="267" t="s">
        <v>310</v>
      </c>
      <c r="AD11" s="267" t="s">
        <v>309</v>
      </c>
      <c r="AE11" s="267" t="s">
        <v>309</v>
      </c>
      <c r="AF11" s="267" t="s">
        <v>316</v>
      </c>
      <c r="AG11" s="481" t="s">
        <v>312</v>
      </c>
      <c r="AH11" s="481" t="s">
        <v>313</v>
      </c>
      <c r="AI11" s="481" t="s">
        <v>312</v>
      </c>
      <c r="AJ11" s="481" t="s">
        <v>312</v>
      </c>
      <c r="AK11" s="481" t="s">
        <v>313</v>
      </c>
      <c r="AL11" s="481" t="s">
        <v>312</v>
      </c>
      <c r="AM11" s="481" t="s">
        <v>313</v>
      </c>
      <c r="AN11" s="486" t="s">
        <v>314</v>
      </c>
      <c r="AO11" s="266" t="s">
        <v>274</v>
      </c>
      <c r="AP11" s="267" t="s">
        <v>275</v>
      </c>
      <c r="AQ11" s="267" t="s">
        <v>281</v>
      </c>
      <c r="AR11" s="267" t="s">
        <v>276</v>
      </c>
      <c r="AS11" s="267" t="s">
        <v>277</v>
      </c>
      <c r="AT11" s="267" t="s">
        <v>278</v>
      </c>
      <c r="AU11" s="481" t="s">
        <v>279</v>
      </c>
      <c r="AV11" s="481" t="s">
        <v>572</v>
      </c>
      <c r="AW11" s="482" t="s">
        <v>573</v>
      </c>
    </row>
    <row r="12" spans="1:49" s="196" customFormat="1" ht="14.1" customHeight="1" x14ac:dyDescent="0.2">
      <c r="A12" s="255">
        <v>1</v>
      </c>
      <c r="B12" s="256">
        <v>2323</v>
      </c>
      <c r="C12" s="257">
        <v>667000241</v>
      </c>
      <c r="D12" s="258">
        <v>71223461</v>
      </c>
      <c r="E12" s="259" t="s">
        <v>750</v>
      </c>
      <c r="F12" s="260">
        <v>3141</v>
      </c>
      <c r="G12" s="261" t="s">
        <v>321</v>
      </c>
      <c r="H12" s="262" t="s">
        <v>284</v>
      </c>
      <c r="I12" s="350">
        <f t="shared" ref="I12:I75" si="0">SUM(J12:M12)</f>
        <v>3643932</v>
      </c>
      <c r="J12" s="670">
        <v>2657168</v>
      </c>
      <c r="K12" s="351">
        <f t="shared" ref="K12" si="1">ROUND(J12*33.8%,0)</f>
        <v>898123</v>
      </c>
      <c r="L12" s="671">
        <f t="shared" ref="L12" si="2">ROUND(J12*2%,0)</f>
        <v>53143</v>
      </c>
      <c r="M12" s="670">
        <v>35498</v>
      </c>
      <c r="N12" s="389">
        <f t="shared" ref="N12:N75" si="3">O12+P12</f>
        <v>9.0399999999999991</v>
      </c>
      <c r="O12" s="672">
        <v>0</v>
      </c>
      <c r="P12" s="673">
        <v>9.0399999999999991</v>
      </c>
      <c r="Q12" s="387">
        <f>V12*-1</f>
        <v>-40000</v>
      </c>
      <c r="R12" s="253">
        <v>0</v>
      </c>
      <c r="S12" s="253">
        <v>0</v>
      </c>
      <c r="T12" s="253">
        <v>305760</v>
      </c>
      <c r="U12" s="253">
        <f>SUM(Q12:T12)</f>
        <v>265760</v>
      </c>
      <c r="V12" s="253">
        <v>40000</v>
      </c>
      <c r="W12" s="253">
        <v>0</v>
      </c>
      <c r="X12" s="253">
        <v>0</v>
      </c>
      <c r="Y12" s="253">
        <f>SUM(V12:X12)</f>
        <v>40000</v>
      </c>
      <c r="Z12" s="253">
        <f>U12+Y12</f>
        <v>305760</v>
      </c>
      <c r="AA12" s="316">
        <f>ROUND((U12+V12+W12)*33.8%,0)</f>
        <v>103347</v>
      </c>
      <c r="AB12" s="316">
        <f>ROUND(U12*2%,0)</f>
        <v>5315</v>
      </c>
      <c r="AC12" s="253">
        <v>0</v>
      </c>
      <c r="AD12" s="253">
        <v>0</v>
      </c>
      <c r="AE12" s="253">
        <f>SUM(AC12:AD12)</f>
        <v>0</v>
      </c>
      <c r="AF12" s="253">
        <f>Z12+AA12+AB12+AE12</f>
        <v>414422</v>
      </c>
      <c r="AG12" s="254">
        <v>0</v>
      </c>
      <c r="AH12" s="254">
        <v>-7.0000000000000007E-2</v>
      </c>
      <c r="AI12" s="254">
        <v>0</v>
      </c>
      <c r="AJ12" s="254">
        <v>0</v>
      </c>
      <c r="AK12" s="254">
        <v>1.04</v>
      </c>
      <c r="AL12" s="254">
        <f>AG12+AI12+AJ12</f>
        <v>0</v>
      </c>
      <c r="AM12" s="254">
        <f>AH12+AK12</f>
        <v>0.97</v>
      </c>
      <c r="AN12" s="434">
        <f>SUM(AL12:AM12)</f>
        <v>0.97</v>
      </c>
      <c r="AO12" s="401">
        <f>I12+AF12</f>
        <v>4058354</v>
      </c>
      <c r="AP12" s="279">
        <f t="shared" ref="AP12" si="4">J12+U12</f>
        <v>2922928</v>
      </c>
      <c r="AQ12" s="279">
        <f t="shared" ref="AQ12" si="5">Y12</f>
        <v>40000</v>
      </c>
      <c r="AR12" s="279">
        <f t="shared" ref="AR12" si="6">K12+AA12</f>
        <v>1001470</v>
      </c>
      <c r="AS12" s="279">
        <f t="shared" ref="AS12" si="7">L12+AB12</f>
        <v>58458</v>
      </c>
      <c r="AT12" s="279">
        <f t="shared" ref="AT12" si="8">M12+AE12</f>
        <v>35498</v>
      </c>
      <c r="AU12" s="281">
        <f>N12+AN12</f>
        <v>10.01</v>
      </c>
      <c r="AV12" s="281">
        <f t="shared" ref="AV12" si="9">O12+AL12</f>
        <v>0</v>
      </c>
      <c r="AW12" s="282">
        <f t="shared" ref="AW12" si="10">P12+AM12</f>
        <v>10.01</v>
      </c>
    </row>
    <row r="13" spans="1:49" s="196" customFormat="1" ht="14.1" customHeight="1" x14ac:dyDescent="0.2">
      <c r="A13" s="242">
        <v>1</v>
      </c>
      <c r="B13" s="198">
        <v>2323</v>
      </c>
      <c r="C13" s="199">
        <v>667000241</v>
      </c>
      <c r="D13" s="198">
        <v>71223461</v>
      </c>
      <c r="E13" s="200" t="s">
        <v>751</v>
      </c>
      <c r="F13" s="201"/>
      <c r="G13" s="202"/>
      <c r="H13" s="203"/>
      <c r="I13" s="197">
        <f t="shared" ref="I13:P13" si="11">SUM(I12)</f>
        <v>3643932</v>
      </c>
      <c r="J13" s="357">
        <f t="shared" si="11"/>
        <v>2657168</v>
      </c>
      <c r="K13" s="357">
        <f t="shared" si="11"/>
        <v>898123</v>
      </c>
      <c r="L13" s="357">
        <f t="shared" si="11"/>
        <v>53143</v>
      </c>
      <c r="M13" s="357">
        <f t="shared" si="11"/>
        <v>35498</v>
      </c>
      <c r="N13" s="678">
        <f t="shared" si="11"/>
        <v>9.0399999999999991</v>
      </c>
      <c r="O13" s="678">
        <f t="shared" si="11"/>
        <v>0</v>
      </c>
      <c r="P13" s="679">
        <f t="shared" si="11"/>
        <v>9.0399999999999991</v>
      </c>
      <c r="Q13" s="357">
        <f t="shared" ref="Q13:AW13" si="12">SUM(Q12)</f>
        <v>-40000</v>
      </c>
      <c r="R13" s="209">
        <f t="shared" si="12"/>
        <v>0</v>
      </c>
      <c r="S13" s="209">
        <f t="shared" si="12"/>
        <v>0</v>
      </c>
      <c r="T13" s="209">
        <f t="shared" si="12"/>
        <v>305760</v>
      </c>
      <c r="U13" s="209">
        <f t="shared" si="12"/>
        <v>265760</v>
      </c>
      <c r="V13" s="209">
        <f t="shared" si="12"/>
        <v>40000</v>
      </c>
      <c r="W13" s="209">
        <f>SUM(W12)</f>
        <v>0</v>
      </c>
      <c r="X13" s="209">
        <f t="shared" si="12"/>
        <v>0</v>
      </c>
      <c r="Y13" s="209">
        <f t="shared" si="12"/>
        <v>40000</v>
      </c>
      <c r="Z13" s="209">
        <f t="shared" si="12"/>
        <v>305760</v>
      </c>
      <c r="AA13" s="209">
        <f t="shared" si="12"/>
        <v>103347</v>
      </c>
      <c r="AB13" s="209">
        <f t="shared" si="12"/>
        <v>5315</v>
      </c>
      <c r="AC13" s="209">
        <f t="shared" si="12"/>
        <v>0</v>
      </c>
      <c r="AD13" s="209">
        <f t="shared" si="12"/>
        <v>0</v>
      </c>
      <c r="AE13" s="209">
        <f t="shared" si="12"/>
        <v>0</v>
      </c>
      <c r="AF13" s="209">
        <f t="shared" si="12"/>
        <v>414422</v>
      </c>
      <c r="AG13" s="210">
        <f t="shared" si="12"/>
        <v>0</v>
      </c>
      <c r="AH13" s="210">
        <f t="shared" si="12"/>
        <v>-7.0000000000000007E-2</v>
      </c>
      <c r="AI13" s="210">
        <f t="shared" si="12"/>
        <v>0</v>
      </c>
      <c r="AJ13" s="210">
        <f t="shared" si="12"/>
        <v>0</v>
      </c>
      <c r="AK13" s="210">
        <f t="shared" si="12"/>
        <v>1.04</v>
      </c>
      <c r="AL13" s="210">
        <f t="shared" si="12"/>
        <v>0</v>
      </c>
      <c r="AM13" s="210">
        <f t="shared" si="12"/>
        <v>0.97</v>
      </c>
      <c r="AN13" s="383">
        <f t="shared" si="12"/>
        <v>0.97</v>
      </c>
      <c r="AO13" s="692">
        <f t="shared" si="12"/>
        <v>4058354</v>
      </c>
      <c r="AP13" s="685">
        <f t="shared" si="12"/>
        <v>2922928</v>
      </c>
      <c r="AQ13" s="685">
        <f t="shared" si="12"/>
        <v>40000</v>
      </c>
      <c r="AR13" s="685">
        <f t="shared" si="12"/>
        <v>1001470</v>
      </c>
      <c r="AS13" s="685">
        <f t="shared" si="12"/>
        <v>58458</v>
      </c>
      <c r="AT13" s="685">
        <f t="shared" si="12"/>
        <v>35498</v>
      </c>
      <c r="AU13" s="383">
        <f t="shared" si="12"/>
        <v>10.01</v>
      </c>
      <c r="AV13" s="383">
        <f t="shared" si="12"/>
        <v>0</v>
      </c>
      <c r="AW13" s="211">
        <f t="shared" si="12"/>
        <v>10.01</v>
      </c>
    </row>
    <row r="14" spans="1:49" s="196" customFormat="1" ht="14.1" customHeight="1" x14ac:dyDescent="0.2">
      <c r="A14" s="241">
        <v>2</v>
      </c>
      <c r="B14" s="191">
        <v>2314</v>
      </c>
      <c r="C14" s="204">
        <v>600080358</v>
      </c>
      <c r="D14" s="143">
        <v>46745751</v>
      </c>
      <c r="E14" s="193" t="s">
        <v>752</v>
      </c>
      <c r="F14" s="194">
        <v>3114</v>
      </c>
      <c r="G14" s="313" t="s">
        <v>565</v>
      </c>
      <c r="H14" s="205" t="s">
        <v>283</v>
      </c>
      <c r="I14" s="126">
        <f t="shared" si="0"/>
        <v>10954377</v>
      </c>
      <c r="J14" s="630">
        <v>7985293</v>
      </c>
      <c r="K14" s="127">
        <v>2699028</v>
      </c>
      <c r="L14" s="477">
        <f t="shared" ref="L14:L74" si="13">ROUND(J14*2%,0)</f>
        <v>159706</v>
      </c>
      <c r="M14" s="630">
        <v>110350</v>
      </c>
      <c r="N14" s="390">
        <f t="shared" si="3"/>
        <v>14.492799999999999</v>
      </c>
      <c r="O14" s="642">
        <v>10.2545</v>
      </c>
      <c r="P14" s="643">
        <v>4.2382999999999997</v>
      </c>
      <c r="Q14" s="387">
        <f t="shared" ref="Q14:Q75" si="14">V14*-1</f>
        <v>-38400</v>
      </c>
      <c r="R14" s="253">
        <v>0</v>
      </c>
      <c r="S14" s="253">
        <v>0</v>
      </c>
      <c r="T14" s="253">
        <v>77913</v>
      </c>
      <c r="U14" s="130">
        <f>SUM(Q14:T14)</f>
        <v>39513</v>
      </c>
      <c r="V14" s="130">
        <v>38400</v>
      </c>
      <c r="W14" s="130">
        <v>0</v>
      </c>
      <c r="X14" s="130">
        <v>0</v>
      </c>
      <c r="Y14" s="130">
        <f>SUM(V14:X14)</f>
        <v>38400</v>
      </c>
      <c r="Z14" s="130">
        <f>U14+Y14</f>
        <v>77913</v>
      </c>
      <c r="AA14" s="316">
        <f t="shared" ref="AA14:AA75" si="15">ROUND((U14+V14+W14)*33.8%,0)</f>
        <v>26335</v>
      </c>
      <c r="AB14" s="131">
        <f>ROUND(U14*2%,0)</f>
        <v>790</v>
      </c>
      <c r="AC14" s="130">
        <v>0</v>
      </c>
      <c r="AD14" s="130">
        <v>0</v>
      </c>
      <c r="AE14" s="130">
        <f>SUM(AC14:AD14)</f>
        <v>0</v>
      </c>
      <c r="AF14" s="130">
        <f>Z14+AA14+AB14+AE14</f>
        <v>105038</v>
      </c>
      <c r="AG14" s="132">
        <v>0</v>
      </c>
      <c r="AH14" s="132">
        <v>-0.19</v>
      </c>
      <c r="AI14" s="132">
        <v>0</v>
      </c>
      <c r="AJ14" s="132">
        <v>0.12</v>
      </c>
      <c r="AK14" s="132">
        <v>0</v>
      </c>
      <c r="AL14" s="132">
        <f>AG14+AI14+AJ14</f>
        <v>0.12</v>
      </c>
      <c r="AM14" s="132">
        <f>AH14+AK14</f>
        <v>-0.19</v>
      </c>
      <c r="AN14" s="403">
        <f>SUM(AL14:AM14)</f>
        <v>-7.0000000000000007E-2</v>
      </c>
      <c r="AO14" s="128">
        <f t="shared" ref="AO14:AO75" si="16">I14+AF14</f>
        <v>11059415</v>
      </c>
      <c r="AP14" s="253">
        <f t="shared" ref="AP14:AP75" si="17">J14+U14</f>
        <v>8024806</v>
      </c>
      <c r="AQ14" s="253">
        <f t="shared" ref="AQ14:AQ75" si="18">Y14</f>
        <v>38400</v>
      </c>
      <c r="AR14" s="130">
        <f t="shared" ref="AR14:AR75" si="19">K14+AA14</f>
        <v>2725363</v>
      </c>
      <c r="AS14" s="130">
        <f t="shared" ref="AS14:AS75" si="20">L14+AB14</f>
        <v>160496</v>
      </c>
      <c r="AT14" s="253">
        <f t="shared" ref="AT14:AT75" si="21">M14+AE14</f>
        <v>110350</v>
      </c>
      <c r="AU14" s="132">
        <f t="shared" ref="AU14:AU75" si="22">N14+AN14</f>
        <v>14.422799999999999</v>
      </c>
      <c r="AV14" s="132">
        <f t="shared" ref="AV14:AV75" si="23">O14+AL14</f>
        <v>10.374499999999999</v>
      </c>
      <c r="AW14" s="133">
        <f t="shared" ref="AW14:AW75" si="24">P14+AM14</f>
        <v>4.0482999999999993</v>
      </c>
    </row>
    <row r="15" spans="1:49" s="196" customFormat="1" ht="14.1" customHeight="1" x14ac:dyDescent="0.2">
      <c r="A15" s="241">
        <v>2</v>
      </c>
      <c r="B15" s="191">
        <v>2314</v>
      </c>
      <c r="C15" s="204">
        <v>600080358</v>
      </c>
      <c r="D15" s="143">
        <v>46745751</v>
      </c>
      <c r="E15" s="193" t="s">
        <v>752</v>
      </c>
      <c r="F15" s="206">
        <v>3114</v>
      </c>
      <c r="G15" s="98" t="s">
        <v>319</v>
      </c>
      <c r="H15" s="205" t="s">
        <v>283</v>
      </c>
      <c r="I15" s="126">
        <f t="shared" si="0"/>
        <v>2188344</v>
      </c>
      <c r="J15" s="631">
        <v>1611446</v>
      </c>
      <c r="K15" s="127">
        <f t="shared" ref="K15:K74" si="25">ROUND(J15*33.8%,0)</f>
        <v>544669</v>
      </c>
      <c r="L15" s="477">
        <f t="shared" si="13"/>
        <v>32229</v>
      </c>
      <c r="M15" s="479">
        <v>0</v>
      </c>
      <c r="N15" s="390">
        <f t="shared" si="3"/>
        <v>3.9721000000000002</v>
      </c>
      <c r="O15" s="644">
        <v>3.9721000000000002</v>
      </c>
      <c r="P15" s="639">
        <v>0</v>
      </c>
      <c r="Q15" s="387">
        <f t="shared" si="14"/>
        <v>0</v>
      </c>
      <c r="R15" s="253">
        <v>0</v>
      </c>
      <c r="S15" s="253">
        <v>0</v>
      </c>
      <c r="T15" s="253">
        <v>0</v>
      </c>
      <c r="U15" s="130">
        <f>SUM(Q15:T15)</f>
        <v>0</v>
      </c>
      <c r="V15" s="130">
        <v>0</v>
      </c>
      <c r="W15" s="130">
        <v>0</v>
      </c>
      <c r="X15" s="130">
        <v>0</v>
      </c>
      <c r="Y15" s="130">
        <f>SUM(V15:X15)</f>
        <v>0</v>
      </c>
      <c r="Z15" s="130">
        <f>U15+Y15</f>
        <v>0</v>
      </c>
      <c r="AA15" s="316">
        <f t="shared" si="15"/>
        <v>0</v>
      </c>
      <c r="AB15" s="131">
        <f>ROUND(U15*2%,0)</f>
        <v>0</v>
      </c>
      <c r="AC15" s="130">
        <v>0</v>
      </c>
      <c r="AD15" s="130">
        <v>0</v>
      </c>
      <c r="AE15" s="130">
        <f>SUM(AC15:AD15)</f>
        <v>0</v>
      </c>
      <c r="AF15" s="130">
        <f>Z15+AA15+AB15+AE15</f>
        <v>0</v>
      </c>
      <c r="AG15" s="132">
        <v>0</v>
      </c>
      <c r="AH15" s="132">
        <v>0</v>
      </c>
      <c r="AI15" s="132">
        <v>0</v>
      </c>
      <c r="AJ15" s="132">
        <v>0</v>
      </c>
      <c r="AK15" s="132">
        <v>0</v>
      </c>
      <c r="AL15" s="132">
        <f>AG15+AI15+AJ15</f>
        <v>0</v>
      </c>
      <c r="AM15" s="132">
        <f>AH15+AK15</f>
        <v>0</v>
      </c>
      <c r="AN15" s="403">
        <f>SUM(AL15:AM15)</f>
        <v>0</v>
      </c>
      <c r="AO15" s="128">
        <f t="shared" si="16"/>
        <v>2188344</v>
      </c>
      <c r="AP15" s="253">
        <f t="shared" si="17"/>
        <v>1611446</v>
      </c>
      <c r="AQ15" s="253">
        <f t="shared" si="18"/>
        <v>0</v>
      </c>
      <c r="AR15" s="130">
        <f t="shared" si="19"/>
        <v>544669</v>
      </c>
      <c r="AS15" s="130">
        <f t="shared" si="20"/>
        <v>32229</v>
      </c>
      <c r="AT15" s="253">
        <f t="shared" si="21"/>
        <v>0</v>
      </c>
      <c r="AU15" s="132">
        <f t="shared" si="22"/>
        <v>3.9721000000000002</v>
      </c>
      <c r="AV15" s="132">
        <f t="shared" si="23"/>
        <v>3.9721000000000002</v>
      </c>
      <c r="AW15" s="133">
        <f t="shared" si="24"/>
        <v>0</v>
      </c>
    </row>
    <row r="16" spans="1:49" s="196" customFormat="1" ht="14.1" customHeight="1" x14ac:dyDescent="0.2">
      <c r="A16" s="241">
        <v>2</v>
      </c>
      <c r="B16" s="143">
        <v>2314</v>
      </c>
      <c r="C16" s="204">
        <v>600080358</v>
      </c>
      <c r="D16" s="143">
        <v>46745751</v>
      </c>
      <c r="E16" s="145" t="s">
        <v>752</v>
      </c>
      <c r="F16" s="206">
        <v>3143</v>
      </c>
      <c r="G16" s="145" t="s">
        <v>635</v>
      </c>
      <c r="H16" s="205" t="s">
        <v>283</v>
      </c>
      <c r="I16" s="126">
        <f t="shared" si="0"/>
        <v>427146</v>
      </c>
      <c r="J16" s="325">
        <v>314540</v>
      </c>
      <c r="K16" s="127">
        <f t="shared" si="25"/>
        <v>106315</v>
      </c>
      <c r="L16" s="477">
        <f t="shared" si="13"/>
        <v>6291</v>
      </c>
      <c r="M16" s="479">
        <v>0</v>
      </c>
      <c r="N16" s="390">
        <f t="shared" si="3"/>
        <v>0.68959999999999999</v>
      </c>
      <c r="O16" s="22">
        <v>0.68959999999999999</v>
      </c>
      <c r="P16" s="641">
        <v>0</v>
      </c>
      <c r="Q16" s="387">
        <f t="shared" si="14"/>
        <v>0</v>
      </c>
      <c r="R16" s="130">
        <v>0</v>
      </c>
      <c r="S16" s="130">
        <v>0</v>
      </c>
      <c r="T16" s="130">
        <v>0</v>
      </c>
      <c r="U16" s="130">
        <f>SUM(Q16:T16)</f>
        <v>0</v>
      </c>
      <c r="V16" s="130">
        <v>0</v>
      </c>
      <c r="W16" s="130">
        <v>0</v>
      </c>
      <c r="X16" s="130">
        <v>0</v>
      </c>
      <c r="Y16" s="130">
        <f>SUM(V16:X16)</f>
        <v>0</v>
      </c>
      <c r="Z16" s="130">
        <f>U16+Y16</f>
        <v>0</v>
      </c>
      <c r="AA16" s="316">
        <f t="shared" si="15"/>
        <v>0</v>
      </c>
      <c r="AB16" s="131">
        <f>ROUND(U16*2%,0)</f>
        <v>0</v>
      </c>
      <c r="AC16" s="130">
        <v>0</v>
      </c>
      <c r="AD16" s="130">
        <v>0</v>
      </c>
      <c r="AE16" s="130">
        <f>SUM(AC16:AD16)</f>
        <v>0</v>
      </c>
      <c r="AF16" s="130">
        <f>Z16+AA16+AB16+AE16</f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f>AG16+AI16+AJ16</f>
        <v>0</v>
      </c>
      <c r="AM16" s="132">
        <f>AH16+AK16</f>
        <v>0</v>
      </c>
      <c r="AN16" s="403">
        <f>SUM(AL16:AM16)</f>
        <v>0</v>
      </c>
      <c r="AO16" s="128">
        <f t="shared" si="16"/>
        <v>427146</v>
      </c>
      <c r="AP16" s="253">
        <f t="shared" si="17"/>
        <v>314540</v>
      </c>
      <c r="AQ16" s="253">
        <f t="shared" si="18"/>
        <v>0</v>
      </c>
      <c r="AR16" s="130">
        <f t="shared" si="19"/>
        <v>106315</v>
      </c>
      <c r="AS16" s="130">
        <f t="shared" si="20"/>
        <v>6291</v>
      </c>
      <c r="AT16" s="253">
        <f t="shared" si="21"/>
        <v>0</v>
      </c>
      <c r="AU16" s="132">
        <f t="shared" si="22"/>
        <v>0.68959999999999999</v>
      </c>
      <c r="AV16" s="132">
        <f t="shared" si="23"/>
        <v>0.68959999999999999</v>
      </c>
      <c r="AW16" s="133">
        <f t="shared" si="24"/>
        <v>0</v>
      </c>
    </row>
    <row r="17" spans="1:49" s="196" customFormat="1" ht="14.1" customHeight="1" x14ac:dyDescent="0.2">
      <c r="A17" s="241">
        <v>2</v>
      </c>
      <c r="B17" s="143">
        <v>2314</v>
      </c>
      <c r="C17" s="204">
        <v>600080358</v>
      </c>
      <c r="D17" s="143">
        <v>46745751</v>
      </c>
      <c r="E17" s="145" t="s">
        <v>752</v>
      </c>
      <c r="F17" s="206">
        <v>3143</v>
      </c>
      <c r="G17" s="145" t="s">
        <v>636</v>
      </c>
      <c r="H17" s="205" t="s">
        <v>284</v>
      </c>
      <c r="I17" s="126">
        <f t="shared" si="0"/>
        <v>9129</v>
      </c>
      <c r="J17" s="661">
        <v>6435</v>
      </c>
      <c r="K17" s="127">
        <f t="shared" ref="K17" si="26">ROUND(J17*33.8%,0)</f>
        <v>2175</v>
      </c>
      <c r="L17" s="477">
        <f t="shared" ref="L17" si="27">ROUND(J17*2%,0)</f>
        <v>129</v>
      </c>
      <c r="M17" s="661">
        <v>390</v>
      </c>
      <c r="N17" s="390">
        <f t="shared" si="3"/>
        <v>0.03</v>
      </c>
      <c r="O17" s="662">
        <v>0</v>
      </c>
      <c r="P17" s="663">
        <v>0.03</v>
      </c>
      <c r="Q17" s="387">
        <f t="shared" si="14"/>
        <v>0</v>
      </c>
      <c r="R17" s="130">
        <v>0</v>
      </c>
      <c r="S17" s="130">
        <v>0</v>
      </c>
      <c r="T17" s="130">
        <v>0</v>
      </c>
      <c r="U17" s="130">
        <f>SUM(Q17:T17)</f>
        <v>0</v>
      </c>
      <c r="V17" s="130">
        <v>0</v>
      </c>
      <c r="W17" s="130">
        <v>0</v>
      </c>
      <c r="X17" s="130">
        <v>0</v>
      </c>
      <c r="Y17" s="130">
        <f>SUM(V17:X17)</f>
        <v>0</v>
      </c>
      <c r="Z17" s="130">
        <f>U17+Y17</f>
        <v>0</v>
      </c>
      <c r="AA17" s="316">
        <f t="shared" si="15"/>
        <v>0</v>
      </c>
      <c r="AB17" s="131">
        <f>ROUND(U17*2%,0)</f>
        <v>0</v>
      </c>
      <c r="AC17" s="130">
        <v>0</v>
      </c>
      <c r="AD17" s="130">
        <v>0</v>
      </c>
      <c r="AE17" s="130">
        <f>SUM(AC17:AD17)</f>
        <v>0</v>
      </c>
      <c r="AF17" s="130">
        <f>Z17+AA17+AB17+AE17</f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f>AG17+AI17+AJ17</f>
        <v>0</v>
      </c>
      <c r="AM17" s="132">
        <f>AH17+AK17</f>
        <v>0</v>
      </c>
      <c r="AN17" s="403">
        <f>SUM(AL17:AM17)</f>
        <v>0</v>
      </c>
      <c r="AO17" s="128">
        <f t="shared" si="16"/>
        <v>9129</v>
      </c>
      <c r="AP17" s="253">
        <f t="shared" si="17"/>
        <v>6435</v>
      </c>
      <c r="AQ17" s="253">
        <f t="shared" si="18"/>
        <v>0</v>
      </c>
      <c r="AR17" s="130">
        <f t="shared" si="19"/>
        <v>2175</v>
      </c>
      <c r="AS17" s="130">
        <f t="shared" si="20"/>
        <v>129</v>
      </c>
      <c r="AT17" s="253">
        <f t="shared" si="21"/>
        <v>390</v>
      </c>
      <c r="AU17" s="132">
        <f t="shared" si="22"/>
        <v>0.03</v>
      </c>
      <c r="AV17" s="132">
        <f t="shared" si="23"/>
        <v>0</v>
      </c>
      <c r="AW17" s="133">
        <f t="shared" si="24"/>
        <v>0.03</v>
      </c>
    </row>
    <row r="18" spans="1:49" s="196" customFormat="1" ht="14.1" customHeight="1" x14ac:dyDescent="0.2">
      <c r="A18" s="242">
        <v>2</v>
      </c>
      <c r="B18" s="198">
        <v>2314</v>
      </c>
      <c r="C18" s="199">
        <v>600080358</v>
      </c>
      <c r="D18" s="198">
        <v>46745751</v>
      </c>
      <c r="E18" s="200" t="s">
        <v>753</v>
      </c>
      <c r="F18" s="201"/>
      <c r="G18" s="202"/>
      <c r="H18" s="203"/>
      <c r="I18" s="197">
        <f t="shared" ref="I18:P18" si="28">SUM(I14:I17)</f>
        <v>13578996</v>
      </c>
      <c r="J18" s="357">
        <f t="shared" si="28"/>
        <v>9917714</v>
      </c>
      <c r="K18" s="357">
        <f t="shared" si="28"/>
        <v>3352187</v>
      </c>
      <c r="L18" s="357">
        <f t="shared" si="28"/>
        <v>198355</v>
      </c>
      <c r="M18" s="357">
        <f t="shared" si="28"/>
        <v>110740</v>
      </c>
      <c r="N18" s="678">
        <f t="shared" si="28"/>
        <v>19.1845</v>
      </c>
      <c r="O18" s="678">
        <f t="shared" si="28"/>
        <v>14.916200000000002</v>
      </c>
      <c r="P18" s="679">
        <f t="shared" si="28"/>
        <v>4.2683</v>
      </c>
      <c r="Q18" s="357">
        <f t="shared" ref="Q18:AW18" si="29">SUM(Q14:Q17)</f>
        <v>-38400</v>
      </c>
      <c r="R18" s="209">
        <f t="shared" si="29"/>
        <v>0</v>
      </c>
      <c r="S18" s="209">
        <f t="shared" si="29"/>
        <v>0</v>
      </c>
      <c r="T18" s="209">
        <f t="shared" si="29"/>
        <v>77913</v>
      </c>
      <c r="U18" s="209">
        <f t="shared" si="29"/>
        <v>39513</v>
      </c>
      <c r="V18" s="209">
        <f t="shared" si="29"/>
        <v>38400</v>
      </c>
      <c r="W18" s="209">
        <f t="shared" ref="W18" si="30">SUM(W14:W17)</f>
        <v>0</v>
      </c>
      <c r="X18" s="209">
        <f t="shared" si="29"/>
        <v>0</v>
      </c>
      <c r="Y18" s="209">
        <f t="shared" si="29"/>
        <v>38400</v>
      </c>
      <c r="Z18" s="209">
        <f t="shared" si="29"/>
        <v>77913</v>
      </c>
      <c r="AA18" s="209">
        <f t="shared" si="29"/>
        <v>26335</v>
      </c>
      <c r="AB18" s="209">
        <f t="shared" si="29"/>
        <v>790</v>
      </c>
      <c r="AC18" s="209">
        <f t="shared" si="29"/>
        <v>0</v>
      </c>
      <c r="AD18" s="209">
        <f t="shared" si="29"/>
        <v>0</v>
      </c>
      <c r="AE18" s="209">
        <f t="shared" si="29"/>
        <v>0</v>
      </c>
      <c r="AF18" s="209">
        <f t="shared" si="29"/>
        <v>105038</v>
      </c>
      <c r="AG18" s="210">
        <f t="shared" si="29"/>
        <v>0</v>
      </c>
      <c r="AH18" s="210">
        <f t="shared" si="29"/>
        <v>-0.19</v>
      </c>
      <c r="AI18" s="210">
        <f t="shared" si="29"/>
        <v>0</v>
      </c>
      <c r="AJ18" s="210">
        <f t="shared" si="29"/>
        <v>0.12</v>
      </c>
      <c r="AK18" s="210">
        <f t="shared" si="29"/>
        <v>0</v>
      </c>
      <c r="AL18" s="210">
        <f t="shared" si="29"/>
        <v>0.12</v>
      </c>
      <c r="AM18" s="210">
        <f t="shared" si="29"/>
        <v>-0.19</v>
      </c>
      <c r="AN18" s="383">
        <f t="shared" si="29"/>
        <v>-7.0000000000000007E-2</v>
      </c>
      <c r="AO18" s="692">
        <f t="shared" si="29"/>
        <v>13684034</v>
      </c>
      <c r="AP18" s="685">
        <f t="shared" si="29"/>
        <v>9957227</v>
      </c>
      <c r="AQ18" s="685">
        <f t="shared" si="29"/>
        <v>38400</v>
      </c>
      <c r="AR18" s="685">
        <f t="shared" si="29"/>
        <v>3378522</v>
      </c>
      <c r="AS18" s="685">
        <f t="shared" si="29"/>
        <v>199145</v>
      </c>
      <c r="AT18" s="685">
        <f t="shared" si="29"/>
        <v>110740</v>
      </c>
      <c r="AU18" s="383">
        <f t="shared" si="29"/>
        <v>19.1145</v>
      </c>
      <c r="AV18" s="383">
        <f t="shared" si="29"/>
        <v>15.036199999999999</v>
      </c>
      <c r="AW18" s="211">
        <f t="shared" si="29"/>
        <v>4.0782999999999996</v>
      </c>
    </row>
    <row r="19" spans="1:49" s="196" customFormat="1" ht="14.1" customHeight="1" x14ac:dyDescent="0.2">
      <c r="A19" s="241">
        <v>3</v>
      </c>
      <c r="B19" s="207">
        <v>2448</v>
      </c>
      <c r="C19" s="212">
        <v>600080269</v>
      </c>
      <c r="D19" s="143">
        <v>63154617</v>
      </c>
      <c r="E19" s="193" t="s">
        <v>754</v>
      </c>
      <c r="F19" s="206">
        <v>3111</v>
      </c>
      <c r="G19" s="145" t="s">
        <v>317</v>
      </c>
      <c r="H19" s="205" t="s">
        <v>283</v>
      </c>
      <c r="I19" s="126">
        <f t="shared" si="0"/>
        <v>13818021</v>
      </c>
      <c r="J19" s="127">
        <v>10097070</v>
      </c>
      <c r="K19" s="127">
        <f t="shared" si="25"/>
        <v>3412810</v>
      </c>
      <c r="L19" s="477">
        <f t="shared" si="13"/>
        <v>201941</v>
      </c>
      <c r="M19" s="127">
        <v>106200</v>
      </c>
      <c r="N19" s="390">
        <f t="shared" si="3"/>
        <v>23.048299999999998</v>
      </c>
      <c r="O19" s="390">
        <v>18.45</v>
      </c>
      <c r="P19" s="439">
        <v>4.5983000000000001</v>
      </c>
      <c r="Q19" s="387">
        <f t="shared" si="14"/>
        <v>-144000</v>
      </c>
      <c r="R19" s="253">
        <v>0</v>
      </c>
      <c r="S19" s="253">
        <v>0</v>
      </c>
      <c r="T19" s="253">
        <v>0</v>
      </c>
      <c r="U19" s="130">
        <f t="shared" ref="U19:U26" si="31">SUM(Q19:T19)</f>
        <v>-144000</v>
      </c>
      <c r="V19" s="130">
        <v>144000</v>
      </c>
      <c r="W19" s="130">
        <v>0</v>
      </c>
      <c r="X19" s="130">
        <v>0</v>
      </c>
      <c r="Y19" s="130">
        <f t="shared" ref="Y19:Y26" si="32">SUM(V19:X19)</f>
        <v>144000</v>
      </c>
      <c r="Z19" s="130">
        <f t="shared" ref="Z19:Z26" si="33">U19+Y19</f>
        <v>0</v>
      </c>
      <c r="AA19" s="316">
        <f t="shared" si="15"/>
        <v>0</v>
      </c>
      <c r="AB19" s="131">
        <f t="shared" ref="AB19:AB26" si="34">ROUND(U19*2%,0)</f>
        <v>-2880</v>
      </c>
      <c r="AC19" s="130">
        <v>0</v>
      </c>
      <c r="AD19" s="130">
        <v>0</v>
      </c>
      <c r="AE19" s="130">
        <f t="shared" ref="AE19:AE26" si="35">SUM(AC19:AD19)</f>
        <v>0</v>
      </c>
      <c r="AF19" s="130">
        <f t="shared" ref="AF19:AF26" si="36">Z19+AA19+AB19+AE19</f>
        <v>-2880</v>
      </c>
      <c r="AG19" s="132">
        <v>0</v>
      </c>
      <c r="AH19" s="132">
        <v>0</v>
      </c>
      <c r="AI19" s="132">
        <v>0</v>
      </c>
      <c r="AJ19" s="132">
        <v>0</v>
      </c>
      <c r="AK19" s="132">
        <v>0</v>
      </c>
      <c r="AL19" s="132">
        <f t="shared" ref="AL19:AL26" si="37">AG19+AI19+AJ19</f>
        <v>0</v>
      </c>
      <c r="AM19" s="132">
        <f t="shared" ref="AM19:AM26" si="38">AH19+AK19</f>
        <v>0</v>
      </c>
      <c r="AN19" s="403">
        <f t="shared" ref="AN19:AN26" si="39">SUM(AL19:AM19)</f>
        <v>0</v>
      </c>
      <c r="AO19" s="128">
        <f t="shared" si="16"/>
        <v>13815141</v>
      </c>
      <c r="AP19" s="253">
        <f t="shared" si="17"/>
        <v>9953070</v>
      </c>
      <c r="AQ19" s="253">
        <f t="shared" si="18"/>
        <v>144000</v>
      </c>
      <c r="AR19" s="130">
        <f t="shared" si="19"/>
        <v>3412810</v>
      </c>
      <c r="AS19" s="130">
        <f t="shared" si="20"/>
        <v>199061</v>
      </c>
      <c r="AT19" s="253">
        <f t="shared" si="21"/>
        <v>106200</v>
      </c>
      <c r="AU19" s="132">
        <f t="shared" si="22"/>
        <v>23.048299999999998</v>
      </c>
      <c r="AV19" s="132">
        <f t="shared" si="23"/>
        <v>18.45</v>
      </c>
      <c r="AW19" s="133">
        <f t="shared" si="24"/>
        <v>4.5983000000000001</v>
      </c>
    </row>
    <row r="20" spans="1:49" s="196" customFormat="1" ht="14.1" customHeight="1" x14ac:dyDescent="0.2">
      <c r="A20" s="241">
        <v>3</v>
      </c>
      <c r="B20" s="207">
        <v>2448</v>
      </c>
      <c r="C20" s="212">
        <v>600080269</v>
      </c>
      <c r="D20" s="143">
        <v>63154617</v>
      </c>
      <c r="E20" s="193" t="s">
        <v>754</v>
      </c>
      <c r="F20" s="206">
        <v>3113</v>
      </c>
      <c r="G20" s="145" t="s">
        <v>320</v>
      </c>
      <c r="H20" s="205" t="s">
        <v>283</v>
      </c>
      <c r="I20" s="126">
        <f t="shared" si="0"/>
        <v>57289048</v>
      </c>
      <c r="J20" s="477">
        <v>41203085</v>
      </c>
      <c r="K20" s="127">
        <v>13926642</v>
      </c>
      <c r="L20" s="477">
        <v>824061</v>
      </c>
      <c r="M20" s="477">
        <v>1335260</v>
      </c>
      <c r="N20" s="390">
        <f t="shared" si="3"/>
        <v>77.139200000000002</v>
      </c>
      <c r="O20" s="645">
        <v>60.89</v>
      </c>
      <c r="P20" s="646">
        <v>16.249199999999998</v>
      </c>
      <c r="Q20" s="387">
        <f t="shared" si="14"/>
        <v>-150400</v>
      </c>
      <c r="R20" s="253">
        <v>0</v>
      </c>
      <c r="S20" s="253">
        <v>0</v>
      </c>
      <c r="T20" s="253">
        <v>0</v>
      </c>
      <c r="U20" s="130">
        <f t="shared" si="31"/>
        <v>-150400</v>
      </c>
      <c r="V20" s="130">
        <v>150400</v>
      </c>
      <c r="W20" s="130">
        <v>0</v>
      </c>
      <c r="X20" s="130">
        <v>0</v>
      </c>
      <c r="Y20" s="130">
        <f t="shared" si="32"/>
        <v>150400</v>
      </c>
      <c r="Z20" s="130">
        <f t="shared" si="33"/>
        <v>0</v>
      </c>
      <c r="AA20" s="316">
        <f t="shared" si="15"/>
        <v>0</v>
      </c>
      <c r="AB20" s="131">
        <f t="shared" si="34"/>
        <v>-3008</v>
      </c>
      <c r="AC20" s="130">
        <v>0</v>
      </c>
      <c r="AD20" s="130">
        <v>0</v>
      </c>
      <c r="AE20" s="130">
        <f t="shared" si="35"/>
        <v>0</v>
      </c>
      <c r="AF20" s="130">
        <f t="shared" si="36"/>
        <v>-3008</v>
      </c>
      <c r="AG20" s="132">
        <v>-0.1</v>
      </c>
      <c r="AH20" s="132">
        <v>-0.15</v>
      </c>
      <c r="AI20" s="132">
        <v>0</v>
      </c>
      <c r="AJ20" s="132">
        <v>0</v>
      </c>
      <c r="AK20" s="132">
        <v>0</v>
      </c>
      <c r="AL20" s="132">
        <f t="shared" si="37"/>
        <v>-0.1</v>
      </c>
      <c r="AM20" s="132">
        <f t="shared" si="38"/>
        <v>-0.15</v>
      </c>
      <c r="AN20" s="403">
        <f t="shared" si="39"/>
        <v>-0.25</v>
      </c>
      <c r="AO20" s="128">
        <f t="shared" si="16"/>
        <v>57286040</v>
      </c>
      <c r="AP20" s="253">
        <f t="shared" si="17"/>
        <v>41052685</v>
      </c>
      <c r="AQ20" s="253">
        <f t="shared" si="18"/>
        <v>150400</v>
      </c>
      <c r="AR20" s="130">
        <f t="shared" si="19"/>
        <v>13926642</v>
      </c>
      <c r="AS20" s="130">
        <f t="shared" si="20"/>
        <v>821053</v>
      </c>
      <c r="AT20" s="253">
        <f t="shared" si="21"/>
        <v>1335260</v>
      </c>
      <c r="AU20" s="132">
        <f t="shared" si="22"/>
        <v>76.889200000000002</v>
      </c>
      <c r="AV20" s="132">
        <f t="shared" si="23"/>
        <v>60.79</v>
      </c>
      <c r="AW20" s="133">
        <f t="shared" si="24"/>
        <v>16.0992</v>
      </c>
    </row>
    <row r="21" spans="1:49" s="196" customFormat="1" ht="14.1" customHeight="1" x14ac:dyDescent="0.2">
      <c r="A21" s="241">
        <v>3</v>
      </c>
      <c r="B21" s="191">
        <v>2448</v>
      </c>
      <c r="C21" s="212">
        <v>600080269</v>
      </c>
      <c r="D21" s="143">
        <v>63154617</v>
      </c>
      <c r="E21" s="193" t="s">
        <v>754</v>
      </c>
      <c r="F21" s="194">
        <v>3113</v>
      </c>
      <c r="G21" s="143" t="s">
        <v>318</v>
      </c>
      <c r="H21" s="205" t="s">
        <v>284</v>
      </c>
      <c r="I21" s="126">
        <f t="shared" si="0"/>
        <v>0</v>
      </c>
      <c r="J21" s="325">
        <v>0</v>
      </c>
      <c r="K21" s="127">
        <f t="shared" si="25"/>
        <v>0</v>
      </c>
      <c r="L21" s="477">
        <f t="shared" si="13"/>
        <v>0</v>
      </c>
      <c r="M21" s="325">
        <v>0</v>
      </c>
      <c r="N21" s="390">
        <f t="shared" si="3"/>
        <v>0</v>
      </c>
      <c r="O21" s="640">
        <v>0</v>
      </c>
      <c r="P21" s="641">
        <v>0</v>
      </c>
      <c r="Q21" s="387">
        <f t="shared" si="14"/>
        <v>0</v>
      </c>
      <c r="R21" s="253">
        <f>5221083+40100</f>
        <v>5261183</v>
      </c>
      <c r="S21" s="253">
        <v>0</v>
      </c>
      <c r="T21" s="253">
        <v>0</v>
      </c>
      <c r="U21" s="130">
        <f t="shared" si="31"/>
        <v>5261183</v>
      </c>
      <c r="V21" s="130">
        <v>0</v>
      </c>
      <c r="W21" s="130">
        <v>0</v>
      </c>
      <c r="X21" s="130">
        <v>0</v>
      </c>
      <c r="Y21" s="130">
        <f t="shared" si="32"/>
        <v>0</v>
      </c>
      <c r="Z21" s="130">
        <f t="shared" si="33"/>
        <v>5261183</v>
      </c>
      <c r="AA21" s="316">
        <f t="shared" si="15"/>
        <v>1778280</v>
      </c>
      <c r="AB21" s="131">
        <f t="shared" si="34"/>
        <v>105224</v>
      </c>
      <c r="AC21" s="130">
        <f>14250+5500</f>
        <v>19750</v>
      </c>
      <c r="AD21" s="130">
        <v>0</v>
      </c>
      <c r="AE21" s="130">
        <f t="shared" si="35"/>
        <v>19750</v>
      </c>
      <c r="AF21" s="130">
        <f t="shared" si="36"/>
        <v>7164437</v>
      </c>
      <c r="AG21" s="132">
        <v>0</v>
      </c>
      <c r="AH21" s="132">
        <v>0</v>
      </c>
      <c r="AI21" s="132">
        <v>15.4</v>
      </c>
      <c r="AJ21" s="132">
        <v>0</v>
      </c>
      <c r="AK21" s="132">
        <v>0</v>
      </c>
      <c r="AL21" s="132">
        <f t="shared" si="37"/>
        <v>15.4</v>
      </c>
      <c r="AM21" s="132">
        <f t="shared" si="38"/>
        <v>0</v>
      </c>
      <c r="AN21" s="403">
        <f t="shared" si="39"/>
        <v>15.4</v>
      </c>
      <c r="AO21" s="128">
        <f t="shared" si="16"/>
        <v>7164437</v>
      </c>
      <c r="AP21" s="253">
        <f t="shared" si="17"/>
        <v>5261183</v>
      </c>
      <c r="AQ21" s="253">
        <f t="shared" si="18"/>
        <v>0</v>
      </c>
      <c r="AR21" s="130">
        <f t="shared" si="19"/>
        <v>1778280</v>
      </c>
      <c r="AS21" s="130">
        <f t="shared" si="20"/>
        <v>105224</v>
      </c>
      <c r="AT21" s="253">
        <f t="shared" si="21"/>
        <v>19750</v>
      </c>
      <c r="AU21" s="132">
        <f t="shared" si="22"/>
        <v>15.4</v>
      </c>
      <c r="AV21" s="132">
        <f t="shared" si="23"/>
        <v>15.4</v>
      </c>
      <c r="AW21" s="133">
        <f t="shared" si="24"/>
        <v>0</v>
      </c>
    </row>
    <row r="22" spans="1:49" s="196" customFormat="1" ht="14.1" customHeight="1" x14ac:dyDescent="0.2">
      <c r="A22" s="241">
        <v>3</v>
      </c>
      <c r="B22" s="207">
        <v>2448</v>
      </c>
      <c r="C22" s="212">
        <v>600080269</v>
      </c>
      <c r="D22" s="143">
        <v>63154617</v>
      </c>
      <c r="E22" s="208" t="s">
        <v>754</v>
      </c>
      <c r="F22" s="206">
        <v>3141</v>
      </c>
      <c r="G22" s="145" t="s">
        <v>321</v>
      </c>
      <c r="H22" s="195" t="s">
        <v>284</v>
      </c>
      <c r="I22" s="126">
        <f t="shared" si="0"/>
        <v>3762378</v>
      </c>
      <c r="J22" s="666">
        <v>2748446</v>
      </c>
      <c r="K22" s="127">
        <f t="shared" ref="K22" si="40">ROUND(J22*33.8%,0)</f>
        <v>928975</v>
      </c>
      <c r="L22" s="477">
        <f t="shared" ref="L22" si="41">ROUND(J22*2%,0)</f>
        <v>54969</v>
      </c>
      <c r="M22" s="666">
        <v>29988</v>
      </c>
      <c r="N22" s="390">
        <f t="shared" si="3"/>
        <v>9.34</v>
      </c>
      <c r="O22" s="668">
        <v>0</v>
      </c>
      <c r="P22" s="674">
        <v>9.34</v>
      </c>
      <c r="Q22" s="387">
        <f t="shared" si="14"/>
        <v>-20000</v>
      </c>
      <c r="R22" s="253">
        <v>0</v>
      </c>
      <c r="S22" s="253">
        <v>0</v>
      </c>
      <c r="T22" s="253">
        <v>0</v>
      </c>
      <c r="U22" s="130">
        <f t="shared" si="31"/>
        <v>-20000</v>
      </c>
      <c r="V22" s="130">
        <v>20000</v>
      </c>
      <c r="W22" s="130">
        <v>0</v>
      </c>
      <c r="X22" s="130">
        <v>0</v>
      </c>
      <c r="Y22" s="130">
        <f t="shared" si="32"/>
        <v>20000</v>
      </c>
      <c r="Z22" s="130">
        <f t="shared" si="33"/>
        <v>0</v>
      </c>
      <c r="AA22" s="316">
        <f t="shared" si="15"/>
        <v>0</v>
      </c>
      <c r="AB22" s="131">
        <f t="shared" si="34"/>
        <v>-400</v>
      </c>
      <c r="AC22" s="130">
        <v>0</v>
      </c>
      <c r="AD22" s="130">
        <v>0</v>
      </c>
      <c r="AE22" s="130">
        <f t="shared" si="35"/>
        <v>0</v>
      </c>
      <c r="AF22" s="130">
        <f t="shared" si="36"/>
        <v>-400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f t="shared" si="37"/>
        <v>0</v>
      </c>
      <c r="AM22" s="132">
        <f t="shared" si="38"/>
        <v>0</v>
      </c>
      <c r="AN22" s="403">
        <f t="shared" si="39"/>
        <v>0</v>
      </c>
      <c r="AO22" s="128">
        <f t="shared" si="16"/>
        <v>3761978</v>
      </c>
      <c r="AP22" s="253">
        <f t="shared" si="17"/>
        <v>2728446</v>
      </c>
      <c r="AQ22" s="253">
        <f t="shared" si="18"/>
        <v>20000</v>
      </c>
      <c r="AR22" s="130">
        <f t="shared" si="19"/>
        <v>928975</v>
      </c>
      <c r="AS22" s="130">
        <f t="shared" si="20"/>
        <v>54569</v>
      </c>
      <c r="AT22" s="253">
        <f t="shared" si="21"/>
        <v>29988</v>
      </c>
      <c r="AU22" s="132">
        <f t="shared" si="22"/>
        <v>9.34</v>
      </c>
      <c r="AV22" s="132">
        <f t="shared" si="23"/>
        <v>0</v>
      </c>
      <c r="AW22" s="133">
        <f t="shared" si="24"/>
        <v>9.34</v>
      </c>
    </row>
    <row r="23" spans="1:49" s="196" customFormat="1" ht="14.1" customHeight="1" x14ac:dyDescent="0.2">
      <c r="A23" s="241">
        <v>3</v>
      </c>
      <c r="B23" s="143">
        <v>2448</v>
      </c>
      <c r="C23" s="537">
        <v>600080269</v>
      </c>
      <c r="D23" s="143">
        <v>63154617</v>
      </c>
      <c r="E23" s="145" t="s">
        <v>754</v>
      </c>
      <c r="F23" s="206">
        <v>3143</v>
      </c>
      <c r="G23" s="145" t="s">
        <v>635</v>
      </c>
      <c r="H23" s="205" t="s">
        <v>283</v>
      </c>
      <c r="I23" s="126">
        <f t="shared" si="0"/>
        <v>4131899</v>
      </c>
      <c r="J23" s="325">
        <v>3042635</v>
      </c>
      <c r="K23" s="127">
        <f t="shared" si="25"/>
        <v>1028411</v>
      </c>
      <c r="L23" s="477">
        <f t="shared" si="13"/>
        <v>60853</v>
      </c>
      <c r="M23" s="479">
        <v>0</v>
      </c>
      <c r="N23" s="390">
        <f t="shared" si="3"/>
        <v>6.29</v>
      </c>
      <c r="O23" s="22">
        <v>6.29</v>
      </c>
      <c r="P23" s="641">
        <v>0</v>
      </c>
      <c r="Q23" s="387">
        <f t="shared" si="14"/>
        <v>-28000</v>
      </c>
      <c r="R23" s="130">
        <v>0</v>
      </c>
      <c r="S23" s="130">
        <v>0</v>
      </c>
      <c r="T23" s="130">
        <v>0</v>
      </c>
      <c r="U23" s="130">
        <f t="shared" si="31"/>
        <v>-28000</v>
      </c>
      <c r="V23" s="130">
        <v>28000</v>
      </c>
      <c r="W23" s="130">
        <v>0</v>
      </c>
      <c r="X23" s="130">
        <v>0</v>
      </c>
      <c r="Y23" s="130">
        <f t="shared" si="32"/>
        <v>28000</v>
      </c>
      <c r="Z23" s="130">
        <f t="shared" si="33"/>
        <v>0</v>
      </c>
      <c r="AA23" s="316">
        <f t="shared" si="15"/>
        <v>0</v>
      </c>
      <c r="AB23" s="131">
        <f t="shared" si="34"/>
        <v>-560</v>
      </c>
      <c r="AC23" s="130">
        <v>0</v>
      </c>
      <c r="AD23" s="130">
        <v>0</v>
      </c>
      <c r="AE23" s="130">
        <f t="shared" si="35"/>
        <v>0</v>
      </c>
      <c r="AF23" s="130">
        <f t="shared" si="36"/>
        <v>-560</v>
      </c>
      <c r="AG23" s="132">
        <v>-0.04</v>
      </c>
      <c r="AH23" s="132">
        <v>0</v>
      </c>
      <c r="AI23" s="132">
        <v>0</v>
      </c>
      <c r="AJ23" s="132">
        <v>0</v>
      </c>
      <c r="AK23" s="132">
        <v>0</v>
      </c>
      <c r="AL23" s="132">
        <f t="shared" si="37"/>
        <v>-0.04</v>
      </c>
      <c r="AM23" s="132">
        <f t="shared" si="38"/>
        <v>0</v>
      </c>
      <c r="AN23" s="403">
        <f t="shared" si="39"/>
        <v>-0.04</v>
      </c>
      <c r="AO23" s="128">
        <f t="shared" si="16"/>
        <v>4131339</v>
      </c>
      <c r="AP23" s="253">
        <f t="shared" si="17"/>
        <v>3014635</v>
      </c>
      <c r="AQ23" s="253">
        <f t="shared" si="18"/>
        <v>28000</v>
      </c>
      <c r="AR23" s="130">
        <f t="shared" si="19"/>
        <v>1028411</v>
      </c>
      <c r="AS23" s="130">
        <f t="shared" si="20"/>
        <v>60293</v>
      </c>
      <c r="AT23" s="253">
        <f t="shared" si="21"/>
        <v>0</v>
      </c>
      <c r="AU23" s="132">
        <f t="shared" si="22"/>
        <v>6.25</v>
      </c>
      <c r="AV23" s="132">
        <f t="shared" si="23"/>
        <v>6.25</v>
      </c>
      <c r="AW23" s="133">
        <f t="shared" si="24"/>
        <v>0</v>
      </c>
    </row>
    <row r="24" spans="1:49" s="196" customFormat="1" ht="14.1" customHeight="1" x14ac:dyDescent="0.2">
      <c r="A24" s="241">
        <v>3</v>
      </c>
      <c r="B24" s="143">
        <v>2448</v>
      </c>
      <c r="C24" s="537">
        <v>600080269</v>
      </c>
      <c r="D24" s="143">
        <v>63154617</v>
      </c>
      <c r="E24" s="145" t="s">
        <v>754</v>
      </c>
      <c r="F24" s="206">
        <v>3143</v>
      </c>
      <c r="G24" s="145" t="s">
        <v>636</v>
      </c>
      <c r="H24" s="205" t="s">
        <v>284</v>
      </c>
      <c r="I24" s="126">
        <f t="shared" si="0"/>
        <v>145357</v>
      </c>
      <c r="J24" s="664">
        <v>102465</v>
      </c>
      <c r="K24" s="127">
        <f t="shared" ref="K24" si="42">ROUND(J24*33.8%,0)</f>
        <v>34633</v>
      </c>
      <c r="L24" s="477">
        <f t="shared" ref="L24" si="43">ROUND(J24*2%,0)</f>
        <v>2049</v>
      </c>
      <c r="M24" s="664">
        <v>6210</v>
      </c>
      <c r="N24" s="390">
        <f t="shared" si="3"/>
        <v>0.43</v>
      </c>
      <c r="O24" s="665">
        <v>0</v>
      </c>
      <c r="P24" s="667">
        <v>0.43</v>
      </c>
      <c r="Q24" s="387">
        <f t="shared" si="14"/>
        <v>0</v>
      </c>
      <c r="R24" s="130">
        <v>0</v>
      </c>
      <c r="S24" s="130">
        <v>0</v>
      </c>
      <c r="T24" s="130">
        <v>0</v>
      </c>
      <c r="U24" s="130">
        <f t="shared" si="31"/>
        <v>0</v>
      </c>
      <c r="V24" s="130">
        <v>0</v>
      </c>
      <c r="W24" s="130">
        <v>0</v>
      </c>
      <c r="X24" s="130">
        <v>0</v>
      </c>
      <c r="Y24" s="130">
        <f t="shared" si="32"/>
        <v>0</v>
      </c>
      <c r="Z24" s="130">
        <f t="shared" si="33"/>
        <v>0</v>
      </c>
      <c r="AA24" s="316">
        <f t="shared" si="15"/>
        <v>0</v>
      </c>
      <c r="AB24" s="131">
        <f t="shared" si="34"/>
        <v>0</v>
      </c>
      <c r="AC24" s="130">
        <v>0</v>
      </c>
      <c r="AD24" s="130">
        <v>0</v>
      </c>
      <c r="AE24" s="130">
        <f t="shared" si="35"/>
        <v>0</v>
      </c>
      <c r="AF24" s="130">
        <f t="shared" si="36"/>
        <v>0</v>
      </c>
      <c r="AG24" s="132">
        <v>0</v>
      </c>
      <c r="AH24" s="132">
        <v>0</v>
      </c>
      <c r="AI24" s="132">
        <v>0</v>
      </c>
      <c r="AJ24" s="132">
        <v>0</v>
      </c>
      <c r="AK24" s="132">
        <v>0</v>
      </c>
      <c r="AL24" s="132">
        <f t="shared" si="37"/>
        <v>0</v>
      </c>
      <c r="AM24" s="132">
        <f t="shared" si="38"/>
        <v>0</v>
      </c>
      <c r="AN24" s="403">
        <f t="shared" si="39"/>
        <v>0</v>
      </c>
      <c r="AO24" s="128">
        <f t="shared" si="16"/>
        <v>145357</v>
      </c>
      <c r="AP24" s="253">
        <f t="shared" si="17"/>
        <v>102465</v>
      </c>
      <c r="AQ24" s="253">
        <f t="shared" si="18"/>
        <v>0</v>
      </c>
      <c r="AR24" s="130">
        <f t="shared" si="19"/>
        <v>34633</v>
      </c>
      <c r="AS24" s="130">
        <f t="shared" si="20"/>
        <v>2049</v>
      </c>
      <c r="AT24" s="253">
        <f t="shared" si="21"/>
        <v>6210</v>
      </c>
      <c r="AU24" s="132">
        <f t="shared" si="22"/>
        <v>0.43</v>
      </c>
      <c r="AV24" s="132">
        <f t="shared" si="23"/>
        <v>0</v>
      </c>
      <c r="AW24" s="133">
        <f t="shared" si="24"/>
        <v>0.43</v>
      </c>
    </row>
    <row r="25" spans="1:49" s="196" customFormat="1" ht="14.1" customHeight="1" x14ac:dyDescent="0.2">
      <c r="A25" s="241">
        <v>3</v>
      </c>
      <c r="B25" s="191">
        <v>2448</v>
      </c>
      <c r="C25" s="212">
        <v>600080269</v>
      </c>
      <c r="D25" s="143">
        <v>63154617</v>
      </c>
      <c r="E25" s="193" t="s">
        <v>754</v>
      </c>
      <c r="F25" s="194">
        <v>3231</v>
      </c>
      <c r="G25" s="145" t="s">
        <v>322</v>
      </c>
      <c r="H25" s="205" t="s">
        <v>283</v>
      </c>
      <c r="I25" s="126">
        <f t="shared" si="0"/>
        <v>8016024</v>
      </c>
      <c r="J25" s="478">
        <v>5883081</v>
      </c>
      <c r="K25" s="127">
        <f t="shared" si="25"/>
        <v>1988481</v>
      </c>
      <c r="L25" s="477">
        <f t="shared" si="13"/>
        <v>117662</v>
      </c>
      <c r="M25" s="479">
        <v>26800</v>
      </c>
      <c r="N25" s="390">
        <f t="shared" si="3"/>
        <v>11.3995</v>
      </c>
      <c r="O25" s="647">
        <v>10.1158</v>
      </c>
      <c r="P25" s="639">
        <v>1.2837000000000001</v>
      </c>
      <c r="Q25" s="387">
        <f t="shared" si="14"/>
        <v>-91200</v>
      </c>
      <c r="R25" s="253">
        <v>0</v>
      </c>
      <c r="S25" s="253">
        <v>0</v>
      </c>
      <c r="T25" s="253">
        <v>0</v>
      </c>
      <c r="U25" s="130">
        <f t="shared" si="31"/>
        <v>-91200</v>
      </c>
      <c r="V25" s="130">
        <v>91200</v>
      </c>
      <c r="W25" s="130">
        <v>0</v>
      </c>
      <c r="X25" s="130">
        <v>0</v>
      </c>
      <c r="Y25" s="130">
        <f t="shared" si="32"/>
        <v>91200</v>
      </c>
      <c r="Z25" s="130">
        <f t="shared" si="33"/>
        <v>0</v>
      </c>
      <c r="AA25" s="316">
        <f t="shared" si="15"/>
        <v>0</v>
      </c>
      <c r="AB25" s="131">
        <f t="shared" si="34"/>
        <v>-1824</v>
      </c>
      <c r="AC25" s="130">
        <v>0</v>
      </c>
      <c r="AD25" s="130">
        <v>0</v>
      </c>
      <c r="AE25" s="130">
        <f t="shared" si="35"/>
        <v>0</v>
      </c>
      <c r="AF25" s="130">
        <f t="shared" si="36"/>
        <v>-1824</v>
      </c>
      <c r="AG25" s="132">
        <v>-0.13</v>
      </c>
      <c r="AH25" s="132">
        <v>-0.12</v>
      </c>
      <c r="AI25" s="132">
        <v>0</v>
      </c>
      <c r="AJ25" s="132">
        <v>0</v>
      </c>
      <c r="AK25" s="132">
        <v>0</v>
      </c>
      <c r="AL25" s="132">
        <f t="shared" si="37"/>
        <v>-0.13</v>
      </c>
      <c r="AM25" s="132">
        <f t="shared" si="38"/>
        <v>-0.12</v>
      </c>
      <c r="AN25" s="403">
        <f t="shared" si="39"/>
        <v>-0.25</v>
      </c>
      <c r="AO25" s="128">
        <f t="shared" si="16"/>
        <v>8014200</v>
      </c>
      <c r="AP25" s="253">
        <f t="shared" si="17"/>
        <v>5791881</v>
      </c>
      <c r="AQ25" s="253">
        <f t="shared" si="18"/>
        <v>91200</v>
      </c>
      <c r="AR25" s="130">
        <f t="shared" si="19"/>
        <v>1988481</v>
      </c>
      <c r="AS25" s="130">
        <f t="shared" si="20"/>
        <v>115838</v>
      </c>
      <c r="AT25" s="253">
        <f t="shared" si="21"/>
        <v>26800</v>
      </c>
      <c r="AU25" s="132">
        <f t="shared" si="22"/>
        <v>11.1495</v>
      </c>
      <c r="AV25" s="132">
        <f t="shared" si="23"/>
        <v>9.9857999999999993</v>
      </c>
      <c r="AW25" s="133">
        <f t="shared" si="24"/>
        <v>1.1637</v>
      </c>
    </row>
    <row r="26" spans="1:49" s="196" customFormat="1" ht="14.1" customHeight="1" x14ac:dyDescent="0.2">
      <c r="A26" s="241">
        <v>3</v>
      </c>
      <c r="B26" s="191">
        <v>2448</v>
      </c>
      <c r="C26" s="212">
        <v>600080269</v>
      </c>
      <c r="D26" s="143">
        <v>63154617</v>
      </c>
      <c r="E26" s="193" t="s">
        <v>754</v>
      </c>
      <c r="F26" s="194">
        <v>3233</v>
      </c>
      <c r="G26" s="143" t="s">
        <v>324</v>
      </c>
      <c r="H26" s="195" t="s">
        <v>284</v>
      </c>
      <c r="I26" s="126">
        <f t="shared" si="0"/>
        <v>2144137</v>
      </c>
      <c r="J26" s="478">
        <v>1568130</v>
      </c>
      <c r="K26" s="127">
        <f t="shared" si="25"/>
        <v>530028</v>
      </c>
      <c r="L26" s="477">
        <f t="shared" si="13"/>
        <v>31363</v>
      </c>
      <c r="M26" s="479">
        <v>14616</v>
      </c>
      <c r="N26" s="390">
        <f t="shared" si="3"/>
        <v>3.46</v>
      </c>
      <c r="O26" s="640">
        <v>2.5499999999999998</v>
      </c>
      <c r="P26" s="641">
        <v>0.91</v>
      </c>
      <c r="Q26" s="387">
        <f t="shared" si="14"/>
        <v>-6400</v>
      </c>
      <c r="R26" s="253">
        <v>0</v>
      </c>
      <c r="S26" s="253">
        <v>0</v>
      </c>
      <c r="T26" s="253">
        <v>0</v>
      </c>
      <c r="U26" s="130">
        <f t="shared" si="31"/>
        <v>-6400</v>
      </c>
      <c r="V26" s="130">
        <v>6400</v>
      </c>
      <c r="W26" s="130">
        <v>0</v>
      </c>
      <c r="X26" s="130">
        <v>0</v>
      </c>
      <c r="Y26" s="130">
        <f t="shared" si="32"/>
        <v>6400</v>
      </c>
      <c r="Z26" s="130">
        <f t="shared" si="33"/>
        <v>0</v>
      </c>
      <c r="AA26" s="316">
        <f t="shared" si="15"/>
        <v>0</v>
      </c>
      <c r="AB26" s="131">
        <f t="shared" si="34"/>
        <v>-128</v>
      </c>
      <c r="AC26" s="130">
        <v>0</v>
      </c>
      <c r="AD26" s="130">
        <v>0</v>
      </c>
      <c r="AE26" s="130">
        <f t="shared" si="35"/>
        <v>0</v>
      </c>
      <c r="AF26" s="130">
        <f t="shared" si="36"/>
        <v>-128</v>
      </c>
      <c r="AG26" s="132">
        <v>-0.01</v>
      </c>
      <c r="AH26" s="132">
        <v>0</v>
      </c>
      <c r="AI26" s="132">
        <v>0</v>
      </c>
      <c r="AJ26" s="132">
        <v>0</v>
      </c>
      <c r="AK26" s="132">
        <v>0</v>
      </c>
      <c r="AL26" s="132">
        <f t="shared" si="37"/>
        <v>-0.01</v>
      </c>
      <c r="AM26" s="132">
        <f t="shared" si="38"/>
        <v>0</v>
      </c>
      <c r="AN26" s="403">
        <f t="shared" si="39"/>
        <v>-0.01</v>
      </c>
      <c r="AO26" s="128">
        <f t="shared" si="16"/>
        <v>2144009</v>
      </c>
      <c r="AP26" s="253">
        <f t="shared" si="17"/>
        <v>1561730</v>
      </c>
      <c r="AQ26" s="253">
        <f t="shared" si="18"/>
        <v>6400</v>
      </c>
      <c r="AR26" s="130">
        <f t="shared" si="19"/>
        <v>530028</v>
      </c>
      <c r="AS26" s="130">
        <f t="shared" si="20"/>
        <v>31235</v>
      </c>
      <c r="AT26" s="253">
        <f t="shared" si="21"/>
        <v>14616</v>
      </c>
      <c r="AU26" s="132">
        <f t="shared" si="22"/>
        <v>3.45</v>
      </c>
      <c r="AV26" s="132">
        <f t="shared" si="23"/>
        <v>2.54</v>
      </c>
      <c r="AW26" s="133">
        <f t="shared" si="24"/>
        <v>0.91</v>
      </c>
    </row>
    <row r="27" spans="1:49" s="196" customFormat="1" ht="14.1" customHeight="1" x14ac:dyDescent="0.2">
      <c r="A27" s="242">
        <v>3</v>
      </c>
      <c r="B27" s="198">
        <v>2448</v>
      </c>
      <c r="C27" s="213">
        <v>600080269</v>
      </c>
      <c r="D27" s="198">
        <v>63154617</v>
      </c>
      <c r="E27" s="200" t="s">
        <v>755</v>
      </c>
      <c r="F27" s="201"/>
      <c r="G27" s="202"/>
      <c r="H27" s="203"/>
      <c r="I27" s="197">
        <f t="shared" ref="I27:P27" si="44">SUM(I19:I26)</f>
        <v>89306864</v>
      </c>
      <c r="J27" s="357">
        <f t="shared" si="44"/>
        <v>64644912</v>
      </c>
      <c r="K27" s="357">
        <f t="shared" si="44"/>
        <v>21849980</v>
      </c>
      <c r="L27" s="357">
        <f t="shared" si="44"/>
        <v>1292898</v>
      </c>
      <c r="M27" s="357">
        <f t="shared" si="44"/>
        <v>1519074</v>
      </c>
      <c r="N27" s="678">
        <f t="shared" si="44"/>
        <v>131.10700000000003</v>
      </c>
      <c r="O27" s="678">
        <f t="shared" si="44"/>
        <v>98.2958</v>
      </c>
      <c r="P27" s="679">
        <f t="shared" si="44"/>
        <v>32.811199999999992</v>
      </c>
      <c r="Q27" s="357">
        <f t="shared" ref="Q27:AW27" si="45">SUM(Q19:Q26)</f>
        <v>-440000</v>
      </c>
      <c r="R27" s="209">
        <f t="shared" si="45"/>
        <v>5261183</v>
      </c>
      <c r="S27" s="209">
        <f t="shared" si="45"/>
        <v>0</v>
      </c>
      <c r="T27" s="209">
        <f t="shared" si="45"/>
        <v>0</v>
      </c>
      <c r="U27" s="209">
        <f t="shared" si="45"/>
        <v>4821183</v>
      </c>
      <c r="V27" s="209">
        <f t="shared" si="45"/>
        <v>440000</v>
      </c>
      <c r="W27" s="209">
        <f t="shared" ref="W27" si="46">SUM(W19:W26)</f>
        <v>0</v>
      </c>
      <c r="X27" s="209">
        <f t="shared" si="45"/>
        <v>0</v>
      </c>
      <c r="Y27" s="209">
        <f t="shared" si="45"/>
        <v>440000</v>
      </c>
      <c r="Z27" s="209">
        <f t="shared" si="45"/>
        <v>5261183</v>
      </c>
      <c r="AA27" s="209">
        <f t="shared" si="45"/>
        <v>1778280</v>
      </c>
      <c r="AB27" s="209">
        <f t="shared" si="45"/>
        <v>96424</v>
      </c>
      <c r="AC27" s="209">
        <f t="shared" si="45"/>
        <v>19750</v>
      </c>
      <c r="AD27" s="209">
        <f t="shared" si="45"/>
        <v>0</v>
      </c>
      <c r="AE27" s="209">
        <f t="shared" si="45"/>
        <v>19750</v>
      </c>
      <c r="AF27" s="209">
        <f t="shared" si="45"/>
        <v>7155637</v>
      </c>
      <c r="AG27" s="210">
        <f t="shared" si="45"/>
        <v>-0.28000000000000003</v>
      </c>
      <c r="AH27" s="210">
        <f t="shared" si="45"/>
        <v>-0.27</v>
      </c>
      <c r="AI27" s="210">
        <f t="shared" si="45"/>
        <v>15.4</v>
      </c>
      <c r="AJ27" s="210">
        <f t="shared" si="45"/>
        <v>0</v>
      </c>
      <c r="AK27" s="210">
        <f t="shared" si="45"/>
        <v>0</v>
      </c>
      <c r="AL27" s="210">
        <f t="shared" si="45"/>
        <v>15.120000000000001</v>
      </c>
      <c r="AM27" s="210">
        <f t="shared" si="45"/>
        <v>-0.27</v>
      </c>
      <c r="AN27" s="383">
        <f t="shared" si="45"/>
        <v>14.850000000000001</v>
      </c>
      <c r="AO27" s="692">
        <f t="shared" si="45"/>
        <v>96462501</v>
      </c>
      <c r="AP27" s="685">
        <f t="shared" si="45"/>
        <v>69466095</v>
      </c>
      <c r="AQ27" s="685">
        <f t="shared" si="45"/>
        <v>440000</v>
      </c>
      <c r="AR27" s="685">
        <f t="shared" si="45"/>
        <v>23628260</v>
      </c>
      <c r="AS27" s="685">
        <f t="shared" si="45"/>
        <v>1389322</v>
      </c>
      <c r="AT27" s="685">
        <f t="shared" si="45"/>
        <v>1538824</v>
      </c>
      <c r="AU27" s="383">
        <f t="shared" si="45"/>
        <v>145.95699999999999</v>
      </c>
      <c r="AV27" s="383">
        <f t="shared" si="45"/>
        <v>113.4158</v>
      </c>
      <c r="AW27" s="211">
        <f t="shared" si="45"/>
        <v>32.541199999999996</v>
      </c>
    </row>
    <row r="28" spans="1:49" s="196" customFormat="1" ht="14.1" customHeight="1" x14ac:dyDescent="0.2">
      <c r="A28" s="241">
        <v>4</v>
      </c>
      <c r="B28" s="207">
        <v>2450</v>
      </c>
      <c r="C28" s="212">
        <v>600080234</v>
      </c>
      <c r="D28" s="143">
        <v>72745045</v>
      </c>
      <c r="E28" s="193" t="s">
        <v>756</v>
      </c>
      <c r="F28" s="194">
        <v>3111</v>
      </c>
      <c r="G28" s="145" t="s">
        <v>317</v>
      </c>
      <c r="H28" s="205" t="s">
        <v>283</v>
      </c>
      <c r="I28" s="126">
        <f t="shared" si="0"/>
        <v>1326697</v>
      </c>
      <c r="J28" s="127">
        <v>972310</v>
      </c>
      <c r="K28" s="127">
        <f t="shared" si="25"/>
        <v>328641</v>
      </c>
      <c r="L28" s="477">
        <f t="shared" si="13"/>
        <v>19446</v>
      </c>
      <c r="M28" s="127">
        <v>6300</v>
      </c>
      <c r="N28" s="390">
        <f t="shared" si="3"/>
        <v>2.4609000000000001</v>
      </c>
      <c r="O28" s="390">
        <v>2</v>
      </c>
      <c r="P28" s="439">
        <v>0.46089999999999998</v>
      </c>
      <c r="Q28" s="387">
        <f t="shared" si="14"/>
        <v>-20000</v>
      </c>
      <c r="R28" s="253">
        <v>0</v>
      </c>
      <c r="S28" s="253">
        <v>0</v>
      </c>
      <c r="T28" s="253">
        <v>0</v>
      </c>
      <c r="U28" s="130">
        <f t="shared" ref="U28:U33" si="47">SUM(Q28:T28)</f>
        <v>-20000</v>
      </c>
      <c r="V28" s="130">
        <v>20000</v>
      </c>
      <c r="W28" s="130">
        <v>0</v>
      </c>
      <c r="X28" s="130">
        <v>0</v>
      </c>
      <c r="Y28" s="130">
        <f t="shared" ref="Y28:Y33" si="48">SUM(V28:X28)</f>
        <v>20000</v>
      </c>
      <c r="Z28" s="130">
        <f t="shared" ref="Z28:Z33" si="49">U28+Y28</f>
        <v>0</v>
      </c>
      <c r="AA28" s="316">
        <f t="shared" si="15"/>
        <v>0</v>
      </c>
      <c r="AB28" s="131">
        <f t="shared" ref="AB28:AB33" si="50">ROUND(U28*2%,0)</f>
        <v>-400</v>
      </c>
      <c r="AC28" s="130">
        <v>0</v>
      </c>
      <c r="AD28" s="130">
        <v>0</v>
      </c>
      <c r="AE28" s="130">
        <f t="shared" ref="AE28:AE33" si="51">SUM(AC28:AD28)</f>
        <v>0</v>
      </c>
      <c r="AF28" s="130">
        <f t="shared" ref="AF28:AF33" si="52">Z28+AA28+AB28+AE28</f>
        <v>-400</v>
      </c>
      <c r="AG28" s="132">
        <v>0</v>
      </c>
      <c r="AH28" s="132">
        <v>0</v>
      </c>
      <c r="AI28" s="132">
        <v>0</v>
      </c>
      <c r="AJ28" s="132">
        <v>0</v>
      </c>
      <c r="AK28" s="132">
        <v>0</v>
      </c>
      <c r="AL28" s="132">
        <f t="shared" ref="AL28:AL33" si="53">AG28+AI28+AJ28</f>
        <v>0</v>
      </c>
      <c r="AM28" s="132">
        <f t="shared" ref="AM28:AM33" si="54">AH28+AK28</f>
        <v>0</v>
      </c>
      <c r="AN28" s="403">
        <f t="shared" ref="AN28:AN33" si="55">SUM(AL28:AM28)</f>
        <v>0</v>
      </c>
      <c r="AO28" s="128">
        <f t="shared" si="16"/>
        <v>1326297</v>
      </c>
      <c r="AP28" s="253">
        <f t="shared" si="17"/>
        <v>952310</v>
      </c>
      <c r="AQ28" s="253">
        <f t="shared" si="18"/>
        <v>20000</v>
      </c>
      <c r="AR28" s="130">
        <f t="shared" si="19"/>
        <v>328641</v>
      </c>
      <c r="AS28" s="130">
        <f t="shared" si="20"/>
        <v>19046</v>
      </c>
      <c r="AT28" s="253">
        <f t="shared" si="21"/>
        <v>6300</v>
      </c>
      <c r="AU28" s="132">
        <f t="shared" si="22"/>
        <v>2.4609000000000001</v>
      </c>
      <c r="AV28" s="132">
        <f t="shared" si="23"/>
        <v>2</v>
      </c>
      <c r="AW28" s="133">
        <f t="shared" si="24"/>
        <v>0.46089999999999998</v>
      </c>
    </row>
    <row r="29" spans="1:49" s="196" customFormat="1" ht="14.1" customHeight="1" x14ac:dyDescent="0.2">
      <c r="A29" s="241">
        <v>4</v>
      </c>
      <c r="B29" s="214">
        <v>2450</v>
      </c>
      <c r="C29" s="212">
        <v>600080234</v>
      </c>
      <c r="D29" s="143">
        <v>72745045</v>
      </c>
      <c r="E29" s="214" t="s">
        <v>756</v>
      </c>
      <c r="F29" s="215">
        <v>3117</v>
      </c>
      <c r="G29" s="214" t="s">
        <v>335</v>
      </c>
      <c r="H29" s="205" t="s">
        <v>283</v>
      </c>
      <c r="I29" s="126">
        <f t="shared" si="0"/>
        <v>2444929</v>
      </c>
      <c r="J29" s="477">
        <v>1780243</v>
      </c>
      <c r="K29" s="127">
        <v>601721</v>
      </c>
      <c r="L29" s="477">
        <f t="shared" si="13"/>
        <v>35605</v>
      </c>
      <c r="M29" s="477">
        <v>27360</v>
      </c>
      <c r="N29" s="390">
        <f t="shared" si="3"/>
        <v>3.6206</v>
      </c>
      <c r="O29" s="645">
        <v>2.5909</v>
      </c>
      <c r="P29" s="646">
        <v>1.0297000000000001</v>
      </c>
      <c r="Q29" s="387">
        <f t="shared" si="14"/>
        <v>-4000</v>
      </c>
      <c r="R29" s="253">
        <v>0</v>
      </c>
      <c r="S29" s="253">
        <v>0</v>
      </c>
      <c r="T29" s="253">
        <v>0</v>
      </c>
      <c r="U29" s="130">
        <f t="shared" si="47"/>
        <v>-4000</v>
      </c>
      <c r="V29" s="130">
        <v>4000</v>
      </c>
      <c r="W29" s="130">
        <v>0</v>
      </c>
      <c r="X29" s="130">
        <v>0</v>
      </c>
      <c r="Y29" s="130">
        <f t="shared" si="48"/>
        <v>4000</v>
      </c>
      <c r="Z29" s="130">
        <f t="shared" si="49"/>
        <v>0</v>
      </c>
      <c r="AA29" s="316">
        <f t="shared" si="15"/>
        <v>0</v>
      </c>
      <c r="AB29" s="131">
        <f t="shared" si="50"/>
        <v>-80</v>
      </c>
      <c r="AC29" s="130">
        <v>0</v>
      </c>
      <c r="AD29" s="130">
        <v>0</v>
      </c>
      <c r="AE29" s="130">
        <f t="shared" si="51"/>
        <v>0</v>
      </c>
      <c r="AF29" s="130">
        <f t="shared" si="52"/>
        <v>-80</v>
      </c>
      <c r="AG29" s="132">
        <v>0</v>
      </c>
      <c r="AH29" s="132">
        <v>0</v>
      </c>
      <c r="AI29" s="132">
        <v>0</v>
      </c>
      <c r="AJ29" s="132">
        <v>0</v>
      </c>
      <c r="AK29" s="132">
        <v>0</v>
      </c>
      <c r="AL29" s="132">
        <f t="shared" si="53"/>
        <v>0</v>
      </c>
      <c r="AM29" s="132">
        <f t="shared" si="54"/>
        <v>0</v>
      </c>
      <c r="AN29" s="403">
        <f t="shared" si="55"/>
        <v>0</v>
      </c>
      <c r="AO29" s="128">
        <f t="shared" si="16"/>
        <v>2444849</v>
      </c>
      <c r="AP29" s="253">
        <f t="shared" si="17"/>
        <v>1776243</v>
      </c>
      <c r="AQ29" s="253">
        <f t="shared" si="18"/>
        <v>4000</v>
      </c>
      <c r="AR29" s="130">
        <f t="shared" si="19"/>
        <v>601721</v>
      </c>
      <c r="AS29" s="130">
        <f t="shared" si="20"/>
        <v>35525</v>
      </c>
      <c r="AT29" s="253">
        <f t="shared" si="21"/>
        <v>27360</v>
      </c>
      <c r="AU29" s="132">
        <f t="shared" si="22"/>
        <v>3.6206</v>
      </c>
      <c r="AV29" s="132">
        <f t="shared" si="23"/>
        <v>2.5909</v>
      </c>
      <c r="AW29" s="133">
        <f t="shared" si="24"/>
        <v>1.0297000000000001</v>
      </c>
    </row>
    <row r="30" spans="1:49" s="196" customFormat="1" ht="14.1" customHeight="1" x14ac:dyDescent="0.2">
      <c r="A30" s="241">
        <v>4</v>
      </c>
      <c r="B30" s="207">
        <v>2450</v>
      </c>
      <c r="C30" s="212">
        <v>600080234</v>
      </c>
      <c r="D30" s="143">
        <v>72745045</v>
      </c>
      <c r="E30" s="208" t="s">
        <v>756</v>
      </c>
      <c r="F30" s="194">
        <v>3117</v>
      </c>
      <c r="G30" s="143" t="s">
        <v>318</v>
      </c>
      <c r="H30" s="205" t="s">
        <v>284</v>
      </c>
      <c r="I30" s="126">
        <f t="shared" si="0"/>
        <v>0</v>
      </c>
      <c r="J30" s="325">
        <v>0</v>
      </c>
      <c r="K30" s="127">
        <f t="shared" si="25"/>
        <v>0</v>
      </c>
      <c r="L30" s="477">
        <f t="shared" si="13"/>
        <v>0</v>
      </c>
      <c r="M30" s="325">
        <v>0</v>
      </c>
      <c r="N30" s="390">
        <f t="shared" si="3"/>
        <v>0</v>
      </c>
      <c r="O30" s="640">
        <v>0</v>
      </c>
      <c r="P30" s="641">
        <v>0</v>
      </c>
      <c r="Q30" s="387">
        <f t="shared" si="14"/>
        <v>0</v>
      </c>
      <c r="R30" s="253">
        <v>369579</v>
      </c>
      <c r="S30" s="253">
        <v>0</v>
      </c>
      <c r="T30" s="253">
        <v>0</v>
      </c>
      <c r="U30" s="130">
        <f t="shared" si="47"/>
        <v>369579</v>
      </c>
      <c r="V30" s="130">
        <v>0</v>
      </c>
      <c r="W30" s="130">
        <v>0</v>
      </c>
      <c r="X30" s="130">
        <v>0</v>
      </c>
      <c r="Y30" s="130">
        <f t="shared" si="48"/>
        <v>0</v>
      </c>
      <c r="Z30" s="130">
        <f t="shared" si="49"/>
        <v>369579</v>
      </c>
      <c r="AA30" s="316">
        <f t="shared" si="15"/>
        <v>124918</v>
      </c>
      <c r="AB30" s="131">
        <f t="shared" si="50"/>
        <v>7392</v>
      </c>
      <c r="AC30" s="130">
        <v>17500</v>
      </c>
      <c r="AD30" s="130">
        <v>0</v>
      </c>
      <c r="AE30" s="130">
        <f t="shared" si="51"/>
        <v>17500</v>
      </c>
      <c r="AF30" s="130">
        <f t="shared" si="52"/>
        <v>519389</v>
      </c>
      <c r="AG30" s="132">
        <v>0</v>
      </c>
      <c r="AH30" s="132">
        <v>0</v>
      </c>
      <c r="AI30" s="132">
        <v>1.05</v>
      </c>
      <c r="AJ30" s="132">
        <v>0</v>
      </c>
      <c r="AK30" s="132">
        <v>0</v>
      </c>
      <c r="AL30" s="132">
        <f t="shared" si="53"/>
        <v>1.05</v>
      </c>
      <c r="AM30" s="132">
        <f t="shared" si="54"/>
        <v>0</v>
      </c>
      <c r="AN30" s="403">
        <f t="shared" si="55"/>
        <v>1.05</v>
      </c>
      <c r="AO30" s="128">
        <f t="shared" si="16"/>
        <v>519389</v>
      </c>
      <c r="AP30" s="253">
        <f t="shared" si="17"/>
        <v>369579</v>
      </c>
      <c r="AQ30" s="253">
        <f t="shared" si="18"/>
        <v>0</v>
      </c>
      <c r="AR30" s="130">
        <f t="shared" si="19"/>
        <v>124918</v>
      </c>
      <c r="AS30" s="130">
        <f t="shared" si="20"/>
        <v>7392</v>
      </c>
      <c r="AT30" s="253">
        <f t="shared" si="21"/>
        <v>17500</v>
      </c>
      <c r="AU30" s="132">
        <f t="shared" si="22"/>
        <v>1.05</v>
      </c>
      <c r="AV30" s="132">
        <f t="shared" si="23"/>
        <v>1.05</v>
      </c>
      <c r="AW30" s="133">
        <f t="shared" si="24"/>
        <v>0</v>
      </c>
    </row>
    <row r="31" spans="1:49" s="196" customFormat="1" ht="14.1" customHeight="1" x14ac:dyDescent="0.2">
      <c r="A31" s="241">
        <v>4</v>
      </c>
      <c r="B31" s="191">
        <v>2450</v>
      </c>
      <c r="C31" s="212">
        <v>600080234</v>
      </c>
      <c r="D31" s="143">
        <v>72745045</v>
      </c>
      <c r="E31" s="193" t="s">
        <v>756</v>
      </c>
      <c r="F31" s="194">
        <v>3141</v>
      </c>
      <c r="G31" s="145" t="s">
        <v>321</v>
      </c>
      <c r="H31" s="205" t="s">
        <v>284</v>
      </c>
      <c r="I31" s="126">
        <f t="shared" si="0"/>
        <v>450899</v>
      </c>
      <c r="J31" s="666">
        <v>330665</v>
      </c>
      <c r="K31" s="127">
        <f t="shared" ref="K31" si="56">ROUND(J31*33.8%,0)</f>
        <v>111765</v>
      </c>
      <c r="L31" s="477">
        <f t="shared" ref="L31" si="57">ROUND(J31*2%,0)</f>
        <v>6613</v>
      </c>
      <c r="M31" s="666">
        <v>1856</v>
      </c>
      <c r="N31" s="390">
        <f t="shared" si="3"/>
        <v>1.1200000000000001</v>
      </c>
      <c r="O31" s="669">
        <v>0</v>
      </c>
      <c r="P31" s="667">
        <v>1.1200000000000001</v>
      </c>
      <c r="Q31" s="387">
        <f t="shared" si="14"/>
        <v>-16000</v>
      </c>
      <c r="R31" s="253">
        <v>0</v>
      </c>
      <c r="S31" s="253">
        <v>0</v>
      </c>
      <c r="T31" s="253">
        <v>0</v>
      </c>
      <c r="U31" s="130">
        <f t="shared" si="47"/>
        <v>-16000</v>
      </c>
      <c r="V31" s="130">
        <v>16000</v>
      </c>
      <c r="W31" s="130">
        <v>0</v>
      </c>
      <c r="X31" s="130">
        <v>0</v>
      </c>
      <c r="Y31" s="130">
        <f t="shared" si="48"/>
        <v>16000</v>
      </c>
      <c r="Z31" s="130">
        <f t="shared" si="49"/>
        <v>0</v>
      </c>
      <c r="AA31" s="316">
        <f t="shared" si="15"/>
        <v>0</v>
      </c>
      <c r="AB31" s="131">
        <f t="shared" si="50"/>
        <v>-320</v>
      </c>
      <c r="AC31" s="130">
        <v>0</v>
      </c>
      <c r="AD31" s="130">
        <v>0</v>
      </c>
      <c r="AE31" s="130">
        <f t="shared" si="51"/>
        <v>0</v>
      </c>
      <c r="AF31" s="130">
        <f t="shared" si="52"/>
        <v>-320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f t="shared" si="53"/>
        <v>0</v>
      </c>
      <c r="AM31" s="132">
        <f t="shared" si="54"/>
        <v>0</v>
      </c>
      <c r="AN31" s="403">
        <f t="shared" si="55"/>
        <v>0</v>
      </c>
      <c r="AO31" s="128">
        <f t="shared" si="16"/>
        <v>450579</v>
      </c>
      <c r="AP31" s="253">
        <f t="shared" si="17"/>
        <v>314665</v>
      </c>
      <c r="AQ31" s="253">
        <f t="shared" si="18"/>
        <v>16000</v>
      </c>
      <c r="AR31" s="130">
        <f t="shared" si="19"/>
        <v>111765</v>
      </c>
      <c r="AS31" s="130">
        <f t="shared" si="20"/>
        <v>6293</v>
      </c>
      <c r="AT31" s="253">
        <f t="shared" si="21"/>
        <v>1856</v>
      </c>
      <c r="AU31" s="132">
        <f t="shared" si="22"/>
        <v>1.1200000000000001</v>
      </c>
      <c r="AV31" s="132">
        <f t="shared" si="23"/>
        <v>0</v>
      </c>
      <c r="AW31" s="133">
        <f t="shared" si="24"/>
        <v>1.1200000000000001</v>
      </c>
    </row>
    <row r="32" spans="1:49" s="196" customFormat="1" ht="14.1" customHeight="1" x14ac:dyDescent="0.2">
      <c r="A32" s="241">
        <v>4</v>
      </c>
      <c r="B32" s="143">
        <v>2450</v>
      </c>
      <c r="C32" s="537">
        <v>600080234</v>
      </c>
      <c r="D32" s="143">
        <v>72745045</v>
      </c>
      <c r="E32" s="145" t="s">
        <v>756</v>
      </c>
      <c r="F32" s="206">
        <v>3143</v>
      </c>
      <c r="G32" s="145" t="s">
        <v>635</v>
      </c>
      <c r="H32" s="205" t="s">
        <v>283</v>
      </c>
      <c r="I32" s="126">
        <f t="shared" si="0"/>
        <v>593710</v>
      </c>
      <c r="J32" s="29">
        <v>437194</v>
      </c>
      <c r="K32" s="127">
        <f t="shared" si="25"/>
        <v>147772</v>
      </c>
      <c r="L32" s="477">
        <f t="shared" si="13"/>
        <v>8744</v>
      </c>
      <c r="M32" s="479">
        <v>0</v>
      </c>
      <c r="N32" s="390">
        <f t="shared" si="3"/>
        <v>1</v>
      </c>
      <c r="O32" s="22">
        <v>1</v>
      </c>
      <c r="P32" s="641">
        <v>0</v>
      </c>
      <c r="Q32" s="387">
        <f t="shared" si="14"/>
        <v>0</v>
      </c>
      <c r="R32" s="130">
        <v>0</v>
      </c>
      <c r="S32" s="130">
        <v>0</v>
      </c>
      <c r="T32" s="130">
        <v>0</v>
      </c>
      <c r="U32" s="130">
        <f t="shared" si="47"/>
        <v>0</v>
      </c>
      <c r="V32" s="130">
        <v>0</v>
      </c>
      <c r="W32" s="130">
        <v>0</v>
      </c>
      <c r="X32" s="130">
        <v>0</v>
      </c>
      <c r="Y32" s="130">
        <f t="shared" si="48"/>
        <v>0</v>
      </c>
      <c r="Z32" s="130">
        <f t="shared" si="49"/>
        <v>0</v>
      </c>
      <c r="AA32" s="316">
        <f t="shared" si="15"/>
        <v>0</v>
      </c>
      <c r="AB32" s="131">
        <f t="shared" si="50"/>
        <v>0</v>
      </c>
      <c r="AC32" s="130">
        <v>0</v>
      </c>
      <c r="AD32" s="130">
        <v>0</v>
      </c>
      <c r="AE32" s="130">
        <f t="shared" si="51"/>
        <v>0</v>
      </c>
      <c r="AF32" s="130">
        <f t="shared" si="52"/>
        <v>0</v>
      </c>
      <c r="AG32" s="132">
        <v>0</v>
      </c>
      <c r="AH32" s="132">
        <v>0</v>
      </c>
      <c r="AI32" s="132">
        <v>0</v>
      </c>
      <c r="AJ32" s="132">
        <v>0</v>
      </c>
      <c r="AK32" s="132">
        <v>0</v>
      </c>
      <c r="AL32" s="132">
        <f t="shared" si="53"/>
        <v>0</v>
      </c>
      <c r="AM32" s="132">
        <f t="shared" si="54"/>
        <v>0</v>
      </c>
      <c r="AN32" s="403">
        <f t="shared" si="55"/>
        <v>0</v>
      </c>
      <c r="AO32" s="128">
        <f t="shared" si="16"/>
        <v>593710</v>
      </c>
      <c r="AP32" s="253">
        <f t="shared" si="17"/>
        <v>437194</v>
      </c>
      <c r="AQ32" s="253">
        <f t="shared" si="18"/>
        <v>0</v>
      </c>
      <c r="AR32" s="130">
        <f t="shared" si="19"/>
        <v>147772</v>
      </c>
      <c r="AS32" s="130">
        <f t="shared" si="20"/>
        <v>8744</v>
      </c>
      <c r="AT32" s="253">
        <f t="shared" si="21"/>
        <v>0</v>
      </c>
      <c r="AU32" s="132">
        <f t="shared" si="22"/>
        <v>1</v>
      </c>
      <c r="AV32" s="132">
        <f t="shared" si="23"/>
        <v>1</v>
      </c>
      <c r="AW32" s="133">
        <f t="shared" si="24"/>
        <v>0</v>
      </c>
    </row>
    <row r="33" spans="1:49" s="196" customFormat="1" ht="14.1" customHeight="1" x14ac:dyDescent="0.2">
      <c r="A33" s="241">
        <v>4</v>
      </c>
      <c r="B33" s="143">
        <v>2450</v>
      </c>
      <c r="C33" s="537">
        <v>600080234</v>
      </c>
      <c r="D33" s="143">
        <v>72745045</v>
      </c>
      <c r="E33" s="145" t="s">
        <v>756</v>
      </c>
      <c r="F33" s="206">
        <v>3143</v>
      </c>
      <c r="G33" s="145" t="s">
        <v>636</v>
      </c>
      <c r="H33" s="205" t="s">
        <v>284</v>
      </c>
      <c r="I33" s="126">
        <f t="shared" si="0"/>
        <v>11235</v>
      </c>
      <c r="J33" s="664">
        <v>7920</v>
      </c>
      <c r="K33" s="127">
        <f t="shared" ref="K33" si="58">ROUND(J33*33.8%,0)</f>
        <v>2677</v>
      </c>
      <c r="L33" s="477">
        <f t="shared" ref="L33" si="59">ROUND(J33*2%,0)</f>
        <v>158</v>
      </c>
      <c r="M33" s="664">
        <v>480</v>
      </c>
      <c r="N33" s="390">
        <f t="shared" si="3"/>
        <v>0.03</v>
      </c>
      <c r="O33" s="662">
        <v>0</v>
      </c>
      <c r="P33" s="663">
        <v>0.03</v>
      </c>
      <c r="Q33" s="387">
        <f t="shared" si="14"/>
        <v>0</v>
      </c>
      <c r="R33" s="130">
        <v>0</v>
      </c>
      <c r="S33" s="130">
        <v>0</v>
      </c>
      <c r="T33" s="130">
        <v>0</v>
      </c>
      <c r="U33" s="130">
        <f t="shared" si="47"/>
        <v>0</v>
      </c>
      <c r="V33" s="130">
        <v>0</v>
      </c>
      <c r="W33" s="130">
        <v>0</v>
      </c>
      <c r="X33" s="130">
        <v>0</v>
      </c>
      <c r="Y33" s="130">
        <f t="shared" si="48"/>
        <v>0</v>
      </c>
      <c r="Z33" s="130">
        <f t="shared" si="49"/>
        <v>0</v>
      </c>
      <c r="AA33" s="316">
        <f t="shared" si="15"/>
        <v>0</v>
      </c>
      <c r="AB33" s="131">
        <f t="shared" si="50"/>
        <v>0</v>
      </c>
      <c r="AC33" s="130">
        <v>0</v>
      </c>
      <c r="AD33" s="130">
        <v>0</v>
      </c>
      <c r="AE33" s="130">
        <f t="shared" si="51"/>
        <v>0</v>
      </c>
      <c r="AF33" s="130">
        <f t="shared" si="52"/>
        <v>0</v>
      </c>
      <c r="AG33" s="132">
        <v>0</v>
      </c>
      <c r="AH33" s="132">
        <v>0</v>
      </c>
      <c r="AI33" s="132">
        <v>0</v>
      </c>
      <c r="AJ33" s="132">
        <v>0</v>
      </c>
      <c r="AK33" s="132">
        <v>0</v>
      </c>
      <c r="AL33" s="132">
        <f t="shared" si="53"/>
        <v>0</v>
      </c>
      <c r="AM33" s="132">
        <f t="shared" si="54"/>
        <v>0</v>
      </c>
      <c r="AN33" s="403">
        <f t="shared" si="55"/>
        <v>0</v>
      </c>
      <c r="AO33" s="128">
        <f t="shared" si="16"/>
        <v>11235</v>
      </c>
      <c r="AP33" s="253">
        <f t="shared" si="17"/>
        <v>7920</v>
      </c>
      <c r="AQ33" s="253">
        <f t="shared" si="18"/>
        <v>0</v>
      </c>
      <c r="AR33" s="130">
        <f t="shared" si="19"/>
        <v>2677</v>
      </c>
      <c r="AS33" s="130">
        <f t="shared" si="20"/>
        <v>158</v>
      </c>
      <c r="AT33" s="253">
        <f t="shared" si="21"/>
        <v>480</v>
      </c>
      <c r="AU33" s="132">
        <f t="shared" si="22"/>
        <v>0.03</v>
      </c>
      <c r="AV33" s="132">
        <f t="shared" si="23"/>
        <v>0</v>
      </c>
      <c r="AW33" s="133">
        <f t="shared" si="24"/>
        <v>0.03</v>
      </c>
    </row>
    <row r="34" spans="1:49" s="196" customFormat="1" ht="14.1" customHeight="1" x14ac:dyDescent="0.2">
      <c r="A34" s="242">
        <v>4</v>
      </c>
      <c r="B34" s="198">
        <v>2450</v>
      </c>
      <c r="C34" s="213">
        <v>600080234</v>
      </c>
      <c r="D34" s="198">
        <v>72745045</v>
      </c>
      <c r="E34" s="200" t="s">
        <v>757</v>
      </c>
      <c r="F34" s="216"/>
      <c r="G34" s="202"/>
      <c r="H34" s="203"/>
      <c r="I34" s="197">
        <f t="shared" ref="I34:P34" si="60">SUM(I28:I33)</f>
        <v>4827470</v>
      </c>
      <c r="J34" s="357">
        <f t="shared" si="60"/>
        <v>3528332</v>
      </c>
      <c r="K34" s="357">
        <f t="shared" si="60"/>
        <v>1192576</v>
      </c>
      <c r="L34" s="357">
        <f t="shared" si="60"/>
        <v>70566</v>
      </c>
      <c r="M34" s="357">
        <f t="shared" si="60"/>
        <v>35996</v>
      </c>
      <c r="N34" s="678">
        <f t="shared" si="60"/>
        <v>8.2314999999999987</v>
      </c>
      <c r="O34" s="678">
        <f t="shared" si="60"/>
        <v>5.5908999999999995</v>
      </c>
      <c r="P34" s="679">
        <f t="shared" si="60"/>
        <v>2.6406000000000001</v>
      </c>
      <c r="Q34" s="357">
        <f t="shared" ref="Q34:AW34" si="61">SUM(Q28:Q33)</f>
        <v>-40000</v>
      </c>
      <c r="R34" s="209">
        <f t="shared" si="61"/>
        <v>369579</v>
      </c>
      <c r="S34" s="209">
        <f t="shared" si="61"/>
        <v>0</v>
      </c>
      <c r="T34" s="209">
        <f t="shared" si="61"/>
        <v>0</v>
      </c>
      <c r="U34" s="209">
        <f t="shared" si="61"/>
        <v>329579</v>
      </c>
      <c r="V34" s="209">
        <f t="shared" si="61"/>
        <v>40000</v>
      </c>
      <c r="W34" s="209">
        <f t="shared" ref="W34" si="62">SUM(W28:W33)</f>
        <v>0</v>
      </c>
      <c r="X34" s="209">
        <f t="shared" si="61"/>
        <v>0</v>
      </c>
      <c r="Y34" s="209">
        <f t="shared" si="61"/>
        <v>40000</v>
      </c>
      <c r="Z34" s="209">
        <f t="shared" si="61"/>
        <v>369579</v>
      </c>
      <c r="AA34" s="209">
        <f t="shared" si="61"/>
        <v>124918</v>
      </c>
      <c r="AB34" s="209">
        <f t="shared" si="61"/>
        <v>6592</v>
      </c>
      <c r="AC34" s="209">
        <f t="shared" si="61"/>
        <v>17500</v>
      </c>
      <c r="AD34" s="209">
        <f t="shared" si="61"/>
        <v>0</v>
      </c>
      <c r="AE34" s="209">
        <f t="shared" si="61"/>
        <v>17500</v>
      </c>
      <c r="AF34" s="209">
        <f t="shared" si="61"/>
        <v>518589</v>
      </c>
      <c r="AG34" s="210">
        <f t="shared" si="61"/>
        <v>0</v>
      </c>
      <c r="AH34" s="210">
        <f t="shared" si="61"/>
        <v>0</v>
      </c>
      <c r="AI34" s="210">
        <f t="shared" si="61"/>
        <v>1.05</v>
      </c>
      <c r="AJ34" s="210">
        <f t="shared" si="61"/>
        <v>0</v>
      </c>
      <c r="AK34" s="210">
        <f t="shared" si="61"/>
        <v>0</v>
      </c>
      <c r="AL34" s="210">
        <f t="shared" si="61"/>
        <v>1.05</v>
      </c>
      <c r="AM34" s="210">
        <f t="shared" si="61"/>
        <v>0</v>
      </c>
      <c r="AN34" s="383">
        <f t="shared" si="61"/>
        <v>1.05</v>
      </c>
      <c r="AO34" s="692">
        <f t="shared" si="61"/>
        <v>5346059</v>
      </c>
      <c r="AP34" s="685">
        <f t="shared" si="61"/>
        <v>3857911</v>
      </c>
      <c r="AQ34" s="685">
        <f t="shared" si="61"/>
        <v>40000</v>
      </c>
      <c r="AR34" s="685">
        <f t="shared" si="61"/>
        <v>1317494</v>
      </c>
      <c r="AS34" s="685">
        <f t="shared" si="61"/>
        <v>77158</v>
      </c>
      <c r="AT34" s="685">
        <f t="shared" si="61"/>
        <v>53496</v>
      </c>
      <c r="AU34" s="383">
        <f t="shared" si="61"/>
        <v>9.2814999999999994</v>
      </c>
      <c r="AV34" s="383">
        <f t="shared" si="61"/>
        <v>6.6408999999999994</v>
      </c>
      <c r="AW34" s="211">
        <f t="shared" si="61"/>
        <v>2.6406000000000001</v>
      </c>
    </row>
    <row r="35" spans="1:49" s="196" customFormat="1" ht="14.1" customHeight="1" x14ac:dyDescent="0.2">
      <c r="A35" s="241">
        <v>5</v>
      </c>
      <c r="B35" s="207">
        <v>2451</v>
      </c>
      <c r="C35" s="212">
        <v>650037901</v>
      </c>
      <c r="D35" s="143">
        <v>72744880</v>
      </c>
      <c r="E35" s="193" t="s">
        <v>758</v>
      </c>
      <c r="F35" s="206">
        <v>3111</v>
      </c>
      <c r="G35" s="145" t="s">
        <v>317</v>
      </c>
      <c r="H35" s="205" t="s">
        <v>283</v>
      </c>
      <c r="I35" s="126">
        <f t="shared" si="0"/>
        <v>1500821</v>
      </c>
      <c r="J35" s="127">
        <v>1096886</v>
      </c>
      <c r="K35" s="127">
        <f t="shared" si="25"/>
        <v>370747</v>
      </c>
      <c r="L35" s="477">
        <f t="shared" si="13"/>
        <v>21938</v>
      </c>
      <c r="M35" s="127">
        <v>11250</v>
      </c>
      <c r="N35" s="390">
        <f t="shared" si="3"/>
        <v>2.5108999999999999</v>
      </c>
      <c r="O35" s="390">
        <v>2</v>
      </c>
      <c r="P35" s="439">
        <v>0.51090000000000002</v>
      </c>
      <c r="Q35" s="387">
        <f t="shared" si="14"/>
        <v>0</v>
      </c>
      <c r="R35" s="253">
        <v>0</v>
      </c>
      <c r="S35" s="253">
        <v>0</v>
      </c>
      <c r="T35" s="253">
        <v>0</v>
      </c>
      <c r="U35" s="130">
        <f t="shared" ref="U35:U40" si="63">SUM(Q35:T35)</f>
        <v>0</v>
      </c>
      <c r="V35" s="130">
        <v>0</v>
      </c>
      <c r="W35" s="130">
        <v>0</v>
      </c>
      <c r="X35" s="130">
        <v>0</v>
      </c>
      <c r="Y35" s="130">
        <f t="shared" ref="Y35:Y40" si="64">SUM(V35:X35)</f>
        <v>0</v>
      </c>
      <c r="Z35" s="130">
        <f t="shared" ref="Z35:Z40" si="65">U35+Y35</f>
        <v>0</v>
      </c>
      <c r="AA35" s="316">
        <f t="shared" si="15"/>
        <v>0</v>
      </c>
      <c r="AB35" s="131">
        <f t="shared" ref="AB35:AB40" si="66">ROUND(U35*2%,0)</f>
        <v>0</v>
      </c>
      <c r="AC35" s="130">
        <v>0</v>
      </c>
      <c r="AD35" s="130">
        <v>0</v>
      </c>
      <c r="AE35" s="130">
        <f t="shared" ref="AE35:AE40" si="67">SUM(AC35:AD35)</f>
        <v>0</v>
      </c>
      <c r="AF35" s="130">
        <f t="shared" ref="AF35:AF40" si="68">Z35+AA35+AB35+AE35</f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f t="shared" ref="AL35:AL40" si="69">AG35+AI35+AJ35</f>
        <v>0</v>
      </c>
      <c r="AM35" s="132">
        <f t="shared" ref="AM35:AM40" si="70">AH35+AK35</f>
        <v>0</v>
      </c>
      <c r="AN35" s="403">
        <f t="shared" ref="AN35:AN40" si="71">SUM(AL35:AM35)</f>
        <v>0</v>
      </c>
      <c r="AO35" s="128">
        <f t="shared" si="16"/>
        <v>1500821</v>
      </c>
      <c r="AP35" s="253">
        <f t="shared" si="17"/>
        <v>1096886</v>
      </c>
      <c r="AQ35" s="253">
        <f t="shared" si="18"/>
        <v>0</v>
      </c>
      <c r="AR35" s="130">
        <f t="shared" si="19"/>
        <v>370747</v>
      </c>
      <c r="AS35" s="130">
        <f t="shared" si="20"/>
        <v>21938</v>
      </c>
      <c r="AT35" s="253">
        <f t="shared" si="21"/>
        <v>11250</v>
      </c>
      <c r="AU35" s="132">
        <f t="shared" si="22"/>
        <v>2.5108999999999999</v>
      </c>
      <c r="AV35" s="132">
        <f t="shared" si="23"/>
        <v>2</v>
      </c>
      <c r="AW35" s="133">
        <f t="shared" si="24"/>
        <v>0.51090000000000002</v>
      </c>
    </row>
    <row r="36" spans="1:49" s="196" customFormat="1" ht="14.1" customHeight="1" x14ac:dyDescent="0.2">
      <c r="A36" s="241">
        <v>5</v>
      </c>
      <c r="B36" s="214">
        <v>2451</v>
      </c>
      <c r="C36" s="212">
        <v>650037901</v>
      </c>
      <c r="D36" s="143">
        <v>72744880</v>
      </c>
      <c r="E36" s="214" t="s">
        <v>758</v>
      </c>
      <c r="F36" s="215">
        <v>3117</v>
      </c>
      <c r="G36" s="214" t="s">
        <v>335</v>
      </c>
      <c r="H36" s="205" t="s">
        <v>283</v>
      </c>
      <c r="I36" s="126">
        <f t="shared" si="0"/>
        <v>4121493</v>
      </c>
      <c r="J36" s="477">
        <v>2980827</v>
      </c>
      <c r="K36" s="127">
        <f t="shared" si="25"/>
        <v>1007520</v>
      </c>
      <c r="L36" s="477">
        <v>59616</v>
      </c>
      <c r="M36" s="477">
        <v>73530</v>
      </c>
      <c r="N36" s="390">
        <f t="shared" si="3"/>
        <v>6.0573999999999995</v>
      </c>
      <c r="O36" s="645">
        <v>4</v>
      </c>
      <c r="P36" s="646">
        <v>2.0573999999999999</v>
      </c>
      <c r="Q36" s="387">
        <f t="shared" si="14"/>
        <v>0</v>
      </c>
      <c r="R36" s="253">
        <v>0</v>
      </c>
      <c r="S36" s="253">
        <v>0</v>
      </c>
      <c r="T36" s="253">
        <v>0</v>
      </c>
      <c r="U36" s="130">
        <f t="shared" si="63"/>
        <v>0</v>
      </c>
      <c r="V36" s="130">
        <v>0</v>
      </c>
      <c r="W36" s="130">
        <v>0</v>
      </c>
      <c r="X36" s="130">
        <v>0</v>
      </c>
      <c r="Y36" s="130">
        <f t="shared" si="64"/>
        <v>0</v>
      </c>
      <c r="Z36" s="130">
        <f t="shared" si="65"/>
        <v>0</v>
      </c>
      <c r="AA36" s="316">
        <f t="shared" si="15"/>
        <v>0</v>
      </c>
      <c r="AB36" s="131">
        <f t="shared" si="66"/>
        <v>0</v>
      </c>
      <c r="AC36" s="130">
        <v>0</v>
      </c>
      <c r="AD36" s="130">
        <v>0</v>
      </c>
      <c r="AE36" s="130">
        <f t="shared" si="67"/>
        <v>0</v>
      </c>
      <c r="AF36" s="130">
        <f t="shared" si="68"/>
        <v>0</v>
      </c>
      <c r="AG36" s="132">
        <v>0</v>
      </c>
      <c r="AH36" s="132">
        <v>0</v>
      </c>
      <c r="AI36" s="132">
        <v>0</v>
      </c>
      <c r="AJ36" s="132">
        <v>0</v>
      </c>
      <c r="AK36" s="132">
        <v>0</v>
      </c>
      <c r="AL36" s="132">
        <f t="shared" si="69"/>
        <v>0</v>
      </c>
      <c r="AM36" s="132">
        <f t="shared" si="70"/>
        <v>0</v>
      </c>
      <c r="AN36" s="403">
        <f t="shared" si="71"/>
        <v>0</v>
      </c>
      <c r="AO36" s="128">
        <f t="shared" si="16"/>
        <v>4121493</v>
      </c>
      <c r="AP36" s="253">
        <f t="shared" si="17"/>
        <v>2980827</v>
      </c>
      <c r="AQ36" s="253">
        <f t="shared" si="18"/>
        <v>0</v>
      </c>
      <c r="AR36" s="130">
        <f t="shared" si="19"/>
        <v>1007520</v>
      </c>
      <c r="AS36" s="130">
        <f t="shared" si="20"/>
        <v>59616</v>
      </c>
      <c r="AT36" s="253">
        <f t="shared" si="21"/>
        <v>73530</v>
      </c>
      <c r="AU36" s="132">
        <f t="shared" si="22"/>
        <v>6.0573999999999995</v>
      </c>
      <c r="AV36" s="132">
        <f t="shared" si="23"/>
        <v>4</v>
      </c>
      <c r="AW36" s="133">
        <f t="shared" si="24"/>
        <v>2.0573999999999999</v>
      </c>
    </row>
    <row r="37" spans="1:49" s="196" customFormat="1" ht="14.1" customHeight="1" x14ac:dyDescent="0.2">
      <c r="A37" s="241">
        <v>5</v>
      </c>
      <c r="B37" s="207">
        <v>2451</v>
      </c>
      <c r="C37" s="212">
        <v>650037901</v>
      </c>
      <c r="D37" s="143">
        <v>72744880</v>
      </c>
      <c r="E37" s="208" t="s">
        <v>758</v>
      </c>
      <c r="F37" s="194">
        <v>3117</v>
      </c>
      <c r="G37" s="143" t="s">
        <v>318</v>
      </c>
      <c r="H37" s="205" t="s">
        <v>284</v>
      </c>
      <c r="I37" s="126">
        <f t="shared" si="0"/>
        <v>0</v>
      </c>
      <c r="J37" s="325">
        <v>0</v>
      </c>
      <c r="K37" s="127">
        <f t="shared" si="25"/>
        <v>0</v>
      </c>
      <c r="L37" s="477">
        <f t="shared" si="13"/>
        <v>0</v>
      </c>
      <c r="M37" s="325">
        <v>0</v>
      </c>
      <c r="N37" s="390">
        <f t="shared" si="3"/>
        <v>0</v>
      </c>
      <c r="O37" s="640">
        <v>0</v>
      </c>
      <c r="P37" s="641">
        <v>0</v>
      </c>
      <c r="Q37" s="387">
        <f t="shared" si="14"/>
        <v>0</v>
      </c>
      <c r="R37" s="253">
        <v>818508</v>
      </c>
      <c r="S37" s="253">
        <v>0</v>
      </c>
      <c r="T37" s="253">
        <v>0</v>
      </c>
      <c r="U37" s="130">
        <f t="shared" si="63"/>
        <v>818508</v>
      </c>
      <c r="V37" s="130">
        <v>0</v>
      </c>
      <c r="W37" s="130">
        <v>0</v>
      </c>
      <c r="X37" s="130">
        <v>0</v>
      </c>
      <c r="Y37" s="130">
        <f t="shared" si="64"/>
        <v>0</v>
      </c>
      <c r="Z37" s="130">
        <f t="shared" si="65"/>
        <v>818508</v>
      </c>
      <c r="AA37" s="316">
        <f t="shared" si="15"/>
        <v>276656</v>
      </c>
      <c r="AB37" s="131">
        <f t="shared" si="66"/>
        <v>16370</v>
      </c>
      <c r="AC37" s="130">
        <v>5750</v>
      </c>
      <c r="AD37" s="130">
        <v>0</v>
      </c>
      <c r="AE37" s="130">
        <f t="shared" si="67"/>
        <v>5750</v>
      </c>
      <c r="AF37" s="130">
        <f t="shared" si="68"/>
        <v>1117284</v>
      </c>
      <c r="AG37" s="132">
        <v>0</v>
      </c>
      <c r="AH37" s="132">
        <v>0</v>
      </c>
      <c r="AI37" s="132">
        <v>2.15</v>
      </c>
      <c r="AJ37" s="132">
        <v>0</v>
      </c>
      <c r="AK37" s="132">
        <v>0</v>
      </c>
      <c r="AL37" s="132">
        <f t="shared" si="69"/>
        <v>2.15</v>
      </c>
      <c r="AM37" s="132">
        <f t="shared" si="70"/>
        <v>0</v>
      </c>
      <c r="AN37" s="403">
        <f t="shared" si="71"/>
        <v>2.15</v>
      </c>
      <c r="AO37" s="128">
        <f t="shared" si="16"/>
        <v>1117284</v>
      </c>
      <c r="AP37" s="253">
        <f t="shared" si="17"/>
        <v>818508</v>
      </c>
      <c r="AQ37" s="253">
        <f t="shared" si="18"/>
        <v>0</v>
      </c>
      <c r="AR37" s="130">
        <f t="shared" si="19"/>
        <v>276656</v>
      </c>
      <c r="AS37" s="130">
        <f t="shared" si="20"/>
        <v>16370</v>
      </c>
      <c r="AT37" s="253">
        <f t="shared" si="21"/>
        <v>5750</v>
      </c>
      <c r="AU37" s="132">
        <f t="shared" si="22"/>
        <v>2.15</v>
      </c>
      <c r="AV37" s="132">
        <f t="shared" si="23"/>
        <v>2.15</v>
      </c>
      <c r="AW37" s="133">
        <f t="shared" si="24"/>
        <v>0</v>
      </c>
    </row>
    <row r="38" spans="1:49" s="196" customFormat="1" ht="14.1" customHeight="1" x14ac:dyDescent="0.2">
      <c r="A38" s="241">
        <v>5</v>
      </c>
      <c r="B38" s="191">
        <v>2451</v>
      </c>
      <c r="C38" s="212">
        <v>650037901</v>
      </c>
      <c r="D38" s="143">
        <v>72744880</v>
      </c>
      <c r="E38" s="193" t="s">
        <v>758</v>
      </c>
      <c r="F38" s="194">
        <v>3141</v>
      </c>
      <c r="G38" s="145" t="s">
        <v>321</v>
      </c>
      <c r="H38" s="205" t="s">
        <v>284</v>
      </c>
      <c r="I38" s="126">
        <f t="shared" si="0"/>
        <v>787373</v>
      </c>
      <c r="J38" s="666">
        <v>577113</v>
      </c>
      <c r="K38" s="127">
        <f t="shared" ref="K38" si="72">ROUND(J38*33.8%,0)</f>
        <v>195064</v>
      </c>
      <c r="L38" s="477">
        <f t="shared" ref="L38" si="73">ROUND(J38*2%,0)</f>
        <v>11542</v>
      </c>
      <c r="M38" s="666">
        <v>3654</v>
      </c>
      <c r="N38" s="390">
        <f t="shared" si="3"/>
        <v>1.96</v>
      </c>
      <c r="O38" s="669">
        <v>0</v>
      </c>
      <c r="P38" s="667">
        <v>1.96</v>
      </c>
      <c r="Q38" s="387">
        <f t="shared" si="14"/>
        <v>0</v>
      </c>
      <c r="R38" s="253">
        <v>0</v>
      </c>
      <c r="S38" s="253">
        <v>0</v>
      </c>
      <c r="T38" s="253">
        <v>0</v>
      </c>
      <c r="U38" s="130">
        <f t="shared" si="63"/>
        <v>0</v>
      </c>
      <c r="V38" s="130">
        <v>0</v>
      </c>
      <c r="W38" s="130">
        <v>0</v>
      </c>
      <c r="X38" s="130">
        <v>0</v>
      </c>
      <c r="Y38" s="130">
        <f t="shared" si="64"/>
        <v>0</v>
      </c>
      <c r="Z38" s="130">
        <f t="shared" si="65"/>
        <v>0</v>
      </c>
      <c r="AA38" s="316">
        <f t="shared" si="15"/>
        <v>0</v>
      </c>
      <c r="AB38" s="131">
        <f t="shared" si="66"/>
        <v>0</v>
      </c>
      <c r="AC38" s="130">
        <v>0</v>
      </c>
      <c r="AD38" s="130">
        <v>0</v>
      </c>
      <c r="AE38" s="130">
        <f t="shared" si="67"/>
        <v>0</v>
      </c>
      <c r="AF38" s="130">
        <f t="shared" si="68"/>
        <v>0</v>
      </c>
      <c r="AG38" s="132">
        <v>0</v>
      </c>
      <c r="AH38" s="132">
        <v>0</v>
      </c>
      <c r="AI38" s="132">
        <v>0</v>
      </c>
      <c r="AJ38" s="132">
        <v>0</v>
      </c>
      <c r="AK38" s="132">
        <v>0</v>
      </c>
      <c r="AL38" s="132">
        <f t="shared" si="69"/>
        <v>0</v>
      </c>
      <c r="AM38" s="132">
        <f t="shared" si="70"/>
        <v>0</v>
      </c>
      <c r="AN38" s="403">
        <f t="shared" si="71"/>
        <v>0</v>
      </c>
      <c r="AO38" s="128">
        <f t="shared" si="16"/>
        <v>787373</v>
      </c>
      <c r="AP38" s="253">
        <f t="shared" si="17"/>
        <v>577113</v>
      </c>
      <c r="AQ38" s="253">
        <f t="shared" si="18"/>
        <v>0</v>
      </c>
      <c r="AR38" s="130">
        <f t="shared" si="19"/>
        <v>195064</v>
      </c>
      <c r="AS38" s="130">
        <f t="shared" si="20"/>
        <v>11542</v>
      </c>
      <c r="AT38" s="253">
        <f t="shared" si="21"/>
        <v>3654</v>
      </c>
      <c r="AU38" s="132">
        <f t="shared" si="22"/>
        <v>1.96</v>
      </c>
      <c r="AV38" s="132">
        <f t="shared" si="23"/>
        <v>0</v>
      </c>
      <c r="AW38" s="133">
        <f t="shared" si="24"/>
        <v>1.96</v>
      </c>
    </row>
    <row r="39" spans="1:49" s="196" customFormat="1" ht="14.1" customHeight="1" x14ac:dyDescent="0.2">
      <c r="A39" s="241">
        <v>5</v>
      </c>
      <c r="B39" s="143">
        <v>2451</v>
      </c>
      <c r="C39" s="537">
        <v>650037901</v>
      </c>
      <c r="D39" s="143">
        <v>72744880</v>
      </c>
      <c r="E39" s="145" t="s">
        <v>758</v>
      </c>
      <c r="F39" s="206">
        <v>3143</v>
      </c>
      <c r="G39" s="145" t="s">
        <v>635</v>
      </c>
      <c r="H39" s="205" t="s">
        <v>283</v>
      </c>
      <c r="I39" s="126">
        <f t="shared" si="0"/>
        <v>571722</v>
      </c>
      <c r="J39" s="29">
        <v>421003</v>
      </c>
      <c r="K39" s="127">
        <f t="shared" si="25"/>
        <v>142299</v>
      </c>
      <c r="L39" s="477">
        <f t="shared" si="13"/>
        <v>8420</v>
      </c>
      <c r="M39" s="479">
        <v>0</v>
      </c>
      <c r="N39" s="390">
        <f t="shared" si="3"/>
        <v>1</v>
      </c>
      <c r="O39" s="22">
        <v>1</v>
      </c>
      <c r="P39" s="641">
        <v>0</v>
      </c>
      <c r="Q39" s="387">
        <f t="shared" si="14"/>
        <v>0</v>
      </c>
      <c r="R39" s="130">
        <v>0</v>
      </c>
      <c r="S39" s="130">
        <v>0</v>
      </c>
      <c r="T39" s="130">
        <v>0</v>
      </c>
      <c r="U39" s="130">
        <f t="shared" si="63"/>
        <v>0</v>
      </c>
      <c r="V39" s="130">
        <v>0</v>
      </c>
      <c r="W39" s="130">
        <v>0</v>
      </c>
      <c r="X39" s="130">
        <v>0</v>
      </c>
      <c r="Y39" s="130">
        <f t="shared" si="64"/>
        <v>0</v>
      </c>
      <c r="Z39" s="130">
        <f t="shared" si="65"/>
        <v>0</v>
      </c>
      <c r="AA39" s="316">
        <f t="shared" si="15"/>
        <v>0</v>
      </c>
      <c r="AB39" s="131">
        <f t="shared" si="66"/>
        <v>0</v>
      </c>
      <c r="AC39" s="130">
        <v>0</v>
      </c>
      <c r="AD39" s="130">
        <v>0</v>
      </c>
      <c r="AE39" s="130">
        <f t="shared" si="67"/>
        <v>0</v>
      </c>
      <c r="AF39" s="130">
        <f t="shared" si="68"/>
        <v>0</v>
      </c>
      <c r="AG39" s="132">
        <v>0</v>
      </c>
      <c r="AH39" s="132">
        <v>0</v>
      </c>
      <c r="AI39" s="132">
        <v>0</v>
      </c>
      <c r="AJ39" s="132">
        <v>0</v>
      </c>
      <c r="AK39" s="132">
        <v>0</v>
      </c>
      <c r="AL39" s="132">
        <f t="shared" si="69"/>
        <v>0</v>
      </c>
      <c r="AM39" s="132">
        <f t="shared" si="70"/>
        <v>0</v>
      </c>
      <c r="AN39" s="403">
        <f t="shared" si="71"/>
        <v>0</v>
      </c>
      <c r="AO39" s="128">
        <f t="shared" si="16"/>
        <v>571722</v>
      </c>
      <c r="AP39" s="253">
        <f t="shared" si="17"/>
        <v>421003</v>
      </c>
      <c r="AQ39" s="253">
        <f t="shared" si="18"/>
        <v>0</v>
      </c>
      <c r="AR39" s="130">
        <f t="shared" si="19"/>
        <v>142299</v>
      </c>
      <c r="AS39" s="130">
        <f t="shared" si="20"/>
        <v>8420</v>
      </c>
      <c r="AT39" s="253">
        <f t="shared" si="21"/>
        <v>0</v>
      </c>
      <c r="AU39" s="132">
        <f t="shared" si="22"/>
        <v>1</v>
      </c>
      <c r="AV39" s="132">
        <f t="shared" si="23"/>
        <v>1</v>
      </c>
      <c r="AW39" s="133">
        <f t="shared" si="24"/>
        <v>0</v>
      </c>
    </row>
    <row r="40" spans="1:49" s="196" customFormat="1" ht="14.1" customHeight="1" x14ac:dyDescent="0.2">
      <c r="A40" s="241">
        <v>5</v>
      </c>
      <c r="B40" s="143">
        <v>2451</v>
      </c>
      <c r="C40" s="537">
        <v>650037901</v>
      </c>
      <c r="D40" s="143">
        <v>72744880</v>
      </c>
      <c r="E40" s="145" t="s">
        <v>758</v>
      </c>
      <c r="F40" s="206">
        <v>3143</v>
      </c>
      <c r="G40" s="145" t="s">
        <v>636</v>
      </c>
      <c r="H40" s="205" t="s">
        <v>284</v>
      </c>
      <c r="I40" s="126">
        <f t="shared" si="0"/>
        <v>19662</v>
      </c>
      <c r="J40" s="664">
        <v>13860</v>
      </c>
      <c r="K40" s="127">
        <f t="shared" ref="K40" si="74">ROUND(J40*33.8%,0)</f>
        <v>4685</v>
      </c>
      <c r="L40" s="477">
        <f t="shared" ref="L40" si="75">ROUND(J40*2%,0)</f>
        <v>277</v>
      </c>
      <c r="M40" s="664">
        <v>840</v>
      </c>
      <c r="N40" s="390">
        <f t="shared" si="3"/>
        <v>0.06</v>
      </c>
      <c r="O40" s="662">
        <v>0</v>
      </c>
      <c r="P40" s="663">
        <v>0.06</v>
      </c>
      <c r="Q40" s="387">
        <f t="shared" si="14"/>
        <v>0</v>
      </c>
      <c r="R40" s="130">
        <v>0</v>
      </c>
      <c r="S40" s="130">
        <v>0</v>
      </c>
      <c r="T40" s="130">
        <v>0</v>
      </c>
      <c r="U40" s="130">
        <f t="shared" si="63"/>
        <v>0</v>
      </c>
      <c r="V40" s="130">
        <v>0</v>
      </c>
      <c r="W40" s="130">
        <v>0</v>
      </c>
      <c r="X40" s="130">
        <v>0</v>
      </c>
      <c r="Y40" s="130">
        <f t="shared" si="64"/>
        <v>0</v>
      </c>
      <c r="Z40" s="130">
        <f t="shared" si="65"/>
        <v>0</v>
      </c>
      <c r="AA40" s="316">
        <f t="shared" si="15"/>
        <v>0</v>
      </c>
      <c r="AB40" s="131">
        <f t="shared" si="66"/>
        <v>0</v>
      </c>
      <c r="AC40" s="130">
        <v>0</v>
      </c>
      <c r="AD40" s="130">
        <v>0</v>
      </c>
      <c r="AE40" s="130">
        <f t="shared" si="67"/>
        <v>0</v>
      </c>
      <c r="AF40" s="130">
        <f t="shared" si="68"/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f t="shared" si="69"/>
        <v>0</v>
      </c>
      <c r="AM40" s="132">
        <f t="shared" si="70"/>
        <v>0</v>
      </c>
      <c r="AN40" s="403">
        <f t="shared" si="71"/>
        <v>0</v>
      </c>
      <c r="AO40" s="128">
        <f t="shared" si="16"/>
        <v>19662</v>
      </c>
      <c r="AP40" s="253">
        <f t="shared" si="17"/>
        <v>13860</v>
      </c>
      <c r="AQ40" s="253">
        <f t="shared" si="18"/>
        <v>0</v>
      </c>
      <c r="AR40" s="130">
        <f t="shared" si="19"/>
        <v>4685</v>
      </c>
      <c r="AS40" s="130">
        <f t="shared" si="20"/>
        <v>277</v>
      </c>
      <c r="AT40" s="253">
        <f t="shared" si="21"/>
        <v>840</v>
      </c>
      <c r="AU40" s="132">
        <f t="shared" si="22"/>
        <v>0.06</v>
      </c>
      <c r="AV40" s="132">
        <f t="shared" si="23"/>
        <v>0</v>
      </c>
      <c r="AW40" s="133">
        <f t="shared" si="24"/>
        <v>0.06</v>
      </c>
    </row>
    <row r="41" spans="1:49" s="196" customFormat="1" ht="14.1" customHeight="1" x14ac:dyDescent="0.2">
      <c r="A41" s="242">
        <v>5</v>
      </c>
      <c r="B41" s="198">
        <v>2451</v>
      </c>
      <c r="C41" s="213">
        <v>650037901</v>
      </c>
      <c r="D41" s="198">
        <v>72744880</v>
      </c>
      <c r="E41" s="200" t="s">
        <v>759</v>
      </c>
      <c r="F41" s="216"/>
      <c r="G41" s="202"/>
      <c r="H41" s="203"/>
      <c r="I41" s="197">
        <f t="shared" ref="I41:P41" si="76">SUM(I35:I40)</f>
        <v>7001071</v>
      </c>
      <c r="J41" s="357">
        <f t="shared" si="76"/>
        <v>5089689</v>
      </c>
      <c r="K41" s="357">
        <f t="shared" si="76"/>
        <v>1720315</v>
      </c>
      <c r="L41" s="357">
        <f t="shared" si="76"/>
        <v>101793</v>
      </c>
      <c r="M41" s="357">
        <f t="shared" si="76"/>
        <v>89274</v>
      </c>
      <c r="N41" s="678">
        <f t="shared" si="76"/>
        <v>11.588299999999998</v>
      </c>
      <c r="O41" s="678">
        <f t="shared" si="76"/>
        <v>7</v>
      </c>
      <c r="P41" s="679">
        <f t="shared" si="76"/>
        <v>4.5882999999999994</v>
      </c>
      <c r="Q41" s="357">
        <f t="shared" ref="Q41:AW41" si="77">SUM(Q35:Q40)</f>
        <v>0</v>
      </c>
      <c r="R41" s="209">
        <f t="shared" si="77"/>
        <v>818508</v>
      </c>
      <c r="S41" s="209">
        <f t="shared" si="77"/>
        <v>0</v>
      </c>
      <c r="T41" s="209">
        <f t="shared" si="77"/>
        <v>0</v>
      </c>
      <c r="U41" s="209">
        <f t="shared" si="77"/>
        <v>818508</v>
      </c>
      <c r="V41" s="209">
        <f t="shared" si="77"/>
        <v>0</v>
      </c>
      <c r="W41" s="209">
        <f t="shared" ref="W41" si="78">SUM(W35:W40)</f>
        <v>0</v>
      </c>
      <c r="X41" s="209">
        <f t="shared" si="77"/>
        <v>0</v>
      </c>
      <c r="Y41" s="209">
        <f t="shared" si="77"/>
        <v>0</v>
      </c>
      <c r="Z41" s="209">
        <f t="shared" si="77"/>
        <v>818508</v>
      </c>
      <c r="AA41" s="209">
        <f t="shared" si="77"/>
        <v>276656</v>
      </c>
      <c r="AB41" s="209">
        <f t="shared" si="77"/>
        <v>16370</v>
      </c>
      <c r="AC41" s="209">
        <f t="shared" si="77"/>
        <v>5750</v>
      </c>
      <c r="AD41" s="209">
        <f t="shared" si="77"/>
        <v>0</v>
      </c>
      <c r="AE41" s="209">
        <f t="shared" si="77"/>
        <v>5750</v>
      </c>
      <c r="AF41" s="209">
        <f t="shared" si="77"/>
        <v>1117284</v>
      </c>
      <c r="AG41" s="210">
        <f t="shared" si="77"/>
        <v>0</v>
      </c>
      <c r="AH41" s="210">
        <f t="shared" si="77"/>
        <v>0</v>
      </c>
      <c r="AI41" s="210">
        <f t="shared" si="77"/>
        <v>2.15</v>
      </c>
      <c r="AJ41" s="210">
        <f t="shared" si="77"/>
        <v>0</v>
      </c>
      <c r="AK41" s="210">
        <f t="shared" si="77"/>
        <v>0</v>
      </c>
      <c r="AL41" s="210">
        <f t="shared" si="77"/>
        <v>2.15</v>
      </c>
      <c r="AM41" s="210">
        <f t="shared" si="77"/>
        <v>0</v>
      </c>
      <c r="AN41" s="383">
        <f t="shared" si="77"/>
        <v>2.15</v>
      </c>
      <c r="AO41" s="692">
        <f t="shared" si="77"/>
        <v>8118355</v>
      </c>
      <c r="AP41" s="685">
        <f t="shared" si="77"/>
        <v>5908197</v>
      </c>
      <c r="AQ41" s="685">
        <f t="shared" si="77"/>
        <v>0</v>
      </c>
      <c r="AR41" s="685">
        <f t="shared" si="77"/>
        <v>1996971</v>
      </c>
      <c r="AS41" s="685">
        <f t="shared" si="77"/>
        <v>118163</v>
      </c>
      <c r="AT41" s="685">
        <f t="shared" si="77"/>
        <v>95024</v>
      </c>
      <c r="AU41" s="383">
        <f t="shared" si="77"/>
        <v>13.738300000000001</v>
      </c>
      <c r="AV41" s="383">
        <f t="shared" si="77"/>
        <v>9.15</v>
      </c>
      <c r="AW41" s="211">
        <f t="shared" si="77"/>
        <v>4.5882999999999994</v>
      </c>
    </row>
    <row r="42" spans="1:49" s="196" customFormat="1" ht="14.1" customHeight="1" x14ac:dyDescent="0.2">
      <c r="A42" s="241">
        <v>6</v>
      </c>
      <c r="B42" s="207">
        <v>2453</v>
      </c>
      <c r="C42" s="212">
        <v>600079686</v>
      </c>
      <c r="D42" s="143">
        <v>72743603</v>
      </c>
      <c r="E42" s="193" t="s">
        <v>760</v>
      </c>
      <c r="F42" s="206">
        <v>3111</v>
      </c>
      <c r="G42" s="145" t="s">
        <v>317</v>
      </c>
      <c r="H42" s="205" t="s">
        <v>283</v>
      </c>
      <c r="I42" s="126">
        <f t="shared" si="0"/>
        <v>3148961</v>
      </c>
      <c r="J42" s="127">
        <v>2302917</v>
      </c>
      <c r="K42" s="127">
        <f t="shared" si="25"/>
        <v>778386</v>
      </c>
      <c r="L42" s="477">
        <f t="shared" si="13"/>
        <v>46058</v>
      </c>
      <c r="M42" s="127">
        <v>21600</v>
      </c>
      <c r="N42" s="390">
        <f t="shared" si="3"/>
        <v>5.2153</v>
      </c>
      <c r="O42" s="390">
        <v>4.1935000000000002</v>
      </c>
      <c r="P42" s="439">
        <v>1.0218</v>
      </c>
      <c r="Q42" s="387">
        <f t="shared" si="14"/>
        <v>0</v>
      </c>
      <c r="R42" s="253">
        <v>0</v>
      </c>
      <c r="S42" s="253">
        <v>0</v>
      </c>
      <c r="T42" s="253">
        <v>0</v>
      </c>
      <c r="U42" s="130">
        <f t="shared" ref="U42:U47" si="79">SUM(Q42:T42)</f>
        <v>0</v>
      </c>
      <c r="V42" s="130">
        <v>0</v>
      </c>
      <c r="W42" s="130">
        <v>0</v>
      </c>
      <c r="X42" s="130">
        <v>0</v>
      </c>
      <c r="Y42" s="130">
        <f t="shared" ref="Y42:Y47" si="80">SUM(V42:X42)</f>
        <v>0</v>
      </c>
      <c r="Z42" s="130">
        <f t="shared" ref="Z42:Z47" si="81">U42+Y42</f>
        <v>0</v>
      </c>
      <c r="AA42" s="316">
        <f t="shared" si="15"/>
        <v>0</v>
      </c>
      <c r="AB42" s="131">
        <f t="shared" ref="AB42:AB47" si="82">ROUND(U42*2%,0)</f>
        <v>0</v>
      </c>
      <c r="AC42" s="130">
        <v>0</v>
      </c>
      <c r="AD42" s="130">
        <v>0</v>
      </c>
      <c r="AE42" s="130">
        <f t="shared" ref="AE42:AE47" si="83">SUM(AC42:AD42)</f>
        <v>0</v>
      </c>
      <c r="AF42" s="130">
        <f t="shared" ref="AF42:AF47" si="84">Z42+AA42+AB42+AE42</f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f t="shared" ref="AL42:AL47" si="85">AG42+AI42+AJ42</f>
        <v>0</v>
      </c>
      <c r="AM42" s="132">
        <f t="shared" ref="AM42:AM47" si="86">AH42+AK42</f>
        <v>0</v>
      </c>
      <c r="AN42" s="403">
        <f t="shared" ref="AN42:AN47" si="87">SUM(AL42:AM42)</f>
        <v>0</v>
      </c>
      <c r="AO42" s="128">
        <f t="shared" si="16"/>
        <v>3148961</v>
      </c>
      <c r="AP42" s="253">
        <f t="shared" si="17"/>
        <v>2302917</v>
      </c>
      <c r="AQ42" s="253">
        <f t="shared" si="18"/>
        <v>0</v>
      </c>
      <c r="AR42" s="130">
        <f t="shared" si="19"/>
        <v>778386</v>
      </c>
      <c r="AS42" s="130">
        <f t="shared" si="20"/>
        <v>46058</v>
      </c>
      <c r="AT42" s="253">
        <f t="shared" si="21"/>
        <v>21600</v>
      </c>
      <c r="AU42" s="132">
        <f t="shared" si="22"/>
        <v>5.2153</v>
      </c>
      <c r="AV42" s="132">
        <f t="shared" si="23"/>
        <v>4.1935000000000002</v>
      </c>
      <c r="AW42" s="133">
        <f t="shared" si="24"/>
        <v>1.0218</v>
      </c>
    </row>
    <row r="43" spans="1:49" s="196" customFormat="1" ht="14.1" customHeight="1" x14ac:dyDescent="0.2">
      <c r="A43" s="241">
        <v>6</v>
      </c>
      <c r="B43" s="214">
        <v>2453</v>
      </c>
      <c r="C43" s="212">
        <v>600079686</v>
      </c>
      <c r="D43" s="143">
        <v>72743603</v>
      </c>
      <c r="E43" s="214" t="s">
        <v>760</v>
      </c>
      <c r="F43" s="215">
        <v>3117</v>
      </c>
      <c r="G43" s="214" t="s">
        <v>335</v>
      </c>
      <c r="H43" s="205" t="s">
        <v>283</v>
      </c>
      <c r="I43" s="126">
        <f t="shared" si="0"/>
        <v>5257310</v>
      </c>
      <c r="J43" s="477">
        <v>3788254</v>
      </c>
      <c r="K43" s="127">
        <f t="shared" si="25"/>
        <v>1280430</v>
      </c>
      <c r="L43" s="477">
        <v>75766</v>
      </c>
      <c r="M43" s="477">
        <v>112860</v>
      </c>
      <c r="N43" s="390">
        <f t="shared" si="3"/>
        <v>7.8438999999999997</v>
      </c>
      <c r="O43" s="645">
        <v>5.2271999999999998</v>
      </c>
      <c r="P43" s="646">
        <v>2.6166999999999998</v>
      </c>
      <c r="Q43" s="387">
        <f t="shared" si="14"/>
        <v>0</v>
      </c>
      <c r="R43" s="253">
        <v>0</v>
      </c>
      <c r="S43" s="253">
        <v>0</v>
      </c>
      <c r="T43" s="253">
        <v>0</v>
      </c>
      <c r="U43" s="130">
        <f t="shared" si="79"/>
        <v>0</v>
      </c>
      <c r="V43" s="130">
        <v>0</v>
      </c>
      <c r="W43" s="130">
        <v>0</v>
      </c>
      <c r="X43" s="130">
        <v>0</v>
      </c>
      <c r="Y43" s="130">
        <f t="shared" si="80"/>
        <v>0</v>
      </c>
      <c r="Z43" s="130">
        <f t="shared" si="81"/>
        <v>0</v>
      </c>
      <c r="AA43" s="316">
        <f t="shared" si="15"/>
        <v>0</v>
      </c>
      <c r="AB43" s="131">
        <f t="shared" si="82"/>
        <v>0</v>
      </c>
      <c r="AC43" s="130">
        <v>0</v>
      </c>
      <c r="AD43" s="130">
        <v>0</v>
      </c>
      <c r="AE43" s="130">
        <f t="shared" si="83"/>
        <v>0</v>
      </c>
      <c r="AF43" s="130">
        <f t="shared" si="84"/>
        <v>0</v>
      </c>
      <c r="AG43" s="132">
        <v>0</v>
      </c>
      <c r="AH43" s="132">
        <v>0</v>
      </c>
      <c r="AI43" s="132">
        <v>0</v>
      </c>
      <c r="AJ43" s="132">
        <v>0</v>
      </c>
      <c r="AK43" s="132">
        <v>0</v>
      </c>
      <c r="AL43" s="132">
        <f t="shared" si="85"/>
        <v>0</v>
      </c>
      <c r="AM43" s="132">
        <f t="shared" si="86"/>
        <v>0</v>
      </c>
      <c r="AN43" s="403">
        <f t="shared" si="87"/>
        <v>0</v>
      </c>
      <c r="AO43" s="128">
        <f t="shared" si="16"/>
        <v>5257310</v>
      </c>
      <c r="AP43" s="253">
        <f t="shared" si="17"/>
        <v>3788254</v>
      </c>
      <c r="AQ43" s="253">
        <f t="shared" si="18"/>
        <v>0</v>
      </c>
      <c r="AR43" s="130">
        <f t="shared" si="19"/>
        <v>1280430</v>
      </c>
      <c r="AS43" s="130">
        <f t="shared" si="20"/>
        <v>75766</v>
      </c>
      <c r="AT43" s="253">
        <f t="shared" si="21"/>
        <v>112860</v>
      </c>
      <c r="AU43" s="132">
        <f t="shared" si="22"/>
        <v>7.8438999999999997</v>
      </c>
      <c r="AV43" s="132">
        <f t="shared" si="23"/>
        <v>5.2271999999999998</v>
      </c>
      <c r="AW43" s="133">
        <f t="shared" si="24"/>
        <v>2.6166999999999998</v>
      </c>
    </row>
    <row r="44" spans="1:49" s="196" customFormat="1" ht="14.1" customHeight="1" x14ac:dyDescent="0.2">
      <c r="A44" s="241">
        <v>6</v>
      </c>
      <c r="B44" s="207">
        <v>2453</v>
      </c>
      <c r="C44" s="212">
        <v>600079686</v>
      </c>
      <c r="D44" s="143">
        <v>72743603</v>
      </c>
      <c r="E44" s="208" t="s">
        <v>760</v>
      </c>
      <c r="F44" s="194">
        <v>3117</v>
      </c>
      <c r="G44" s="143" t="s">
        <v>318</v>
      </c>
      <c r="H44" s="205" t="s">
        <v>284</v>
      </c>
      <c r="I44" s="126">
        <f t="shared" si="0"/>
        <v>0</v>
      </c>
      <c r="J44" s="325">
        <v>0</v>
      </c>
      <c r="K44" s="127">
        <f t="shared" si="25"/>
        <v>0</v>
      </c>
      <c r="L44" s="477">
        <f t="shared" si="13"/>
        <v>0</v>
      </c>
      <c r="M44" s="325">
        <v>0</v>
      </c>
      <c r="N44" s="390">
        <f t="shared" si="3"/>
        <v>0</v>
      </c>
      <c r="O44" s="640">
        <v>0</v>
      </c>
      <c r="P44" s="641">
        <v>0</v>
      </c>
      <c r="Q44" s="387">
        <f t="shared" si="14"/>
        <v>0</v>
      </c>
      <c r="R44" s="253">
        <v>1809409</v>
      </c>
      <c r="S44" s="253">
        <v>0</v>
      </c>
      <c r="T44" s="253">
        <v>0</v>
      </c>
      <c r="U44" s="130">
        <f t="shared" si="79"/>
        <v>1809409</v>
      </c>
      <c r="V44" s="130">
        <v>0</v>
      </c>
      <c r="W44" s="130">
        <v>0</v>
      </c>
      <c r="X44" s="130">
        <v>0</v>
      </c>
      <c r="Y44" s="130">
        <f t="shared" si="80"/>
        <v>0</v>
      </c>
      <c r="Z44" s="130">
        <f t="shared" si="81"/>
        <v>1809409</v>
      </c>
      <c r="AA44" s="316">
        <f t="shared" si="15"/>
        <v>611580</v>
      </c>
      <c r="AB44" s="131">
        <f t="shared" si="82"/>
        <v>36188</v>
      </c>
      <c r="AC44" s="130">
        <v>18450</v>
      </c>
      <c r="AD44" s="130">
        <v>0</v>
      </c>
      <c r="AE44" s="130">
        <f t="shared" si="83"/>
        <v>18450</v>
      </c>
      <c r="AF44" s="130">
        <f t="shared" si="84"/>
        <v>2475627</v>
      </c>
      <c r="AG44" s="132">
        <v>0</v>
      </c>
      <c r="AH44" s="132">
        <v>0</v>
      </c>
      <c r="AI44" s="132">
        <v>5.14</v>
      </c>
      <c r="AJ44" s="132">
        <v>0</v>
      </c>
      <c r="AK44" s="132">
        <v>0</v>
      </c>
      <c r="AL44" s="132">
        <f t="shared" si="85"/>
        <v>5.14</v>
      </c>
      <c r="AM44" s="132">
        <f t="shared" si="86"/>
        <v>0</v>
      </c>
      <c r="AN44" s="403">
        <f t="shared" si="87"/>
        <v>5.14</v>
      </c>
      <c r="AO44" s="128">
        <f t="shared" si="16"/>
        <v>2475627</v>
      </c>
      <c r="AP44" s="253">
        <f t="shared" si="17"/>
        <v>1809409</v>
      </c>
      <c r="AQ44" s="253">
        <f t="shared" si="18"/>
        <v>0</v>
      </c>
      <c r="AR44" s="130">
        <f t="shared" si="19"/>
        <v>611580</v>
      </c>
      <c r="AS44" s="130">
        <f t="shared" si="20"/>
        <v>36188</v>
      </c>
      <c r="AT44" s="253">
        <f t="shared" si="21"/>
        <v>18450</v>
      </c>
      <c r="AU44" s="132">
        <f t="shared" si="22"/>
        <v>5.14</v>
      </c>
      <c r="AV44" s="132">
        <f t="shared" si="23"/>
        <v>5.14</v>
      </c>
      <c r="AW44" s="133">
        <f t="shared" si="24"/>
        <v>0</v>
      </c>
    </row>
    <row r="45" spans="1:49" s="196" customFormat="1" ht="14.1" customHeight="1" x14ac:dyDescent="0.2">
      <c r="A45" s="241">
        <v>6</v>
      </c>
      <c r="B45" s="191">
        <v>2453</v>
      </c>
      <c r="C45" s="212">
        <v>600079686</v>
      </c>
      <c r="D45" s="143">
        <v>72743603</v>
      </c>
      <c r="E45" s="193" t="s">
        <v>760</v>
      </c>
      <c r="F45" s="194">
        <v>3141</v>
      </c>
      <c r="G45" s="145" t="s">
        <v>321</v>
      </c>
      <c r="H45" s="205" t="s">
        <v>284</v>
      </c>
      <c r="I45" s="126">
        <f t="shared" si="0"/>
        <v>483149</v>
      </c>
      <c r="J45" s="666">
        <v>352646</v>
      </c>
      <c r="K45" s="127">
        <f t="shared" ref="K45" si="88">ROUND(J45*33.8%,0)</f>
        <v>119194</v>
      </c>
      <c r="L45" s="477">
        <f t="shared" ref="L45" si="89">ROUND(J45*2%,0)</f>
        <v>7053</v>
      </c>
      <c r="M45" s="666">
        <v>4256</v>
      </c>
      <c r="N45" s="390">
        <f t="shared" si="3"/>
        <v>1.2</v>
      </c>
      <c r="O45" s="669">
        <v>0</v>
      </c>
      <c r="P45" s="667">
        <v>1.2</v>
      </c>
      <c r="Q45" s="387">
        <f t="shared" si="14"/>
        <v>0</v>
      </c>
      <c r="R45" s="253">
        <v>0</v>
      </c>
      <c r="S45" s="253">
        <v>0</v>
      </c>
      <c r="T45" s="253">
        <v>0</v>
      </c>
      <c r="U45" s="130">
        <f t="shared" si="79"/>
        <v>0</v>
      </c>
      <c r="V45" s="130">
        <v>0</v>
      </c>
      <c r="W45" s="130">
        <v>0</v>
      </c>
      <c r="X45" s="130">
        <v>0</v>
      </c>
      <c r="Y45" s="130">
        <f t="shared" si="80"/>
        <v>0</v>
      </c>
      <c r="Z45" s="130">
        <f t="shared" si="81"/>
        <v>0</v>
      </c>
      <c r="AA45" s="316">
        <f t="shared" si="15"/>
        <v>0</v>
      </c>
      <c r="AB45" s="131">
        <f t="shared" si="82"/>
        <v>0</v>
      </c>
      <c r="AC45" s="130">
        <v>0</v>
      </c>
      <c r="AD45" s="130">
        <v>0</v>
      </c>
      <c r="AE45" s="130">
        <f t="shared" si="83"/>
        <v>0</v>
      </c>
      <c r="AF45" s="130">
        <f t="shared" si="84"/>
        <v>0</v>
      </c>
      <c r="AG45" s="132">
        <v>0</v>
      </c>
      <c r="AH45" s="132">
        <v>0</v>
      </c>
      <c r="AI45" s="132">
        <v>0</v>
      </c>
      <c r="AJ45" s="132">
        <v>0</v>
      </c>
      <c r="AK45" s="132">
        <v>0</v>
      </c>
      <c r="AL45" s="132">
        <f t="shared" si="85"/>
        <v>0</v>
      </c>
      <c r="AM45" s="132">
        <f t="shared" si="86"/>
        <v>0</v>
      </c>
      <c r="AN45" s="403">
        <f t="shared" si="87"/>
        <v>0</v>
      </c>
      <c r="AO45" s="128">
        <f t="shared" si="16"/>
        <v>483149</v>
      </c>
      <c r="AP45" s="253">
        <f t="shared" si="17"/>
        <v>352646</v>
      </c>
      <c r="AQ45" s="253">
        <f t="shared" si="18"/>
        <v>0</v>
      </c>
      <c r="AR45" s="130">
        <f t="shared" si="19"/>
        <v>119194</v>
      </c>
      <c r="AS45" s="130">
        <f t="shared" si="20"/>
        <v>7053</v>
      </c>
      <c r="AT45" s="253">
        <f t="shared" si="21"/>
        <v>4256</v>
      </c>
      <c r="AU45" s="132">
        <f t="shared" si="22"/>
        <v>1.2</v>
      </c>
      <c r="AV45" s="132">
        <f t="shared" si="23"/>
        <v>0</v>
      </c>
      <c r="AW45" s="133">
        <f t="shared" si="24"/>
        <v>1.2</v>
      </c>
    </row>
    <row r="46" spans="1:49" s="196" customFormat="1" ht="14.1" customHeight="1" x14ac:dyDescent="0.2">
      <c r="A46" s="241">
        <v>6</v>
      </c>
      <c r="B46" s="143">
        <v>2453</v>
      </c>
      <c r="C46" s="537">
        <v>600079686</v>
      </c>
      <c r="D46" s="143">
        <v>72743603</v>
      </c>
      <c r="E46" s="145" t="s">
        <v>760</v>
      </c>
      <c r="F46" s="206">
        <v>3143</v>
      </c>
      <c r="G46" s="145" t="s">
        <v>635</v>
      </c>
      <c r="H46" s="205" t="s">
        <v>283</v>
      </c>
      <c r="I46" s="126">
        <f t="shared" si="0"/>
        <v>1086066</v>
      </c>
      <c r="J46" s="29">
        <v>799754</v>
      </c>
      <c r="K46" s="127">
        <f t="shared" si="25"/>
        <v>270317</v>
      </c>
      <c r="L46" s="477">
        <f t="shared" si="13"/>
        <v>15995</v>
      </c>
      <c r="M46" s="479">
        <v>0</v>
      </c>
      <c r="N46" s="390">
        <f t="shared" si="3"/>
        <v>1.8994</v>
      </c>
      <c r="O46" s="22">
        <v>1.8994</v>
      </c>
      <c r="P46" s="641">
        <v>0</v>
      </c>
      <c r="Q46" s="387">
        <f t="shared" si="14"/>
        <v>0</v>
      </c>
      <c r="R46" s="130">
        <v>0</v>
      </c>
      <c r="S46" s="130">
        <v>0</v>
      </c>
      <c r="T46" s="130">
        <v>-36807</v>
      </c>
      <c r="U46" s="130">
        <f t="shared" si="79"/>
        <v>-36807</v>
      </c>
      <c r="V46" s="130">
        <v>0</v>
      </c>
      <c r="W46" s="130">
        <v>0</v>
      </c>
      <c r="X46" s="130">
        <v>0</v>
      </c>
      <c r="Y46" s="130">
        <f t="shared" si="80"/>
        <v>0</v>
      </c>
      <c r="Z46" s="130">
        <f t="shared" si="81"/>
        <v>-36807</v>
      </c>
      <c r="AA46" s="316">
        <f t="shared" si="15"/>
        <v>-12441</v>
      </c>
      <c r="AB46" s="131">
        <f t="shared" si="82"/>
        <v>-736</v>
      </c>
      <c r="AC46" s="130">
        <v>0</v>
      </c>
      <c r="AD46" s="130">
        <v>0</v>
      </c>
      <c r="AE46" s="130">
        <f t="shared" si="83"/>
        <v>0</v>
      </c>
      <c r="AF46" s="130">
        <f t="shared" si="84"/>
        <v>-49984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f t="shared" si="85"/>
        <v>0</v>
      </c>
      <c r="AM46" s="132">
        <f t="shared" si="86"/>
        <v>0</v>
      </c>
      <c r="AN46" s="403">
        <f t="shared" si="87"/>
        <v>0</v>
      </c>
      <c r="AO46" s="128">
        <f t="shared" si="16"/>
        <v>1036082</v>
      </c>
      <c r="AP46" s="253">
        <f t="shared" si="17"/>
        <v>762947</v>
      </c>
      <c r="AQ46" s="253">
        <f t="shared" si="18"/>
        <v>0</v>
      </c>
      <c r="AR46" s="130">
        <f t="shared" si="19"/>
        <v>257876</v>
      </c>
      <c r="AS46" s="130">
        <f t="shared" si="20"/>
        <v>15259</v>
      </c>
      <c r="AT46" s="253">
        <f t="shared" si="21"/>
        <v>0</v>
      </c>
      <c r="AU46" s="132">
        <f t="shared" si="22"/>
        <v>1.8994</v>
      </c>
      <c r="AV46" s="132">
        <f t="shared" si="23"/>
        <v>1.8994</v>
      </c>
      <c r="AW46" s="133">
        <f t="shared" si="24"/>
        <v>0</v>
      </c>
    </row>
    <row r="47" spans="1:49" s="196" customFormat="1" ht="14.1" customHeight="1" x14ac:dyDescent="0.2">
      <c r="A47" s="241">
        <v>6</v>
      </c>
      <c r="B47" s="143">
        <v>2453</v>
      </c>
      <c r="C47" s="537">
        <v>600079686</v>
      </c>
      <c r="D47" s="143">
        <v>72743603</v>
      </c>
      <c r="E47" s="145" t="s">
        <v>760</v>
      </c>
      <c r="F47" s="206">
        <v>3143</v>
      </c>
      <c r="G47" s="145" t="s">
        <v>636</v>
      </c>
      <c r="H47" s="205" t="s">
        <v>284</v>
      </c>
      <c r="I47" s="126">
        <f t="shared" si="0"/>
        <v>35111</v>
      </c>
      <c r="J47" s="664">
        <v>24750</v>
      </c>
      <c r="K47" s="127">
        <f t="shared" ref="K47" si="90">ROUND(J47*33.8%,0)</f>
        <v>8366</v>
      </c>
      <c r="L47" s="477">
        <f t="shared" ref="L47" si="91">ROUND(J47*2%,0)</f>
        <v>495</v>
      </c>
      <c r="M47" s="664">
        <v>1500</v>
      </c>
      <c r="N47" s="390">
        <f t="shared" si="3"/>
        <v>0.1</v>
      </c>
      <c r="O47" s="662">
        <v>0</v>
      </c>
      <c r="P47" s="663">
        <v>0.1</v>
      </c>
      <c r="Q47" s="387">
        <f t="shared" si="14"/>
        <v>0</v>
      </c>
      <c r="R47" s="130">
        <v>0</v>
      </c>
      <c r="S47" s="130">
        <v>0</v>
      </c>
      <c r="T47" s="130">
        <v>0</v>
      </c>
      <c r="U47" s="130">
        <f t="shared" si="79"/>
        <v>0</v>
      </c>
      <c r="V47" s="130">
        <v>0</v>
      </c>
      <c r="W47" s="130">
        <v>0</v>
      </c>
      <c r="X47" s="130">
        <v>0</v>
      </c>
      <c r="Y47" s="130">
        <f t="shared" si="80"/>
        <v>0</v>
      </c>
      <c r="Z47" s="130">
        <f t="shared" si="81"/>
        <v>0</v>
      </c>
      <c r="AA47" s="316">
        <f t="shared" si="15"/>
        <v>0</v>
      </c>
      <c r="AB47" s="131">
        <f t="shared" si="82"/>
        <v>0</v>
      </c>
      <c r="AC47" s="130">
        <v>0</v>
      </c>
      <c r="AD47" s="130">
        <v>0</v>
      </c>
      <c r="AE47" s="130">
        <f t="shared" si="83"/>
        <v>0</v>
      </c>
      <c r="AF47" s="130">
        <f t="shared" si="84"/>
        <v>0</v>
      </c>
      <c r="AG47" s="132">
        <v>0</v>
      </c>
      <c r="AH47" s="132">
        <v>0</v>
      </c>
      <c r="AI47" s="132">
        <v>0</v>
      </c>
      <c r="AJ47" s="132">
        <v>0</v>
      </c>
      <c r="AK47" s="132">
        <v>0</v>
      </c>
      <c r="AL47" s="132">
        <f t="shared" si="85"/>
        <v>0</v>
      </c>
      <c r="AM47" s="132">
        <f t="shared" si="86"/>
        <v>0</v>
      </c>
      <c r="AN47" s="403">
        <f t="shared" si="87"/>
        <v>0</v>
      </c>
      <c r="AO47" s="128">
        <f t="shared" si="16"/>
        <v>35111</v>
      </c>
      <c r="AP47" s="253">
        <f t="shared" si="17"/>
        <v>24750</v>
      </c>
      <c r="AQ47" s="253">
        <f t="shared" si="18"/>
        <v>0</v>
      </c>
      <c r="AR47" s="130">
        <f t="shared" si="19"/>
        <v>8366</v>
      </c>
      <c r="AS47" s="130">
        <f t="shared" si="20"/>
        <v>495</v>
      </c>
      <c r="AT47" s="253">
        <f t="shared" si="21"/>
        <v>1500</v>
      </c>
      <c r="AU47" s="132">
        <f t="shared" si="22"/>
        <v>0.1</v>
      </c>
      <c r="AV47" s="132">
        <f t="shared" si="23"/>
        <v>0</v>
      </c>
      <c r="AW47" s="133">
        <f t="shared" si="24"/>
        <v>0.1</v>
      </c>
    </row>
    <row r="48" spans="1:49" s="196" customFormat="1" ht="14.1" customHeight="1" x14ac:dyDescent="0.2">
      <c r="A48" s="242">
        <v>6</v>
      </c>
      <c r="B48" s="198">
        <v>2453</v>
      </c>
      <c r="C48" s="213">
        <v>600079686</v>
      </c>
      <c r="D48" s="198">
        <v>72743603</v>
      </c>
      <c r="E48" s="200" t="s">
        <v>761</v>
      </c>
      <c r="F48" s="216"/>
      <c r="G48" s="202"/>
      <c r="H48" s="203"/>
      <c r="I48" s="197">
        <f t="shared" ref="I48:P48" si="92">SUM(I42:I47)</f>
        <v>10010597</v>
      </c>
      <c r="J48" s="357">
        <f t="shared" si="92"/>
        <v>7268321</v>
      </c>
      <c r="K48" s="357">
        <f t="shared" si="92"/>
        <v>2456693</v>
      </c>
      <c r="L48" s="357">
        <f t="shared" si="92"/>
        <v>145367</v>
      </c>
      <c r="M48" s="357">
        <f t="shared" si="92"/>
        <v>140216</v>
      </c>
      <c r="N48" s="678">
        <f t="shared" si="92"/>
        <v>16.258600000000001</v>
      </c>
      <c r="O48" s="678">
        <f t="shared" si="92"/>
        <v>11.3201</v>
      </c>
      <c r="P48" s="679">
        <f t="shared" si="92"/>
        <v>4.9384999999999994</v>
      </c>
      <c r="Q48" s="357">
        <f t="shared" ref="Q48:AW48" si="93">SUM(Q42:Q47)</f>
        <v>0</v>
      </c>
      <c r="R48" s="209">
        <f t="shared" si="93"/>
        <v>1809409</v>
      </c>
      <c r="S48" s="209">
        <f t="shared" si="93"/>
        <v>0</v>
      </c>
      <c r="T48" s="209">
        <f t="shared" si="93"/>
        <v>-36807</v>
      </c>
      <c r="U48" s="209">
        <f t="shared" si="93"/>
        <v>1772602</v>
      </c>
      <c r="V48" s="209">
        <f t="shared" si="93"/>
        <v>0</v>
      </c>
      <c r="W48" s="209">
        <f t="shared" ref="W48" si="94">SUM(W42:W47)</f>
        <v>0</v>
      </c>
      <c r="X48" s="209">
        <f t="shared" si="93"/>
        <v>0</v>
      </c>
      <c r="Y48" s="209">
        <f t="shared" si="93"/>
        <v>0</v>
      </c>
      <c r="Z48" s="209">
        <f t="shared" si="93"/>
        <v>1772602</v>
      </c>
      <c r="AA48" s="209">
        <f t="shared" si="93"/>
        <v>599139</v>
      </c>
      <c r="AB48" s="209">
        <f t="shared" si="93"/>
        <v>35452</v>
      </c>
      <c r="AC48" s="209">
        <f t="shared" si="93"/>
        <v>18450</v>
      </c>
      <c r="AD48" s="209">
        <f t="shared" si="93"/>
        <v>0</v>
      </c>
      <c r="AE48" s="209">
        <f t="shared" si="93"/>
        <v>18450</v>
      </c>
      <c r="AF48" s="209">
        <f t="shared" si="93"/>
        <v>2425643</v>
      </c>
      <c r="AG48" s="210">
        <f t="shared" si="93"/>
        <v>0</v>
      </c>
      <c r="AH48" s="210">
        <f t="shared" si="93"/>
        <v>0</v>
      </c>
      <c r="AI48" s="210">
        <f t="shared" si="93"/>
        <v>5.14</v>
      </c>
      <c r="AJ48" s="210">
        <f t="shared" si="93"/>
        <v>0</v>
      </c>
      <c r="AK48" s="210">
        <f t="shared" si="93"/>
        <v>0</v>
      </c>
      <c r="AL48" s="210">
        <f t="shared" si="93"/>
        <v>5.14</v>
      </c>
      <c r="AM48" s="210">
        <f t="shared" si="93"/>
        <v>0</v>
      </c>
      <c r="AN48" s="383">
        <f t="shared" si="93"/>
        <v>5.14</v>
      </c>
      <c r="AO48" s="692">
        <f t="shared" si="93"/>
        <v>12436240</v>
      </c>
      <c r="AP48" s="685">
        <f t="shared" si="93"/>
        <v>9040923</v>
      </c>
      <c r="AQ48" s="685">
        <f t="shared" si="93"/>
        <v>0</v>
      </c>
      <c r="AR48" s="685">
        <f t="shared" si="93"/>
        <v>3055832</v>
      </c>
      <c r="AS48" s="685">
        <f t="shared" si="93"/>
        <v>180819</v>
      </c>
      <c r="AT48" s="685">
        <f t="shared" si="93"/>
        <v>158666</v>
      </c>
      <c r="AU48" s="383">
        <f t="shared" si="93"/>
        <v>21.398600000000002</v>
      </c>
      <c r="AV48" s="383">
        <f t="shared" si="93"/>
        <v>16.460100000000001</v>
      </c>
      <c r="AW48" s="211">
        <f t="shared" si="93"/>
        <v>4.9384999999999994</v>
      </c>
    </row>
    <row r="49" spans="1:49" s="196" customFormat="1" ht="14.1" customHeight="1" x14ac:dyDescent="0.2">
      <c r="A49" s="241">
        <v>7</v>
      </c>
      <c r="B49" s="207">
        <v>2320</v>
      </c>
      <c r="C49" s="212">
        <v>650034180</v>
      </c>
      <c r="D49" s="143">
        <v>72755369</v>
      </c>
      <c r="E49" s="193" t="s">
        <v>762</v>
      </c>
      <c r="F49" s="206">
        <v>3111</v>
      </c>
      <c r="G49" s="145" t="s">
        <v>317</v>
      </c>
      <c r="H49" s="205" t="s">
        <v>283</v>
      </c>
      <c r="I49" s="126">
        <f t="shared" si="0"/>
        <v>2881437</v>
      </c>
      <c r="J49" s="127">
        <v>2108238</v>
      </c>
      <c r="K49" s="127">
        <f t="shared" si="25"/>
        <v>712584</v>
      </c>
      <c r="L49" s="477">
        <f t="shared" si="13"/>
        <v>42165</v>
      </c>
      <c r="M49" s="127">
        <v>18450</v>
      </c>
      <c r="N49" s="390">
        <f t="shared" si="3"/>
        <v>4.9218000000000002</v>
      </c>
      <c r="O49" s="390">
        <v>4</v>
      </c>
      <c r="P49" s="439">
        <v>0.92179999999999995</v>
      </c>
      <c r="Q49" s="387">
        <f t="shared" si="14"/>
        <v>-24000</v>
      </c>
      <c r="R49" s="253">
        <v>0</v>
      </c>
      <c r="S49" s="253">
        <v>0</v>
      </c>
      <c r="T49" s="253">
        <v>0</v>
      </c>
      <c r="U49" s="130">
        <f t="shared" ref="U49:U54" si="95">SUM(Q49:T49)</f>
        <v>-24000</v>
      </c>
      <c r="V49" s="130">
        <v>24000</v>
      </c>
      <c r="W49" s="130">
        <v>0</v>
      </c>
      <c r="X49" s="130">
        <v>0</v>
      </c>
      <c r="Y49" s="130">
        <f t="shared" ref="Y49:Y54" si="96">SUM(V49:X49)</f>
        <v>24000</v>
      </c>
      <c r="Z49" s="130">
        <f t="shared" ref="Z49:Z54" si="97">U49+Y49</f>
        <v>0</v>
      </c>
      <c r="AA49" s="316">
        <f t="shared" si="15"/>
        <v>0</v>
      </c>
      <c r="AB49" s="131">
        <f t="shared" ref="AB49:AB54" si="98">ROUND(U49*2%,0)</f>
        <v>-480</v>
      </c>
      <c r="AC49" s="130">
        <v>0</v>
      </c>
      <c r="AD49" s="130">
        <v>0</v>
      </c>
      <c r="AE49" s="130">
        <f t="shared" ref="AE49:AE54" si="99">SUM(AC49:AD49)</f>
        <v>0</v>
      </c>
      <c r="AF49" s="130">
        <f t="shared" ref="AF49:AF54" si="100">Z49+AA49+AB49+AE49</f>
        <v>-480</v>
      </c>
      <c r="AG49" s="132">
        <v>0</v>
      </c>
      <c r="AH49" s="132">
        <v>-0.13</v>
      </c>
      <c r="AI49" s="132">
        <v>0</v>
      </c>
      <c r="AJ49" s="132">
        <v>0</v>
      </c>
      <c r="AK49" s="132">
        <v>0</v>
      </c>
      <c r="AL49" s="132">
        <f t="shared" ref="AL49:AL54" si="101">AG49+AI49+AJ49</f>
        <v>0</v>
      </c>
      <c r="AM49" s="132">
        <f t="shared" ref="AM49:AM54" si="102">AH49+AK49</f>
        <v>-0.13</v>
      </c>
      <c r="AN49" s="403">
        <f t="shared" ref="AN49:AN54" si="103">SUM(AL49:AM49)</f>
        <v>-0.13</v>
      </c>
      <c r="AO49" s="128">
        <f t="shared" si="16"/>
        <v>2880957</v>
      </c>
      <c r="AP49" s="253">
        <f t="shared" si="17"/>
        <v>2084238</v>
      </c>
      <c r="AQ49" s="253">
        <f t="shared" si="18"/>
        <v>24000</v>
      </c>
      <c r="AR49" s="130">
        <f t="shared" si="19"/>
        <v>712584</v>
      </c>
      <c r="AS49" s="130">
        <f t="shared" si="20"/>
        <v>41685</v>
      </c>
      <c r="AT49" s="253">
        <f t="shared" si="21"/>
        <v>18450</v>
      </c>
      <c r="AU49" s="132">
        <f t="shared" si="22"/>
        <v>4.7918000000000003</v>
      </c>
      <c r="AV49" s="132">
        <f t="shared" si="23"/>
        <v>4</v>
      </c>
      <c r="AW49" s="133">
        <f t="shared" si="24"/>
        <v>0.79179999999999995</v>
      </c>
    </row>
    <row r="50" spans="1:49" s="196" customFormat="1" ht="14.1" customHeight="1" x14ac:dyDescent="0.2">
      <c r="A50" s="241">
        <v>7</v>
      </c>
      <c r="B50" s="214">
        <v>2320</v>
      </c>
      <c r="C50" s="212">
        <v>650034180</v>
      </c>
      <c r="D50" s="143">
        <v>72755369</v>
      </c>
      <c r="E50" s="214" t="s">
        <v>762</v>
      </c>
      <c r="F50" s="215">
        <v>3117</v>
      </c>
      <c r="G50" s="214" t="s">
        <v>320</v>
      </c>
      <c r="H50" s="205" t="s">
        <v>283</v>
      </c>
      <c r="I50" s="126">
        <f t="shared" si="0"/>
        <v>4613888</v>
      </c>
      <c r="J50" s="477">
        <v>3333341</v>
      </c>
      <c r="K50" s="127">
        <v>1126670</v>
      </c>
      <c r="L50" s="477">
        <f t="shared" si="13"/>
        <v>66667</v>
      </c>
      <c r="M50" s="477">
        <v>87210</v>
      </c>
      <c r="N50" s="390">
        <f t="shared" si="3"/>
        <v>6.6278000000000006</v>
      </c>
      <c r="O50" s="645">
        <v>4.1363000000000003</v>
      </c>
      <c r="P50" s="646">
        <v>2.4914999999999998</v>
      </c>
      <c r="Q50" s="387">
        <f t="shared" si="14"/>
        <v>-24000</v>
      </c>
      <c r="R50" s="253">
        <v>0</v>
      </c>
      <c r="S50" s="253">
        <v>0</v>
      </c>
      <c r="T50" s="253">
        <v>0</v>
      </c>
      <c r="U50" s="130">
        <f t="shared" si="95"/>
        <v>-24000</v>
      </c>
      <c r="V50" s="130">
        <v>24000</v>
      </c>
      <c r="W50" s="130">
        <v>0</v>
      </c>
      <c r="X50" s="130">
        <v>0</v>
      </c>
      <c r="Y50" s="130">
        <f t="shared" si="96"/>
        <v>24000</v>
      </c>
      <c r="Z50" s="130">
        <f t="shared" si="97"/>
        <v>0</v>
      </c>
      <c r="AA50" s="316">
        <f t="shared" si="15"/>
        <v>0</v>
      </c>
      <c r="AB50" s="131">
        <f t="shared" si="98"/>
        <v>-480</v>
      </c>
      <c r="AC50" s="130">
        <v>0</v>
      </c>
      <c r="AD50" s="130">
        <v>0</v>
      </c>
      <c r="AE50" s="130">
        <f t="shared" si="99"/>
        <v>0</v>
      </c>
      <c r="AF50" s="130">
        <f t="shared" si="100"/>
        <v>-480</v>
      </c>
      <c r="AG50" s="132">
        <v>0</v>
      </c>
      <c r="AH50" s="132">
        <v>-0.12</v>
      </c>
      <c r="AI50" s="132">
        <v>0</v>
      </c>
      <c r="AJ50" s="132">
        <v>0</v>
      </c>
      <c r="AK50" s="132">
        <v>0</v>
      </c>
      <c r="AL50" s="132">
        <f t="shared" si="101"/>
        <v>0</v>
      </c>
      <c r="AM50" s="132">
        <f t="shared" si="102"/>
        <v>-0.12</v>
      </c>
      <c r="AN50" s="403">
        <f t="shared" si="103"/>
        <v>-0.12</v>
      </c>
      <c r="AO50" s="128">
        <f t="shared" si="16"/>
        <v>4613408</v>
      </c>
      <c r="AP50" s="253">
        <f t="shared" si="17"/>
        <v>3309341</v>
      </c>
      <c r="AQ50" s="253">
        <f t="shared" si="18"/>
        <v>24000</v>
      </c>
      <c r="AR50" s="130">
        <f t="shared" si="19"/>
        <v>1126670</v>
      </c>
      <c r="AS50" s="130">
        <f t="shared" si="20"/>
        <v>66187</v>
      </c>
      <c r="AT50" s="253">
        <f t="shared" si="21"/>
        <v>87210</v>
      </c>
      <c r="AU50" s="132">
        <f t="shared" si="22"/>
        <v>6.5078000000000005</v>
      </c>
      <c r="AV50" s="132">
        <f t="shared" si="23"/>
        <v>4.1363000000000003</v>
      </c>
      <c r="AW50" s="133">
        <f t="shared" si="24"/>
        <v>2.3714999999999997</v>
      </c>
    </row>
    <row r="51" spans="1:49" s="196" customFormat="1" ht="14.1" customHeight="1" x14ac:dyDescent="0.2">
      <c r="A51" s="241">
        <v>7</v>
      </c>
      <c r="B51" s="207">
        <v>2320</v>
      </c>
      <c r="C51" s="212">
        <v>650034180</v>
      </c>
      <c r="D51" s="143">
        <v>72755369</v>
      </c>
      <c r="E51" s="208" t="s">
        <v>762</v>
      </c>
      <c r="F51" s="194">
        <v>3117</v>
      </c>
      <c r="G51" s="143" t="s">
        <v>318</v>
      </c>
      <c r="H51" s="205" t="s">
        <v>284</v>
      </c>
      <c r="I51" s="126">
        <f t="shared" si="0"/>
        <v>0</v>
      </c>
      <c r="J51" s="325">
        <v>0</v>
      </c>
      <c r="K51" s="127">
        <f t="shared" si="25"/>
        <v>0</v>
      </c>
      <c r="L51" s="477">
        <f t="shared" si="13"/>
        <v>0</v>
      </c>
      <c r="M51" s="325">
        <v>0</v>
      </c>
      <c r="N51" s="390">
        <f t="shared" si="3"/>
        <v>0</v>
      </c>
      <c r="O51" s="640">
        <v>0</v>
      </c>
      <c r="P51" s="641">
        <v>0</v>
      </c>
      <c r="Q51" s="387">
        <f t="shared" si="14"/>
        <v>0</v>
      </c>
      <c r="R51" s="253">
        <v>537012</v>
      </c>
      <c r="S51" s="253">
        <v>0</v>
      </c>
      <c r="T51" s="253">
        <v>0</v>
      </c>
      <c r="U51" s="130">
        <f t="shared" si="95"/>
        <v>537012</v>
      </c>
      <c r="V51" s="130">
        <v>0</v>
      </c>
      <c r="W51" s="130">
        <v>0</v>
      </c>
      <c r="X51" s="130">
        <v>0</v>
      </c>
      <c r="Y51" s="130">
        <f t="shared" si="96"/>
        <v>0</v>
      </c>
      <c r="Z51" s="130">
        <f t="shared" si="97"/>
        <v>537012</v>
      </c>
      <c r="AA51" s="316">
        <f t="shared" si="15"/>
        <v>181510</v>
      </c>
      <c r="AB51" s="131">
        <f t="shared" si="98"/>
        <v>10740</v>
      </c>
      <c r="AC51" s="130">
        <v>0</v>
      </c>
      <c r="AD51" s="130">
        <v>0</v>
      </c>
      <c r="AE51" s="130">
        <f t="shared" si="99"/>
        <v>0</v>
      </c>
      <c r="AF51" s="130">
        <f t="shared" si="100"/>
        <v>729262</v>
      </c>
      <c r="AG51" s="132">
        <v>0</v>
      </c>
      <c r="AH51" s="132">
        <v>0</v>
      </c>
      <c r="AI51" s="132">
        <v>1.8</v>
      </c>
      <c r="AJ51" s="132">
        <v>0</v>
      </c>
      <c r="AK51" s="132">
        <v>0</v>
      </c>
      <c r="AL51" s="132">
        <f t="shared" si="101"/>
        <v>1.8</v>
      </c>
      <c r="AM51" s="132">
        <f t="shared" si="102"/>
        <v>0</v>
      </c>
      <c r="AN51" s="403">
        <f t="shared" si="103"/>
        <v>1.8</v>
      </c>
      <c r="AO51" s="128">
        <f t="shared" si="16"/>
        <v>729262</v>
      </c>
      <c r="AP51" s="253">
        <f t="shared" si="17"/>
        <v>537012</v>
      </c>
      <c r="AQ51" s="253">
        <f t="shared" si="18"/>
        <v>0</v>
      </c>
      <c r="AR51" s="130">
        <f t="shared" si="19"/>
        <v>181510</v>
      </c>
      <c r="AS51" s="130">
        <f t="shared" si="20"/>
        <v>10740</v>
      </c>
      <c r="AT51" s="253">
        <f t="shared" si="21"/>
        <v>0</v>
      </c>
      <c r="AU51" s="132">
        <f t="shared" si="22"/>
        <v>1.8</v>
      </c>
      <c r="AV51" s="132">
        <f t="shared" si="23"/>
        <v>1.8</v>
      </c>
      <c r="AW51" s="133">
        <f t="shared" si="24"/>
        <v>0</v>
      </c>
    </row>
    <row r="52" spans="1:49" s="196" customFormat="1" ht="14.1" customHeight="1" x14ac:dyDescent="0.2">
      <c r="A52" s="241">
        <v>7</v>
      </c>
      <c r="B52" s="191">
        <v>2320</v>
      </c>
      <c r="C52" s="212">
        <v>650034180</v>
      </c>
      <c r="D52" s="143">
        <v>72755369</v>
      </c>
      <c r="E52" s="193" t="s">
        <v>762</v>
      </c>
      <c r="F52" s="194">
        <v>3141</v>
      </c>
      <c r="G52" s="145" t="s">
        <v>321</v>
      </c>
      <c r="H52" s="205" t="s">
        <v>284</v>
      </c>
      <c r="I52" s="126">
        <f t="shared" si="0"/>
        <v>1021437</v>
      </c>
      <c r="J52" s="666">
        <v>748404</v>
      </c>
      <c r="K52" s="127">
        <f t="shared" ref="K52" si="104">ROUND(J52*33.8%,0)</f>
        <v>252961</v>
      </c>
      <c r="L52" s="477">
        <f t="shared" ref="L52" si="105">ROUND(J52*2%,0)</f>
        <v>14968</v>
      </c>
      <c r="M52" s="666">
        <v>5104</v>
      </c>
      <c r="N52" s="390">
        <f t="shared" si="3"/>
        <v>2.54</v>
      </c>
      <c r="O52" s="668">
        <v>0</v>
      </c>
      <c r="P52" s="674">
        <v>2.54</v>
      </c>
      <c r="Q52" s="387">
        <f t="shared" si="14"/>
        <v>0</v>
      </c>
      <c r="R52" s="253">
        <v>0</v>
      </c>
      <c r="S52" s="253">
        <v>0</v>
      </c>
      <c r="T52" s="253">
        <v>0</v>
      </c>
      <c r="U52" s="130">
        <f t="shared" si="95"/>
        <v>0</v>
      </c>
      <c r="V52" s="130">
        <v>0</v>
      </c>
      <c r="W52" s="130">
        <v>0</v>
      </c>
      <c r="X52" s="130">
        <v>0</v>
      </c>
      <c r="Y52" s="130">
        <f t="shared" si="96"/>
        <v>0</v>
      </c>
      <c r="Z52" s="130">
        <f t="shared" si="97"/>
        <v>0</v>
      </c>
      <c r="AA52" s="316">
        <f t="shared" si="15"/>
        <v>0</v>
      </c>
      <c r="AB52" s="131">
        <f t="shared" si="98"/>
        <v>0</v>
      </c>
      <c r="AC52" s="130">
        <v>0</v>
      </c>
      <c r="AD52" s="130">
        <v>0</v>
      </c>
      <c r="AE52" s="130">
        <f t="shared" si="99"/>
        <v>0</v>
      </c>
      <c r="AF52" s="130">
        <f t="shared" si="100"/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32">
        <f t="shared" si="101"/>
        <v>0</v>
      </c>
      <c r="AM52" s="132">
        <f t="shared" si="102"/>
        <v>0</v>
      </c>
      <c r="AN52" s="403">
        <f t="shared" si="103"/>
        <v>0</v>
      </c>
      <c r="AO52" s="128">
        <f t="shared" si="16"/>
        <v>1021437</v>
      </c>
      <c r="AP52" s="253">
        <f t="shared" si="17"/>
        <v>748404</v>
      </c>
      <c r="AQ52" s="253">
        <f t="shared" si="18"/>
        <v>0</v>
      </c>
      <c r="AR52" s="130">
        <f t="shared" si="19"/>
        <v>252961</v>
      </c>
      <c r="AS52" s="130">
        <f t="shared" si="20"/>
        <v>14968</v>
      </c>
      <c r="AT52" s="253">
        <f t="shared" si="21"/>
        <v>5104</v>
      </c>
      <c r="AU52" s="132">
        <f t="shared" si="22"/>
        <v>2.54</v>
      </c>
      <c r="AV52" s="132">
        <f t="shared" si="23"/>
        <v>0</v>
      </c>
      <c r="AW52" s="133">
        <f t="shared" si="24"/>
        <v>2.54</v>
      </c>
    </row>
    <row r="53" spans="1:49" s="196" customFormat="1" ht="14.1" customHeight="1" x14ac:dyDescent="0.2">
      <c r="A53" s="241">
        <v>7</v>
      </c>
      <c r="B53" s="143">
        <v>2320</v>
      </c>
      <c r="C53" s="537">
        <v>650034180</v>
      </c>
      <c r="D53" s="143">
        <v>72755369</v>
      </c>
      <c r="E53" s="145" t="s">
        <v>762</v>
      </c>
      <c r="F53" s="206">
        <v>3143</v>
      </c>
      <c r="G53" s="145" t="s">
        <v>635</v>
      </c>
      <c r="H53" s="205" t="s">
        <v>283</v>
      </c>
      <c r="I53" s="126">
        <f t="shared" si="0"/>
        <v>897718</v>
      </c>
      <c r="J53" s="29">
        <v>661059</v>
      </c>
      <c r="K53" s="127">
        <f t="shared" si="25"/>
        <v>223438</v>
      </c>
      <c r="L53" s="477">
        <f t="shared" si="13"/>
        <v>13221</v>
      </c>
      <c r="M53" s="479">
        <v>0</v>
      </c>
      <c r="N53" s="390">
        <f t="shared" si="3"/>
        <v>1.5356000000000001</v>
      </c>
      <c r="O53" s="22">
        <v>1.5356000000000001</v>
      </c>
      <c r="P53" s="641">
        <v>0</v>
      </c>
      <c r="Q53" s="387">
        <f t="shared" si="14"/>
        <v>0</v>
      </c>
      <c r="R53" s="130">
        <v>0</v>
      </c>
      <c r="S53" s="130">
        <v>0</v>
      </c>
      <c r="T53" s="130">
        <v>0</v>
      </c>
      <c r="U53" s="130">
        <f t="shared" si="95"/>
        <v>0</v>
      </c>
      <c r="V53" s="130">
        <v>0</v>
      </c>
      <c r="W53" s="130">
        <v>0</v>
      </c>
      <c r="X53" s="130">
        <v>0</v>
      </c>
      <c r="Y53" s="130">
        <f t="shared" si="96"/>
        <v>0</v>
      </c>
      <c r="Z53" s="130">
        <f t="shared" si="97"/>
        <v>0</v>
      </c>
      <c r="AA53" s="316">
        <f t="shared" si="15"/>
        <v>0</v>
      </c>
      <c r="AB53" s="131">
        <f t="shared" si="98"/>
        <v>0</v>
      </c>
      <c r="AC53" s="130">
        <v>0</v>
      </c>
      <c r="AD53" s="130">
        <v>0</v>
      </c>
      <c r="AE53" s="130">
        <f t="shared" si="99"/>
        <v>0</v>
      </c>
      <c r="AF53" s="130">
        <f t="shared" si="100"/>
        <v>0</v>
      </c>
      <c r="AG53" s="132">
        <v>0</v>
      </c>
      <c r="AH53" s="132">
        <v>0</v>
      </c>
      <c r="AI53" s="132">
        <v>0</v>
      </c>
      <c r="AJ53" s="132">
        <v>0</v>
      </c>
      <c r="AK53" s="132">
        <v>0</v>
      </c>
      <c r="AL53" s="132">
        <f t="shared" si="101"/>
        <v>0</v>
      </c>
      <c r="AM53" s="132">
        <f t="shared" si="102"/>
        <v>0</v>
      </c>
      <c r="AN53" s="403">
        <f t="shared" si="103"/>
        <v>0</v>
      </c>
      <c r="AO53" s="128">
        <f t="shared" si="16"/>
        <v>897718</v>
      </c>
      <c r="AP53" s="253">
        <f t="shared" si="17"/>
        <v>661059</v>
      </c>
      <c r="AQ53" s="253">
        <f t="shared" si="18"/>
        <v>0</v>
      </c>
      <c r="AR53" s="130">
        <f t="shared" si="19"/>
        <v>223438</v>
      </c>
      <c r="AS53" s="130">
        <f t="shared" si="20"/>
        <v>13221</v>
      </c>
      <c r="AT53" s="253">
        <f t="shared" si="21"/>
        <v>0</v>
      </c>
      <c r="AU53" s="132">
        <f t="shared" si="22"/>
        <v>1.5356000000000001</v>
      </c>
      <c r="AV53" s="132">
        <f t="shared" si="23"/>
        <v>1.5356000000000001</v>
      </c>
      <c r="AW53" s="133">
        <f t="shared" si="24"/>
        <v>0</v>
      </c>
    </row>
    <row r="54" spans="1:49" s="196" customFormat="1" ht="14.1" customHeight="1" x14ac:dyDescent="0.2">
      <c r="A54" s="241">
        <v>7</v>
      </c>
      <c r="B54" s="143">
        <v>2320</v>
      </c>
      <c r="C54" s="537">
        <v>650034180</v>
      </c>
      <c r="D54" s="143">
        <v>72755369</v>
      </c>
      <c r="E54" s="145" t="s">
        <v>762</v>
      </c>
      <c r="F54" s="206">
        <v>3143</v>
      </c>
      <c r="G54" s="145" t="s">
        <v>636</v>
      </c>
      <c r="H54" s="205" t="s">
        <v>284</v>
      </c>
      <c r="I54" s="126">
        <f t="shared" si="0"/>
        <v>31600</v>
      </c>
      <c r="J54" s="664">
        <v>22275</v>
      </c>
      <c r="K54" s="127">
        <f t="shared" ref="K54" si="106">ROUND(J54*33.8%,0)</f>
        <v>7529</v>
      </c>
      <c r="L54" s="477">
        <f t="shared" ref="L54" si="107">ROUND(J54*2%,0)</f>
        <v>446</v>
      </c>
      <c r="M54" s="664">
        <v>1350</v>
      </c>
      <c r="N54" s="390">
        <f t="shared" si="3"/>
        <v>0.09</v>
      </c>
      <c r="O54" s="662">
        <v>0</v>
      </c>
      <c r="P54" s="663">
        <v>0.09</v>
      </c>
      <c r="Q54" s="387">
        <f t="shared" si="14"/>
        <v>0</v>
      </c>
      <c r="R54" s="130">
        <v>0</v>
      </c>
      <c r="S54" s="130">
        <v>0</v>
      </c>
      <c r="T54" s="130">
        <v>0</v>
      </c>
      <c r="U54" s="130">
        <f t="shared" si="95"/>
        <v>0</v>
      </c>
      <c r="V54" s="130">
        <v>0</v>
      </c>
      <c r="W54" s="130">
        <v>0</v>
      </c>
      <c r="X54" s="130">
        <v>0</v>
      </c>
      <c r="Y54" s="130">
        <f t="shared" si="96"/>
        <v>0</v>
      </c>
      <c r="Z54" s="130">
        <f t="shared" si="97"/>
        <v>0</v>
      </c>
      <c r="AA54" s="316">
        <f t="shared" si="15"/>
        <v>0</v>
      </c>
      <c r="AB54" s="131">
        <f t="shared" si="98"/>
        <v>0</v>
      </c>
      <c r="AC54" s="130">
        <v>0</v>
      </c>
      <c r="AD54" s="130">
        <v>0</v>
      </c>
      <c r="AE54" s="130">
        <f t="shared" si="99"/>
        <v>0</v>
      </c>
      <c r="AF54" s="130">
        <f t="shared" si="100"/>
        <v>0</v>
      </c>
      <c r="AG54" s="132">
        <v>0</v>
      </c>
      <c r="AH54" s="132">
        <v>0</v>
      </c>
      <c r="AI54" s="132">
        <v>0</v>
      </c>
      <c r="AJ54" s="132">
        <v>0</v>
      </c>
      <c r="AK54" s="132">
        <v>0</v>
      </c>
      <c r="AL54" s="132">
        <f t="shared" si="101"/>
        <v>0</v>
      </c>
      <c r="AM54" s="132">
        <f t="shared" si="102"/>
        <v>0</v>
      </c>
      <c r="AN54" s="403">
        <f t="shared" si="103"/>
        <v>0</v>
      </c>
      <c r="AO54" s="128">
        <f t="shared" si="16"/>
        <v>31600</v>
      </c>
      <c r="AP54" s="253">
        <f t="shared" si="17"/>
        <v>22275</v>
      </c>
      <c r="AQ54" s="253">
        <f t="shared" si="18"/>
        <v>0</v>
      </c>
      <c r="AR54" s="130">
        <f t="shared" si="19"/>
        <v>7529</v>
      </c>
      <c r="AS54" s="130">
        <f t="shared" si="20"/>
        <v>446</v>
      </c>
      <c r="AT54" s="253">
        <f t="shared" si="21"/>
        <v>1350</v>
      </c>
      <c r="AU54" s="132">
        <f t="shared" si="22"/>
        <v>0.09</v>
      </c>
      <c r="AV54" s="132">
        <f t="shared" si="23"/>
        <v>0</v>
      </c>
      <c r="AW54" s="133">
        <f t="shared" si="24"/>
        <v>0.09</v>
      </c>
    </row>
    <row r="55" spans="1:49" s="196" customFormat="1" ht="14.1" customHeight="1" x14ac:dyDescent="0.2">
      <c r="A55" s="242">
        <v>7</v>
      </c>
      <c r="B55" s="198">
        <v>2320</v>
      </c>
      <c r="C55" s="213">
        <v>650034180</v>
      </c>
      <c r="D55" s="198">
        <v>72755369</v>
      </c>
      <c r="E55" s="200" t="s">
        <v>763</v>
      </c>
      <c r="F55" s="216"/>
      <c r="G55" s="202"/>
      <c r="H55" s="203"/>
      <c r="I55" s="197">
        <f t="shared" ref="I55:P55" si="108">SUM(I49:I54)</f>
        <v>9446080</v>
      </c>
      <c r="J55" s="357">
        <f t="shared" si="108"/>
        <v>6873317</v>
      </c>
      <c r="K55" s="357">
        <f t="shared" si="108"/>
        <v>2323182</v>
      </c>
      <c r="L55" s="357">
        <f t="shared" si="108"/>
        <v>137467</v>
      </c>
      <c r="M55" s="357">
        <f t="shared" si="108"/>
        <v>112114</v>
      </c>
      <c r="N55" s="678">
        <f t="shared" si="108"/>
        <v>15.715200000000001</v>
      </c>
      <c r="O55" s="678">
        <f t="shared" si="108"/>
        <v>9.6719000000000008</v>
      </c>
      <c r="P55" s="679">
        <f t="shared" si="108"/>
        <v>6.0432999999999995</v>
      </c>
      <c r="Q55" s="357">
        <f t="shared" ref="Q55:AW55" si="109">SUM(Q49:Q54)</f>
        <v>-48000</v>
      </c>
      <c r="R55" s="209">
        <f t="shared" si="109"/>
        <v>537012</v>
      </c>
      <c r="S55" s="209">
        <f t="shared" si="109"/>
        <v>0</v>
      </c>
      <c r="T55" s="209">
        <f t="shared" si="109"/>
        <v>0</v>
      </c>
      <c r="U55" s="209">
        <f t="shared" si="109"/>
        <v>489012</v>
      </c>
      <c r="V55" s="209">
        <f t="shared" si="109"/>
        <v>48000</v>
      </c>
      <c r="W55" s="209">
        <f t="shared" ref="W55" si="110">SUM(W49:W54)</f>
        <v>0</v>
      </c>
      <c r="X55" s="209">
        <f t="shared" si="109"/>
        <v>0</v>
      </c>
      <c r="Y55" s="209">
        <f t="shared" si="109"/>
        <v>48000</v>
      </c>
      <c r="Z55" s="209">
        <f t="shared" si="109"/>
        <v>537012</v>
      </c>
      <c r="AA55" s="209">
        <f t="shared" si="109"/>
        <v>181510</v>
      </c>
      <c r="AB55" s="209">
        <f t="shared" si="109"/>
        <v>9780</v>
      </c>
      <c r="AC55" s="209">
        <f t="shared" si="109"/>
        <v>0</v>
      </c>
      <c r="AD55" s="209">
        <f t="shared" si="109"/>
        <v>0</v>
      </c>
      <c r="AE55" s="209">
        <f t="shared" si="109"/>
        <v>0</v>
      </c>
      <c r="AF55" s="209">
        <f t="shared" si="109"/>
        <v>728302</v>
      </c>
      <c r="AG55" s="210">
        <f t="shared" si="109"/>
        <v>0</v>
      </c>
      <c r="AH55" s="210">
        <f t="shared" si="109"/>
        <v>-0.25</v>
      </c>
      <c r="AI55" s="210">
        <f t="shared" si="109"/>
        <v>1.8</v>
      </c>
      <c r="AJ55" s="210">
        <f t="shared" si="109"/>
        <v>0</v>
      </c>
      <c r="AK55" s="210">
        <f t="shared" si="109"/>
        <v>0</v>
      </c>
      <c r="AL55" s="210">
        <f t="shared" si="109"/>
        <v>1.8</v>
      </c>
      <c r="AM55" s="210">
        <f t="shared" si="109"/>
        <v>-0.25</v>
      </c>
      <c r="AN55" s="383">
        <f t="shared" si="109"/>
        <v>1.55</v>
      </c>
      <c r="AO55" s="692">
        <f t="shared" si="109"/>
        <v>10174382</v>
      </c>
      <c r="AP55" s="685">
        <f t="shared" si="109"/>
        <v>7362329</v>
      </c>
      <c r="AQ55" s="685">
        <f t="shared" si="109"/>
        <v>48000</v>
      </c>
      <c r="AR55" s="685">
        <f t="shared" si="109"/>
        <v>2504692</v>
      </c>
      <c r="AS55" s="685">
        <f t="shared" si="109"/>
        <v>147247</v>
      </c>
      <c r="AT55" s="685">
        <f t="shared" si="109"/>
        <v>112114</v>
      </c>
      <c r="AU55" s="383">
        <f t="shared" si="109"/>
        <v>17.2652</v>
      </c>
      <c r="AV55" s="383">
        <f t="shared" si="109"/>
        <v>11.471900000000002</v>
      </c>
      <c r="AW55" s="211">
        <f t="shared" si="109"/>
        <v>5.7932999999999995</v>
      </c>
    </row>
    <row r="56" spans="1:49" s="196" customFormat="1" ht="14.1" customHeight="1" x14ac:dyDescent="0.2">
      <c r="A56" s="241">
        <v>8</v>
      </c>
      <c r="B56" s="207">
        <v>2455</v>
      </c>
      <c r="C56" s="212">
        <v>600080145</v>
      </c>
      <c r="D56" s="143">
        <v>72741601</v>
      </c>
      <c r="E56" s="193" t="s">
        <v>764</v>
      </c>
      <c r="F56" s="194">
        <v>3111</v>
      </c>
      <c r="G56" s="145" t="s">
        <v>317</v>
      </c>
      <c r="H56" s="205" t="s">
        <v>283</v>
      </c>
      <c r="I56" s="126">
        <f t="shared" si="0"/>
        <v>1641994</v>
      </c>
      <c r="J56" s="127">
        <v>1202168</v>
      </c>
      <c r="K56" s="127">
        <f t="shared" si="25"/>
        <v>406333</v>
      </c>
      <c r="L56" s="477">
        <f t="shared" si="13"/>
        <v>24043</v>
      </c>
      <c r="M56" s="127">
        <v>9450</v>
      </c>
      <c r="N56" s="390">
        <f t="shared" si="3"/>
        <v>2.5108999999999999</v>
      </c>
      <c r="O56" s="390">
        <v>2</v>
      </c>
      <c r="P56" s="439">
        <v>0.51090000000000002</v>
      </c>
      <c r="Q56" s="387">
        <f t="shared" si="14"/>
        <v>0</v>
      </c>
      <c r="R56" s="253">
        <v>0</v>
      </c>
      <c r="S56" s="253">
        <v>0</v>
      </c>
      <c r="T56" s="253">
        <v>0</v>
      </c>
      <c r="U56" s="130">
        <f t="shared" ref="U56:U61" si="111">SUM(Q56:T56)</f>
        <v>0</v>
      </c>
      <c r="V56" s="130">
        <v>0</v>
      </c>
      <c r="W56" s="130">
        <v>0</v>
      </c>
      <c r="X56" s="130">
        <v>0</v>
      </c>
      <c r="Y56" s="130">
        <f t="shared" ref="Y56:Y61" si="112">SUM(V56:X56)</f>
        <v>0</v>
      </c>
      <c r="Z56" s="130">
        <f t="shared" ref="Z56:Z61" si="113">U56+Y56</f>
        <v>0</v>
      </c>
      <c r="AA56" s="316">
        <f t="shared" si="15"/>
        <v>0</v>
      </c>
      <c r="AB56" s="131">
        <f t="shared" ref="AB56:AB61" si="114">ROUND(U56*2%,0)</f>
        <v>0</v>
      </c>
      <c r="AC56" s="130">
        <v>0</v>
      </c>
      <c r="AD56" s="130">
        <v>0</v>
      </c>
      <c r="AE56" s="130">
        <f t="shared" ref="AE56:AE61" si="115">SUM(AC56:AD56)</f>
        <v>0</v>
      </c>
      <c r="AF56" s="130">
        <f t="shared" ref="AF56:AF61" si="116">Z56+AA56+AB56+AE56</f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f t="shared" ref="AL56:AL61" si="117">AG56+AI56+AJ56</f>
        <v>0</v>
      </c>
      <c r="AM56" s="132">
        <f t="shared" ref="AM56:AM61" si="118">AH56+AK56</f>
        <v>0</v>
      </c>
      <c r="AN56" s="403">
        <f t="shared" ref="AN56:AN61" si="119">SUM(AL56:AM56)</f>
        <v>0</v>
      </c>
      <c r="AO56" s="128">
        <f t="shared" si="16"/>
        <v>1641994</v>
      </c>
      <c r="AP56" s="253">
        <f t="shared" si="17"/>
        <v>1202168</v>
      </c>
      <c r="AQ56" s="253">
        <f t="shared" si="18"/>
        <v>0</v>
      </c>
      <c r="AR56" s="130">
        <f t="shared" si="19"/>
        <v>406333</v>
      </c>
      <c r="AS56" s="130">
        <f t="shared" si="20"/>
        <v>24043</v>
      </c>
      <c r="AT56" s="253">
        <f t="shared" si="21"/>
        <v>9450</v>
      </c>
      <c r="AU56" s="132">
        <f t="shared" si="22"/>
        <v>2.5108999999999999</v>
      </c>
      <c r="AV56" s="132">
        <f t="shared" si="23"/>
        <v>2</v>
      </c>
      <c r="AW56" s="133">
        <f t="shared" si="24"/>
        <v>0.51090000000000002</v>
      </c>
    </row>
    <row r="57" spans="1:49" s="196" customFormat="1" ht="14.1" customHeight="1" x14ac:dyDescent="0.2">
      <c r="A57" s="241">
        <v>8</v>
      </c>
      <c r="B57" s="214">
        <v>2455</v>
      </c>
      <c r="C57" s="212">
        <v>600080145</v>
      </c>
      <c r="D57" s="143">
        <v>72741601</v>
      </c>
      <c r="E57" s="214" t="s">
        <v>764</v>
      </c>
      <c r="F57" s="215">
        <v>3117</v>
      </c>
      <c r="G57" s="214" t="s">
        <v>335</v>
      </c>
      <c r="H57" s="205" t="s">
        <v>283</v>
      </c>
      <c r="I57" s="126">
        <f t="shared" si="0"/>
        <v>3294899</v>
      </c>
      <c r="J57" s="477">
        <v>2387253</v>
      </c>
      <c r="K57" s="127">
        <v>806891</v>
      </c>
      <c r="L57" s="477">
        <f t="shared" si="13"/>
        <v>47745</v>
      </c>
      <c r="M57" s="477">
        <v>53010</v>
      </c>
      <c r="N57" s="390">
        <f t="shared" si="3"/>
        <v>4.7332999999999998</v>
      </c>
      <c r="O57" s="645">
        <v>3.3182</v>
      </c>
      <c r="P57" s="646">
        <v>1.4151</v>
      </c>
      <c r="Q57" s="387">
        <f t="shared" si="14"/>
        <v>0</v>
      </c>
      <c r="R57" s="253">
        <v>0</v>
      </c>
      <c r="S57" s="253">
        <v>0</v>
      </c>
      <c r="T57" s="253">
        <v>0</v>
      </c>
      <c r="U57" s="130">
        <f t="shared" si="111"/>
        <v>0</v>
      </c>
      <c r="V57" s="130">
        <v>0</v>
      </c>
      <c r="W57" s="130">
        <v>0</v>
      </c>
      <c r="X57" s="130">
        <v>0</v>
      </c>
      <c r="Y57" s="130">
        <f t="shared" si="112"/>
        <v>0</v>
      </c>
      <c r="Z57" s="130">
        <f t="shared" si="113"/>
        <v>0</v>
      </c>
      <c r="AA57" s="316">
        <f t="shared" si="15"/>
        <v>0</v>
      </c>
      <c r="AB57" s="131">
        <f t="shared" si="114"/>
        <v>0</v>
      </c>
      <c r="AC57" s="130">
        <v>0</v>
      </c>
      <c r="AD57" s="130">
        <v>0</v>
      </c>
      <c r="AE57" s="130">
        <f t="shared" si="115"/>
        <v>0</v>
      </c>
      <c r="AF57" s="130">
        <f t="shared" si="116"/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f t="shared" si="117"/>
        <v>0</v>
      </c>
      <c r="AM57" s="132">
        <f t="shared" si="118"/>
        <v>0</v>
      </c>
      <c r="AN57" s="403">
        <f t="shared" si="119"/>
        <v>0</v>
      </c>
      <c r="AO57" s="128">
        <f t="shared" si="16"/>
        <v>3294899</v>
      </c>
      <c r="AP57" s="253">
        <f t="shared" si="17"/>
        <v>2387253</v>
      </c>
      <c r="AQ57" s="253">
        <f t="shared" si="18"/>
        <v>0</v>
      </c>
      <c r="AR57" s="130">
        <f t="shared" si="19"/>
        <v>806891</v>
      </c>
      <c r="AS57" s="130">
        <f t="shared" si="20"/>
        <v>47745</v>
      </c>
      <c r="AT57" s="253">
        <f t="shared" si="21"/>
        <v>53010</v>
      </c>
      <c r="AU57" s="132">
        <f t="shared" si="22"/>
        <v>4.7332999999999998</v>
      </c>
      <c r="AV57" s="132">
        <f t="shared" si="23"/>
        <v>3.3182</v>
      </c>
      <c r="AW57" s="133">
        <f t="shared" si="24"/>
        <v>1.4151</v>
      </c>
    </row>
    <row r="58" spans="1:49" s="196" customFormat="1" ht="14.1" customHeight="1" x14ac:dyDescent="0.2">
      <c r="A58" s="241">
        <v>8</v>
      </c>
      <c r="B58" s="207">
        <v>2455</v>
      </c>
      <c r="C58" s="212">
        <v>600080145</v>
      </c>
      <c r="D58" s="143">
        <v>72741601</v>
      </c>
      <c r="E58" s="208" t="s">
        <v>764</v>
      </c>
      <c r="F58" s="194">
        <v>3117</v>
      </c>
      <c r="G58" s="143" t="s">
        <v>318</v>
      </c>
      <c r="H58" s="205" t="s">
        <v>284</v>
      </c>
      <c r="I58" s="126">
        <f t="shared" si="0"/>
        <v>0</v>
      </c>
      <c r="J58" s="325">
        <v>0</v>
      </c>
      <c r="K58" s="127">
        <f t="shared" si="25"/>
        <v>0</v>
      </c>
      <c r="L58" s="477">
        <f t="shared" si="13"/>
        <v>0</v>
      </c>
      <c r="M58" s="325">
        <v>0</v>
      </c>
      <c r="N58" s="390">
        <f t="shared" si="3"/>
        <v>0</v>
      </c>
      <c r="O58" s="640">
        <v>0</v>
      </c>
      <c r="P58" s="641">
        <v>0</v>
      </c>
      <c r="Q58" s="387">
        <f t="shared" si="14"/>
        <v>0</v>
      </c>
      <c r="R58" s="253">
        <v>173222</v>
      </c>
      <c r="S58" s="253">
        <v>0</v>
      </c>
      <c r="T58" s="253">
        <v>0</v>
      </c>
      <c r="U58" s="130">
        <f t="shared" si="111"/>
        <v>173222</v>
      </c>
      <c r="V58" s="130">
        <v>0</v>
      </c>
      <c r="W58" s="130">
        <v>0</v>
      </c>
      <c r="X58" s="130">
        <v>0</v>
      </c>
      <c r="Y58" s="130">
        <f t="shared" si="112"/>
        <v>0</v>
      </c>
      <c r="Z58" s="130">
        <f t="shared" si="113"/>
        <v>173222</v>
      </c>
      <c r="AA58" s="316">
        <f t="shared" si="15"/>
        <v>58549</v>
      </c>
      <c r="AB58" s="131">
        <f t="shared" si="114"/>
        <v>3464</v>
      </c>
      <c r="AC58" s="130">
        <v>0</v>
      </c>
      <c r="AD58" s="130">
        <v>0</v>
      </c>
      <c r="AE58" s="130">
        <f t="shared" si="115"/>
        <v>0</v>
      </c>
      <c r="AF58" s="130">
        <f t="shared" si="116"/>
        <v>235235</v>
      </c>
      <c r="AG58" s="132">
        <v>0</v>
      </c>
      <c r="AH58" s="132">
        <v>0</v>
      </c>
      <c r="AI58" s="132">
        <v>0.5</v>
      </c>
      <c r="AJ58" s="132">
        <v>0</v>
      </c>
      <c r="AK58" s="132">
        <v>0</v>
      </c>
      <c r="AL58" s="132">
        <f t="shared" si="117"/>
        <v>0.5</v>
      </c>
      <c r="AM58" s="132">
        <f t="shared" si="118"/>
        <v>0</v>
      </c>
      <c r="AN58" s="403">
        <f t="shared" si="119"/>
        <v>0.5</v>
      </c>
      <c r="AO58" s="128">
        <f t="shared" si="16"/>
        <v>235235</v>
      </c>
      <c r="AP58" s="253">
        <f t="shared" si="17"/>
        <v>173222</v>
      </c>
      <c r="AQ58" s="253">
        <f t="shared" si="18"/>
        <v>0</v>
      </c>
      <c r="AR58" s="130">
        <f t="shared" si="19"/>
        <v>58549</v>
      </c>
      <c r="AS58" s="130">
        <f t="shared" si="20"/>
        <v>3464</v>
      </c>
      <c r="AT58" s="253">
        <f t="shared" si="21"/>
        <v>0</v>
      </c>
      <c r="AU58" s="132">
        <f t="shared" si="22"/>
        <v>0.5</v>
      </c>
      <c r="AV58" s="132">
        <f t="shared" si="23"/>
        <v>0.5</v>
      </c>
      <c r="AW58" s="133">
        <f t="shared" si="24"/>
        <v>0</v>
      </c>
    </row>
    <row r="59" spans="1:49" s="196" customFormat="1" ht="14.1" customHeight="1" x14ac:dyDescent="0.2">
      <c r="A59" s="241">
        <v>8</v>
      </c>
      <c r="B59" s="191">
        <v>2455</v>
      </c>
      <c r="C59" s="212">
        <v>600080145</v>
      </c>
      <c r="D59" s="143">
        <v>72741601</v>
      </c>
      <c r="E59" s="193" t="s">
        <v>764</v>
      </c>
      <c r="F59" s="194">
        <v>3141</v>
      </c>
      <c r="G59" s="145" t="s">
        <v>321</v>
      </c>
      <c r="H59" s="205" t="s">
        <v>284</v>
      </c>
      <c r="I59" s="126">
        <f t="shared" si="0"/>
        <v>685563</v>
      </c>
      <c r="J59" s="666">
        <v>502612</v>
      </c>
      <c r="K59" s="127">
        <f t="shared" ref="K59" si="120">ROUND(J59*33.8%,0)</f>
        <v>169883</v>
      </c>
      <c r="L59" s="477">
        <f t="shared" ref="L59" si="121">ROUND(J59*2%,0)</f>
        <v>10052</v>
      </c>
      <c r="M59" s="666">
        <v>3016</v>
      </c>
      <c r="N59" s="390">
        <f t="shared" si="3"/>
        <v>1.71</v>
      </c>
      <c r="O59" s="669">
        <v>0</v>
      </c>
      <c r="P59" s="667">
        <v>1.71</v>
      </c>
      <c r="Q59" s="387">
        <f t="shared" si="14"/>
        <v>0</v>
      </c>
      <c r="R59" s="253">
        <v>0</v>
      </c>
      <c r="S59" s="253">
        <v>0</v>
      </c>
      <c r="T59" s="253">
        <v>0</v>
      </c>
      <c r="U59" s="130">
        <f t="shared" si="111"/>
        <v>0</v>
      </c>
      <c r="V59" s="130">
        <v>0</v>
      </c>
      <c r="W59" s="130">
        <v>0</v>
      </c>
      <c r="X59" s="130">
        <v>0</v>
      </c>
      <c r="Y59" s="130">
        <f t="shared" si="112"/>
        <v>0</v>
      </c>
      <c r="Z59" s="130">
        <f t="shared" si="113"/>
        <v>0</v>
      </c>
      <c r="AA59" s="316">
        <f t="shared" si="15"/>
        <v>0</v>
      </c>
      <c r="AB59" s="131">
        <f t="shared" si="114"/>
        <v>0</v>
      </c>
      <c r="AC59" s="130">
        <v>0</v>
      </c>
      <c r="AD59" s="130">
        <v>0</v>
      </c>
      <c r="AE59" s="130">
        <f t="shared" si="115"/>
        <v>0</v>
      </c>
      <c r="AF59" s="130">
        <f t="shared" si="116"/>
        <v>0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f t="shared" si="117"/>
        <v>0</v>
      </c>
      <c r="AM59" s="132">
        <f t="shared" si="118"/>
        <v>0</v>
      </c>
      <c r="AN59" s="403">
        <f t="shared" si="119"/>
        <v>0</v>
      </c>
      <c r="AO59" s="128">
        <f t="shared" si="16"/>
        <v>685563</v>
      </c>
      <c r="AP59" s="253">
        <f t="shared" si="17"/>
        <v>502612</v>
      </c>
      <c r="AQ59" s="253">
        <f t="shared" si="18"/>
        <v>0</v>
      </c>
      <c r="AR59" s="130">
        <f t="shared" si="19"/>
        <v>169883</v>
      </c>
      <c r="AS59" s="130">
        <f t="shared" si="20"/>
        <v>10052</v>
      </c>
      <c r="AT59" s="253">
        <f t="shared" si="21"/>
        <v>3016</v>
      </c>
      <c r="AU59" s="132">
        <f t="shared" si="22"/>
        <v>1.71</v>
      </c>
      <c r="AV59" s="132">
        <f t="shared" si="23"/>
        <v>0</v>
      </c>
      <c r="AW59" s="133">
        <f t="shared" si="24"/>
        <v>1.71</v>
      </c>
    </row>
    <row r="60" spans="1:49" s="196" customFormat="1" ht="14.1" customHeight="1" x14ac:dyDescent="0.2">
      <c r="A60" s="241">
        <v>8</v>
      </c>
      <c r="B60" s="143">
        <v>2455</v>
      </c>
      <c r="C60" s="537">
        <v>600080145</v>
      </c>
      <c r="D60" s="143">
        <v>72741601</v>
      </c>
      <c r="E60" s="145" t="s">
        <v>764</v>
      </c>
      <c r="F60" s="206">
        <v>3143</v>
      </c>
      <c r="G60" s="145" t="s">
        <v>635</v>
      </c>
      <c r="H60" s="205" t="s">
        <v>283</v>
      </c>
      <c r="I60" s="126">
        <f t="shared" si="0"/>
        <v>654808</v>
      </c>
      <c r="J60" s="29">
        <v>482185</v>
      </c>
      <c r="K60" s="127">
        <f t="shared" si="25"/>
        <v>162979</v>
      </c>
      <c r="L60" s="477">
        <f t="shared" si="13"/>
        <v>9644</v>
      </c>
      <c r="M60" s="479">
        <v>0</v>
      </c>
      <c r="N60" s="390">
        <f t="shared" si="3"/>
        <v>0.92859999999999998</v>
      </c>
      <c r="O60" s="22">
        <v>0.92859999999999998</v>
      </c>
      <c r="P60" s="641">
        <v>0</v>
      </c>
      <c r="Q60" s="387">
        <f t="shared" si="14"/>
        <v>0</v>
      </c>
      <c r="R60" s="130">
        <v>0</v>
      </c>
      <c r="S60" s="130">
        <v>0</v>
      </c>
      <c r="T60" s="130">
        <v>0</v>
      </c>
      <c r="U60" s="130">
        <f t="shared" si="111"/>
        <v>0</v>
      </c>
      <c r="V60" s="130">
        <v>0</v>
      </c>
      <c r="W60" s="130">
        <v>0</v>
      </c>
      <c r="X60" s="130">
        <v>0</v>
      </c>
      <c r="Y60" s="130">
        <f t="shared" si="112"/>
        <v>0</v>
      </c>
      <c r="Z60" s="130">
        <f t="shared" si="113"/>
        <v>0</v>
      </c>
      <c r="AA60" s="316">
        <f t="shared" si="15"/>
        <v>0</v>
      </c>
      <c r="AB60" s="131">
        <f t="shared" si="114"/>
        <v>0</v>
      </c>
      <c r="AC60" s="130">
        <v>0</v>
      </c>
      <c r="AD60" s="130">
        <v>0</v>
      </c>
      <c r="AE60" s="130">
        <f t="shared" si="115"/>
        <v>0</v>
      </c>
      <c r="AF60" s="130">
        <f t="shared" si="116"/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f t="shared" si="117"/>
        <v>0</v>
      </c>
      <c r="AM60" s="132">
        <f t="shared" si="118"/>
        <v>0</v>
      </c>
      <c r="AN60" s="403">
        <f t="shared" si="119"/>
        <v>0</v>
      </c>
      <c r="AO60" s="128">
        <f t="shared" si="16"/>
        <v>654808</v>
      </c>
      <c r="AP60" s="253">
        <f t="shared" si="17"/>
        <v>482185</v>
      </c>
      <c r="AQ60" s="253">
        <f t="shared" si="18"/>
        <v>0</v>
      </c>
      <c r="AR60" s="130">
        <f t="shared" si="19"/>
        <v>162979</v>
      </c>
      <c r="AS60" s="130">
        <f t="shared" si="20"/>
        <v>9644</v>
      </c>
      <c r="AT60" s="253">
        <f t="shared" si="21"/>
        <v>0</v>
      </c>
      <c r="AU60" s="132">
        <f t="shared" si="22"/>
        <v>0.92859999999999998</v>
      </c>
      <c r="AV60" s="132">
        <f t="shared" si="23"/>
        <v>0.92859999999999998</v>
      </c>
      <c r="AW60" s="133">
        <f t="shared" si="24"/>
        <v>0</v>
      </c>
    </row>
    <row r="61" spans="1:49" s="196" customFormat="1" ht="14.1" customHeight="1" x14ac:dyDescent="0.2">
      <c r="A61" s="241">
        <v>8</v>
      </c>
      <c r="B61" s="143">
        <v>2455</v>
      </c>
      <c r="C61" s="537">
        <v>600080145</v>
      </c>
      <c r="D61" s="143">
        <v>72741601</v>
      </c>
      <c r="E61" s="145" t="s">
        <v>764</v>
      </c>
      <c r="F61" s="206">
        <v>3143</v>
      </c>
      <c r="G61" s="145" t="s">
        <v>636</v>
      </c>
      <c r="H61" s="205" t="s">
        <v>284</v>
      </c>
      <c r="I61" s="126">
        <f t="shared" si="0"/>
        <v>21066</v>
      </c>
      <c r="J61" s="664">
        <v>14850</v>
      </c>
      <c r="K61" s="127">
        <f t="shared" ref="K61" si="122">ROUND(J61*33.8%,0)</f>
        <v>5019</v>
      </c>
      <c r="L61" s="477">
        <f t="shared" ref="L61" si="123">ROUND(J61*2%,0)</f>
        <v>297</v>
      </c>
      <c r="M61" s="664">
        <v>900</v>
      </c>
      <c r="N61" s="390">
        <f t="shared" si="3"/>
        <v>0.06</v>
      </c>
      <c r="O61" s="662">
        <v>0</v>
      </c>
      <c r="P61" s="663">
        <v>0.06</v>
      </c>
      <c r="Q61" s="387">
        <f t="shared" si="14"/>
        <v>0</v>
      </c>
      <c r="R61" s="130">
        <v>0</v>
      </c>
      <c r="S61" s="130">
        <v>0</v>
      </c>
      <c r="T61" s="130">
        <v>0</v>
      </c>
      <c r="U61" s="130">
        <f t="shared" si="111"/>
        <v>0</v>
      </c>
      <c r="V61" s="130">
        <v>0</v>
      </c>
      <c r="W61" s="130">
        <v>0</v>
      </c>
      <c r="X61" s="130">
        <v>0</v>
      </c>
      <c r="Y61" s="130">
        <f t="shared" si="112"/>
        <v>0</v>
      </c>
      <c r="Z61" s="130">
        <f t="shared" si="113"/>
        <v>0</v>
      </c>
      <c r="AA61" s="316">
        <f t="shared" si="15"/>
        <v>0</v>
      </c>
      <c r="AB61" s="131">
        <f t="shared" si="114"/>
        <v>0</v>
      </c>
      <c r="AC61" s="130">
        <v>0</v>
      </c>
      <c r="AD61" s="130">
        <v>0</v>
      </c>
      <c r="AE61" s="130">
        <f t="shared" si="115"/>
        <v>0</v>
      </c>
      <c r="AF61" s="130">
        <f t="shared" si="116"/>
        <v>0</v>
      </c>
      <c r="AG61" s="132">
        <v>0</v>
      </c>
      <c r="AH61" s="132">
        <v>0</v>
      </c>
      <c r="AI61" s="132">
        <v>0</v>
      </c>
      <c r="AJ61" s="132">
        <v>0</v>
      </c>
      <c r="AK61" s="132">
        <v>0</v>
      </c>
      <c r="AL61" s="132">
        <f t="shared" si="117"/>
        <v>0</v>
      </c>
      <c r="AM61" s="132">
        <f t="shared" si="118"/>
        <v>0</v>
      </c>
      <c r="AN61" s="403">
        <f t="shared" si="119"/>
        <v>0</v>
      </c>
      <c r="AO61" s="128">
        <f t="shared" si="16"/>
        <v>21066</v>
      </c>
      <c r="AP61" s="253">
        <f t="shared" si="17"/>
        <v>14850</v>
      </c>
      <c r="AQ61" s="253">
        <f t="shared" si="18"/>
        <v>0</v>
      </c>
      <c r="AR61" s="130">
        <f t="shared" si="19"/>
        <v>5019</v>
      </c>
      <c r="AS61" s="130">
        <f t="shared" si="20"/>
        <v>297</v>
      </c>
      <c r="AT61" s="253">
        <f t="shared" si="21"/>
        <v>900</v>
      </c>
      <c r="AU61" s="132">
        <f t="shared" si="22"/>
        <v>0.06</v>
      </c>
      <c r="AV61" s="132">
        <f t="shared" si="23"/>
        <v>0</v>
      </c>
      <c r="AW61" s="133">
        <f t="shared" si="24"/>
        <v>0.06</v>
      </c>
    </row>
    <row r="62" spans="1:49" s="196" customFormat="1" ht="14.1" customHeight="1" x14ac:dyDescent="0.2">
      <c r="A62" s="242">
        <v>8</v>
      </c>
      <c r="B62" s="198">
        <v>2455</v>
      </c>
      <c r="C62" s="213">
        <v>600080145</v>
      </c>
      <c r="D62" s="198">
        <v>72741601</v>
      </c>
      <c r="E62" s="200" t="s">
        <v>765</v>
      </c>
      <c r="F62" s="216"/>
      <c r="G62" s="202"/>
      <c r="H62" s="203"/>
      <c r="I62" s="197">
        <f t="shared" ref="I62:P62" si="124">SUM(I56:I61)</f>
        <v>6298330</v>
      </c>
      <c r="J62" s="357">
        <f t="shared" si="124"/>
        <v>4589068</v>
      </c>
      <c r="K62" s="357">
        <f t="shared" si="124"/>
        <v>1551105</v>
      </c>
      <c r="L62" s="357">
        <f t="shared" si="124"/>
        <v>91781</v>
      </c>
      <c r="M62" s="357">
        <f t="shared" si="124"/>
        <v>66376</v>
      </c>
      <c r="N62" s="678">
        <f t="shared" si="124"/>
        <v>9.9428000000000001</v>
      </c>
      <c r="O62" s="678">
        <f t="shared" si="124"/>
        <v>6.2468000000000004</v>
      </c>
      <c r="P62" s="679">
        <f t="shared" si="124"/>
        <v>3.6960000000000002</v>
      </c>
      <c r="Q62" s="357">
        <f t="shared" ref="Q62:AW62" si="125">SUM(Q56:Q61)</f>
        <v>0</v>
      </c>
      <c r="R62" s="209">
        <f t="shared" si="125"/>
        <v>173222</v>
      </c>
      <c r="S62" s="209">
        <f t="shared" si="125"/>
        <v>0</v>
      </c>
      <c r="T62" s="209">
        <f t="shared" si="125"/>
        <v>0</v>
      </c>
      <c r="U62" s="209">
        <f t="shared" si="125"/>
        <v>173222</v>
      </c>
      <c r="V62" s="209">
        <f t="shared" si="125"/>
        <v>0</v>
      </c>
      <c r="W62" s="209">
        <f t="shared" ref="W62" si="126">SUM(W56:W61)</f>
        <v>0</v>
      </c>
      <c r="X62" s="209">
        <f t="shared" si="125"/>
        <v>0</v>
      </c>
      <c r="Y62" s="209">
        <f t="shared" si="125"/>
        <v>0</v>
      </c>
      <c r="Z62" s="209">
        <f t="shared" si="125"/>
        <v>173222</v>
      </c>
      <c r="AA62" s="209">
        <f t="shared" si="125"/>
        <v>58549</v>
      </c>
      <c r="AB62" s="209">
        <f t="shared" si="125"/>
        <v>3464</v>
      </c>
      <c r="AC62" s="209">
        <f t="shared" si="125"/>
        <v>0</v>
      </c>
      <c r="AD62" s="209">
        <f t="shared" si="125"/>
        <v>0</v>
      </c>
      <c r="AE62" s="209">
        <f t="shared" si="125"/>
        <v>0</v>
      </c>
      <c r="AF62" s="209">
        <f t="shared" si="125"/>
        <v>235235</v>
      </c>
      <c r="AG62" s="210">
        <f t="shared" si="125"/>
        <v>0</v>
      </c>
      <c r="AH62" s="210">
        <f t="shared" si="125"/>
        <v>0</v>
      </c>
      <c r="AI62" s="210">
        <f t="shared" si="125"/>
        <v>0.5</v>
      </c>
      <c r="AJ62" s="210">
        <f t="shared" si="125"/>
        <v>0</v>
      </c>
      <c r="AK62" s="210">
        <f t="shared" si="125"/>
        <v>0</v>
      </c>
      <c r="AL62" s="210">
        <f t="shared" si="125"/>
        <v>0.5</v>
      </c>
      <c r="AM62" s="210">
        <f t="shared" si="125"/>
        <v>0</v>
      </c>
      <c r="AN62" s="383">
        <f t="shared" si="125"/>
        <v>0.5</v>
      </c>
      <c r="AO62" s="692">
        <f t="shared" si="125"/>
        <v>6533565</v>
      </c>
      <c r="AP62" s="685">
        <f t="shared" si="125"/>
        <v>4762290</v>
      </c>
      <c r="AQ62" s="685">
        <f t="shared" si="125"/>
        <v>0</v>
      </c>
      <c r="AR62" s="685">
        <f t="shared" si="125"/>
        <v>1609654</v>
      </c>
      <c r="AS62" s="685">
        <f t="shared" si="125"/>
        <v>95245</v>
      </c>
      <c r="AT62" s="685">
        <f t="shared" si="125"/>
        <v>66376</v>
      </c>
      <c r="AU62" s="383">
        <f t="shared" si="125"/>
        <v>10.4428</v>
      </c>
      <c r="AV62" s="383">
        <f t="shared" si="125"/>
        <v>6.7468000000000004</v>
      </c>
      <c r="AW62" s="211">
        <f t="shared" si="125"/>
        <v>3.6960000000000002</v>
      </c>
    </row>
    <row r="63" spans="1:49" s="196" customFormat="1" ht="14.1" customHeight="1" x14ac:dyDescent="0.2">
      <c r="A63" s="241">
        <v>9</v>
      </c>
      <c r="B63" s="207">
        <v>2456</v>
      </c>
      <c r="C63" s="212">
        <v>600079732</v>
      </c>
      <c r="D63" s="143">
        <v>70695911</v>
      </c>
      <c r="E63" s="193" t="s">
        <v>766</v>
      </c>
      <c r="F63" s="206">
        <v>3111</v>
      </c>
      <c r="G63" s="145" t="s">
        <v>317</v>
      </c>
      <c r="H63" s="205" t="s">
        <v>283</v>
      </c>
      <c r="I63" s="126">
        <f t="shared" si="0"/>
        <v>7615014</v>
      </c>
      <c r="J63" s="127">
        <v>5571733</v>
      </c>
      <c r="K63" s="127">
        <f t="shared" si="25"/>
        <v>1883246</v>
      </c>
      <c r="L63" s="477">
        <f t="shared" si="13"/>
        <v>111435</v>
      </c>
      <c r="M63" s="127">
        <v>48600</v>
      </c>
      <c r="N63" s="390">
        <f t="shared" si="3"/>
        <v>12.537800000000001</v>
      </c>
      <c r="O63" s="390">
        <v>9.9832000000000001</v>
      </c>
      <c r="P63" s="439">
        <v>2.5546000000000002</v>
      </c>
      <c r="Q63" s="387">
        <f t="shared" si="14"/>
        <v>-8000</v>
      </c>
      <c r="R63" s="253">
        <v>0</v>
      </c>
      <c r="S63" s="253">
        <v>0</v>
      </c>
      <c r="T63" s="253">
        <v>0</v>
      </c>
      <c r="U63" s="130">
        <f t="shared" ref="U63:U68" si="127">SUM(Q63:T63)</f>
        <v>-8000</v>
      </c>
      <c r="V63" s="130">
        <v>8000</v>
      </c>
      <c r="W63" s="130">
        <v>0</v>
      </c>
      <c r="X63" s="130">
        <v>0</v>
      </c>
      <c r="Y63" s="130">
        <f t="shared" ref="Y63:Y68" si="128">SUM(V63:X63)</f>
        <v>8000</v>
      </c>
      <c r="Z63" s="130">
        <f t="shared" ref="Z63:Z68" si="129">U63+Y63</f>
        <v>0</v>
      </c>
      <c r="AA63" s="316">
        <f t="shared" si="15"/>
        <v>0</v>
      </c>
      <c r="AB63" s="131">
        <f t="shared" ref="AB63:AB68" si="130">ROUND(U63*2%,0)</f>
        <v>-160</v>
      </c>
      <c r="AC63" s="130">
        <v>0</v>
      </c>
      <c r="AD63" s="130">
        <v>0</v>
      </c>
      <c r="AE63" s="130">
        <f t="shared" ref="AE63:AE68" si="131">SUM(AC63:AD63)</f>
        <v>0</v>
      </c>
      <c r="AF63" s="130">
        <f t="shared" ref="AF63:AF68" si="132">Z63+AA63+AB63+AE63</f>
        <v>-160</v>
      </c>
      <c r="AG63" s="132">
        <v>0</v>
      </c>
      <c r="AH63" s="132">
        <v>0</v>
      </c>
      <c r="AI63" s="132">
        <v>0</v>
      </c>
      <c r="AJ63" s="132">
        <v>0</v>
      </c>
      <c r="AK63" s="132">
        <v>0</v>
      </c>
      <c r="AL63" s="132">
        <f t="shared" ref="AL63:AL68" si="133">AG63+AI63+AJ63</f>
        <v>0</v>
      </c>
      <c r="AM63" s="132">
        <f t="shared" ref="AM63:AM68" si="134">AH63+AK63</f>
        <v>0</v>
      </c>
      <c r="AN63" s="403">
        <f t="shared" ref="AN63:AN68" si="135">SUM(AL63:AM63)</f>
        <v>0</v>
      </c>
      <c r="AO63" s="128">
        <f t="shared" si="16"/>
        <v>7614854</v>
      </c>
      <c r="AP63" s="253">
        <f t="shared" si="17"/>
        <v>5563733</v>
      </c>
      <c r="AQ63" s="253">
        <f t="shared" si="18"/>
        <v>8000</v>
      </c>
      <c r="AR63" s="130">
        <f t="shared" si="19"/>
        <v>1883246</v>
      </c>
      <c r="AS63" s="130">
        <f t="shared" si="20"/>
        <v>111275</v>
      </c>
      <c r="AT63" s="253">
        <f t="shared" si="21"/>
        <v>48600</v>
      </c>
      <c r="AU63" s="132">
        <f t="shared" si="22"/>
        <v>12.537800000000001</v>
      </c>
      <c r="AV63" s="132">
        <f t="shared" si="23"/>
        <v>9.9832000000000001</v>
      </c>
      <c r="AW63" s="133">
        <f t="shared" si="24"/>
        <v>2.5546000000000002</v>
      </c>
    </row>
    <row r="64" spans="1:49" s="196" customFormat="1" ht="14.1" customHeight="1" x14ac:dyDescent="0.2">
      <c r="A64" s="241">
        <v>9</v>
      </c>
      <c r="B64" s="191">
        <v>2456</v>
      </c>
      <c r="C64" s="212">
        <v>600079732</v>
      </c>
      <c r="D64" s="143">
        <v>70695911</v>
      </c>
      <c r="E64" s="193" t="s">
        <v>766</v>
      </c>
      <c r="F64" s="194">
        <v>3113</v>
      </c>
      <c r="G64" s="145" t="s">
        <v>320</v>
      </c>
      <c r="H64" s="205" t="s">
        <v>283</v>
      </c>
      <c r="I64" s="126">
        <f t="shared" si="0"/>
        <v>22969650</v>
      </c>
      <c r="J64" s="477">
        <v>16552357</v>
      </c>
      <c r="K64" s="127">
        <f t="shared" si="25"/>
        <v>5594697</v>
      </c>
      <c r="L64" s="477">
        <v>331046</v>
      </c>
      <c r="M64" s="477">
        <v>491550</v>
      </c>
      <c r="N64" s="390">
        <f t="shared" si="3"/>
        <v>31.582800000000002</v>
      </c>
      <c r="O64" s="645">
        <v>23.01</v>
      </c>
      <c r="P64" s="646">
        <v>8.5728000000000009</v>
      </c>
      <c r="Q64" s="387">
        <f t="shared" si="14"/>
        <v>-56000</v>
      </c>
      <c r="R64" s="253">
        <v>0</v>
      </c>
      <c r="S64" s="253">
        <v>0</v>
      </c>
      <c r="T64" s="253">
        <v>0</v>
      </c>
      <c r="U64" s="130">
        <f t="shared" si="127"/>
        <v>-56000</v>
      </c>
      <c r="V64" s="130">
        <v>56000</v>
      </c>
      <c r="W64" s="130">
        <v>0</v>
      </c>
      <c r="X64" s="130">
        <v>0</v>
      </c>
      <c r="Y64" s="130">
        <f t="shared" si="128"/>
        <v>56000</v>
      </c>
      <c r="Z64" s="130">
        <f t="shared" si="129"/>
        <v>0</v>
      </c>
      <c r="AA64" s="316">
        <f t="shared" si="15"/>
        <v>0</v>
      </c>
      <c r="AB64" s="131">
        <f t="shared" si="130"/>
        <v>-1120</v>
      </c>
      <c r="AC64" s="130">
        <v>0</v>
      </c>
      <c r="AD64" s="130">
        <v>0</v>
      </c>
      <c r="AE64" s="130">
        <f t="shared" si="131"/>
        <v>0</v>
      </c>
      <c r="AF64" s="130">
        <f t="shared" si="132"/>
        <v>-1120</v>
      </c>
      <c r="AG64" s="132">
        <v>0</v>
      </c>
      <c r="AH64" s="132">
        <v>0</v>
      </c>
      <c r="AI64" s="132">
        <v>0</v>
      </c>
      <c r="AJ64" s="132">
        <v>0</v>
      </c>
      <c r="AK64" s="132">
        <v>0</v>
      </c>
      <c r="AL64" s="132">
        <f t="shared" si="133"/>
        <v>0</v>
      </c>
      <c r="AM64" s="132">
        <f t="shared" si="134"/>
        <v>0</v>
      </c>
      <c r="AN64" s="403">
        <f t="shared" si="135"/>
        <v>0</v>
      </c>
      <c r="AO64" s="128">
        <f t="shared" si="16"/>
        <v>22968530</v>
      </c>
      <c r="AP64" s="253">
        <f t="shared" si="17"/>
        <v>16496357</v>
      </c>
      <c r="AQ64" s="253">
        <f t="shared" si="18"/>
        <v>56000</v>
      </c>
      <c r="AR64" s="130">
        <f t="shared" si="19"/>
        <v>5594697</v>
      </c>
      <c r="AS64" s="130">
        <f t="shared" si="20"/>
        <v>329926</v>
      </c>
      <c r="AT64" s="253">
        <f t="shared" si="21"/>
        <v>491550</v>
      </c>
      <c r="AU64" s="132">
        <f t="shared" si="22"/>
        <v>31.582800000000002</v>
      </c>
      <c r="AV64" s="132">
        <f t="shared" si="23"/>
        <v>23.01</v>
      </c>
      <c r="AW64" s="133">
        <f t="shared" si="24"/>
        <v>8.5728000000000009</v>
      </c>
    </row>
    <row r="65" spans="1:49" s="196" customFormat="1" ht="14.1" customHeight="1" x14ac:dyDescent="0.2">
      <c r="A65" s="241">
        <v>9</v>
      </c>
      <c r="B65" s="207">
        <v>2456</v>
      </c>
      <c r="C65" s="212">
        <v>600079732</v>
      </c>
      <c r="D65" s="143">
        <v>70695911</v>
      </c>
      <c r="E65" s="208" t="s">
        <v>766</v>
      </c>
      <c r="F65" s="194">
        <v>3113</v>
      </c>
      <c r="G65" s="143" t="s">
        <v>318</v>
      </c>
      <c r="H65" s="205" t="s">
        <v>284</v>
      </c>
      <c r="I65" s="126">
        <f t="shared" si="0"/>
        <v>0</v>
      </c>
      <c r="J65" s="325">
        <v>0</v>
      </c>
      <c r="K65" s="127">
        <f t="shared" si="25"/>
        <v>0</v>
      </c>
      <c r="L65" s="477">
        <f t="shared" si="13"/>
        <v>0</v>
      </c>
      <c r="M65" s="325">
        <v>0</v>
      </c>
      <c r="N65" s="390">
        <f t="shared" si="3"/>
        <v>0</v>
      </c>
      <c r="O65" s="640">
        <v>0</v>
      </c>
      <c r="P65" s="641">
        <v>0</v>
      </c>
      <c r="Q65" s="387">
        <f t="shared" si="14"/>
        <v>0</v>
      </c>
      <c r="R65" s="253">
        <v>1749683</v>
      </c>
      <c r="S65" s="253">
        <v>0</v>
      </c>
      <c r="T65" s="253">
        <v>0</v>
      </c>
      <c r="U65" s="130">
        <f t="shared" si="127"/>
        <v>1749683</v>
      </c>
      <c r="V65" s="130">
        <v>0</v>
      </c>
      <c r="W65" s="130">
        <v>0</v>
      </c>
      <c r="X65" s="130">
        <v>0</v>
      </c>
      <c r="Y65" s="130">
        <f t="shared" si="128"/>
        <v>0</v>
      </c>
      <c r="Z65" s="130">
        <f t="shared" si="129"/>
        <v>1749683</v>
      </c>
      <c r="AA65" s="316">
        <f t="shared" si="15"/>
        <v>591393</v>
      </c>
      <c r="AB65" s="131">
        <f t="shared" si="130"/>
        <v>34994</v>
      </c>
      <c r="AC65" s="130">
        <v>8500</v>
      </c>
      <c r="AD65" s="130">
        <v>0</v>
      </c>
      <c r="AE65" s="130">
        <f t="shared" si="131"/>
        <v>8500</v>
      </c>
      <c r="AF65" s="130">
        <f t="shared" si="132"/>
        <v>2384570</v>
      </c>
      <c r="AG65" s="132">
        <v>0</v>
      </c>
      <c r="AH65" s="132">
        <v>0</v>
      </c>
      <c r="AI65" s="132">
        <v>5.26</v>
      </c>
      <c r="AJ65" s="132">
        <v>0</v>
      </c>
      <c r="AK65" s="132">
        <v>0</v>
      </c>
      <c r="AL65" s="132">
        <f t="shared" si="133"/>
        <v>5.26</v>
      </c>
      <c r="AM65" s="132">
        <f t="shared" si="134"/>
        <v>0</v>
      </c>
      <c r="AN65" s="403">
        <f t="shared" si="135"/>
        <v>5.26</v>
      </c>
      <c r="AO65" s="128">
        <f t="shared" si="16"/>
        <v>2384570</v>
      </c>
      <c r="AP65" s="253">
        <f t="shared" si="17"/>
        <v>1749683</v>
      </c>
      <c r="AQ65" s="253">
        <f t="shared" si="18"/>
        <v>0</v>
      </c>
      <c r="AR65" s="130">
        <f t="shared" si="19"/>
        <v>591393</v>
      </c>
      <c r="AS65" s="130">
        <f t="shared" si="20"/>
        <v>34994</v>
      </c>
      <c r="AT65" s="253">
        <f t="shared" si="21"/>
        <v>8500</v>
      </c>
      <c r="AU65" s="132">
        <f t="shared" si="22"/>
        <v>5.26</v>
      </c>
      <c r="AV65" s="132">
        <f t="shared" si="23"/>
        <v>5.26</v>
      </c>
      <c r="AW65" s="133">
        <f t="shared" si="24"/>
        <v>0</v>
      </c>
    </row>
    <row r="66" spans="1:49" s="196" customFormat="1" ht="14.1" customHeight="1" x14ac:dyDescent="0.2">
      <c r="A66" s="241">
        <v>9</v>
      </c>
      <c r="B66" s="191">
        <v>2456</v>
      </c>
      <c r="C66" s="212">
        <v>600079732</v>
      </c>
      <c r="D66" s="143">
        <v>70695911</v>
      </c>
      <c r="E66" s="193" t="s">
        <v>766</v>
      </c>
      <c r="F66" s="194">
        <v>3141</v>
      </c>
      <c r="G66" s="145" t="s">
        <v>321</v>
      </c>
      <c r="H66" s="205" t="s">
        <v>284</v>
      </c>
      <c r="I66" s="126">
        <f t="shared" si="0"/>
        <v>3318702</v>
      </c>
      <c r="J66" s="666">
        <v>2425451</v>
      </c>
      <c r="K66" s="127">
        <f t="shared" ref="K66" si="136">ROUND(J66*33.8%,0)</f>
        <v>819802</v>
      </c>
      <c r="L66" s="477">
        <f t="shared" ref="L66" si="137">ROUND(J66*2%,0)</f>
        <v>48509</v>
      </c>
      <c r="M66" s="666">
        <v>24940</v>
      </c>
      <c r="N66" s="390">
        <f t="shared" si="3"/>
        <v>8.2399999999999984</v>
      </c>
      <c r="O66" s="668">
        <v>0</v>
      </c>
      <c r="P66" s="674">
        <v>8.2399999999999984</v>
      </c>
      <c r="Q66" s="387">
        <f t="shared" si="14"/>
        <v>-8000</v>
      </c>
      <c r="R66" s="253">
        <v>0</v>
      </c>
      <c r="S66" s="253">
        <v>0</v>
      </c>
      <c r="T66" s="253">
        <v>0</v>
      </c>
      <c r="U66" s="130">
        <f t="shared" si="127"/>
        <v>-8000</v>
      </c>
      <c r="V66" s="130">
        <v>8000</v>
      </c>
      <c r="W66" s="130">
        <v>0</v>
      </c>
      <c r="X66" s="130">
        <v>0</v>
      </c>
      <c r="Y66" s="130">
        <f t="shared" si="128"/>
        <v>8000</v>
      </c>
      <c r="Z66" s="130">
        <f t="shared" si="129"/>
        <v>0</v>
      </c>
      <c r="AA66" s="316">
        <f t="shared" si="15"/>
        <v>0</v>
      </c>
      <c r="AB66" s="131">
        <f t="shared" si="130"/>
        <v>-160</v>
      </c>
      <c r="AC66" s="130">
        <v>0</v>
      </c>
      <c r="AD66" s="130">
        <v>0</v>
      </c>
      <c r="AE66" s="130">
        <f t="shared" si="131"/>
        <v>0</v>
      </c>
      <c r="AF66" s="130">
        <f t="shared" si="132"/>
        <v>-160</v>
      </c>
      <c r="AG66" s="132">
        <v>0</v>
      </c>
      <c r="AH66" s="132">
        <v>0</v>
      </c>
      <c r="AI66" s="132">
        <v>0</v>
      </c>
      <c r="AJ66" s="132">
        <v>0</v>
      </c>
      <c r="AK66" s="132">
        <v>0</v>
      </c>
      <c r="AL66" s="132">
        <f t="shared" si="133"/>
        <v>0</v>
      </c>
      <c r="AM66" s="132">
        <f t="shared" si="134"/>
        <v>0</v>
      </c>
      <c r="AN66" s="403">
        <f t="shared" si="135"/>
        <v>0</v>
      </c>
      <c r="AO66" s="128">
        <f t="shared" si="16"/>
        <v>3318542</v>
      </c>
      <c r="AP66" s="253">
        <f t="shared" si="17"/>
        <v>2417451</v>
      </c>
      <c r="AQ66" s="253">
        <f t="shared" si="18"/>
        <v>8000</v>
      </c>
      <c r="AR66" s="130">
        <f t="shared" si="19"/>
        <v>819802</v>
      </c>
      <c r="AS66" s="130">
        <f t="shared" si="20"/>
        <v>48349</v>
      </c>
      <c r="AT66" s="253">
        <f t="shared" si="21"/>
        <v>24940</v>
      </c>
      <c r="AU66" s="132">
        <f t="shared" si="22"/>
        <v>8.2399999999999984</v>
      </c>
      <c r="AV66" s="132">
        <f t="shared" si="23"/>
        <v>0</v>
      </c>
      <c r="AW66" s="133">
        <f t="shared" si="24"/>
        <v>8.2399999999999984</v>
      </c>
    </row>
    <row r="67" spans="1:49" s="196" customFormat="1" ht="14.1" customHeight="1" x14ac:dyDescent="0.2">
      <c r="A67" s="241">
        <v>9</v>
      </c>
      <c r="B67" s="143">
        <v>2456</v>
      </c>
      <c r="C67" s="537">
        <v>600079732</v>
      </c>
      <c r="D67" s="143">
        <v>70695911</v>
      </c>
      <c r="E67" s="145" t="s">
        <v>766</v>
      </c>
      <c r="F67" s="206">
        <v>3143</v>
      </c>
      <c r="G67" s="145" t="s">
        <v>635</v>
      </c>
      <c r="H67" s="205" t="s">
        <v>283</v>
      </c>
      <c r="I67" s="126">
        <f t="shared" si="0"/>
        <v>1905513</v>
      </c>
      <c r="J67" s="29">
        <v>1403176</v>
      </c>
      <c r="K67" s="127">
        <f t="shared" si="25"/>
        <v>474273</v>
      </c>
      <c r="L67" s="477">
        <f t="shared" si="13"/>
        <v>28064</v>
      </c>
      <c r="M67" s="479">
        <v>0</v>
      </c>
      <c r="N67" s="390">
        <f t="shared" si="3"/>
        <v>2.7273000000000001</v>
      </c>
      <c r="O67" s="22">
        <v>2.7273000000000001</v>
      </c>
      <c r="P67" s="641">
        <v>0</v>
      </c>
      <c r="Q67" s="387">
        <f t="shared" si="14"/>
        <v>-8000</v>
      </c>
      <c r="R67" s="130">
        <v>0</v>
      </c>
      <c r="S67" s="130">
        <v>0</v>
      </c>
      <c r="T67" s="130">
        <v>0</v>
      </c>
      <c r="U67" s="130">
        <f t="shared" si="127"/>
        <v>-8000</v>
      </c>
      <c r="V67" s="130">
        <v>8000</v>
      </c>
      <c r="W67" s="130">
        <v>0</v>
      </c>
      <c r="X67" s="130">
        <v>0</v>
      </c>
      <c r="Y67" s="130">
        <f t="shared" si="128"/>
        <v>8000</v>
      </c>
      <c r="Z67" s="130">
        <f t="shared" si="129"/>
        <v>0</v>
      </c>
      <c r="AA67" s="316">
        <f t="shared" si="15"/>
        <v>0</v>
      </c>
      <c r="AB67" s="131">
        <f t="shared" si="130"/>
        <v>-160</v>
      </c>
      <c r="AC67" s="130">
        <v>0</v>
      </c>
      <c r="AD67" s="130">
        <v>0</v>
      </c>
      <c r="AE67" s="130">
        <f t="shared" si="131"/>
        <v>0</v>
      </c>
      <c r="AF67" s="130">
        <f t="shared" si="132"/>
        <v>-160</v>
      </c>
      <c r="AG67" s="132">
        <v>0</v>
      </c>
      <c r="AH67" s="132">
        <v>0</v>
      </c>
      <c r="AI67" s="132">
        <v>0</v>
      </c>
      <c r="AJ67" s="132">
        <v>0</v>
      </c>
      <c r="AK67" s="132">
        <v>0</v>
      </c>
      <c r="AL67" s="132">
        <f t="shared" si="133"/>
        <v>0</v>
      </c>
      <c r="AM67" s="132">
        <f t="shared" si="134"/>
        <v>0</v>
      </c>
      <c r="AN67" s="403">
        <f t="shared" si="135"/>
        <v>0</v>
      </c>
      <c r="AO67" s="128">
        <f t="shared" si="16"/>
        <v>1905353</v>
      </c>
      <c r="AP67" s="253">
        <f t="shared" si="17"/>
        <v>1395176</v>
      </c>
      <c r="AQ67" s="253">
        <f t="shared" si="18"/>
        <v>8000</v>
      </c>
      <c r="AR67" s="130">
        <f t="shared" si="19"/>
        <v>474273</v>
      </c>
      <c r="AS67" s="130">
        <f t="shared" si="20"/>
        <v>27904</v>
      </c>
      <c r="AT67" s="253">
        <f t="shared" si="21"/>
        <v>0</v>
      </c>
      <c r="AU67" s="132">
        <f t="shared" si="22"/>
        <v>2.7273000000000001</v>
      </c>
      <c r="AV67" s="132">
        <f t="shared" si="23"/>
        <v>2.7273000000000001</v>
      </c>
      <c r="AW67" s="133">
        <f t="shared" si="24"/>
        <v>0</v>
      </c>
    </row>
    <row r="68" spans="1:49" s="196" customFormat="1" ht="14.1" customHeight="1" x14ac:dyDescent="0.2">
      <c r="A68" s="241">
        <v>9</v>
      </c>
      <c r="B68" s="143">
        <v>2456</v>
      </c>
      <c r="C68" s="537">
        <v>600079732</v>
      </c>
      <c r="D68" s="143">
        <v>70695911</v>
      </c>
      <c r="E68" s="145" t="s">
        <v>766</v>
      </c>
      <c r="F68" s="206">
        <v>3143</v>
      </c>
      <c r="G68" s="145" t="s">
        <v>636</v>
      </c>
      <c r="H68" s="205" t="s">
        <v>284</v>
      </c>
      <c r="I68" s="126">
        <f t="shared" si="0"/>
        <v>69519</v>
      </c>
      <c r="J68" s="664">
        <v>49005</v>
      </c>
      <c r="K68" s="127">
        <f t="shared" ref="K68" si="138">ROUND(J68*33.8%,0)</f>
        <v>16564</v>
      </c>
      <c r="L68" s="477">
        <f t="shared" ref="L68" si="139">ROUND(J68*2%,0)</f>
        <v>980</v>
      </c>
      <c r="M68" s="664">
        <v>2970</v>
      </c>
      <c r="N68" s="390">
        <f t="shared" si="3"/>
        <v>0.21</v>
      </c>
      <c r="O68" s="662">
        <v>0</v>
      </c>
      <c r="P68" s="663">
        <v>0.21</v>
      </c>
      <c r="Q68" s="387">
        <f t="shared" si="14"/>
        <v>0</v>
      </c>
      <c r="R68" s="130">
        <v>0</v>
      </c>
      <c r="S68" s="130">
        <v>0</v>
      </c>
      <c r="T68" s="130">
        <v>0</v>
      </c>
      <c r="U68" s="130">
        <f t="shared" si="127"/>
        <v>0</v>
      </c>
      <c r="V68" s="130">
        <v>0</v>
      </c>
      <c r="W68" s="130">
        <v>0</v>
      </c>
      <c r="X68" s="130">
        <v>0</v>
      </c>
      <c r="Y68" s="130">
        <f t="shared" si="128"/>
        <v>0</v>
      </c>
      <c r="Z68" s="130">
        <f t="shared" si="129"/>
        <v>0</v>
      </c>
      <c r="AA68" s="316">
        <f t="shared" si="15"/>
        <v>0</v>
      </c>
      <c r="AB68" s="131">
        <f t="shared" si="130"/>
        <v>0</v>
      </c>
      <c r="AC68" s="130">
        <v>0</v>
      </c>
      <c r="AD68" s="130">
        <v>0</v>
      </c>
      <c r="AE68" s="130">
        <f t="shared" si="131"/>
        <v>0</v>
      </c>
      <c r="AF68" s="130">
        <f t="shared" si="132"/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f t="shared" si="133"/>
        <v>0</v>
      </c>
      <c r="AM68" s="132">
        <f t="shared" si="134"/>
        <v>0</v>
      </c>
      <c r="AN68" s="403">
        <f t="shared" si="135"/>
        <v>0</v>
      </c>
      <c r="AO68" s="128">
        <f t="shared" si="16"/>
        <v>69519</v>
      </c>
      <c r="AP68" s="253">
        <f t="shared" si="17"/>
        <v>49005</v>
      </c>
      <c r="AQ68" s="253">
        <f t="shared" si="18"/>
        <v>0</v>
      </c>
      <c r="AR68" s="130">
        <f t="shared" si="19"/>
        <v>16564</v>
      </c>
      <c r="AS68" s="130">
        <f t="shared" si="20"/>
        <v>980</v>
      </c>
      <c r="AT68" s="253">
        <f t="shared" si="21"/>
        <v>2970</v>
      </c>
      <c r="AU68" s="132">
        <f t="shared" si="22"/>
        <v>0.21</v>
      </c>
      <c r="AV68" s="132">
        <f t="shared" si="23"/>
        <v>0</v>
      </c>
      <c r="AW68" s="133">
        <f t="shared" si="24"/>
        <v>0.21</v>
      </c>
    </row>
    <row r="69" spans="1:49" s="196" customFormat="1" ht="14.1" customHeight="1" x14ac:dyDescent="0.2">
      <c r="A69" s="242">
        <v>9</v>
      </c>
      <c r="B69" s="198">
        <v>2456</v>
      </c>
      <c r="C69" s="213">
        <v>600079732</v>
      </c>
      <c r="D69" s="198">
        <v>70695911</v>
      </c>
      <c r="E69" s="200" t="s">
        <v>767</v>
      </c>
      <c r="F69" s="201"/>
      <c r="G69" s="202"/>
      <c r="H69" s="203"/>
      <c r="I69" s="197">
        <f t="shared" ref="I69:P69" si="140">SUM(I63:I68)</f>
        <v>35878398</v>
      </c>
      <c r="J69" s="357">
        <f t="shared" si="140"/>
        <v>26001722</v>
      </c>
      <c r="K69" s="357">
        <f t="shared" si="140"/>
        <v>8788582</v>
      </c>
      <c r="L69" s="357">
        <f t="shared" si="140"/>
        <v>520034</v>
      </c>
      <c r="M69" s="357">
        <f t="shared" si="140"/>
        <v>568060</v>
      </c>
      <c r="N69" s="678">
        <f t="shared" si="140"/>
        <v>55.297900000000006</v>
      </c>
      <c r="O69" s="678">
        <f t="shared" si="140"/>
        <v>35.720500000000001</v>
      </c>
      <c r="P69" s="679">
        <f t="shared" si="140"/>
        <v>19.577400000000001</v>
      </c>
      <c r="Q69" s="357">
        <f t="shared" ref="Q69:AW69" si="141">SUM(Q63:Q68)</f>
        <v>-80000</v>
      </c>
      <c r="R69" s="209">
        <f t="shared" si="141"/>
        <v>1749683</v>
      </c>
      <c r="S69" s="209">
        <f t="shared" si="141"/>
        <v>0</v>
      </c>
      <c r="T69" s="209">
        <f t="shared" si="141"/>
        <v>0</v>
      </c>
      <c r="U69" s="209">
        <f t="shared" si="141"/>
        <v>1669683</v>
      </c>
      <c r="V69" s="209">
        <f t="shared" si="141"/>
        <v>80000</v>
      </c>
      <c r="W69" s="209">
        <f t="shared" ref="W69" si="142">SUM(W63:W68)</f>
        <v>0</v>
      </c>
      <c r="X69" s="209">
        <f t="shared" si="141"/>
        <v>0</v>
      </c>
      <c r="Y69" s="209">
        <f t="shared" si="141"/>
        <v>80000</v>
      </c>
      <c r="Z69" s="209">
        <f t="shared" si="141"/>
        <v>1749683</v>
      </c>
      <c r="AA69" s="209">
        <f t="shared" si="141"/>
        <v>591393</v>
      </c>
      <c r="AB69" s="209">
        <f t="shared" si="141"/>
        <v>33394</v>
      </c>
      <c r="AC69" s="209">
        <f t="shared" si="141"/>
        <v>8500</v>
      </c>
      <c r="AD69" s="209">
        <f t="shared" si="141"/>
        <v>0</v>
      </c>
      <c r="AE69" s="209">
        <f t="shared" si="141"/>
        <v>8500</v>
      </c>
      <c r="AF69" s="209">
        <f t="shared" si="141"/>
        <v>2382970</v>
      </c>
      <c r="AG69" s="210">
        <f t="shared" si="141"/>
        <v>0</v>
      </c>
      <c r="AH69" s="210">
        <f t="shared" si="141"/>
        <v>0</v>
      </c>
      <c r="AI69" s="210">
        <f t="shared" si="141"/>
        <v>5.26</v>
      </c>
      <c r="AJ69" s="210">
        <f t="shared" si="141"/>
        <v>0</v>
      </c>
      <c r="AK69" s="210">
        <f t="shared" si="141"/>
        <v>0</v>
      </c>
      <c r="AL69" s="210">
        <f t="shared" si="141"/>
        <v>5.26</v>
      </c>
      <c r="AM69" s="210">
        <f t="shared" si="141"/>
        <v>0</v>
      </c>
      <c r="AN69" s="383">
        <f t="shared" si="141"/>
        <v>5.26</v>
      </c>
      <c r="AO69" s="692">
        <f t="shared" si="141"/>
        <v>38261368</v>
      </c>
      <c r="AP69" s="685">
        <f t="shared" si="141"/>
        <v>27671405</v>
      </c>
      <c r="AQ69" s="685">
        <f t="shared" si="141"/>
        <v>80000</v>
      </c>
      <c r="AR69" s="685">
        <f t="shared" si="141"/>
        <v>9379975</v>
      </c>
      <c r="AS69" s="685">
        <f t="shared" si="141"/>
        <v>553428</v>
      </c>
      <c r="AT69" s="685">
        <f t="shared" si="141"/>
        <v>576560</v>
      </c>
      <c r="AU69" s="383">
        <f t="shared" si="141"/>
        <v>60.557899999999997</v>
      </c>
      <c r="AV69" s="383">
        <f t="shared" si="141"/>
        <v>40.980499999999999</v>
      </c>
      <c r="AW69" s="211">
        <f t="shared" si="141"/>
        <v>19.577400000000001</v>
      </c>
    </row>
    <row r="70" spans="1:49" s="196" customFormat="1" ht="14.1" customHeight="1" x14ac:dyDescent="0.2">
      <c r="A70" s="241">
        <v>10</v>
      </c>
      <c r="B70" s="207">
        <v>2462</v>
      </c>
      <c r="C70" s="212">
        <v>600079813</v>
      </c>
      <c r="D70" s="143">
        <v>72744600</v>
      </c>
      <c r="E70" s="193" t="s">
        <v>768</v>
      </c>
      <c r="F70" s="194">
        <v>3111</v>
      </c>
      <c r="G70" s="145" t="s">
        <v>317</v>
      </c>
      <c r="H70" s="205" t="s">
        <v>283</v>
      </c>
      <c r="I70" s="126">
        <f t="shared" si="0"/>
        <v>1591628</v>
      </c>
      <c r="J70" s="127">
        <v>1163754</v>
      </c>
      <c r="K70" s="127">
        <f t="shared" si="25"/>
        <v>393349</v>
      </c>
      <c r="L70" s="477">
        <f t="shared" si="13"/>
        <v>23275</v>
      </c>
      <c r="M70" s="127">
        <v>11250</v>
      </c>
      <c r="N70" s="390">
        <f t="shared" si="3"/>
        <v>2.5108999999999999</v>
      </c>
      <c r="O70" s="390">
        <v>2</v>
      </c>
      <c r="P70" s="439">
        <v>0.51090000000000002</v>
      </c>
      <c r="Q70" s="387">
        <f t="shared" si="14"/>
        <v>0</v>
      </c>
      <c r="R70" s="253">
        <v>0</v>
      </c>
      <c r="S70" s="253">
        <v>0</v>
      </c>
      <c r="T70" s="253">
        <v>0</v>
      </c>
      <c r="U70" s="130">
        <f t="shared" ref="U70:U75" si="143">SUM(Q70:T70)</f>
        <v>0</v>
      </c>
      <c r="V70" s="130">
        <v>0</v>
      </c>
      <c r="W70" s="130">
        <v>0</v>
      </c>
      <c r="X70" s="130">
        <v>0</v>
      </c>
      <c r="Y70" s="130">
        <f t="shared" ref="Y70:Y75" si="144">SUM(V70:X70)</f>
        <v>0</v>
      </c>
      <c r="Z70" s="130">
        <f t="shared" ref="Z70:Z75" si="145">U70+Y70</f>
        <v>0</v>
      </c>
      <c r="AA70" s="316">
        <f t="shared" si="15"/>
        <v>0</v>
      </c>
      <c r="AB70" s="131">
        <f t="shared" ref="AB70:AB75" si="146">ROUND(U70*2%,0)</f>
        <v>0</v>
      </c>
      <c r="AC70" s="130">
        <v>0</v>
      </c>
      <c r="AD70" s="130">
        <v>0</v>
      </c>
      <c r="AE70" s="130">
        <f t="shared" ref="AE70:AE75" si="147">SUM(AC70:AD70)</f>
        <v>0</v>
      </c>
      <c r="AF70" s="130">
        <f t="shared" ref="AF70:AF75" si="148">Z70+AA70+AB70+AE70</f>
        <v>0</v>
      </c>
      <c r="AG70" s="132">
        <v>0</v>
      </c>
      <c r="AH70" s="132">
        <v>0</v>
      </c>
      <c r="AI70" s="132">
        <v>0</v>
      </c>
      <c r="AJ70" s="132">
        <v>0</v>
      </c>
      <c r="AK70" s="132">
        <v>0</v>
      </c>
      <c r="AL70" s="132">
        <f t="shared" ref="AL70:AL75" si="149">AG70+AI70+AJ70</f>
        <v>0</v>
      </c>
      <c r="AM70" s="132">
        <f t="shared" ref="AM70:AM75" si="150">AH70+AK70</f>
        <v>0</v>
      </c>
      <c r="AN70" s="403">
        <f t="shared" ref="AN70:AN75" si="151">SUM(AL70:AM70)</f>
        <v>0</v>
      </c>
      <c r="AO70" s="128">
        <f t="shared" si="16"/>
        <v>1591628</v>
      </c>
      <c r="AP70" s="253">
        <f t="shared" si="17"/>
        <v>1163754</v>
      </c>
      <c r="AQ70" s="253">
        <f t="shared" si="18"/>
        <v>0</v>
      </c>
      <c r="AR70" s="130">
        <f t="shared" si="19"/>
        <v>393349</v>
      </c>
      <c r="AS70" s="130">
        <f t="shared" si="20"/>
        <v>23275</v>
      </c>
      <c r="AT70" s="253">
        <f t="shared" si="21"/>
        <v>11250</v>
      </c>
      <c r="AU70" s="132">
        <f t="shared" si="22"/>
        <v>2.5108999999999999</v>
      </c>
      <c r="AV70" s="132">
        <f t="shared" si="23"/>
        <v>2</v>
      </c>
      <c r="AW70" s="133">
        <f t="shared" si="24"/>
        <v>0.51090000000000002</v>
      </c>
    </row>
    <row r="71" spans="1:49" s="196" customFormat="1" ht="14.1" customHeight="1" x14ac:dyDescent="0.2">
      <c r="A71" s="241">
        <v>10</v>
      </c>
      <c r="B71" s="214">
        <v>2462</v>
      </c>
      <c r="C71" s="212">
        <v>600079813</v>
      </c>
      <c r="D71" s="143">
        <v>72744600</v>
      </c>
      <c r="E71" s="214" t="s">
        <v>768</v>
      </c>
      <c r="F71" s="215">
        <v>3117</v>
      </c>
      <c r="G71" s="214" t="s">
        <v>335</v>
      </c>
      <c r="H71" s="205" t="s">
        <v>283</v>
      </c>
      <c r="I71" s="126">
        <f t="shared" si="0"/>
        <v>3111281</v>
      </c>
      <c r="J71" s="477">
        <v>2240707</v>
      </c>
      <c r="K71" s="127">
        <f t="shared" si="25"/>
        <v>757359</v>
      </c>
      <c r="L71" s="477">
        <v>44815</v>
      </c>
      <c r="M71" s="477">
        <v>68400</v>
      </c>
      <c r="N71" s="390">
        <f t="shared" si="3"/>
        <v>4.5348000000000006</v>
      </c>
      <c r="O71" s="645">
        <v>3.1608000000000001</v>
      </c>
      <c r="P71" s="646">
        <v>1.3740000000000001</v>
      </c>
      <c r="Q71" s="387">
        <f t="shared" si="14"/>
        <v>-88000</v>
      </c>
      <c r="R71" s="253">
        <v>0</v>
      </c>
      <c r="S71" s="253">
        <v>0</v>
      </c>
      <c r="T71" s="253">
        <v>0</v>
      </c>
      <c r="U71" s="130">
        <f t="shared" si="143"/>
        <v>-88000</v>
      </c>
      <c r="V71" s="130">
        <v>88000</v>
      </c>
      <c r="W71" s="130">
        <v>0</v>
      </c>
      <c r="X71" s="130">
        <v>0</v>
      </c>
      <c r="Y71" s="130">
        <f t="shared" si="144"/>
        <v>88000</v>
      </c>
      <c r="Z71" s="130">
        <f t="shared" si="145"/>
        <v>0</v>
      </c>
      <c r="AA71" s="316">
        <f t="shared" si="15"/>
        <v>0</v>
      </c>
      <c r="AB71" s="131">
        <f t="shared" si="146"/>
        <v>-1760</v>
      </c>
      <c r="AC71" s="130">
        <v>0</v>
      </c>
      <c r="AD71" s="130">
        <v>0</v>
      </c>
      <c r="AE71" s="130">
        <f t="shared" si="147"/>
        <v>0</v>
      </c>
      <c r="AF71" s="130">
        <f t="shared" si="148"/>
        <v>-1760</v>
      </c>
      <c r="AG71" s="132">
        <v>-0.05</v>
      </c>
      <c r="AH71" s="132">
        <v>-0.32</v>
      </c>
      <c r="AI71" s="132">
        <v>0</v>
      </c>
      <c r="AJ71" s="132">
        <v>0</v>
      </c>
      <c r="AK71" s="132">
        <v>0</v>
      </c>
      <c r="AL71" s="132">
        <f t="shared" si="149"/>
        <v>-0.05</v>
      </c>
      <c r="AM71" s="132">
        <f t="shared" si="150"/>
        <v>-0.32</v>
      </c>
      <c r="AN71" s="403">
        <f t="shared" si="151"/>
        <v>-0.37</v>
      </c>
      <c r="AO71" s="128">
        <f t="shared" si="16"/>
        <v>3109521</v>
      </c>
      <c r="AP71" s="253">
        <f t="shared" si="17"/>
        <v>2152707</v>
      </c>
      <c r="AQ71" s="253">
        <f t="shared" si="18"/>
        <v>88000</v>
      </c>
      <c r="AR71" s="130">
        <f t="shared" si="19"/>
        <v>757359</v>
      </c>
      <c r="AS71" s="130">
        <f t="shared" si="20"/>
        <v>43055</v>
      </c>
      <c r="AT71" s="253">
        <f t="shared" si="21"/>
        <v>68400</v>
      </c>
      <c r="AU71" s="132">
        <f t="shared" si="22"/>
        <v>4.1648000000000005</v>
      </c>
      <c r="AV71" s="132">
        <f t="shared" si="23"/>
        <v>3.1108000000000002</v>
      </c>
      <c r="AW71" s="133">
        <f t="shared" si="24"/>
        <v>1.054</v>
      </c>
    </row>
    <row r="72" spans="1:49" s="196" customFormat="1" ht="14.1" customHeight="1" x14ac:dyDescent="0.2">
      <c r="A72" s="241">
        <v>10</v>
      </c>
      <c r="B72" s="207">
        <v>2462</v>
      </c>
      <c r="C72" s="212">
        <v>600079813</v>
      </c>
      <c r="D72" s="143">
        <v>72744600</v>
      </c>
      <c r="E72" s="208" t="s">
        <v>768</v>
      </c>
      <c r="F72" s="194">
        <v>3117</v>
      </c>
      <c r="G72" s="143" t="s">
        <v>318</v>
      </c>
      <c r="H72" s="205" t="s">
        <v>284</v>
      </c>
      <c r="I72" s="126">
        <f t="shared" si="0"/>
        <v>0</v>
      </c>
      <c r="J72" s="325">
        <v>0</v>
      </c>
      <c r="K72" s="127">
        <f t="shared" si="25"/>
        <v>0</v>
      </c>
      <c r="L72" s="477">
        <f t="shared" si="13"/>
        <v>0</v>
      </c>
      <c r="M72" s="325">
        <v>0</v>
      </c>
      <c r="N72" s="390">
        <f t="shared" si="3"/>
        <v>0</v>
      </c>
      <c r="O72" s="640">
        <v>0</v>
      </c>
      <c r="P72" s="641">
        <v>0</v>
      </c>
      <c r="Q72" s="387">
        <f t="shared" si="14"/>
        <v>0</v>
      </c>
      <c r="R72" s="253">
        <v>1166800</v>
      </c>
      <c r="S72" s="253">
        <v>0</v>
      </c>
      <c r="T72" s="253">
        <v>0</v>
      </c>
      <c r="U72" s="130">
        <f t="shared" si="143"/>
        <v>1166800</v>
      </c>
      <c r="V72" s="130">
        <v>0</v>
      </c>
      <c r="W72" s="130">
        <v>0</v>
      </c>
      <c r="X72" s="130">
        <v>0</v>
      </c>
      <c r="Y72" s="130">
        <f t="shared" si="144"/>
        <v>0</v>
      </c>
      <c r="Z72" s="130">
        <f t="shared" si="145"/>
        <v>1166800</v>
      </c>
      <c r="AA72" s="316">
        <f t="shared" si="15"/>
        <v>394378</v>
      </c>
      <c r="AB72" s="131">
        <f t="shared" si="146"/>
        <v>23336</v>
      </c>
      <c r="AC72" s="130">
        <v>0</v>
      </c>
      <c r="AD72" s="130">
        <v>0</v>
      </c>
      <c r="AE72" s="130">
        <f t="shared" si="147"/>
        <v>0</v>
      </c>
      <c r="AF72" s="130">
        <f t="shared" si="148"/>
        <v>1584514</v>
      </c>
      <c r="AG72" s="132">
        <v>0</v>
      </c>
      <c r="AH72" s="132">
        <v>0</v>
      </c>
      <c r="AI72" s="132">
        <v>3.19</v>
      </c>
      <c r="AJ72" s="132">
        <v>0</v>
      </c>
      <c r="AK72" s="132">
        <v>0</v>
      </c>
      <c r="AL72" s="132">
        <f t="shared" si="149"/>
        <v>3.19</v>
      </c>
      <c r="AM72" s="132">
        <f t="shared" si="150"/>
        <v>0</v>
      </c>
      <c r="AN72" s="403">
        <f t="shared" si="151"/>
        <v>3.19</v>
      </c>
      <c r="AO72" s="128">
        <f t="shared" si="16"/>
        <v>1584514</v>
      </c>
      <c r="AP72" s="253">
        <f t="shared" si="17"/>
        <v>1166800</v>
      </c>
      <c r="AQ72" s="253">
        <f t="shared" si="18"/>
        <v>0</v>
      </c>
      <c r="AR72" s="130">
        <f t="shared" si="19"/>
        <v>394378</v>
      </c>
      <c r="AS72" s="130">
        <f t="shared" si="20"/>
        <v>23336</v>
      </c>
      <c r="AT72" s="253">
        <f t="shared" si="21"/>
        <v>0</v>
      </c>
      <c r="AU72" s="132">
        <f t="shared" si="22"/>
        <v>3.19</v>
      </c>
      <c r="AV72" s="132">
        <f t="shared" si="23"/>
        <v>3.19</v>
      </c>
      <c r="AW72" s="133">
        <f t="shared" si="24"/>
        <v>0</v>
      </c>
    </row>
    <row r="73" spans="1:49" s="196" customFormat="1" ht="14.1" customHeight="1" x14ac:dyDescent="0.2">
      <c r="A73" s="241">
        <v>10</v>
      </c>
      <c r="B73" s="191">
        <v>2462</v>
      </c>
      <c r="C73" s="212">
        <v>600079813</v>
      </c>
      <c r="D73" s="143">
        <v>72744600</v>
      </c>
      <c r="E73" s="193" t="s">
        <v>768</v>
      </c>
      <c r="F73" s="194">
        <v>3141</v>
      </c>
      <c r="G73" s="145" t="s">
        <v>321</v>
      </c>
      <c r="H73" s="205" t="s">
        <v>284</v>
      </c>
      <c r="I73" s="126">
        <f t="shared" si="0"/>
        <v>622307</v>
      </c>
      <c r="J73" s="666">
        <v>456288</v>
      </c>
      <c r="K73" s="127">
        <f t="shared" ref="K73" si="152">ROUND(J73*33.8%,0)</f>
        <v>154225</v>
      </c>
      <c r="L73" s="477">
        <f t="shared" ref="L73" si="153">ROUND(J73*2%,0)</f>
        <v>9126</v>
      </c>
      <c r="M73" s="666">
        <v>2668</v>
      </c>
      <c r="N73" s="390">
        <f t="shared" si="3"/>
        <v>1.55</v>
      </c>
      <c r="O73" s="669">
        <v>0</v>
      </c>
      <c r="P73" s="667">
        <v>1.55</v>
      </c>
      <c r="Q73" s="387">
        <f t="shared" si="14"/>
        <v>0</v>
      </c>
      <c r="R73" s="253">
        <v>0</v>
      </c>
      <c r="S73" s="253">
        <v>0</v>
      </c>
      <c r="T73" s="253">
        <v>0</v>
      </c>
      <c r="U73" s="130">
        <f t="shared" si="143"/>
        <v>0</v>
      </c>
      <c r="V73" s="130">
        <v>0</v>
      </c>
      <c r="W73" s="130">
        <v>0</v>
      </c>
      <c r="X73" s="130">
        <v>0</v>
      </c>
      <c r="Y73" s="130">
        <f t="shared" si="144"/>
        <v>0</v>
      </c>
      <c r="Z73" s="130">
        <f t="shared" si="145"/>
        <v>0</v>
      </c>
      <c r="AA73" s="316">
        <f t="shared" si="15"/>
        <v>0</v>
      </c>
      <c r="AB73" s="131">
        <f t="shared" si="146"/>
        <v>0</v>
      </c>
      <c r="AC73" s="130">
        <v>0</v>
      </c>
      <c r="AD73" s="130">
        <v>0</v>
      </c>
      <c r="AE73" s="130">
        <f t="shared" si="147"/>
        <v>0</v>
      </c>
      <c r="AF73" s="130">
        <f t="shared" si="148"/>
        <v>0</v>
      </c>
      <c r="AG73" s="132">
        <v>0</v>
      </c>
      <c r="AH73" s="132">
        <v>0</v>
      </c>
      <c r="AI73" s="132">
        <v>0</v>
      </c>
      <c r="AJ73" s="132">
        <v>0</v>
      </c>
      <c r="AK73" s="132">
        <v>0</v>
      </c>
      <c r="AL73" s="132">
        <f t="shared" si="149"/>
        <v>0</v>
      </c>
      <c r="AM73" s="132">
        <f t="shared" si="150"/>
        <v>0</v>
      </c>
      <c r="AN73" s="403">
        <f t="shared" si="151"/>
        <v>0</v>
      </c>
      <c r="AO73" s="128">
        <f t="shared" si="16"/>
        <v>622307</v>
      </c>
      <c r="AP73" s="253">
        <f t="shared" si="17"/>
        <v>456288</v>
      </c>
      <c r="AQ73" s="253">
        <f t="shared" si="18"/>
        <v>0</v>
      </c>
      <c r="AR73" s="130">
        <f t="shared" si="19"/>
        <v>154225</v>
      </c>
      <c r="AS73" s="130">
        <f t="shared" si="20"/>
        <v>9126</v>
      </c>
      <c r="AT73" s="253">
        <f t="shared" si="21"/>
        <v>2668</v>
      </c>
      <c r="AU73" s="132">
        <f t="shared" si="22"/>
        <v>1.55</v>
      </c>
      <c r="AV73" s="132">
        <f t="shared" si="23"/>
        <v>0</v>
      </c>
      <c r="AW73" s="133">
        <f t="shared" si="24"/>
        <v>1.55</v>
      </c>
    </row>
    <row r="74" spans="1:49" s="196" customFormat="1" ht="14.1" customHeight="1" x14ac:dyDescent="0.2">
      <c r="A74" s="241">
        <v>10</v>
      </c>
      <c r="B74" s="143">
        <v>2462</v>
      </c>
      <c r="C74" s="537">
        <v>600079813</v>
      </c>
      <c r="D74" s="143">
        <v>72744600</v>
      </c>
      <c r="E74" s="145" t="s">
        <v>768</v>
      </c>
      <c r="F74" s="206">
        <v>3143</v>
      </c>
      <c r="G74" s="145" t="s">
        <v>635</v>
      </c>
      <c r="H74" s="205" t="s">
        <v>283</v>
      </c>
      <c r="I74" s="126">
        <f t="shared" si="0"/>
        <v>529310</v>
      </c>
      <c r="J74" s="29">
        <v>389772</v>
      </c>
      <c r="K74" s="127">
        <f t="shared" si="25"/>
        <v>131743</v>
      </c>
      <c r="L74" s="477">
        <f t="shared" si="13"/>
        <v>7795</v>
      </c>
      <c r="M74" s="479">
        <v>0</v>
      </c>
      <c r="N74" s="390">
        <f t="shared" si="3"/>
        <v>0.90549999999999997</v>
      </c>
      <c r="O74" s="22">
        <v>0.90549999999999997</v>
      </c>
      <c r="P74" s="641">
        <v>0</v>
      </c>
      <c r="Q74" s="387">
        <f t="shared" si="14"/>
        <v>-4000</v>
      </c>
      <c r="R74" s="130">
        <v>0</v>
      </c>
      <c r="S74" s="130">
        <v>0</v>
      </c>
      <c r="T74" s="130">
        <v>0</v>
      </c>
      <c r="U74" s="130">
        <f t="shared" si="143"/>
        <v>-4000</v>
      </c>
      <c r="V74" s="130">
        <v>4000</v>
      </c>
      <c r="W74" s="130">
        <v>0</v>
      </c>
      <c r="X74" s="130">
        <v>0</v>
      </c>
      <c r="Y74" s="130">
        <f t="shared" si="144"/>
        <v>4000</v>
      </c>
      <c r="Z74" s="130">
        <f t="shared" si="145"/>
        <v>0</v>
      </c>
      <c r="AA74" s="316">
        <f t="shared" si="15"/>
        <v>0</v>
      </c>
      <c r="AB74" s="131">
        <f t="shared" si="146"/>
        <v>-80</v>
      </c>
      <c r="AC74" s="130">
        <v>0</v>
      </c>
      <c r="AD74" s="130">
        <v>0</v>
      </c>
      <c r="AE74" s="130">
        <f t="shared" si="147"/>
        <v>0</v>
      </c>
      <c r="AF74" s="130">
        <f t="shared" si="148"/>
        <v>-80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f t="shared" si="149"/>
        <v>0</v>
      </c>
      <c r="AM74" s="132">
        <f t="shared" si="150"/>
        <v>0</v>
      </c>
      <c r="AN74" s="403">
        <f t="shared" si="151"/>
        <v>0</v>
      </c>
      <c r="AO74" s="128">
        <f t="shared" si="16"/>
        <v>529230</v>
      </c>
      <c r="AP74" s="253">
        <f t="shared" si="17"/>
        <v>385772</v>
      </c>
      <c r="AQ74" s="253">
        <f t="shared" si="18"/>
        <v>4000</v>
      </c>
      <c r="AR74" s="130">
        <f t="shared" si="19"/>
        <v>131743</v>
      </c>
      <c r="AS74" s="130">
        <f t="shared" si="20"/>
        <v>7715</v>
      </c>
      <c r="AT74" s="253">
        <f t="shared" si="21"/>
        <v>0</v>
      </c>
      <c r="AU74" s="132">
        <f t="shared" si="22"/>
        <v>0.90549999999999997</v>
      </c>
      <c r="AV74" s="132">
        <f t="shared" si="23"/>
        <v>0.90549999999999997</v>
      </c>
      <c r="AW74" s="133">
        <f t="shared" si="24"/>
        <v>0</v>
      </c>
    </row>
    <row r="75" spans="1:49" s="196" customFormat="1" ht="14.1" customHeight="1" x14ac:dyDescent="0.2">
      <c r="A75" s="241">
        <v>10</v>
      </c>
      <c r="B75" s="143">
        <v>2462</v>
      </c>
      <c r="C75" s="537">
        <v>600079813</v>
      </c>
      <c r="D75" s="143">
        <v>72744600</v>
      </c>
      <c r="E75" s="145" t="s">
        <v>768</v>
      </c>
      <c r="F75" s="206">
        <v>3143</v>
      </c>
      <c r="G75" s="145" t="s">
        <v>636</v>
      </c>
      <c r="H75" s="205" t="s">
        <v>284</v>
      </c>
      <c r="I75" s="126">
        <f t="shared" si="0"/>
        <v>12640</v>
      </c>
      <c r="J75" s="664">
        <v>8910</v>
      </c>
      <c r="K75" s="127">
        <f t="shared" ref="K75" si="154">ROUND(J75*33.8%,0)</f>
        <v>3012</v>
      </c>
      <c r="L75" s="477">
        <f t="shared" ref="L75" si="155">ROUND(J75*2%,0)</f>
        <v>178</v>
      </c>
      <c r="M75" s="664">
        <v>540</v>
      </c>
      <c r="N75" s="390">
        <f t="shared" si="3"/>
        <v>0.04</v>
      </c>
      <c r="O75" s="662">
        <v>0</v>
      </c>
      <c r="P75" s="663">
        <v>0.04</v>
      </c>
      <c r="Q75" s="387">
        <f t="shared" si="14"/>
        <v>0</v>
      </c>
      <c r="R75" s="130">
        <v>0</v>
      </c>
      <c r="S75" s="130">
        <v>0</v>
      </c>
      <c r="T75" s="130">
        <v>0</v>
      </c>
      <c r="U75" s="130">
        <f t="shared" si="143"/>
        <v>0</v>
      </c>
      <c r="V75" s="130">
        <v>0</v>
      </c>
      <c r="W75" s="130">
        <v>0</v>
      </c>
      <c r="X75" s="130">
        <v>0</v>
      </c>
      <c r="Y75" s="130">
        <f t="shared" si="144"/>
        <v>0</v>
      </c>
      <c r="Z75" s="130">
        <f t="shared" si="145"/>
        <v>0</v>
      </c>
      <c r="AA75" s="316">
        <f t="shared" si="15"/>
        <v>0</v>
      </c>
      <c r="AB75" s="131">
        <f t="shared" si="146"/>
        <v>0</v>
      </c>
      <c r="AC75" s="130">
        <v>0</v>
      </c>
      <c r="AD75" s="130">
        <v>0</v>
      </c>
      <c r="AE75" s="130">
        <f t="shared" si="147"/>
        <v>0</v>
      </c>
      <c r="AF75" s="130">
        <f t="shared" si="148"/>
        <v>0</v>
      </c>
      <c r="AG75" s="132">
        <v>0</v>
      </c>
      <c r="AH75" s="132">
        <v>0</v>
      </c>
      <c r="AI75" s="132">
        <v>0</v>
      </c>
      <c r="AJ75" s="132">
        <v>0</v>
      </c>
      <c r="AK75" s="132">
        <v>0</v>
      </c>
      <c r="AL75" s="132">
        <f t="shared" si="149"/>
        <v>0</v>
      </c>
      <c r="AM75" s="132">
        <f t="shared" si="150"/>
        <v>0</v>
      </c>
      <c r="AN75" s="403">
        <f t="shared" si="151"/>
        <v>0</v>
      </c>
      <c r="AO75" s="128">
        <f t="shared" si="16"/>
        <v>12640</v>
      </c>
      <c r="AP75" s="253">
        <f t="shared" si="17"/>
        <v>8910</v>
      </c>
      <c r="AQ75" s="253">
        <f t="shared" si="18"/>
        <v>0</v>
      </c>
      <c r="AR75" s="130">
        <f t="shared" si="19"/>
        <v>3012</v>
      </c>
      <c r="AS75" s="130">
        <f t="shared" si="20"/>
        <v>178</v>
      </c>
      <c r="AT75" s="253">
        <f t="shared" si="21"/>
        <v>540</v>
      </c>
      <c r="AU75" s="132">
        <f t="shared" si="22"/>
        <v>0.04</v>
      </c>
      <c r="AV75" s="132">
        <f t="shared" si="23"/>
        <v>0</v>
      </c>
      <c r="AW75" s="133">
        <f t="shared" si="24"/>
        <v>0.04</v>
      </c>
    </row>
    <row r="76" spans="1:49" s="196" customFormat="1" ht="14.1" customHeight="1" x14ac:dyDescent="0.2">
      <c r="A76" s="242">
        <v>10</v>
      </c>
      <c r="B76" s="198">
        <v>2462</v>
      </c>
      <c r="C76" s="213">
        <v>600079813</v>
      </c>
      <c r="D76" s="198">
        <v>72744600</v>
      </c>
      <c r="E76" s="200" t="s">
        <v>769</v>
      </c>
      <c r="F76" s="216"/>
      <c r="G76" s="202"/>
      <c r="H76" s="203"/>
      <c r="I76" s="197">
        <f t="shared" ref="I76:P76" si="156">SUM(I70:I75)</f>
        <v>5867166</v>
      </c>
      <c r="J76" s="357">
        <f t="shared" si="156"/>
        <v>4259431</v>
      </c>
      <c r="K76" s="357">
        <f t="shared" si="156"/>
        <v>1439688</v>
      </c>
      <c r="L76" s="357">
        <f t="shared" si="156"/>
        <v>85189</v>
      </c>
      <c r="M76" s="357">
        <f t="shared" si="156"/>
        <v>82858</v>
      </c>
      <c r="N76" s="678">
        <f t="shared" si="156"/>
        <v>9.5411999999999999</v>
      </c>
      <c r="O76" s="678">
        <f t="shared" si="156"/>
        <v>6.0663</v>
      </c>
      <c r="P76" s="679">
        <f t="shared" si="156"/>
        <v>3.4748999999999999</v>
      </c>
      <c r="Q76" s="357">
        <f t="shared" ref="Q76:AW76" si="157">SUM(Q70:Q75)</f>
        <v>-92000</v>
      </c>
      <c r="R76" s="209">
        <f t="shared" si="157"/>
        <v>1166800</v>
      </c>
      <c r="S76" s="209">
        <f t="shared" si="157"/>
        <v>0</v>
      </c>
      <c r="T76" s="209">
        <f t="shared" si="157"/>
        <v>0</v>
      </c>
      <c r="U76" s="209">
        <f t="shared" si="157"/>
        <v>1074800</v>
      </c>
      <c r="V76" s="209">
        <f t="shared" si="157"/>
        <v>92000</v>
      </c>
      <c r="W76" s="209">
        <f t="shared" ref="W76" si="158">SUM(W70:W75)</f>
        <v>0</v>
      </c>
      <c r="X76" s="209">
        <f t="shared" si="157"/>
        <v>0</v>
      </c>
      <c r="Y76" s="209">
        <f t="shared" si="157"/>
        <v>92000</v>
      </c>
      <c r="Z76" s="209">
        <f t="shared" si="157"/>
        <v>1166800</v>
      </c>
      <c r="AA76" s="209">
        <f t="shared" si="157"/>
        <v>394378</v>
      </c>
      <c r="AB76" s="209">
        <f t="shared" si="157"/>
        <v>21496</v>
      </c>
      <c r="AC76" s="209">
        <f t="shared" si="157"/>
        <v>0</v>
      </c>
      <c r="AD76" s="209">
        <f t="shared" si="157"/>
        <v>0</v>
      </c>
      <c r="AE76" s="209">
        <f t="shared" si="157"/>
        <v>0</v>
      </c>
      <c r="AF76" s="209">
        <f t="shared" si="157"/>
        <v>1582674</v>
      </c>
      <c r="AG76" s="210">
        <f t="shared" si="157"/>
        <v>-0.05</v>
      </c>
      <c r="AH76" s="210">
        <f t="shared" si="157"/>
        <v>-0.32</v>
      </c>
      <c r="AI76" s="210">
        <f t="shared" si="157"/>
        <v>3.19</v>
      </c>
      <c r="AJ76" s="210">
        <f t="shared" si="157"/>
        <v>0</v>
      </c>
      <c r="AK76" s="210">
        <f t="shared" si="157"/>
        <v>0</v>
      </c>
      <c r="AL76" s="210">
        <f t="shared" si="157"/>
        <v>3.14</v>
      </c>
      <c r="AM76" s="210">
        <f t="shared" si="157"/>
        <v>-0.32</v>
      </c>
      <c r="AN76" s="383">
        <f t="shared" si="157"/>
        <v>2.82</v>
      </c>
      <c r="AO76" s="692">
        <f t="shared" si="157"/>
        <v>7449840</v>
      </c>
      <c r="AP76" s="685">
        <f t="shared" si="157"/>
        <v>5334231</v>
      </c>
      <c r="AQ76" s="685">
        <f t="shared" si="157"/>
        <v>92000</v>
      </c>
      <c r="AR76" s="685">
        <f t="shared" si="157"/>
        <v>1834066</v>
      </c>
      <c r="AS76" s="685">
        <f t="shared" si="157"/>
        <v>106685</v>
      </c>
      <c r="AT76" s="685">
        <f t="shared" si="157"/>
        <v>82858</v>
      </c>
      <c r="AU76" s="383">
        <f t="shared" si="157"/>
        <v>12.3612</v>
      </c>
      <c r="AV76" s="383">
        <f t="shared" si="157"/>
        <v>9.2063000000000006</v>
      </c>
      <c r="AW76" s="211">
        <f t="shared" si="157"/>
        <v>3.1549000000000005</v>
      </c>
    </row>
    <row r="77" spans="1:49" s="196" customFormat="1" ht="14.1" customHeight="1" x14ac:dyDescent="0.2">
      <c r="A77" s="241">
        <v>11</v>
      </c>
      <c r="B77" s="207">
        <v>2464</v>
      </c>
      <c r="C77" s="212">
        <v>600080081</v>
      </c>
      <c r="D77" s="143">
        <v>72753846</v>
      </c>
      <c r="E77" s="193" t="s">
        <v>770</v>
      </c>
      <c r="F77" s="194">
        <v>3111</v>
      </c>
      <c r="G77" s="145" t="s">
        <v>317</v>
      </c>
      <c r="H77" s="205" t="s">
        <v>283</v>
      </c>
      <c r="I77" s="126">
        <f t="shared" ref="I77:I128" si="159">SUM(J77:M77)</f>
        <v>1246770</v>
      </c>
      <c r="J77" s="127">
        <v>914448</v>
      </c>
      <c r="K77" s="127">
        <f t="shared" ref="K77:K128" si="160">ROUND(J77*33.8%,0)</f>
        <v>309083</v>
      </c>
      <c r="L77" s="477">
        <f t="shared" ref="L77:L128" si="161">ROUND(J77*2%,0)</f>
        <v>18289</v>
      </c>
      <c r="M77" s="127">
        <v>4950</v>
      </c>
      <c r="N77" s="390">
        <f t="shared" ref="N77:N128" si="162">O77+P77</f>
        <v>2.1212</v>
      </c>
      <c r="O77" s="390">
        <v>1.7312000000000001</v>
      </c>
      <c r="P77" s="439">
        <v>0.39</v>
      </c>
      <c r="Q77" s="387">
        <f t="shared" ref="Q77:Q128" si="163">V77*-1</f>
        <v>0</v>
      </c>
      <c r="R77" s="253">
        <v>0</v>
      </c>
      <c r="S77" s="253">
        <v>0</v>
      </c>
      <c r="T77" s="253">
        <f>181183+15912</f>
        <v>197095</v>
      </c>
      <c r="U77" s="130">
        <f t="shared" ref="U77:U82" si="164">SUM(Q77:T77)</f>
        <v>197095</v>
      </c>
      <c r="V77" s="130">
        <v>0</v>
      </c>
      <c r="W77" s="130">
        <v>0</v>
      </c>
      <c r="X77" s="130">
        <v>0</v>
      </c>
      <c r="Y77" s="130">
        <f t="shared" ref="Y77:Y82" si="165">SUM(V77:X77)</f>
        <v>0</v>
      </c>
      <c r="Z77" s="130">
        <f t="shared" ref="Z77:Z82" si="166">U77+Y77</f>
        <v>197095</v>
      </c>
      <c r="AA77" s="316">
        <f t="shared" ref="AA77:AA128" si="167">ROUND((U77+V77+W77)*33.8%,0)</f>
        <v>66618</v>
      </c>
      <c r="AB77" s="131">
        <f t="shared" ref="AB77:AB82" si="168">ROUND(U77*2%,0)</f>
        <v>3942</v>
      </c>
      <c r="AC77" s="130">
        <v>0</v>
      </c>
      <c r="AD77" s="130">
        <v>0</v>
      </c>
      <c r="AE77" s="130">
        <f t="shared" ref="AE77:AE82" si="169">SUM(AC77:AD77)</f>
        <v>0</v>
      </c>
      <c r="AF77" s="130">
        <f t="shared" ref="AF77:AF82" si="170">Z77+AA77+AB77+AE77</f>
        <v>267655</v>
      </c>
      <c r="AG77" s="132">
        <v>0</v>
      </c>
      <c r="AH77" s="132">
        <v>0</v>
      </c>
      <c r="AI77" s="132">
        <v>0</v>
      </c>
      <c r="AJ77" s="132">
        <v>0.31</v>
      </c>
      <c r="AK77" s="132">
        <v>7.0000000000000007E-2</v>
      </c>
      <c r="AL77" s="132">
        <f t="shared" ref="AL77:AL82" si="171">AG77+AI77+AJ77</f>
        <v>0.31</v>
      </c>
      <c r="AM77" s="132">
        <f t="shared" ref="AM77:AM82" si="172">AH77+AK77</f>
        <v>7.0000000000000007E-2</v>
      </c>
      <c r="AN77" s="403">
        <f t="shared" ref="AN77:AN82" si="173">SUM(AL77:AM77)</f>
        <v>0.38</v>
      </c>
      <c r="AO77" s="128">
        <f t="shared" ref="AO77:AO128" si="174">I77+AF77</f>
        <v>1514425</v>
      </c>
      <c r="AP77" s="253">
        <f t="shared" ref="AP77:AP128" si="175">J77+U77</f>
        <v>1111543</v>
      </c>
      <c r="AQ77" s="253">
        <f t="shared" ref="AQ77:AQ128" si="176">Y77</f>
        <v>0</v>
      </c>
      <c r="AR77" s="130">
        <f t="shared" ref="AR77:AR128" si="177">K77+AA77</f>
        <v>375701</v>
      </c>
      <c r="AS77" s="130">
        <f t="shared" ref="AS77:AS128" si="178">L77+AB77</f>
        <v>22231</v>
      </c>
      <c r="AT77" s="253">
        <f t="shared" ref="AT77:AT128" si="179">M77+AE77</f>
        <v>4950</v>
      </c>
      <c r="AU77" s="132">
        <f t="shared" ref="AU77:AU128" si="180">N77+AN77</f>
        <v>2.5011999999999999</v>
      </c>
      <c r="AV77" s="132">
        <f t="shared" ref="AV77:AV128" si="181">O77+AL77</f>
        <v>2.0411999999999999</v>
      </c>
      <c r="AW77" s="133">
        <f t="shared" ref="AW77:AW128" si="182">P77+AM77</f>
        <v>0.46</v>
      </c>
    </row>
    <row r="78" spans="1:49" s="196" customFormat="1" ht="14.1" customHeight="1" x14ac:dyDescent="0.2">
      <c r="A78" s="241">
        <v>11</v>
      </c>
      <c r="B78" s="214">
        <v>2464</v>
      </c>
      <c r="C78" s="212">
        <v>600080081</v>
      </c>
      <c r="D78" s="143">
        <v>72753846</v>
      </c>
      <c r="E78" s="214" t="s">
        <v>770</v>
      </c>
      <c r="F78" s="215">
        <v>3117</v>
      </c>
      <c r="G78" s="214" t="s">
        <v>335</v>
      </c>
      <c r="H78" s="205" t="s">
        <v>283</v>
      </c>
      <c r="I78" s="126">
        <f t="shared" si="159"/>
        <v>1534886</v>
      </c>
      <c r="J78" s="477">
        <v>1121440</v>
      </c>
      <c r="K78" s="127">
        <f t="shared" si="160"/>
        <v>379047</v>
      </c>
      <c r="L78" s="477">
        <f t="shared" si="161"/>
        <v>22429</v>
      </c>
      <c r="M78" s="477">
        <v>11970</v>
      </c>
      <c r="N78" s="390">
        <f t="shared" si="162"/>
        <v>2.1509999999999998</v>
      </c>
      <c r="O78" s="645">
        <v>1.4071</v>
      </c>
      <c r="P78" s="646">
        <v>0.74390000000000001</v>
      </c>
      <c r="Q78" s="387">
        <f t="shared" si="163"/>
        <v>-16800</v>
      </c>
      <c r="R78" s="253">
        <v>0</v>
      </c>
      <c r="S78" s="253">
        <v>0</v>
      </c>
      <c r="T78" s="253">
        <v>0</v>
      </c>
      <c r="U78" s="130">
        <f t="shared" si="164"/>
        <v>-16800</v>
      </c>
      <c r="V78" s="130">
        <v>16800</v>
      </c>
      <c r="W78" s="130">
        <v>0</v>
      </c>
      <c r="X78" s="130">
        <v>0</v>
      </c>
      <c r="Y78" s="130">
        <f t="shared" si="165"/>
        <v>16800</v>
      </c>
      <c r="Z78" s="130">
        <f t="shared" si="166"/>
        <v>0</v>
      </c>
      <c r="AA78" s="316">
        <f t="shared" si="167"/>
        <v>0</v>
      </c>
      <c r="AB78" s="131">
        <f t="shared" si="168"/>
        <v>-336</v>
      </c>
      <c r="AC78" s="130">
        <v>0</v>
      </c>
      <c r="AD78" s="130">
        <v>0</v>
      </c>
      <c r="AE78" s="130">
        <f t="shared" si="169"/>
        <v>0</v>
      </c>
      <c r="AF78" s="130">
        <f t="shared" si="170"/>
        <v>-336</v>
      </c>
      <c r="AG78" s="132">
        <v>0</v>
      </c>
      <c r="AH78" s="132">
        <v>-0.08</v>
      </c>
      <c r="AI78" s="132">
        <v>0</v>
      </c>
      <c r="AJ78" s="132">
        <v>0</v>
      </c>
      <c r="AK78" s="132">
        <v>0</v>
      </c>
      <c r="AL78" s="132">
        <f t="shared" si="171"/>
        <v>0</v>
      </c>
      <c r="AM78" s="132">
        <f t="shared" si="172"/>
        <v>-0.08</v>
      </c>
      <c r="AN78" s="403">
        <f t="shared" si="173"/>
        <v>-0.08</v>
      </c>
      <c r="AO78" s="128">
        <f t="shared" si="174"/>
        <v>1534550</v>
      </c>
      <c r="AP78" s="253">
        <f t="shared" si="175"/>
        <v>1104640</v>
      </c>
      <c r="AQ78" s="253">
        <f t="shared" si="176"/>
        <v>16800</v>
      </c>
      <c r="AR78" s="130">
        <f t="shared" si="177"/>
        <v>379047</v>
      </c>
      <c r="AS78" s="130">
        <f t="shared" si="178"/>
        <v>22093</v>
      </c>
      <c r="AT78" s="253">
        <f t="shared" si="179"/>
        <v>11970</v>
      </c>
      <c r="AU78" s="132">
        <f t="shared" si="180"/>
        <v>2.0709999999999997</v>
      </c>
      <c r="AV78" s="132">
        <f t="shared" si="181"/>
        <v>1.4071</v>
      </c>
      <c r="AW78" s="133">
        <f t="shared" si="182"/>
        <v>0.66390000000000005</v>
      </c>
    </row>
    <row r="79" spans="1:49" s="196" customFormat="1" ht="14.1" customHeight="1" x14ac:dyDescent="0.2">
      <c r="A79" s="241">
        <v>11</v>
      </c>
      <c r="B79" s="207">
        <v>2464</v>
      </c>
      <c r="C79" s="212">
        <v>600080081</v>
      </c>
      <c r="D79" s="143">
        <v>72753846</v>
      </c>
      <c r="E79" s="208" t="s">
        <v>770</v>
      </c>
      <c r="F79" s="194">
        <v>3117</v>
      </c>
      <c r="G79" s="143" t="s">
        <v>318</v>
      </c>
      <c r="H79" s="205" t="s">
        <v>284</v>
      </c>
      <c r="I79" s="126">
        <f t="shared" si="159"/>
        <v>0</v>
      </c>
      <c r="J79" s="325">
        <v>0</v>
      </c>
      <c r="K79" s="127">
        <f t="shared" si="160"/>
        <v>0</v>
      </c>
      <c r="L79" s="477">
        <f t="shared" si="161"/>
        <v>0</v>
      </c>
      <c r="M79" s="325">
        <v>0</v>
      </c>
      <c r="N79" s="390">
        <f t="shared" si="162"/>
        <v>0</v>
      </c>
      <c r="O79" s="640">
        <v>0</v>
      </c>
      <c r="P79" s="641">
        <v>0</v>
      </c>
      <c r="Q79" s="387">
        <f t="shared" si="163"/>
        <v>0</v>
      </c>
      <c r="R79" s="253">
        <v>371499</v>
      </c>
      <c r="S79" s="253">
        <v>0</v>
      </c>
      <c r="T79" s="253">
        <v>0</v>
      </c>
      <c r="U79" s="130">
        <f t="shared" si="164"/>
        <v>371499</v>
      </c>
      <c r="V79" s="130">
        <v>0</v>
      </c>
      <c r="W79" s="130">
        <v>0</v>
      </c>
      <c r="X79" s="130">
        <v>0</v>
      </c>
      <c r="Y79" s="130">
        <f t="shared" si="165"/>
        <v>0</v>
      </c>
      <c r="Z79" s="130">
        <f t="shared" si="166"/>
        <v>371499</v>
      </c>
      <c r="AA79" s="316">
        <f t="shared" si="167"/>
        <v>125567</v>
      </c>
      <c r="AB79" s="131">
        <f t="shared" si="168"/>
        <v>7430</v>
      </c>
      <c r="AC79" s="130">
        <v>0</v>
      </c>
      <c r="AD79" s="130">
        <v>0</v>
      </c>
      <c r="AE79" s="130">
        <f t="shared" si="169"/>
        <v>0</v>
      </c>
      <c r="AF79" s="130">
        <f t="shared" si="170"/>
        <v>504496</v>
      </c>
      <c r="AG79" s="132">
        <v>0</v>
      </c>
      <c r="AH79" s="132">
        <v>0</v>
      </c>
      <c r="AI79" s="132">
        <v>1.19</v>
      </c>
      <c r="AJ79" s="132">
        <v>0</v>
      </c>
      <c r="AK79" s="132">
        <v>0</v>
      </c>
      <c r="AL79" s="132">
        <f t="shared" si="171"/>
        <v>1.19</v>
      </c>
      <c r="AM79" s="132">
        <f t="shared" si="172"/>
        <v>0</v>
      </c>
      <c r="AN79" s="403">
        <f t="shared" si="173"/>
        <v>1.19</v>
      </c>
      <c r="AO79" s="128">
        <f t="shared" si="174"/>
        <v>504496</v>
      </c>
      <c r="AP79" s="253">
        <f t="shared" si="175"/>
        <v>371499</v>
      </c>
      <c r="AQ79" s="253">
        <f t="shared" si="176"/>
        <v>0</v>
      </c>
      <c r="AR79" s="130">
        <f t="shared" si="177"/>
        <v>125567</v>
      </c>
      <c r="AS79" s="130">
        <f t="shared" si="178"/>
        <v>7430</v>
      </c>
      <c r="AT79" s="253">
        <f t="shared" si="179"/>
        <v>0</v>
      </c>
      <c r="AU79" s="132">
        <f t="shared" si="180"/>
        <v>1.19</v>
      </c>
      <c r="AV79" s="132">
        <f t="shared" si="181"/>
        <v>1.19</v>
      </c>
      <c r="AW79" s="133">
        <f t="shared" si="182"/>
        <v>0</v>
      </c>
    </row>
    <row r="80" spans="1:49" s="196" customFormat="1" ht="14.1" customHeight="1" x14ac:dyDescent="0.2">
      <c r="A80" s="241">
        <v>11</v>
      </c>
      <c r="B80" s="191">
        <v>2464</v>
      </c>
      <c r="C80" s="212">
        <v>600080081</v>
      </c>
      <c r="D80" s="143">
        <v>72753846</v>
      </c>
      <c r="E80" s="193" t="s">
        <v>770</v>
      </c>
      <c r="F80" s="194">
        <v>3141</v>
      </c>
      <c r="G80" s="145" t="s">
        <v>321</v>
      </c>
      <c r="H80" s="205" t="s">
        <v>284</v>
      </c>
      <c r="I80" s="126">
        <f t="shared" si="159"/>
        <v>335858</v>
      </c>
      <c r="J80" s="31">
        <v>246378</v>
      </c>
      <c r="K80" s="127">
        <f t="shared" si="160"/>
        <v>83276</v>
      </c>
      <c r="L80" s="127">
        <f t="shared" si="161"/>
        <v>4928</v>
      </c>
      <c r="M80" s="31">
        <v>1276</v>
      </c>
      <c r="N80" s="390">
        <f t="shared" si="162"/>
        <v>0.84</v>
      </c>
      <c r="O80" s="34">
        <v>0</v>
      </c>
      <c r="P80" s="707">
        <v>0.84</v>
      </c>
      <c r="Q80" s="387">
        <f t="shared" si="163"/>
        <v>0</v>
      </c>
      <c r="R80" s="253">
        <v>0</v>
      </c>
      <c r="S80" s="253">
        <v>0</v>
      </c>
      <c r="T80" s="253">
        <v>0</v>
      </c>
      <c r="U80" s="130">
        <f t="shared" si="164"/>
        <v>0</v>
      </c>
      <c r="V80" s="130">
        <v>0</v>
      </c>
      <c r="W80" s="130">
        <v>0</v>
      </c>
      <c r="X80" s="130">
        <v>0</v>
      </c>
      <c r="Y80" s="130">
        <f t="shared" si="165"/>
        <v>0</v>
      </c>
      <c r="Z80" s="130">
        <f t="shared" si="166"/>
        <v>0</v>
      </c>
      <c r="AA80" s="316">
        <f t="shared" si="167"/>
        <v>0</v>
      </c>
      <c r="AB80" s="131">
        <f t="shared" si="168"/>
        <v>0</v>
      </c>
      <c r="AC80" s="130">
        <v>0</v>
      </c>
      <c r="AD80" s="130">
        <v>0</v>
      </c>
      <c r="AE80" s="130">
        <f t="shared" si="169"/>
        <v>0</v>
      </c>
      <c r="AF80" s="130">
        <f t="shared" si="170"/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f t="shared" si="171"/>
        <v>0</v>
      </c>
      <c r="AM80" s="132">
        <f t="shared" si="172"/>
        <v>0</v>
      </c>
      <c r="AN80" s="403">
        <f t="shared" si="173"/>
        <v>0</v>
      </c>
      <c r="AO80" s="128">
        <f t="shared" si="174"/>
        <v>335858</v>
      </c>
      <c r="AP80" s="253">
        <f t="shared" si="175"/>
        <v>246378</v>
      </c>
      <c r="AQ80" s="253">
        <f t="shared" si="176"/>
        <v>0</v>
      </c>
      <c r="AR80" s="130">
        <f t="shared" si="177"/>
        <v>83276</v>
      </c>
      <c r="AS80" s="130">
        <f t="shared" si="178"/>
        <v>4928</v>
      </c>
      <c r="AT80" s="253">
        <f t="shared" si="179"/>
        <v>1276</v>
      </c>
      <c r="AU80" s="132">
        <f t="shared" si="180"/>
        <v>0.84</v>
      </c>
      <c r="AV80" s="132">
        <f t="shared" si="181"/>
        <v>0</v>
      </c>
      <c r="AW80" s="133">
        <f t="shared" si="182"/>
        <v>0.84</v>
      </c>
    </row>
    <row r="81" spans="1:49" s="196" customFormat="1" ht="14.1" customHeight="1" x14ac:dyDescent="0.2">
      <c r="A81" s="241">
        <v>11</v>
      </c>
      <c r="B81" s="143">
        <v>2464</v>
      </c>
      <c r="C81" s="537">
        <v>600080081</v>
      </c>
      <c r="D81" s="143">
        <v>72753846</v>
      </c>
      <c r="E81" s="145" t="s">
        <v>770</v>
      </c>
      <c r="F81" s="206">
        <v>3143</v>
      </c>
      <c r="G81" s="145" t="s">
        <v>635</v>
      </c>
      <c r="H81" s="205" t="s">
        <v>283</v>
      </c>
      <c r="I81" s="126">
        <f t="shared" si="159"/>
        <v>233307</v>
      </c>
      <c r="J81" s="29">
        <v>171802</v>
      </c>
      <c r="K81" s="127">
        <f t="shared" si="160"/>
        <v>58069</v>
      </c>
      <c r="L81" s="477">
        <f t="shared" si="161"/>
        <v>3436</v>
      </c>
      <c r="M81" s="479">
        <v>0</v>
      </c>
      <c r="N81" s="390">
        <f t="shared" si="162"/>
        <v>0.5</v>
      </c>
      <c r="O81" s="22">
        <v>0.5</v>
      </c>
      <c r="P81" s="641">
        <v>0</v>
      </c>
      <c r="Q81" s="387">
        <f t="shared" si="163"/>
        <v>0</v>
      </c>
      <c r="R81" s="130">
        <v>0</v>
      </c>
      <c r="S81" s="130">
        <v>0</v>
      </c>
      <c r="T81" s="130">
        <v>194263</v>
      </c>
      <c r="U81" s="130">
        <f t="shared" si="164"/>
        <v>194263</v>
      </c>
      <c r="V81" s="130">
        <v>0</v>
      </c>
      <c r="W81" s="130">
        <v>0</v>
      </c>
      <c r="X81" s="130">
        <v>0</v>
      </c>
      <c r="Y81" s="130">
        <f t="shared" si="165"/>
        <v>0</v>
      </c>
      <c r="Z81" s="130">
        <f t="shared" si="166"/>
        <v>194263</v>
      </c>
      <c r="AA81" s="316">
        <f t="shared" si="167"/>
        <v>65661</v>
      </c>
      <c r="AB81" s="131">
        <f t="shared" si="168"/>
        <v>3885</v>
      </c>
      <c r="AC81" s="130">
        <v>0</v>
      </c>
      <c r="AD81" s="130">
        <v>0</v>
      </c>
      <c r="AE81" s="130">
        <f t="shared" si="169"/>
        <v>0</v>
      </c>
      <c r="AF81" s="130">
        <f t="shared" si="170"/>
        <v>263809</v>
      </c>
      <c r="AG81" s="132">
        <v>0</v>
      </c>
      <c r="AH81" s="132">
        <v>0</v>
      </c>
      <c r="AI81" s="132">
        <v>0</v>
      </c>
      <c r="AJ81" s="132">
        <v>0.48</v>
      </c>
      <c r="AK81" s="132">
        <v>0</v>
      </c>
      <c r="AL81" s="132">
        <f t="shared" si="171"/>
        <v>0.48</v>
      </c>
      <c r="AM81" s="132">
        <f t="shared" si="172"/>
        <v>0</v>
      </c>
      <c r="AN81" s="403">
        <f t="shared" si="173"/>
        <v>0.48</v>
      </c>
      <c r="AO81" s="128">
        <f t="shared" si="174"/>
        <v>497116</v>
      </c>
      <c r="AP81" s="253">
        <f t="shared" si="175"/>
        <v>366065</v>
      </c>
      <c r="AQ81" s="253">
        <f t="shared" si="176"/>
        <v>0</v>
      </c>
      <c r="AR81" s="130">
        <f t="shared" si="177"/>
        <v>123730</v>
      </c>
      <c r="AS81" s="130">
        <f t="shared" si="178"/>
        <v>7321</v>
      </c>
      <c r="AT81" s="253">
        <f t="shared" si="179"/>
        <v>0</v>
      </c>
      <c r="AU81" s="132">
        <f t="shared" si="180"/>
        <v>0.98</v>
      </c>
      <c r="AV81" s="132">
        <f t="shared" si="181"/>
        <v>0.98</v>
      </c>
      <c r="AW81" s="133">
        <f t="shared" si="182"/>
        <v>0</v>
      </c>
    </row>
    <row r="82" spans="1:49" s="196" customFormat="1" ht="14.1" customHeight="1" x14ac:dyDescent="0.2">
      <c r="A82" s="241">
        <v>11</v>
      </c>
      <c r="B82" s="143">
        <v>2464</v>
      </c>
      <c r="C82" s="537">
        <v>600080081</v>
      </c>
      <c r="D82" s="143">
        <v>72753846</v>
      </c>
      <c r="E82" s="145" t="s">
        <v>770</v>
      </c>
      <c r="F82" s="206">
        <v>3143</v>
      </c>
      <c r="G82" s="145" t="s">
        <v>636</v>
      </c>
      <c r="H82" s="205" t="s">
        <v>284</v>
      </c>
      <c r="I82" s="126">
        <f t="shared" si="159"/>
        <v>4915</v>
      </c>
      <c r="J82" s="664">
        <v>3465</v>
      </c>
      <c r="K82" s="127">
        <f t="shared" si="160"/>
        <v>1171</v>
      </c>
      <c r="L82" s="477">
        <f t="shared" si="161"/>
        <v>69</v>
      </c>
      <c r="M82" s="664">
        <v>210</v>
      </c>
      <c r="N82" s="390">
        <f t="shared" si="162"/>
        <v>0.01</v>
      </c>
      <c r="O82" s="662">
        <v>0</v>
      </c>
      <c r="P82" s="663">
        <v>0.01</v>
      </c>
      <c r="Q82" s="387">
        <f t="shared" si="163"/>
        <v>0</v>
      </c>
      <c r="R82" s="130">
        <v>0</v>
      </c>
      <c r="S82" s="130">
        <v>0</v>
      </c>
      <c r="T82" s="130">
        <v>0</v>
      </c>
      <c r="U82" s="130">
        <f t="shared" si="164"/>
        <v>0</v>
      </c>
      <c r="V82" s="130">
        <v>0</v>
      </c>
      <c r="W82" s="130">
        <v>0</v>
      </c>
      <c r="X82" s="130">
        <v>0</v>
      </c>
      <c r="Y82" s="130">
        <f t="shared" si="165"/>
        <v>0</v>
      </c>
      <c r="Z82" s="130">
        <f t="shared" si="166"/>
        <v>0</v>
      </c>
      <c r="AA82" s="316">
        <f t="shared" si="167"/>
        <v>0</v>
      </c>
      <c r="AB82" s="131">
        <f t="shared" si="168"/>
        <v>0</v>
      </c>
      <c r="AC82" s="130">
        <v>0</v>
      </c>
      <c r="AD82" s="130">
        <v>0</v>
      </c>
      <c r="AE82" s="130">
        <f t="shared" si="169"/>
        <v>0</v>
      </c>
      <c r="AF82" s="130">
        <f t="shared" si="170"/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f t="shared" si="171"/>
        <v>0</v>
      </c>
      <c r="AM82" s="132">
        <f t="shared" si="172"/>
        <v>0</v>
      </c>
      <c r="AN82" s="403">
        <f t="shared" si="173"/>
        <v>0</v>
      </c>
      <c r="AO82" s="128">
        <f t="shared" si="174"/>
        <v>4915</v>
      </c>
      <c r="AP82" s="253">
        <f t="shared" si="175"/>
        <v>3465</v>
      </c>
      <c r="AQ82" s="253">
        <f t="shared" si="176"/>
        <v>0</v>
      </c>
      <c r="AR82" s="130">
        <f t="shared" si="177"/>
        <v>1171</v>
      </c>
      <c r="AS82" s="130">
        <f t="shared" si="178"/>
        <v>69</v>
      </c>
      <c r="AT82" s="253">
        <f t="shared" si="179"/>
        <v>210</v>
      </c>
      <c r="AU82" s="132">
        <f t="shared" si="180"/>
        <v>0.01</v>
      </c>
      <c r="AV82" s="132">
        <f t="shared" si="181"/>
        <v>0</v>
      </c>
      <c r="AW82" s="133">
        <f t="shared" si="182"/>
        <v>0.01</v>
      </c>
    </row>
    <row r="83" spans="1:49" s="196" customFormat="1" ht="14.1" customHeight="1" x14ac:dyDescent="0.2">
      <c r="A83" s="242">
        <v>11</v>
      </c>
      <c r="B83" s="198">
        <v>2464</v>
      </c>
      <c r="C83" s="213">
        <v>600080081</v>
      </c>
      <c r="D83" s="198">
        <v>72753846</v>
      </c>
      <c r="E83" s="200" t="s">
        <v>771</v>
      </c>
      <c r="F83" s="216"/>
      <c r="G83" s="202"/>
      <c r="H83" s="203"/>
      <c r="I83" s="197">
        <f t="shared" ref="I83:P83" si="183">SUM(I77:I82)</f>
        <v>3355736</v>
      </c>
      <c r="J83" s="357">
        <f t="shared" si="183"/>
        <v>2457533</v>
      </c>
      <c r="K83" s="357">
        <f t="shared" si="183"/>
        <v>830646</v>
      </c>
      <c r="L83" s="357">
        <f t="shared" si="183"/>
        <v>49151</v>
      </c>
      <c r="M83" s="357">
        <f t="shared" si="183"/>
        <v>18406</v>
      </c>
      <c r="N83" s="678">
        <f t="shared" si="183"/>
        <v>5.6221999999999994</v>
      </c>
      <c r="O83" s="678">
        <f t="shared" si="183"/>
        <v>3.6383000000000001</v>
      </c>
      <c r="P83" s="679">
        <f t="shared" si="183"/>
        <v>1.9839</v>
      </c>
      <c r="Q83" s="357">
        <f t="shared" ref="Q83:AW83" si="184">SUM(Q77:Q82)</f>
        <v>-16800</v>
      </c>
      <c r="R83" s="209">
        <f t="shared" si="184"/>
        <v>371499</v>
      </c>
      <c r="S83" s="209">
        <f t="shared" si="184"/>
        <v>0</v>
      </c>
      <c r="T83" s="209">
        <f t="shared" si="184"/>
        <v>391358</v>
      </c>
      <c r="U83" s="209">
        <f t="shared" si="184"/>
        <v>746057</v>
      </c>
      <c r="V83" s="209">
        <f t="shared" si="184"/>
        <v>16800</v>
      </c>
      <c r="W83" s="209">
        <f t="shared" ref="W83" si="185">SUM(W77:W82)</f>
        <v>0</v>
      </c>
      <c r="X83" s="209">
        <f t="shared" si="184"/>
        <v>0</v>
      </c>
      <c r="Y83" s="209">
        <f t="shared" si="184"/>
        <v>16800</v>
      </c>
      <c r="Z83" s="209">
        <f t="shared" si="184"/>
        <v>762857</v>
      </c>
      <c r="AA83" s="209">
        <f t="shared" si="184"/>
        <v>257846</v>
      </c>
      <c r="AB83" s="209">
        <f t="shared" si="184"/>
        <v>14921</v>
      </c>
      <c r="AC83" s="209">
        <f t="shared" si="184"/>
        <v>0</v>
      </c>
      <c r="AD83" s="209">
        <f t="shared" si="184"/>
        <v>0</v>
      </c>
      <c r="AE83" s="209">
        <f t="shared" si="184"/>
        <v>0</v>
      </c>
      <c r="AF83" s="209">
        <f t="shared" si="184"/>
        <v>1035624</v>
      </c>
      <c r="AG83" s="210">
        <f t="shared" si="184"/>
        <v>0</v>
      </c>
      <c r="AH83" s="210">
        <f t="shared" si="184"/>
        <v>-0.08</v>
      </c>
      <c r="AI83" s="210">
        <f t="shared" si="184"/>
        <v>1.19</v>
      </c>
      <c r="AJ83" s="210">
        <f t="shared" si="184"/>
        <v>0.79</v>
      </c>
      <c r="AK83" s="210">
        <f t="shared" si="184"/>
        <v>7.0000000000000007E-2</v>
      </c>
      <c r="AL83" s="210">
        <f t="shared" si="184"/>
        <v>1.98</v>
      </c>
      <c r="AM83" s="210">
        <f t="shared" si="184"/>
        <v>-9.999999999999995E-3</v>
      </c>
      <c r="AN83" s="383">
        <f t="shared" si="184"/>
        <v>1.97</v>
      </c>
      <c r="AO83" s="692">
        <f t="shared" si="184"/>
        <v>4391360</v>
      </c>
      <c r="AP83" s="685">
        <f t="shared" si="184"/>
        <v>3203590</v>
      </c>
      <c r="AQ83" s="685">
        <f t="shared" si="184"/>
        <v>16800</v>
      </c>
      <c r="AR83" s="685">
        <f t="shared" si="184"/>
        <v>1088492</v>
      </c>
      <c r="AS83" s="685">
        <f t="shared" si="184"/>
        <v>64072</v>
      </c>
      <c r="AT83" s="685">
        <f t="shared" si="184"/>
        <v>18406</v>
      </c>
      <c r="AU83" s="383">
        <f t="shared" si="184"/>
        <v>7.5922000000000001</v>
      </c>
      <c r="AV83" s="383">
        <f t="shared" si="184"/>
        <v>5.6182999999999996</v>
      </c>
      <c r="AW83" s="211">
        <f t="shared" si="184"/>
        <v>1.9739000000000002</v>
      </c>
    </row>
    <row r="84" spans="1:49" s="196" customFormat="1" ht="14.1" customHeight="1" x14ac:dyDescent="0.2">
      <c r="A84" s="241">
        <v>12</v>
      </c>
      <c r="B84" s="207">
        <v>2467</v>
      </c>
      <c r="C84" s="212">
        <v>600079708</v>
      </c>
      <c r="D84" s="143">
        <v>71012303</v>
      </c>
      <c r="E84" s="193" t="s">
        <v>772</v>
      </c>
      <c r="F84" s="206">
        <v>3111</v>
      </c>
      <c r="G84" s="145" t="s">
        <v>317</v>
      </c>
      <c r="H84" s="205" t="s">
        <v>283</v>
      </c>
      <c r="I84" s="126">
        <f t="shared" si="159"/>
        <v>1589021</v>
      </c>
      <c r="J84" s="127">
        <v>1162166</v>
      </c>
      <c r="K84" s="127">
        <f t="shared" si="160"/>
        <v>392812</v>
      </c>
      <c r="L84" s="477">
        <f t="shared" si="161"/>
        <v>23243</v>
      </c>
      <c r="M84" s="127">
        <v>10800</v>
      </c>
      <c r="N84" s="390">
        <f t="shared" si="162"/>
        <v>2.5108999999999999</v>
      </c>
      <c r="O84" s="390">
        <v>2</v>
      </c>
      <c r="P84" s="439">
        <v>0.51090000000000002</v>
      </c>
      <c r="Q84" s="387">
        <f t="shared" si="163"/>
        <v>0</v>
      </c>
      <c r="R84" s="253">
        <v>0</v>
      </c>
      <c r="S84" s="253">
        <v>0</v>
      </c>
      <c r="T84" s="253">
        <v>0</v>
      </c>
      <c r="U84" s="130">
        <f t="shared" ref="U84:U89" si="186">SUM(Q84:T84)</f>
        <v>0</v>
      </c>
      <c r="V84" s="130">
        <v>0</v>
      </c>
      <c r="W84" s="130">
        <v>0</v>
      </c>
      <c r="X84" s="130">
        <v>0</v>
      </c>
      <c r="Y84" s="130">
        <f t="shared" ref="Y84:Y89" si="187">SUM(V84:X84)</f>
        <v>0</v>
      </c>
      <c r="Z84" s="130">
        <f t="shared" ref="Z84:Z89" si="188">U84+Y84</f>
        <v>0</v>
      </c>
      <c r="AA84" s="316">
        <f t="shared" si="167"/>
        <v>0</v>
      </c>
      <c r="AB84" s="131">
        <f t="shared" ref="AB84:AB89" si="189">ROUND(U84*2%,0)</f>
        <v>0</v>
      </c>
      <c r="AC84" s="130">
        <v>0</v>
      </c>
      <c r="AD84" s="130">
        <v>0</v>
      </c>
      <c r="AE84" s="130">
        <f t="shared" ref="AE84:AE89" si="190">SUM(AC84:AD84)</f>
        <v>0</v>
      </c>
      <c r="AF84" s="130">
        <f t="shared" ref="AF84:AF89" si="191">Z84+AA84+AB84+AE84</f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f t="shared" ref="AL84:AL89" si="192">AG84+AI84+AJ84</f>
        <v>0</v>
      </c>
      <c r="AM84" s="132">
        <f t="shared" ref="AM84:AM89" si="193">AH84+AK84</f>
        <v>0</v>
      </c>
      <c r="AN84" s="403">
        <f t="shared" ref="AN84:AN89" si="194">SUM(AL84:AM84)</f>
        <v>0</v>
      </c>
      <c r="AO84" s="128">
        <f t="shared" si="174"/>
        <v>1589021</v>
      </c>
      <c r="AP84" s="253">
        <f t="shared" si="175"/>
        <v>1162166</v>
      </c>
      <c r="AQ84" s="253">
        <f t="shared" si="176"/>
        <v>0</v>
      </c>
      <c r="AR84" s="130">
        <f t="shared" si="177"/>
        <v>392812</v>
      </c>
      <c r="AS84" s="130">
        <f t="shared" si="178"/>
        <v>23243</v>
      </c>
      <c r="AT84" s="253">
        <f t="shared" si="179"/>
        <v>10800</v>
      </c>
      <c r="AU84" s="132">
        <f t="shared" si="180"/>
        <v>2.5108999999999999</v>
      </c>
      <c r="AV84" s="132">
        <f t="shared" si="181"/>
        <v>2</v>
      </c>
      <c r="AW84" s="133">
        <f t="shared" si="182"/>
        <v>0.51090000000000002</v>
      </c>
    </row>
    <row r="85" spans="1:49" s="196" customFormat="1" ht="14.1" customHeight="1" x14ac:dyDescent="0.2">
      <c r="A85" s="241">
        <v>12</v>
      </c>
      <c r="B85" s="214">
        <v>2467</v>
      </c>
      <c r="C85" s="212">
        <v>600079708</v>
      </c>
      <c r="D85" s="143">
        <v>71012303</v>
      </c>
      <c r="E85" s="214" t="s">
        <v>772</v>
      </c>
      <c r="F85" s="215">
        <v>3117</v>
      </c>
      <c r="G85" s="214" t="s">
        <v>335</v>
      </c>
      <c r="H85" s="205" t="s">
        <v>283</v>
      </c>
      <c r="I85" s="126">
        <f t="shared" si="159"/>
        <v>1626042</v>
      </c>
      <c r="J85" s="477">
        <v>1183529</v>
      </c>
      <c r="K85" s="127">
        <f t="shared" si="160"/>
        <v>400033</v>
      </c>
      <c r="L85" s="477">
        <v>23670</v>
      </c>
      <c r="M85" s="477">
        <v>18810</v>
      </c>
      <c r="N85" s="390">
        <f t="shared" si="162"/>
        <v>2.8534999999999999</v>
      </c>
      <c r="O85" s="645">
        <v>1.4503999999999999</v>
      </c>
      <c r="P85" s="646">
        <v>1.4031</v>
      </c>
      <c r="Q85" s="387">
        <f t="shared" si="163"/>
        <v>0</v>
      </c>
      <c r="R85" s="253">
        <v>0</v>
      </c>
      <c r="S85" s="253">
        <v>0</v>
      </c>
      <c r="T85" s="253">
        <v>0</v>
      </c>
      <c r="U85" s="130">
        <f t="shared" si="186"/>
        <v>0</v>
      </c>
      <c r="V85" s="130">
        <v>0</v>
      </c>
      <c r="W85" s="130">
        <v>0</v>
      </c>
      <c r="X85" s="130">
        <v>0</v>
      </c>
      <c r="Y85" s="130">
        <f t="shared" si="187"/>
        <v>0</v>
      </c>
      <c r="Z85" s="130">
        <f t="shared" si="188"/>
        <v>0</v>
      </c>
      <c r="AA85" s="316">
        <f t="shared" si="167"/>
        <v>0</v>
      </c>
      <c r="AB85" s="131">
        <f t="shared" si="189"/>
        <v>0</v>
      </c>
      <c r="AC85" s="130">
        <v>0</v>
      </c>
      <c r="AD85" s="130">
        <v>0</v>
      </c>
      <c r="AE85" s="130">
        <f t="shared" si="190"/>
        <v>0</v>
      </c>
      <c r="AF85" s="130">
        <f t="shared" si="191"/>
        <v>0</v>
      </c>
      <c r="AG85" s="132">
        <v>0</v>
      </c>
      <c r="AH85" s="132">
        <v>0</v>
      </c>
      <c r="AI85" s="132">
        <v>0</v>
      </c>
      <c r="AJ85" s="132">
        <v>0</v>
      </c>
      <c r="AK85" s="132">
        <v>0</v>
      </c>
      <c r="AL85" s="132">
        <f t="shared" si="192"/>
        <v>0</v>
      </c>
      <c r="AM85" s="132">
        <f t="shared" si="193"/>
        <v>0</v>
      </c>
      <c r="AN85" s="403">
        <f t="shared" si="194"/>
        <v>0</v>
      </c>
      <c r="AO85" s="128">
        <f t="shared" si="174"/>
        <v>1626042</v>
      </c>
      <c r="AP85" s="253">
        <f t="shared" si="175"/>
        <v>1183529</v>
      </c>
      <c r="AQ85" s="253">
        <f t="shared" si="176"/>
        <v>0</v>
      </c>
      <c r="AR85" s="130">
        <f t="shared" si="177"/>
        <v>400033</v>
      </c>
      <c r="AS85" s="130">
        <f t="shared" si="178"/>
        <v>23670</v>
      </c>
      <c r="AT85" s="253">
        <f t="shared" si="179"/>
        <v>18810</v>
      </c>
      <c r="AU85" s="132">
        <f t="shared" si="180"/>
        <v>2.8534999999999999</v>
      </c>
      <c r="AV85" s="132">
        <f t="shared" si="181"/>
        <v>1.4503999999999999</v>
      </c>
      <c r="AW85" s="133">
        <f t="shared" si="182"/>
        <v>1.4031</v>
      </c>
    </row>
    <row r="86" spans="1:49" s="196" customFormat="1" ht="14.1" customHeight="1" x14ac:dyDescent="0.2">
      <c r="A86" s="241">
        <v>12</v>
      </c>
      <c r="B86" s="207">
        <v>2467</v>
      </c>
      <c r="C86" s="212">
        <v>600079708</v>
      </c>
      <c r="D86" s="143">
        <v>71012303</v>
      </c>
      <c r="E86" s="208" t="s">
        <v>772</v>
      </c>
      <c r="F86" s="194">
        <v>3117</v>
      </c>
      <c r="G86" s="143" t="s">
        <v>318</v>
      </c>
      <c r="H86" s="205" t="s">
        <v>284</v>
      </c>
      <c r="I86" s="126">
        <f t="shared" si="159"/>
        <v>0</v>
      </c>
      <c r="J86" s="325">
        <v>0</v>
      </c>
      <c r="K86" s="127">
        <f t="shared" si="160"/>
        <v>0</v>
      </c>
      <c r="L86" s="477">
        <f t="shared" si="161"/>
        <v>0</v>
      </c>
      <c r="M86" s="325">
        <v>0</v>
      </c>
      <c r="N86" s="390">
        <f t="shared" si="162"/>
        <v>0</v>
      </c>
      <c r="O86" s="640">
        <v>0</v>
      </c>
      <c r="P86" s="641">
        <v>0</v>
      </c>
      <c r="Q86" s="387">
        <f t="shared" si="163"/>
        <v>0</v>
      </c>
      <c r="R86" s="253">
        <v>0</v>
      </c>
      <c r="S86" s="253">
        <v>0</v>
      </c>
      <c r="T86" s="253">
        <v>0</v>
      </c>
      <c r="U86" s="130">
        <f t="shared" si="186"/>
        <v>0</v>
      </c>
      <c r="V86" s="130">
        <v>0</v>
      </c>
      <c r="W86" s="130">
        <v>0</v>
      </c>
      <c r="X86" s="130">
        <v>0</v>
      </c>
      <c r="Y86" s="130">
        <f t="shared" si="187"/>
        <v>0</v>
      </c>
      <c r="Z86" s="130">
        <f t="shared" si="188"/>
        <v>0</v>
      </c>
      <c r="AA86" s="316">
        <f t="shared" si="167"/>
        <v>0</v>
      </c>
      <c r="AB86" s="131">
        <f t="shared" si="189"/>
        <v>0</v>
      </c>
      <c r="AC86" s="130">
        <v>0</v>
      </c>
      <c r="AD86" s="130">
        <v>0</v>
      </c>
      <c r="AE86" s="130">
        <f t="shared" si="190"/>
        <v>0</v>
      </c>
      <c r="AF86" s="130">
        <f t="shared" si="191"/>
        <v>0</v>
      </c>
      <c r="AG86" s="132">
        <v>0</v>
      </c>
      <c r="AH86" s="132">
        <v>0</v>
      </c>
      <c r="AI86" s="132">
        <v>0</v>
      </c>
      <c r="AJ86" s="132">
        <v>0</v>
      </c>
      <c r="AK86" s="132">
        <v>0</v>
      </c>
      <c r="AL86" s="132">
        <f t="shared" si="192"/>
        <v>0</v>
      </c>
      <c r="AM86" s="132">
        <f t="shared" si="193"/>
        <v>0</v>
      </c>
      <c r="AN86" s="403">
        <f t="shared" si="194"/>
        <v>0</v>
      </c>
      <c r="AO86" s="128">
        <f t="shared" si="174"/>
        <v>0</v>
      </c>
      <c r="AP86" s="253">
        <f t="shared" si="175"/>
        <v>0</v>
      </c>
      <c r="AQ86" s="253">
        <f t="shared" si="176"/>
        <v>0</v>
      </c>
      <c r="AR86" s="130">
        <f t="shared" si="177"/>
        <v>0</v>
      </c>
      <c r="AS86" s="130">
        <f t="shared" si="178"/>
        <v>0</v>
      </c>
      <c r="AT86" s="253">
        <f t="shared" si="179"/>
        <v>0</v>
      </c>
      <c r="AU86" s="132">
        <f t="shared" si="180"/>
        <v>0</v>
      </c>
      <c r="AV86" s="132">
        <f t="shared" si="181"/>
        <v>0</v>
      </c>
      <c r="AW86" s="133">
        <f t="shared" si="182"/>
        <v>0</v>
      </c>
    </row>
    <row r="87" spans="1:49" s="196" customFormat="1" ht="14.1" customHeight="1" x14ac:dyDescent="0.2">
      <c r="A87" s="241">
        <v>12</v>
      </c>
      <c r="B87" s="191">
        <v>2467</v>
      </c>
      <c r="C87" s="212">
        <v>600079708</v>
      </c>
      <c r="D87" s="143">
        <v>71012303</v>
      </c>
      <c r="E87" s="193" t="s">
        <v>772</v>
      </c>
      <c r="F87" s="194">
        <v>3141</v>
      </c>
      <c r="G87" s="145" t="s">
        <v>321</v>
      </c>
      <c r="H87" s="205" t="s">
        <v>284</v>
      </c>
      <c r="I87" s="126">
        <f t="shared" si="159"/>
        <v>487030</v>
      </c>
      <c r="J87" s="666">
        <v>357185</v>
      </c>
      <c r="K87" s="127">
        <f t="shared" si="160"/>
        <v>120729</v>
      </c>
      <c r="L87" s="477">
        <f t="shared" si="161"/>
        <v>7144</v>
      </c>
      <c r="M87" s="666">
        <v>1972</v>
      </c>
      <c r="N87" s="390">
        <f t="shared" si="162"/>
        <v>1.21</v>
      </c>
      <c r="O87" s="669">
        <v>0</v>
      </c>
      <c r="P87" s="667">
        <v>1.21</v>
      </c>
      <c r="Q87" s="387">
        <f t="shared" si="163"/>
        <v>0</v>
      </c>
      <c r="R87" s="253">
        <v>0</v>
      </c>
      <c r="S87" s="253">
        <v>0</v>
      </c>
      <c r="T87" s="253">
        <v>0</v>
      </c>
      <c r="U87" s="130">
        <f t="shared" si="186"/>
        <v>0</v>
      </c>
      <c r="V87" s="130">
        <v>0</v>
      </c>
      <c r="W87" s="130">
        <v>0</v>
      </c>
      <c r="X87" s="130">
        <v>0</v>
      </c>
      <c r="Y87" s="130">
        <f t="shared" si="187"/>
        <v>0</v>
      </c>
      <c r="Z87" s="130">
        <f t="shared" si="188"/>
        <v>0</v>
      </c>
      <c r="AA87" s="316">
        <f t="shared" si="167"/>
        <v>0</v>
      </c>
      <c r="AB87" s="131">
        <f t="shared" si="189"/>
        <v>0</v>
      </c>
      <c r="AC87" s="130">
        <v>0</v>
      </c>
      <c r="AD87" s="130">
        <v>0</v>
      </c>
      <c r="AE87" s="130">
        <f t="shared" si="190"/>
        <v>0</v>
      </c>
      <c r="AF87" s="130">
        <f t="shared" si="191"/>
        <v>0</v>
      </c>
      <c r="AG87" s="132">
        <v>0</v>
      </c>
      <c r="AH87" s="132">
        <v>0</v>
      </c>
      <c r="AI87" s="132">
        <v>0</v>
      </c>
      <c r="AJ87" s="132">
        <v>0</v>
      </c>
      <c r="AK87" s="132">
        <v>0</v>
      </c>
      <c r="AL87" s="132">
        <f t="shared" si="192"/>
        <v>0</v>
      </c>
      <c r="AM87" s="132">
        <f t="shared" si="193"/>
        <v>0</v>
      </c>
      <c r="AN87" s="403">
        <f t="shared" si="194"/>
        <v>0</v>
      </c>
      <c r="AO87" s="128">
        <f t="shared" si="174"/>
        <v>487030</v>
      </c>
      <c r="AP87" s="253">
        <f t="shared" si="175"/>
        <v>357185</v>
      </c>
      <c r="AQ87" s="253">
        <f t="shared" si="176"/>
        <v>0</v>
      </c>
      <c r="AR87" s="130">
        <f t="shared" si="177"/>
        <v>120729</v>
      </c>
      <c r="AS87" s="130">
        <f t="shared" si="178"/>
        <v>7144</v>
      </c>
      <c r="AT87" s="253">
        <f t="shared" si="179"/>
        <v>1972</v>
      </c>
      <c r="AU87" s="132">
        <f t="shared" si="180"/>
        <v>1.21</v>
      </c>
      <c r="AV87" s="132">
        <f t="shared" si="181"/>
        <v>0</v>
      </c>
      <c r="AW87" s="133">
        <f t="shared" si="182"/>
        <v>1.21</v>
      </c>
    </row>
    <row r="88" spans="1:49" s="196" customFormat="1" ht="14.1" customHeight="1" x14ac:dyDescent="0.2">
      <c r="A88" s="241">
        <v>12</v>
      </c>
      <c r="B88" s="143">
        <v>2467</v>
      </c>
      <c r="C88" s="537">
        <v>600079708</v>
      </c>
      <c r="D88" s="143">
        <v>71012303</v>
      </c>
      <c r="E88" s="145" t="s">
        <v>772</v>
      </c>
      <c r="F88" s="206">
        <v>3143</v>
      </c>
      <c r="G88" s="145" t="s">
        <v>635</v>
      </c>
      <c r="H88" s="205" t="s">
        <v>283</v>
      </c>
      <c r="I88" s="126">
        <f t="shared" si="159"/>
        <v>343747</v>
      </c>
      <c r="J88" s="29">
        <v>253127</v>
      </c>
      <c r="K88" s="127">
        <f t="shared" si="160"/>
        <v>85557</v>
      </c>
      <c r="L88" s="477">
        <f t="shared" si="161"/>
        <v>5063</v>
      </c>
      <c r="M88" s="479">
        <v>0</v>
      </c>
      <c r="N88" s="390">
        <f t="shared" si="162"/>
        <v>0.6</v>
      </c>
      <c r="O88" s="22">
        <v>0.6</v>
      </c>
      <c r="P88" s="641">
        <v>0</v>
      </c>
      <c r="Q88" s="387">
        <f t="shared" si="163"/>
        <v>0</v>
      </c>
      <c r="R88" s="130">
        <v>0</v>
      </c>
      <c r="S88" s="130">
        <v>0</v>
      </c>
      <c r="T88" s="130">
        <v>0</v>
      </c>
      <c r="U88" s="130">
        <f t="shared" si="186"/>
        <v>0</v>
      </c>
      <c r="V88" s="130">
        <v>0</v>
      </c>
      <c r="W88" s="130">
        <v>0</v>
      </c>
      <c r="X88" s="130">
        <v>0</v>
      </c>
      <c r="Y88" s="130">
        <f t="shared" si="187"/>
        <v>0</v>
      </c>
      <c r="Z88" s="130">
        <f t="shared" si="188"/>
        <v>0</v>
      </c>
      <c r="AA88" s="316">
        <f t="shared" si="167"/>
        <v>0</v>
      </c>
      <c r="AB88" s="131">
        <f t="shared" si="189"/>
        <v>0</v>
      </c>
      <c r="AC88" s="130">
        <v>0</v>
      </c>
      <c r="AD88" s="130">
        <v>0</v>
      </c>
      <c r="AE88" s="130">
        <f t="shared" si="190"/>
        <v>0</v>
      </c>
      <c r="AF88" s="130">
        <f t="shared" si="191"/>
        <v>0</v>
      </c>
      <c r="AG88" s="132">
        <v>0</v>
      </c>
      <c r="AH88" s="132">
        <v>0</v>
      </c>
      <c r="AI88" s="132">
        <v>0</v>
      </c>
      <c r="AJ88" s="132">
        <v>0</v>
      </c>
      <c r="AK88" s="132">
        <v>0</v>
      </c>
      <c r="AL88" s="132">
        <f t="shared" si="192"/>
        <v>0</v>
      </c>
      <c r="AM88" s="132">
        <f t="shared" si="193"/>
        <v>0</v>
      </c>
      <c r="AN88" s="403">
        <f t="shared" si="194"/>
        <v>0</v>
      </c>
      <c r="AO88" s="128">
        <f t="shared" si="174"/>
        <v>343747</v>
      </c>
      <c r="AP88" s="253">
        <f t="shared" si="175"/>
        <v>253127</v>
      </c>
      <c r="AQ88" s="253">
        <f t="shared" si="176"/>
        <v>0</v>
      </c>
      <c r="AR88" s="130">
        <f t="shared" si="177"/>
        <v>85557</v>
      </c>
      <c r="AS88" s="130">
        <f t="shared" si="178"/>
        <v>5063</v>
      </c>
      <c r="AT88" s="253">
        <f t="shared" si="179"/>
        <v>0</v>
      </c>
      <c r="AU88" s="132">
        <f t="shared" si="180"/>
        <v>0.6</v>
      </c>
      <c r="AV88" s="132">
        <f t="shared" si="181"/>
        <v>0.6</v>
      </c>
      <c r="AW88" s="133">
        <f t="shared" si="182"/>
        <v>0</v>
      </c>
    </row>
    <row r="89" spans="1:49" s="196" customFormat="1" ht="14.1" customHeight="1" x14ac:dyDescent="0.2">
      <c r="A89" s="241">
        <v>12</v>
      </c>
      <c r="B89" s="143">
        <v>2467</v>
      </c>
      <c r="C89" s="537">
        <v>600079708</v>
      </c>
      <c r="D89" s="143">
        <v>71012303</v>
      </c>
      <c r="E89" s="145" t="s">
        <v>772</v>
      </c>
      <c r="F89" s="206">
        <v>3143</v>
      </c>
      <c r="G89" s="145" t="s">
        <v>636</v>
      </c>
      <c r="H89" s="205" t="s">
        <v>284</v>
      </c>
      <c r="I89" s="126">
        <f t="shared" si="159"/>
        <v>7022</v>
      </c>
      <c r="J89" s="664">
        <v>4950</v>
      </c>
      <c r="K89" s="127">
        <f t="shared" si="160"/>
        <v>1673</v>
      </c>
      <c r="L89" s="477">
        <f t="shared" si="161"/>
        <v>99</v>
      </c>
      <c r="M89" s="664">
        <v>300</v>
      </c>
      <c r="N89" s="390">
        <f t="shared" si="162"/>
        <v>0.02</v>
      </c>
      <c r="O89" s="662">
        <v>0</v>
      </c>
      <c r="P89" s="663">
        <v>0.02</v>
      </c>
      <c r="Q89" s="387">
        <f t="shared" si="163"/>
        <v>0</v>
      </c>
      <c r="R89" s="130">
        <v>0</v>
      </c>
      <c r="S89" s="130">
        <v>0</v>
      </c>
      <c r="T89" s="130">
        <v>0</v>
      </c>
      <c r="U89" s="130">
        <f t="shared" si="186"/>
        <v>0</v>
      </c>
      <c r="V89" s="130">
        <v>0</v>
      </c>
      <c r="W89" s="130">
        <v>0</v>
      </c>
      <c r="X89" s="130">
        <v>0</v>
      </c>
      <c r="Y89" s="130">
        <f t="shared" si="187"/>
        <v>0</v>
      </c>
      <c r="Z89" s="130">
        <f t="shared" si="188"/>
        <v>0</v>
      </c>
      <c r="AA89" s="316">
        <f t="shared" si="167"/>
        <v>0</v>
      </c>
      <c r="AB89" s="131">
        <f t="shared" si="189"/>
        <v>0</v>
      </c>
      <c r="AC89" s="130">
        <v>0</v>
      </c>
      <c r="AD89" s="130">
        <v>0</v>
      </c>
      <c r="AE89" s="130">
        <f t="shared" si="190"/>
        <v>0</v>
      </c>
      <c r="AF89" s="130">
        <f t="shared" si="191"/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f t="shared" si="192"/>
        <v>0</v>
      </c>
      <c r="AM89" s="132">
        <f t="shared" si="193"/>
        <v>0</v>
      </c>
      <c r="AN89" s="403">
        <f t="shared" si="194"/>
        <v>0</v>
      </c>
      <c r="AO89" s="128">
        <f t="shared" si="174"/>
        <v>7022</v>
      </c>
      <c r="AP89" s="253">
        <f t="shared" si="175"/>
        <v>4950</v>
      </c>
      <c r="AQ89" s="253">
        <f t="shared" si="176"/>
        <v>0</v>
      </c>
      <c r="AR89" s="130">
        <f t="shared" si="177"/>
        <v>1673</v>
      </c>
      <c r="AS89" s="130">
        <f t="shared" si="178"/>
        <v>99</v>
      </c>
      <c r="AT89" s="253">
        <f t="shared" si="179"/>
        <v>300</v>
      </c>
      <c r="AU89" s="132">
        <f t="shared" si="180"/>
        <v>0.02</v>
      </c>
      <c r="AV89" s="132">
        <f t="shared" si="181"/>
        <v>0</v>
      </c>
      <c r="AW89" s="133">
        <f t="shared" si="182"/>
        <v>0.02</v>
      </c>
    </row>
    <row r="90" spans="1:49" s="196" customFormat="1" ht="14.1" customHeight="1" x14ac:dyDescent="0.2">
      <c r="A90" s="242">
        <v>12</v>
      </c>
      <c r="B90" s="198">
        <v>2467</v>
      </c>
      <c r="C90" s="213">
        <v>600079708</v>
      </c>
      <c r="D90" s="198">
        <v>71012303</v>
      </c>
      <c r="E90" s="200" t="s">
        <v>773</v>
      </c>
      <c r="F90" s="216"/>
      <c r="G90" s="202"/>
      <c r="H90" s="203"/>
      <c r="I90" s="197">
        <f t="shared" ref="I90:P90" si="195">SUM(I84:I89)</f>
        <v>4052862</v>
      </c>
      <c r="J90" s="357">
        <f t="shared" si="195"/>
        <v>2960957</v>
      </c>
      <c r="K90" s="357">
        <f t="shared" si="195"/>
        <v>1000804</v>
      </c>
      <c r="L90" s="357">
        <f t="shared" si="195"/>
        <v>59219</v>
      </c>
      <c r="M90" s="357">
        <f t="shared" si="195"/>
        <v>31882</v>
      </c>
      <c r="N90" s="678">
        <f t="shared" si="195"/>
        <v>7.194399999999999</v>
      </c>
      <c r="O90" s="678">
        <f t="shared" si="195"/>
        <v>4.0503999999999998</v>
      </c>
      <c r="P90" s="679">
        <f t="shared" si="195"/>
        <v>3.1440000000000001</v>
      </c>
      <c r="Q90" s="357">
        <f t="shared" ref="Q90:AW90" si="196">SUM(Q84:Q89)</f>
        <v>0</v>
      </c>
      <c r="R90" s="209">
        <f t="shared" si="196"/>
        <v>0</v>
      </c>
      <c r="S90" s="209">
        <f t="shared" si="196"/>
        <v>0</v>
      </c>
      <c r="T90" s="209">
        <f t="shared" si="196"/>
        <v>0</v>
      </c>
      <c r="U90" s="209">
        <f t="shared" si="196"/>
        <v>0</v>
      </c>
      <c r="V90" s="209">
        <f t="shared" si="196"/>
        <v>0</v>
      </c>
      <c r="W90" s="209">
        <f t="shared" ref="W90" si="197">SUM(W84:W89)</f>
        <v>0</v>
      </c>
      <c r="X90" s="209">
        <f t="shared" si="196"/>
        <v>0</v>
      </c>
      <c r="Y90" s="209">
        <f t="shared" si="196"/>
        <v>0</v>
      </c>
      <c r="Z90" s="209">
        <f t="shared" si="196"/>
        <v>0</v>
      </c>
      <c r="AA90" s="209">
        <f t="shared" si="196"/>
        <v>0</v>
      </c>
      <c r="AB90" s="209">
        <f t="shared" si="196"/>
        <v>0</v>
      </c>
      <c r="AC90" s="209">
        <f t="shared" si="196"/>
        <v>0</v>
      </c>
      <c r="AD90" s="209">
        <f t="shared" si="196"/>
        <v>0</v>
      </c>
      <c r="AE90" s="209">
        <f t="shared" si="196"/>
        <v>0</v>
      </c>
      <c r="AF90" s="209">
        <f t="shared" si="196"/>
        <v>0</v>
      </c>
      <c r="AG90" s="210">
        <f t="shared" si="196"/>
        <v>0</v>
      </c>
      <c r="AH90" s="210">
        <f t="shared" si="196"/>
        <v>0</v>
      </c>
      <c r="AI90" s="210">
        <f t="shared" si="196"/>
        <v>0</v>
      </c>
      <c r="AJ90" s="210">
        <f t="shared" si="196"/>
        <v>0</v>
      </c>
      <c r="AK90" s="210">
        <f t="shared" si="196"/>
        <v>0</v>
      </c>
      <c r="AL90" s="210">
        <f t="shared" si="196"/>
        <v>0</v>
      </c>
      <c r="AM90" s="210">
        <f t="shared" si="196"/>
        <v>0</v>
      </c>
      <c r="AN90" s="383">
        <f t="shared" si="196"/>
        <v>0</v>
      </c>
      <c r="AO90" s="692">
        <f t="shared" si="196"/>
        <v>4052862</v>
      </c>
      <c r="AP90" s="685">
        <f t="shared" si="196"/>
        <v>2960957</v>
      </c>
      <c r="AQ90" s="685">
        <f t="shared" si="196"/>
        <v>0</v>
      </c>
      <c r="AR90" s="685">
        <f t="shared" si="196"/>
        <v>1000804</v>
      </c>
      <c r="AS90" s="685">
        <f t="shared" si="196"/>
        <v>59219</v>
      </c>
      <c r="AT90" s="685">
        <f t="shared" si="196"/>
        <v>31882</v>
      </c>
      <c r="AU90" s="383">
        <f t="shared" si="196"/>
        <v>7.194399999999999</v>
      </c>
      <c r="AV90" s="383">
        <f t="shared" si="196"/>
        <v>4.0503999999999998</v>
      </c>
      <c r="AW90" s="211">
        <f t="shared" si="196"/>
        <v>3.1440000000000001</v>
      </c>
    </row>
    <row r="91" spans="1:49" s="196" customFormat="1" ht="14.1" customHeight="1" x14ac:dyDescent="0.2">
      <c r="A91" s="241">
        <v>13</v>
      </c>
      <c r="B91" s="207">
        <v>2408</v>
      </c>
      <c r="C91" s="192">
        <v>600079058</v>
      </c>
      <c r="D91" s="143">
        <v>72741511</v>
      </c>
      <c r="E91" s="193" t="s">
        <v>774</v>
      </c>
      <c r="F91" s="194">
        <v>3111</v>
      </c>
      <c r="G91" s="145" t="s">
        <v>317</v>
      </c>
      <c r="H91" s="205" t="s">
        <v>283</v>
      </c>
      <c r="I91" s="126">
        <f t="shared" si="159"/>
        <v>2064936</v>
      </c>
      <c r="J91" s="630">
        <v>1513944</v>
      </c>
      <c r="K91" s="127">
        <f t="shared" si="160"/>
        <v>511713</v>
      </c>
      <c r="L91" s="477">
        <f t="shared" si="161"/>
        <v>30279</v>
      </c>
      <c r="M91" s="630">
        <v>9000</v>
      </c>
      <c r="N91" s="390">
        <f t="shared" si="162"/>
        <v>3.1558999999999999</v>
      </c>
      <c r="O91" s="642">
        <v>2.371</v>
      </c>
      <c r="P91" s="643">
        <v>0.78489999999999993</v>
      </c>
      <c r="Q91" s="387">
        <f t="shared" si="163"/>
        <v>0</v>
      </c>
      <c r="R91" s="253">
        <v>0</v>
      </c>
      <c r="S91" s="253">
        <v>0</v>
      </c>
      <c r="T91" s="253">
        <v>0</v>
      </c>
      <c r="U91" s="130">
        <f>SUM(Q91:T91)</f>
        <v>0</v>
      </c>
      <c r="V91" s="130">
        <v>0</v>
      </c>
      <c r="W91" s="130">
        <v>0</v>
      </c>
      <c r="X91" s="130">
        <v>0</v>
      </c>
      <c r="Y91" s="130">
        <f>SUM(V91:X91)</f>
        <v>0</v>
      </c>
      <c r="Z91" s="130">
        <f>U91+Y91</f>
        <v>0</v>
      </c>
      <c r="AA91" s="316">
        <f t="shared" si="167"/>
        <v>0</v>
      </c>
      <c r="AB91" s="131">
        <f>ROUND(U91*2%,0)</f>
        <v>0</v>
      </c>
      <c r="AC91" s="130">
        <v>0</v>
      </c>
      <c r="AD91" s="130">
        <v>0</v>
      </c>
      <c r="AE91" s="130">
        <f>SUM(AC91:AD91)</f>
        <v>0</v>
      </c>
      <c r="AF91" s="130">
        <f>Z91+AA91+AB91+AE91</f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f>AG91+AI91+AJ91</f>
        <v>0</v>
      </c>
      <c r="AM91" s="132">
        <f>AH91+AK91</f>
        <v>0</v>
      </c>
      <c r="AN91" s="403">
        <f>SUM(AL91:AM91)</f>
        <v>0</v>
      </c>
      <c r="AO91" s="128">
        <f t="shared" si="174"/>
        <v>2064936</v>
      </c>
      <c r="AP91" s="253">
        <f t="shared" si="175"/>
        <v>1513944</v>
      </c>
      <c r="AQ91" s="253">
        <f t="shared" si="176"/>
        <v>0</v>
      </c>
      <c r="AR91" s="130">
        <f t="shared" si="177"/>
        <v>511713</v>
      </c>
      <c r="AS91" s="130">
        <f t="shared" si="178"/>
        <v>30279</v>
      </c>
      <c r="AT91" s="253">
        <f t="shared" si="179"/>
        <v>9000</v>
      </c>
      <c r="AU91" s="132">
        <f t="shared" si="180"/>
        <v>3.1558999999999999</v>
      </c>
      <c r="AV91" s="132">
        <f t="shared" si="181"/>
        <v>2.371</v>
      </c>
      <c r="AW91" s="133">
        <f t="shared" si="182"/>
        <v>0.78489999999999993</v>
      </c>
    </row>
    <row r="92" spans="1:49" s="196" customFormat="1" ht="14.1" customHeight="1" x14ac:dyDescent="0.2">
      <c r="A92" s="241">
        <v>13</v>
      </c>
      <c r="B92" s="191">
        <v>2408</v>
      </c>
      <c r="C92" s="192">
        <v>600079058</v>
      </c>
      <c r="D92" s="143">
        <v>72741511</v>
      </c>
      <c r="E92" s="193" t="s">
        <v>774</v>
      </c>
      <c r="F92" s="194">
        <v>3111</v>
      </c>
      <c r="G92" s="143" t="s">
        <v>318</v>
      </c>
      <c r="H92" s="205" t="s">
        <v>284</v>
      </c>
      <c r="I92" s="126">
        <f t="shared" si="159"/>
        <v>0</v>
      </c>
      <c r="J92" s="325">
        <v>0</v>
      </c>
      <c r="K92" s="127">
        <f t="shared" si="160"/>
        <v>0</v>
      </c>
      <c r="L92" s="477">
        <f t="shared" si="161"/>
        <v>0</v>
      </c>
      <c r="M92" s="325">
        <v>0</v>
      </c>
      <c r="N92" s="390">
        <f t="shared" si="162"/>
        <v>0</v>
      </c>
      <c r="O92" s="640">
        <v>0</v>
      </c>
      <c r="P92" s="641">
        <v>0</v>
      </c>
      <c r="Q92" s="387">
        <f t="shared" si="163"/>
        <v>0</v>
      </c>
      <c r="R92" s="253">
        <v>346443</v>
      </c>
      <c r="S92" s="253">
        <v>0</v>
      </c>
      <c r="T92" s="253">
        <v>0</v>
      </c>
      <c r="U92" s="130">
        <f>SUM(Q92:T92)</f>
        <v>346443</v>
      </c>
      <c r="V92" s="130">
        <v>0</v>
      </c>
      <c r="W92" s="130">
        <v>0</v>
      </c>
      <c r="X92" s="130">
        <v>0</v>
      </c>
      <c r="Y92" s="130">
        <f>SUM(V92:X92)</f>
        <v>0</v>
      </c>
      <c r="Z92" s="130">
        <f>U92+Y92</f>
        <v>346443</v>
      </c>
      <c r="AA92" s="316">
        <f t="shared" si="167"/>
        <v>117098</v>
      </c>
      <c r="AB92" s="131">
        <f>ROUND(U92*2%,0)</f>
        <v>6929</v>
      </c>
      <c r="AC92" s="130">
        <v>0</v>
      </c>
      <c r="AD92" s="130">
        <v>0</v>
      </c>
      <c r="AE92" s="130">
        <f>SUM(AC92:AD92)</f>
        <v>0</v>
      </c>
      <c r="AF92" s="130">
        <f>Z92+AA92+AB92+AE92</f>
        <v>470470</v>
      </c>
      <c r="AG92" s="132">
        <v>0</v>
      </c>
      <c r="AH92" s="132">
        <v>0</v>
      </c>
      <c r="AI92" s="132">
        <v>1</v>
      </c>
      <c r="AJ92" s="132">
        <v>0</v>
      </c>
      <c r="AK92" s="132">
        <v>0</v>
      </c>
      <c r="AL92" s="132">
        <f>AG92+AI92+AJ92</f>
        <v>1</v>
      </c>
      <c r="AM92" s="132">
        <f>AH92+AK92</f>
        <v>0</v>
      </c>
      <c r="AN92" s="403">
        <f>SUM(AL92:AM92)</f>
        <v>1</v>
      </c>
      <c r="AO92" s="128">
        <f t="shared" si="174"/>
        <v>470470</v>
      </c>
      <c r="AP92" s="253">
        <f t="shared" si="175"/>
        <v>346443</v>
      </c>
      <c r="AQ92" s="253">
        <f t="shared" si="176"/>
        <v>0</v>
      </c>
      <c r="AR92" s="130">
        <f t="shared" si="177"/>
        <v>117098</v>
      </c>
      <c r="AS92" s="130">
        <f t="shared" si="178"/>
        <v>6929</v>
      </c>
      <c r="AT92" s="253">
        <f t="shared" si="179"/>
        <v>0</v>
      </c>
      <c r="AU92" s="132">
        <f t="shared" si="180"/>
        <v>1</v>
      </c>
      <c r="AV92" s="132">
        <f t="shared" si="181"/>
        <v>1</v>
      </c>
      <c r="AW92" s="133">
        <f t="shared" si="182"/>
        <v>0</v>
      </c>
    </row>
    <row r="93" spans="1:49" s="196" customFormat="1" ht="14.1" customHeight="1" x14ac:dyDescent="0.2">
      <c r="A93" s="241">
        <v>13</v>
      </c>
      <c r="B93" s="191">
        <v>2408</v>
      </c>
      <c r="C93" s="192">
        <v>600079058</v>
      </c>
      <c r="D93" s="143">
        <v>72741511</v>
      </c>
      <c r="E93" s="193" t="s">
        <v>774</v>
      </c>
      <c r="F93" s="194">
        <v>3141</v>
      </c>
      <c r="G93" s="145" t="s">
        <v>321</v>
      </c>
      <c r="H93" s="205" t="s">
        <v>284</v>
      </c>
      <c r="I93" s="126">
        <f t="shared" si="159"/>
        <v>538197</v>
      </c>
      <c r="J93" s="666">
        <v>394650</v>
      </c>
      <c r="K93" s="127">
        <f t="shared" si="160"/>
        <v>133392</v>
      </c>
      <c r="L93" s="477">
        <f t="shared" si="161"/>
        <v>7893</v>
      </c>
      <c r="M93" s="666">
        <v>2262</v>
      </c>
      <c r="N93" s="390">
        <f t="shared" si="162"/>
        <v>1.34</v>
      </c>
      <c r="O93" s="669">
        <v>0</v>
      </c>
      <c r="P93" s="667">
        <v>1.34</v>
      </c>
      <c r="Q93" s="387">
        <f t="shared" si="163"/>
        <v>0</v>
      </c>
      <c r="R93" s="253">
        <v>0</v>
      </c>
      <c r="S93" s="253">
        <v>0</v>
      </c>
      <c r="T93" s="253">
        <v>0</v>
      </c>
      <c r="U93" s="130">
        <f>SUM(Q93:T93)</f>
        <v>0</v>
      </c>
      <c r="V93" s="130">
        <v>0</v>
      </c>
      <c r="W93" s="130">
        <v>0</v>
      </c>
      <c r="X93" s="130">
        <v>0</v>
      </c>
      <c r="Y93" s="130">
        <f>SUM(V93:X93)</f>
        <v>0</v>
      </c>
      <c r="Z93" s="130">
        <f>U93+Y93</f>
        <v>0</v>
      </c>
      <c r="AA93" s="316">
        <f t="shared" si="167"/>
        <v>0</v>
      </c>
      <c r="AB93" s="131">
        <f>ROUND(U93*2%,0)</f>
        <v>0</v>
      </c>
      <c r="AC93" s="130">
        <v>0</v>
      </c>
      <c r="AD93" s="130">
        <v>0</v>
      </c>
      <c r="AE93" s="130">
        <f>SUM(AC93:AD93)</f>
        <v>0</v>
      </c>
      <c r="AF93" s="130">
        <f>Z93+AA93+AB93+AE93</f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f>AG93+AI93+AJ93</f>
        <v>0</v>
      </c>
      <c r="AM93" s="132">
        <f>AH93+AK93</f>
        <v>0</v>
      </c>
      <c r="AN93" s="403">
        <f>SUM(AL93:AM93)</f>
        <v>0</v>
      </c>
      <c r="AO93" s="128">
        <f t="shared" si="174"/>
        <v>538197</v>
      </c>
      <c r="AP93" s="253">
        <f t="shared" si="175"/>
        <v>394650</v>
      </c>
      <c r="AQ93" s="253">
        <f t="shared" si="176"/>
        <v>0</v>
      </c>
      <c r="AR93" s="130">
        <f t="shared" si="177"/>
        <v>133392</v>
      </c>
      <c r="AS93" s="130">
        <f t="shared" si="178"/>
        <v>7893</v>
      </c>
      <c r="AT93" s="253">
        <f t="shared" si="179"/>
        <v>2262</v>
      </c>
      <c r="AU93" s="132">
        <f t="shared" si="180"/>
        <v>1.34</v>
      </c>
      <c r="AV93" s="132">
        <f t="shared" si="181"/>
        <v>0</v>
      </c>
      <c r="AW93" s="133">
        <f t="shared" si="182"/>
        <v>1.34</v>
      </c>
    </row>
    <row r="94" spans="1:49" s="196" customFormat="1" ht="14.1" customHeight="1" x14ac:dyDescent="0.2">
      <c r="A94" s="242">
        <v>13</v>
      </c>
      <c r="B94" s="198">
        <v>2408</v>
      </c>
      <c r="C94" s="199">
        <v>600079058</v>
      </c>
      <c r="D94" s="198">
        <v>72741511</v>
      </c>
      <c r="E94" s="200" t="s">
        <v>775</v>
      </c>
      <c r="F94" s="201"/>
      <c r="G94" s="202"/>
      <c r="H94" s="203"/>
      <c r="I94" s="197">
        <f t="shared" ref="I94:P94" si="198">SUM(I91:I93)</f>
        <v>2603133</v>
      </c>
      <c r="J94" s="357">
        <f t="shared" si="198"/>
        <v>1908594</v>
      </c>
      <c r="K94" s="357">
        <f t="shared" si="198"/>
        <v>645105</v>
      </c>
      <c r="L94" s="357">
        <f t="shared" si="198"/>
        <v>38172</v>
      </c>
      <c r="M94" s="357">
        <f t="shared" si="198"/>
        <v>11262</v>
      </c>
      <c r="N94" s="678">
        <f t="shared" si="198"/>
        <v>4.4958999999999998</v>
      </c>
      <c r="O94" s="678">
        <f t="shared" si="198"/>
        <v>2.371</v>
      </c>
      <c r="P94" s="679">
        <f t="shared" si="198"/>
        <v>2.1249000000000002</v>
      </c>
      <c r="Q94" s="357">
        <f t="shared" ref="Q94:AW94" si="199">SUM(Q91:Q93)</f>
        <v>0</v>
      </c>
      <c r="R94" s="209">
        <f t="shared" si="199"/>
        <v>346443</v>
      </c>
      <c r="S94" s="209">
        <f t="shared" si="199"/>
        <v>0</v>
      </c>
      <c r="T94" s="209">
        <f t="shared" si="199"/>
        <v>0</v>
      </c>
      <c r="U94" s="209">
        <f t="shared" si="199"/>
        <v>346443</v>
      </c>
      <c r="V94" s="209">
        <f t="shared" si="199"/>
        <v>0</v>
      </c>
      <c r="W94" s="209">
        <f t="shared" ref="W94" si="200">SUM(W91:W93)</f>
        <v>0</v>
      </c>
      <c r="X94" s="209">
        <f t="shared" si="199"/>
        <v>0</v>
      </c>
      <c r="Y94" s="209">
        <f t="shared" si="199"/>
        <v>0</v>
      </c>
      <c r="Z94" s="209">
        <f t="shared" si="199"/>
        <v>346443</v>
      </c>
      <c r="AA94" s="209">
        <f t="shared" si="199"/>
        <v>117098</v>
      </c>
      <c r="AB94" s="209">
        <f t="shared" si="199"/>
        <v>6929</v>
      </c>
      <c r="AC94" s="209">
        <f t="shared" si="199"/>
        <v>0</v>
      </c>
      <c r="AD94" s="209">
        <f t="shared" si="199"/>
        <v>0</v>
      </c>
      <c r="AE94" s="209">
        <f t="shared" si="199"/>
        <v>0</v>
      </c>
      <c r="AF94" s="209">
        <f t="shared" si="199"/>
        <v>470470</v>
      </c>
      <c r="AG94" s="210">
        <f t="shared" si="199"/>
        <v>0</v>
      </c>
      <c r="AH94" s="210">
        <f t="shared" si="199"/>
        <v>0</v>
      </c>
      <c r="AI94" s="210">
        <f t="shared" si="199"/>
        <v>1</v>
      </c>
      <c r="AJ94" s="210">
        <f t="shared" si="199"/>
        <v>0</v>
      </c>
      <c r="AK94" s="210">
        <f t="shared" si="199"/>
        <v>0</v>
      </c>
      <c r="AL94" s="210">
        <f t="shared" si="199"/>
        <v>1</v>
      </c>
      <c r="AM94" s="210">
        <f t="shared" si="199"/>
        <v>0</v>
      </c>
      <c r="AN94" s="383">
        <f t="shared" si="199"/>
        <v>1</v>
      </c>
      <c r="AO94" s="692">
        <f t="shared" si="199"/>
        <v>3073603</v>
      </c>
      <c r="AP94" s="685">
        <f t="shared" si="199"/>
        <v>2255037</v>
      </c>
      <c r="AQ94" s="685">
        <f t="shared" si="199"/>
        <v>0</v>
      </c>
      <c r="AR94" s="685">
        <f t="shared" si="199"/>
        <v>762203</v>
      </c>
      <c r="AS94" s="685">
        <f t="shared" si="199"/>
        <v>45101</v>
      </c>
      <c r="AT94" s="685">
        <f t="shared" si="199"/>
        <v>11262</v>
      </c>
      <c r="AU94" s="383">
        <f t="shared" si="199"/>
        <v>5.4958999999999998</v>
      </c>
      <c r="AV94" s="383">
        <f t="shared" si="199"/>
        <v>3.371</v>
      </c>
      <c r="AW94" s="211">
        <f t="shared" si="199"/>
        <v>2.1249000000000002</v>
      </c>
    </row>
    <row r="95" spans="1:49" s="196" customFormat="1" ht="14.1" customHeight="1" x14ac:dyDescent="0.2">
      <c r="A95" s="241">
        <v>14</v>
      </c>
      <c r="B95" s="191">
        <v>2304</v>
      </c>
      <c r="C95" s="204">
        <v>600080382</v>
      </c>
      <c r="D95" s="143">
        <v>72743417</v>
      </c>
      <c r="E95" s="193" t="s">
        <v>776</v>
      </c>
      <c r="F95" s="194">
        <v>3113</v>
      </c>
      <c r="G95" s="145" t="s">
        <v>320</v>
      </c>
      <c r="H95" s="205" t="s">
        <v>283</v>
      </c>
      <c r="I95" s="126">
        <f t="shared" si="159"/>
        <v>4559718</v>
      </c>
      <c r="J95" s="630">
        <v>3318901</v>
      </c>
      <c r="K95" s="127">
        <f t="shared" si="160"/>
        <v>1121789</v>
      </c>
      <c r="L95" s="477">
        <f t="shared" si="161"/>
        <v>66378</v>
      </c>
      <c r="M95" s="630">
        <v>52650</v>
      </c>
      <c r="N95" s="390">
        <f t="shared" si="162"/>
        <v>6.4918999999999993</v>
      </c>
      <c r="O95" s="642">
        <v>4.8635999999999999</v>
      </c>
      <c r="P95" s="643">
        <v>1.6282999999999999</v>
      </c>
      <c r="Q95" s="387">
        <f t="shared" si="163"/>
        <v>0</v>
      </c>
      <c r="R95" s="253">
        <v>0</v>
      </c>
      <c r="S95" s="253">
        <v>0</v>
      </c>
      <c r="T95" s="253">
        <v>0</v>
      </c>
      <c r="U95" s="130">
        <f>SUM(Q95:T95)</f>
        <v>0</v>
      </c>
      <c r="V95" s="130">
        <v>0</v>
      </c>
      <c r="W95" s="130">
        <v>0</v>
      </c>
      <c r="X95" s="130">
        <v>0</v>
      </c>
      <c r="Y95" s="130">
        <f>SUM(V95:X95)</f>
        <v>0</v>
      </c>
      <c r="Z95" s="130">
        <f>U95+Y95</f>
        <v>0</v>
      </c>
      <c r="AA95" s="316">
        <f t="shared" si="167"/>
        <v>0</v>
      </c>
      <c r="AB95" s="131">
        <f>ROUND(U95*2%,0)</f>
        <v>0</v>
      </c>
      <c r="AC95" s="130">
        <v>0</v>
      </c>
      <c r="AD95" s="130">
        <v>0</v>
      </c>
      <c r="AE95" s="130">
        <f>SUM(AC95:AD95)</f>
        <v>0</v>
      </c>
      <c r="AF95" s="130">
        <f>Z95+AA95+AB95+AE95</f>
        <v>0</v>
      </c>
      <c r="AG95" s="132">
        <v>0</v>
      </c>
      <c r="AH95" s="132">
        <v>0</v>
      </c>
      <c r="AI95" s="132">
        <v>0</v>
      </c>
      <c r="AJ95" s="132">
        <v>0</v>
      </c>
      <c r="AK95" s="132">
        <v>0</v>
      </c>
      <c r="AL95" s="132">
        <f>AG95+AI95+AJ95</f>
        <v>0</v>
      </c>
      <c r="AM95" s="132">
        <f>AH95+AK95</f>
        <v>0</v>
      </c>
      <c r="AN95" s="403">
        <f>SUM(AL95:AM95)</f>
        <v>0</v>
      </c>
      <c r="AO95" s="128">
        <f t="shared" si="174"/>
        <v>4559718</v>
      </c>
      <c r="AP95" s="253">
        <f t="shared" si="175"/>
        <v>3318901</v>
      </c>
      <c r="AQ95" s="253">
        <f t="shared" si="176"/>
        <v>0</v>
      </c>
      <c r="AR95" s="130">
        <f t="shared" si="177"/>
        <v>1121789</v>
      </c>
      <c r="AS95" s="130">
        <f t="shared" si="178"/>
        <v>66378</v>
      </c>
      <c r="AT95" s="253">
        <f t="shared" si="179"/>
        <v>52650</v>
      </c>
      <c r="AU95" s="132">
        <f t="shared" si="180"/>
        <v>6.4918999999999993</v>
      </c>
      <c r="AV95" s="132">
        <f t="shared" si="181"/>
        <v>4.8635999999999999</v>
      </c>
      <c r="AW95" s="133">
        <f t="shared" si="182"/>
        <v>1.6282999999999999</v>
      </c>
    </row>
    <row r="96" spans="1:49" s="196" customFormat="1" ht="14.1" customHeight="1" x14ac:dyDescent="0.2">
      <c r="A96" s="241">
        <v>14</v>
      </c>
      <c r="B96" s="191">
        <v>2304</v>
      </c>
      <c r="C96" s="204">
        <v>600080382</v>
      </c>
      <c r="D96" s="143">
        <v>72743417</v>
      </c>
      <c r="E96" s="193" t="s">
        <v>776</v>
      </c>
      <c r="F96" s="206">
        <v>3113</v>
      </c>
      <c r="G96" s="98" t="s">
        <v>319</v>
      </c>
      <c r="H96" s="205" t="s">
        <v>283</v>
      </c>
      <c r="I96" s="126">
        <f t="shared" si="159"/>
        <v>849152</v>
      </c>
      <c r="J96" s="631">
        <v>625296</v>
      </c>
      <c r="K96" s="127">
        <f t="shared" si="160"/>
        <v>211350</v>
      </c>
      <c r="L96" s="477">
        <f t="shared" si="161"/>
        <v>12506</v>
      </c>
      <c r="M96" s="479">
        <v>0</v>
      </c>
      <c r="N96" s="390">
        <f t="shared" si="162"/>
        <v>1.7222</v>
      </c>
      <c r="O96" s="644">
        <v>1.7222</v>
      </c>
      <c r="P96" s="639">
        <v>0</v>
      </c>
      <c r="Q96" s="387">
        <f t="shared" si="163"/>
        <v>0</v>
      </c>
      <c r="R96" s="253">
        <v>0</v>
      </c>
      <c r="S96" s="253">
        <v>0</v>
      </c>
      <c r="T96" s="253">
        <v>0</v>
      </c>
      <c r="U96" s="130">
        <f>SUM(Q96:T96)</f>
        <v>0</v>
      </c>
      <c r="V96" s="130">
        <v>0</v>
      </c>
      <c r="W96" s="130">
        <v>0</v>
      </c>
      <c r="X96" s="130">
        <v>0</v>
      </c>
      <c r="Y96" s="130">
        <f>SUM(V96:X96)</f>
        <v>0</v>
      </c>
      <c r="Z96" s="130">
        <f>U96+Y96</f>
        <v>0</v>
      </c>
      <c r="AA96" s="316">
        <f t="shared" si="167"/>
        <v>0</v>
      </c>
      <c r="AB96" s="131">
        <f>ROUND(U96*2%,0)</f>
        <v>0</v>
      </c>
      <c r="AC96" s="130">
        <v>0</v>
      </c>
      <c r="AD96" s="130">
        <v>0</v>
      </c>
      <c r="AE96" s="130">
        <f>SUM(AC96:AD96)</f>
        <v>0</v>
      </c>
      <c r="AF96" s="130">
        <f>Z96+AA96+AB96+AE96</f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f>AG96+AI96+AJ96</f>
        <v>0</v>
      </c>
      <c r="AM96" s="132">
        <f>AH96+AK96</f>
        <v>0</v>
      </c>
      <c r="AN96" s="403">
        <f>SUM(AL96:AM96)</f>
        <v>0</v>
      </c>
      <c r="AO96" s="128">
        <f t="shared" si="174"/>
        <v>849152</v>
      </c>
      <c r="AP96" s="253">
        <f t="shared" si="175"/>
        <v>625296</v>
      </c>
      <c r="AQ96" s="253">
        <f t="shared" si="176"/>
        <v>0</v>
      </c>
      <c r="AR96" s="130">
        <f t="shared" si="177"/>
        <v>211350</v>
      </c>
      <c r="AS96" s="130">
        <f t="shared" si="178"/>
        <v>12506</v>
      </c>
      <c r="AT96" s="253">
        <f t="shared" si="179"/>
        <v>0</v>
      </c>
      <c r="AU96" s="132">
        <f t="shared" si="180"/>
        <v>1.7222</v>
      </c>
      <c r="AV96" s="132">
        <f t="shared" si="181"/>
        <v>1.7222</v>
      </c>
      <c r="AW96" s="133">
        <f t="shared" si="182"/>
        <v>0</v>
      </c>
    </row>
    <row r="97" spans="1:49" s="196" customFormat="1" ht="14.1" customHeight="1" x14ac:dyDescent="0.2">
      <c r="A97" s="241">
        <v>14</v>
      </c>
      <c r="B97" s="191">
        <v>2304</v>
      </c>
      <c r="C97" s="204">
        <v>600080382</v>
      </c>
      <c r="D97" s="143">
        <v>72743417</v>
      </c>
      <c r="E97" s="193" t="s">
        <v>776</v>
      </c>
      <c r="F97" s="194">
        <v>3113</v>
      </c>
      <c r="G97" s="143" t="s">
        <v>318</v>
      </c>
      <c r="H97" s="205" t="s">
        <v>284</v>
      </c>
      <c r="I97" s="126">
        <f t="shared" si="159"/>
        <v>0</v>
      </c>
      <c r="J97" s="325">
        <v>0</v>
      </c>
      <c r="K97" s="127">
        <f t="shared" si="160"/>
        <v>0</v>
      </c>
      <c r="L97" s="477">
        <f t="shared" si="161"/>
        <v>0</v>
      </c>
      <c r="M97" s="325">
        <v>0</v>
      </c>
      <c r="N97" s="390">
        <f t="shared" si="162"/>
        <v>0</v>
      </c>
      <c r="O97" s="640">
        <v>0</v>
      </c>
      <c r="P97" s="641">
        <v>0</v>
      </c>
      <c r="Q97" s="387">
        <f t="shared" si="163"/>
        <v>0</v>
      </c>
      <c r="R97" s="253">
        <v>700670</v>
      </c>
      <c r="S97" s="253">
        <v>0</v>
      </c>
      <c r="T97" s="253">
        <v>0</v>
      </c>
      <c r="U97" s="130">
        <f>SUM(Q97:T97)</f>
        <v>700670</v>
      </c>
      <c r="V97" s="130">
        <v>0</v>
      </c>
      <c r="W97" s="130">
        <v>0</v>
      </c>
      <c r="X97" s="130">
        <v>0</v>
      </c>
      <c r="Y97" s="130">
        <f>SUM(V97:X97)</f>
        <v>0</v>
      </c>
      <c r="Z97" s="130">
        <f>U97+Y97</f>
        <v>700670</v>
      </c>
      <c r="AA97" s="316">
        <f t="shared" si="167"/>
        <v>236826</v>
      </c>
      <c r="AB97" s="131">
        <f>ROUND(U97*2%,0)</f>
        <v>14013</v>
      </c>
      <c r="AC97" s="130">
        <v>0</v>
      </c>
      <c r="AD97" s="130">
        <v>0</v>
      </c>
      <c r="AE97" s="130">
        <f>SUM(AC97:AD97)</f>
        <v>0</v>
      </c>
      <c r="AF97" s="130">
        <f>Z97+AA97+AB97+AE97</f>
        <v>951509</v>
      </c>
      <c r="AG97" s="132">
        <v>0</v>
      </c>
      <c r="AH97" s="132">
        <v>0</v>
      </c>
      <c r="AI97" s="132">
        <v>1.99</v>
      </c>
      <c r="AJ97" s="132">
        <v>0</v>
      </c>
      <c r="AK97" s="132">
        <v>0</v>
      </c>
      <c r="AL97" s="132">
        <f>AG97+AI97+AJ97</f>
        <v>1.99</v>
      </c>
      <c r="AM97" s="132">
        <f>AH97+AK97</f>
        <v>0</v>
      </c>
      <c r="AN97" s="403">
        <f>SUM(AL97:AM97)</f>
        <v>1.99</v>
      </c>
      <c r="AO97" s="128">
        <f t="shared" si="174"/>
        <v>951509</v>
      </c>
      <c r="AP97" s="253">
        <f t="shared" si="175"/>
        <v>700670</v>
      </c>
      <c r="AQ97" s="253">
        <f t="shared" si="176"/>
        <v>0</v>
      </c>
      <c r="AR97" s="130">
        <f t="shared" si="177"/>
        <v>236826</v>
      </c>
      <c r="AS97" s="130">
        <f t="shared" si="178"/>
        <v>14013</v>
      </c>
      <c r="AT97" s="253">
        <f t="shared" si="179"/>
        <v>0</v>
      </c>
      <c r="AU97" s="132">
        <f t="shared" si="180"/>
        <v>1.99</v>
      </c>
      <c r="AV97" s="132">
        <f t="shared" si="181"/>
        <v>1.99</v>
      </c>
      <c r="AW97" s="133">
        <f t="shared" si="182"/>
        <v>0</v>
      </c>
    </row>
    <row r="98" spans="1:49" s="196" customFormat="1" ht="14.1" customHeight="1" x14ac:dyDescent="0.2">
      <c r="A98" s="241">
        <v>14</v>
      </c>
      <c r="B98" s="143">
        <v>2304</v>
      </c>
      <c r="C98" s="204">
        <v>600080382</v>
      </c>
      <c r="D98" s="143">
        <v>72743417</v>
      </c>
      <c r="E98" s="145" t="s">
        <v>776</v>
      </c>
      <c r="F98" s="206">
        <v>3143</v>
      </c>
      <c r="G98" s="145" t="s">
        <v>635</v>
      </c>
      <c r="H98" s="205" t="s">
        <v>283</v>
      </c>
      <c r="I98" s="126">
        <f t="shared" si="159"/>
        <v>278030</v>
      </c>
      <c r="J98" s="29">
        <v>204735</v>
      </c>
      <c r="K98" s="127">
        <f t="shared" si="160"/>
        <v>69200</v>
      </c>
      <c r="L98" s="477">
        <f t="shared" si="161"/>
        <v>4095</v>
      </c>
      <c r="M98" s="479">
        <v>0</v>
      </c>
      <c r="N98" s="390">
        <f t="shared" si="162"/>
        <v>0.5</v>
      </c>
      <c r="O98" s="22">
        <v>0.5</v>
      </c>
      <c r="P98" s="641">
        <v>0</v>
      </c>
      <c r="Q98" s="387">
        <f t="shared" si="163"/>
        <v>0</v>
      </c>
      <c r="R98" s="130">
        <v>0</v>
      </c>
      <c r="S98" s="130">
        <v>0</v>
      </c>
      <c r="T98" s="130">
        <v>0</v>
      </c>
      <c r="U98" s="130">
        <f>SUM(Q98:T98)</f>
        <v>0</v>
      </c>
      <c r="V98" s="130">
        <v>0</v>
      </c>
      <c r="W98" s="130">
        <v>0</v>
      </c>
      <c r="X98" s="130">
        <v>0</v>
      </c>
      <c r="Y98" s="130">
        <f>SUM(V98:X98)</f>
        <v>0</v>
      </c>
      <c r="Z98" s="130">
        <f>U98+Y98</f>
        <v>0</v>
      </c>
      <c r="AA98" s="316">
        <f t="shared" si="167"/>
        <v>0</v>
      </c>
      <c r="AB98" s="131">
        <f>ROUND(U98*2%,0)</f>
        <v>0</v>
      </c>
      <c r="AC98" s="130">
        <v>0</v>
      </c>
      <c r="AD98" s="130">
        <v>0</v>
      </c>
      <c r="AE98" s="130">
        <f>SUM(AC98:AD98)</f>
        <v>0</v>
      </c>
      <c r="AF98" s="130">
        <f>Z98+AA98+AB98+AE98</f>
        <v>0</v>
      </c>
      <c r="AG98" s="132">
        <v>0</v>
      </c>
      <c r="AH98" s="132">
        <v>0</v>
      </c>
      <c r="AI98" s="132">
        <v>0</v>
      </c>
      <c r="AJ98" s="132">
        <v>0</v>
      </c>
      <c r="AK98" s="132">
        <v>0</v>
      </c>
      <c r="AL98" s="132">
        <f>AG98+AI98+AJ98</f>
        <v>0</v>
      </c>
      <c r="AM98" s="132">
        <f>AH98+AK98</f>
        <v>0</v>
      </c>
      <c r="AN98" s="403">
        <f>SUM(AL98:AM98)</f>
        <v>0</v>
      </c>
      <c r="AO98" s="128">
        <f t="shared" si="174"/>
        <v>278030</v>
      </c>
      <c r="AP98" s="253">
        <f t="shared" si="175"/>
        <v>204735</v>
      </c>
      <c r="AQ98" s="253">
        <f t="shared" si="176"/>
        <v>0</v>
      </c>
      <c r="AR98" s="130">
        <f t="shared" si="177"/>
        <v>69200</v>
      </c>
      <c r="AS98" s="130">
        <f t="shared" si="178"/>
        <v>4095</v>
      </c>
      <c r="AT98" s="253">
        <f t="shared" si="179"/>
        <v>0</v>
      </c>
      <c r="AU98" s="132">
        <f t="shared" si="180"/>
        <v>0.5</v>
      </c>
      <c r="AV98" s="132">
        <f t="shared" si="181"/>
        <v>0.5</v>
      </c>
      <c r="AW98" s="133">
        <f t="shared" si="182"/>
        <v>0</v>
      </c>
    </row>
    <row r="99" spans="1:49" s="196" customFormat="1" ht="14.1" customHeight="1" x14ac:dyDescent="0.2">
      <c r="A99" s="241">
        <v>14</v>
      </c>
      <c r="B99" s="143">
        <v>2304</v>
      </c>
      <c r="C99" s="204">
        <v>600080382</v>
      </c>
      <c r="D99" s="143">
        <v>72743417</v>
      </c>
      <c r="E99" s="145" t="s">
        <v>776</v>
      </c>
      <c r="F99" s="206">
        <v>3143</v>
      </c>
      <c r="G99" s="145" t="s">
        <v>636</v>
      </c>
      <c r="H99" s="205" t="s">
        <v>284</v>
      </c>
      <c r="I99" s="126">
        <f t="shared" si="159"/>
        <v>7022</v>
      </c>
      <c r="J99" s="664">
        <v>4950</v>
      </c>
      <c r="K99" s="127">
        <f t="shared" si="160"/>
        <v>1673</v>
      </c>
      <c r="L99" s="477">
        <f t="shared" si="161"/>
        <v>99</v>
      </c>
      <c r="M99" s="664">
        <v>300</v>
      </c>
      <c r="N99" s="390">
        <f t="shared" si="162"/>
        <v>0.02</v>
      </c>
      <c r="O99" s="662">
        <v>0</v>
      </c>
      <c r="P99" s="663">
        <v>0.02</v>
      </c>
      <c r="Q99" s="387">
        <f t="shared" si="163"/>
        <v>0</v>
      </c>
      <c r="R99" s="130">
        <v>0</v>
      </c>
      <c r="S99" s="130">
        <v>0</v>
      </c>
      <c r="T99" s="130">
        <v>0</v>
      </c>
      <c r="U99" s="130">
        <f>SUM(Q99:T99)</f>
        <v>0</v>
      </c>
      <c r="V99" s="130">
        <v>0</v>
      </c>
      <c r="W99" s="130">
        <v>0</v>
      </c>
      <c r="X99" s="130">
        <v>0</v>
      </c>
      <c r="Y99" s="130">
        <f>SUM(V99:X99)</f>
        <v>0</v>
      </c>
      <c r="Z99" s="130">
        <f>U99+Y99</f>
        <v>0</v>
      </c>
      <c r="AA99" s="316">
        <f t="shared" si="167"/>
        <v>0</v>
      </c>
      <c r="AB99" s="131">
        <f>ROUND(U99*2%,0)</f>
        <v>0</v>
      </c>
      <c r="AC99" s="130">
        <v>0</v>
      </c>
      <c r="AD99" s="130">
        <v>0</v>
      </c>
      <c r="AE99" s="130">
        <f>SUM(AC99:AD99)</f>
        <v>0</v>
      </c>
      <c r="AF99" s="130">
        <f>Z99+AA99+AB99+AE99</f>
        <v>0</v>
      </c>
      <c r="AG99" s="132">
        <v>0</v>
      </c>
      <c r="AH99" s="132">
        <v>0</v>
      </c>
      <c r="AI99" s="132">
        <v>0</v>
      </c>
      <c r="AJ99" s="132">
        <v>0</v>
      </c>
      <c r="AK99" s="132">
        <v>0</v>
      </c>
      <c r="AL99" s="132">
        <f>AG99+AI99+AJ99</f>
        <v>0</v>
      </c>
      <c r="AM99" s="132">
        <f>AH99+AK99</f>
        <v>0</v>
      </c>
      <c r="AN99" s="403">
        <f>SUM(AL99:AM99)</f>
        <v>0</v>
      </c>
      <c r="AO99" s="128">
        <f t="shared" si="174"/>
        <v>7022</v>
      </c>
      <c r="AP99" s="253">
        <f t="shared" si="175"/>
        <v>4950</v>
      </c>
      <c r="AQ99" s="253">
        <f t="shared" si="176"/>
        <v>0</v>
      </c>
      <c r="AR99" s="130">
        <f t="shared" si="177"/>
        <v>1673</v>
      </c>
      <c r="AS99" s="130">
        <f t="shared" si="178"/>
        <v>99</v>
      </c>
      <c r="AT99" s="253">
        <f t="shared" si="179"/>
        <v>300</v>
      </c>
      <c r="AU99" s="132">
        <f t="shared" si="180"/>
        <v>0.02</v>
      </c>
      <c r="AV99" s="132">
        <f t="shared" si="181"/>
        <v>0</v>
      </c>
      <c r="AW99" s="133">
        <f t="shared" si="182"/>
        <v>0.02</v>
      </c>
    </row>
    <row r="100" spans="1:49" s="196" customFormat="1" ht="14.1" customHeight="1" x14ac:dyDescent="0.2">
      <c r="A100" s="242">
        <v>14</v>
      </c>
      <c r="B100" s="198">
        <v>2304</v>
      </c>
      <c r="C100" s="199">
        <v>600080382</v>
      </c>
      <c r="D100" s="198">
        <v>72743417</v>
      </c>
      <c r="E100" s="200" t="s">
        <v>777</v>
      </c>
      <c r="F100" s="201"/>
      <c r="G100" s="202"/>
      <c r="H100" s="203"/>
      <c r="I100" s="197">
        <f t="shared" ref="I100:P100" si="201">SUM(I95:I99)</f>
        <v>5693922</v>
      </c>
      <c r="J100" s="357">
        <f t="shared" si="201"/>
        <v>4153882</v>
      </c>
      <c r="K100" s="357">
        <f t="shared" si="201"/>
        <v>1404012</v>
      </c>
      <c r="L100" s="357">
        <f t="shared" si="201"/>
        <v>83078</v>
      </c>
      <c r="M100" s="357">
        <f t="shared" si="201"/>
        <v>52950</v>
      </c>
      <c r="N100" s="678">
        <f t="shared" si="201"/>
        <v>8.734099999999998</v>
      </c>
      <c r="O100" s="678">
        <f t="shared" si="201"/>
        <v>7.0857999999999999</v>
      </c>
      <c r="P100" s="679">
        <f t="shared" si="201"/>
        <v>1.6482999999999999</v>
      </c>
      <c r="Q100" s="357">
        <f t="shared" ref="Q100:AW100" si="202">SUM(Q95:Q99)</f>
        <v>0</v>
      </c>
      <c r="R100" s="209">
        <f t="shared" si="202"/>
        <v>700670</v>
      </c>
      <c r="S100" s="209">
        <f t="shared" si="202"/>
        <v>0</v>
      </c>
      <c r="T100" s="209">
        <f t="shared" si="202"/>
        <v>0</v>
      </c>
      <c r="U100" s="209">
        <f t="shared" si="202"/>
        <v>700670</v>
      </c>
      <c r="V100" s="209">
        <f t="shared" si="202"/>
        <v>0</v>
      </c>
      <c r="W100" s="209">
        <f t="shared" ref="W100" si="203">SUM(W95:W99)</f>
        <v>0</v>
      </c>
      <c r="X100" s="209">
        <f t="shared" si="202"/>
        <v>0</v>
      </c>
      <c r="Y100" s="209">
        <f t="shared" si="202"/>
        <v>0</v>
      </c>
      <c r="Z100" s="209">
        <f t="shared" si="202"/>
        <v>700670</v>
      </c>
      <c r="AA100" s="209">
        <f t="shared" si="202"/>
        <v>236826</v>
      </c>
      <c r="AB100" s="209">
        <f t="shared" si="202"/>
        <v>14013</v>
      </c>
      <c r="AC100" s="209">
        <f t="shared" si="202"/>
        <v>0</v>
      </c>
      <c r="AD100" s="209">
        <f t="shared" si="202"/>
        <v>0</v>
      </c>
      <c r="AE100" s="209">
        <f t="shared" si="202"/>
        <v>0</v>
      </c>
      <c r="AF100" s="209">
        <f t="shared" si="202"/>
        <v>951509</v>
      </c>
      <c r="AG100" s="210">
        <f t="shared" si="202"/>
        <v>0</v>
      </c>
      <c r="AH100" s="210">
        <f t="shared" si="202"/>
        <v>0</v>
      </c>
      <c r="AI100" s="210">
        <f t="shared" si="202"/>
        <v>1.99</v>
      </c>
      <c r="AJ100" s="210">
        <f t="shared" si="202"/>
        <v>0</v>
      </c>
      <c r="AK100" s="210">
        <f t="shared" si="202"/>
        <v>0</v>
      </c>
      <c r="AL100" s="210">
        <f t="shared" si="202"/>
        <v>1.99</v>
      </c>
      <c r="AM100" s="210">
        <f t="shared" si="202"/>
        <v>0</v>
      </c>
      <c r="AN100" s="383">
        <f t="shared" si="202"/>
        <v>1.99</v>
      </c>
      <c r="AO100" s="693">
        <f t="shared" si="202"/>
        <v>6645431</v>
      </c>
      <c r="AP100" s="686">
        <f t="shared" si="202"/>
        <v>4854552</v>
      </c>
      <c r="AQ100" s="686">
        <f t="shared" si="202"/>
        <v>0</v>
      </c>
      <c r="AR100" s="686">
        <f t="shared" si="202"/>
        <v>1640838</v>
      </c>
      <c r="AS100" s="686">
        <f t="shared" si="202"/>
        <v>97091</v>
      </c>
      <c r="AT100" s="686">
        <f t="shared" si="202"/>
        <v>52950</v>
      </c>
      <c r="AU100" s="211">
        <f t="shared" si="202"/>
        <v>10.724099999999998</v>
      </c>
      <c r="AV100" s="211">
        <f t="shared" si="202"/>
        <v>9.0757999999999992</v>
      </c>
      <c r="AW100" s="211">
        <f t="shared" si="202"/>
        <v>1.6482999999999999</v>
      </c>
    </row>
    <row r="101" spans="1:49" s="196" customFormat="1" ht="14.1" customHeight="1" x14ac:dyDescent="0.2">
      <c r="A101" s="241">
        <v>15</v>
      </c>
      <c r="B101" s="207">
        <v>2438</v>
      </c>
      <c r="C101" s="192">
        <v>600079384</v>
      </c>
      <c r="D101" s="143">
        <v>72741911</v>
      </c>
      <c r="E101" s="193" t="s">
        <v>778</v>
      </c>
      <c r="F101" s="194">
        <v>3111</v>
      </c>
      <c r="G101" s="145" t="s">
        <v>317</v>
      </c>
      <c r="H101" s="205" t="s">
        <v>283</v>
      </c>
      <c r="I101" s="126">
        <f t="shared" si="159"/>
        <v>8011443</v>
      </c>
      <c r="J101" s="630">
        <v>5864980</v>
      </c>
      <c r="K101" s="127">
        <f t="shared" si="160"/>
        <v>1982363</v>
      </c>
      <c r="L101" s="477">
        <f t="shared" si="161"/>
        <v>117300</v>
      </c>
      <c r="M101" s="630">
        <v>46800</v>
      </c>
      <c r="N101" s="390">
        <f t="shared" si="162"/>
        <v>13.6248</v>
      </c>
      <c r="O101" s="642">
        <v>10.3226</v>
      </c>
      <c r="P101" s="643">
        <v>3.3022</v>
      </c>
      <c r="Q101" s="387">
        <f t="shared" si="163"/>
        <v>-34560</v>
      </c>
      <c r="R101" s="253">
        <v>0</v>
      </c>
      <c r="S101" s="253">
        <v>0</v>
      </c>
      <c r="T101" s="253">
        <v>0</v>
      </c>
      <c r="U101" s="130">
        <f>SUM(Q101:T101)</f>
        <v>-34560</v>
      </c>
      <c r="V101" s="130">
        <v>34560</v>
      </c>
      <c r="W101" s="130">
        <v>0</v>
      </c>
      <c r="X101" s="130">
        <v>0</v>
      </c>
      <c r="Y101" s="130">
        <f>SUM(V101:X101)</f>
        <v>34560</v>
      </c>
      <c r="Z101" s="130">
        <f>U101+Y101</f>
        <v>0</v>
      </c>
      <c r="AA101" s="316">
        <f t="shared" si="167"/>
        <v>0</v>
      </c>
      <c r="AB101" s="131">
        <f>ROUND(U101*2%,0)</f>
        <v>-691</v>
      </c>
      <c r="AC101" s="130">
        <v>0</v>
      </c>
      <c r="AD101" s="130">
        <v>0</v>
      </c>
      <c r="AE101" s="130">
        <f>SUM(AC101:AD101)</f>
        <v>0</v>
      </c>
      <c r="AF101" s="130">
        <f>Z101+AA101+AB101+AE101</f>
        <v>-691</v>
      </c>
      <c r="AG101" s="132">
        <v>0</v>
      </c>
      <c r="AH101" s="132">
        <v>-0.18</v>
      </c>
      <c r="AI101" s="132">
        <v>0</v>
      </c>
      <c r="AJ101" s="132">
        <v>0</v>
      </c>
      <c r="AK101" s="132">
        <v>0</v>
      </c>
      <c r="AL101" s="132">
        <f>AG101+AI101+AJ101</f>
        <v>0</v>
      </c>
      <c r="AM101" s="132">
        <f>AH101+AK101</f>
        <v>-0.18</v>
      </c>
      <c r="AN101" s="403">
        <f>SUM(AL101:AM101)</f>
        <v>-0.18</v>
      </c>
      <c r="AO101" s="128">
        <f t="shared" si="174"/>
        <v>8010752</v>
      </c>
      <c r="AP101" s="253">
        <f t="shared" si="175"/>
        <v>5830420</v>
      </c>
      <c r="AQ101" s="253">
        <f t="shared" si="176"/>
        <v>34560</v>
      </c>
      <c r="AR101" s="130">
        <f t="shared" si="177"/>
        <v>1982363</v>
      </c>
      <c r="AS101" s="130">
        <f t="shared" si="178"/>
        <v>116609</v>
      </c>
      <c r="AT101" s="253">
        <f t="shared" si="179"/>
        <v>46800</v>
      </c>
      <c r="AU101" s="132">
        <f t="shared" si="180"/>
        <v>13.444800000000001</v>
      </c>
      <c r="AV101" s="132">
        <f t="shared" si="181"/>
        <v>10.3226</v>
      </c>
      <c r="AW101" s="133">
        <f t="shared" si="182"/>
        <v>3.1221999999999999</v>
      </c>
    </row>
    <row r="102" spans="1:49" s="196" customFormat="1" ht="14.1" customHeight="1" x14ac:dyDescent="0.2">
      <c r="A102" s="241">
        <v>15</v>
      </c>
      <c r="B102" s="191">
        <v>2438</v>
      </c>
      <c r="C102" s="192">
        <v>600079384</v>
      </c>
      <c r="D102" s="143">
        <v>72741911</v>
      </c>
      <c r="E102" s="193" t="s">
        <v>778</v>
      </c>
      <c r="F102" s="194">
        <v>3111</v>
      </c>
      <c r="G102" s="143" t="s">
        <v>318</v>
      </c>
      <c r="H102" s="205" t="s">
        <v>284</v>
      </c>
      <c r="I102" s="126">
        <f t="shared" si="159"/>
        <v>0</v>
      </c>
      <c r="J102" s="325">
        <v>0</v>
      </c>
      <c r="K102" s="127">
        <f t="shared" si="160"/>
        <v>0</v>
      </c>
      <c r="L102" s="477">
        <f t="shared" si="161"/>
        <v>0</v>
      </c>
      <c r="M102" s="325">
        <v>0</v>
      </c>
      <c r="N102" s="390">
        <f t="shared" si="162"/>
        <v>0</v>
      </c>
      <c r="O102" s="640">
        <v>0</v>
      </c>
      <c r="P102" s="641">
        <v>0</v>
      </c>
      <c r="Q102" s="387">
        <f t="shared" si="163"/>
        <v>0</v>
      </c>
      <c r="R102" s="253">
        <v>1356882</v>
      </c>
      <c r="S102" s="253">
        <v>0</v>
      </c>
      <c r="T102" s="253">
        <v>0</v>
      </c>
      <c r="U102" s="130">
        <f>SUM(Q102:T102)</f>
        <v>1356882</v>
      </c>
      <c r="V102" s="130">
        <v>0</v>
      </c>
      <c r="W102" s="130">
        <v>0</v>
      </c>
      <c r="X102" s="130">
        <v>0</v>
      </c>
      <c r="Y102" s="130">
        <f>SUM(V102:X102)</f>
        <v>0</v>
      </c>
      <c r="Z102" s="130">
        <f>U102+Y102</f>
        <v>1356882</v>
      </c>
      <c r="AA102" s="316">
        <f t="shared" si="167"/>
        <v>458626</v>
      </c>
      <c r="AB102" s="131">
        <f>ROUND(U102*2%,0)</f>
        <v>27138</v>
      </c>
      <c r="AC102" s="130">
        <v>0</v>
      </c>
      <c r="AD102" s="130">
        <v>0</v>
      </c>
      <c r="AE102" s="130">
        <f>SUM(AC102:AD102)</f>
        <v>0</v>
      </c>
      <c r="AF102" s="130">
        <f>Z102+AA102+AB102+AE102</f>
        <v>1842646</v>
      </c>
      <c r="AG102" s="132">
        <v>0</v>
      </c>
      <c r="AH102" s="132">
        <v>0</v>
      </c>
      <c r="AI102" s="132">
        <v>4.25</v>
      </c>
      <c r="AJ102" s="132">
        <v>0</v>
      </c>
      <c r="AK102" s="132">
        <v>0</v>
      </c>
      <c r="AL102" s="132">
        <f>AG102+AI102+AJ102</f>
        <v>4.25</v>
      </c>
      <c r="AM102" s="132">
        <f>AH102+AK102</f>
        <v>0</v>
      </c>
      <c r="AN102" s="403">
        <f>SUM(AL102:AM102)</f>
        <v>4.25</v>
      </c>
      <c r="AO102" s="128">
        <f t="shared" si="174"/>
        <v>1842646</v>
      </c>
      <c r="AP102" s="253">
        <f t="shared" si="175"/>
        <v>1356882</v>
      </c>
      <c r="AQ102" s="253">
        <f t="shared" si="176"/>
        <v>0</v>
      </c>
      <c r="AR102" s="130">
        <f t="shared" si="177"/>
        <v>458626</v>
      </c>
      <c r="AS102" s="130">
        <f t="shared" si="178"/>
        <v>27138</v>
      </c>
      <c r="AT102" s="253">
        <f t="shared" si="179"/>
        <v>0</v>
      </c>
      <c r="AU102" s="132">
        <f t="shared" si="180"/>
        <v>4.25</v>
      </c>
      <c r="AV102" s="132">
        <f t="shared" si="181"/>
        <v>4.25</v>
      </c>
      <c r="AW102" s="133">
        <f t="shared" si="182"/>
        <v>0</v>
      </c>
    </row>
    <row r="103" spans="1:49" s="196" customFormat="1" ht="14.1" customHeight="1" x14ac:dyDescent="0.2">
      <c r="A103" s="241">
        <v>15</v>
      </c>
      <c r="B103" s="191">
        <v>2438</v>
      </c>
      <c r="C103" s="192">
        <v>600079384</v>
      </c>
      <c r="D103" s="143">
        <v>72741911</v>
      </c>
      <c r="E103" s="193" t="s">
        <v>778</v>
      </c>
      <c r="F103" s="194">
        <v>3141</v>
      </c>
      <c r="G103" s="145" t="s">
        <v>321</v>
      </c>
      <c r="H103" s="205" t="s">
        <v>284</v>
      </c>
      <c r="I103" s="126">
        <f t="shared" si="159"/>
        <v>2322977</v>
      </c>
      <c r="J103" s="666">
        <v>1698628</v>
      </c>
      <c r="K103" s="127">
        <f t="shared" si="160"/>
        <v>574136</v>
      </c>
      <c r="L103" s="477">
        <f t="shared" si="161"/>
        <v>33973</v>
      </c>
      <c r="M103" s="666">
        <v>16240</v>
      </c>
      <c r="N103" s="390">
        <f t="shared" si="162"/>
        <v>5.78</v>
      </c>
      <c r="O103" s="669">
        <v>0</v>
      </c>
      <c r="P103" s="667">
        <v>5.78</v>
      </c>
      <c r="Q103" s="387">
        <f t="shared" si="163"/>
        <v>0</v>
      </c>
      <c r="R103" s="253">
        <v>0</v>
      </c>
      <c r="S103" s="253">
        <v>0</v>
      </c>
      <c r="T103" s="253">
        <v>0</v>
      </c>
      <c r="U103" s="130">
        <f>SUM(Q103:T103)</f>
        <v>0</v>
      </c>
      <c r="V103" s="130">
        <v>0</v>
      </c>
      <c r="W103" s="130">
        <v>0</v>
      </c>
      <c r="X103" s="130">
        <v>0</v>
      </c>
      <c r="Y103" s="130">
        <f>SUM(V103:X103)</f>
        <v>0</v>
      </c>
      <c r="Z103" s="130">
        <f>U103+Y103</f>
        <v>0</v>
      </c>
      <c r="AA103" s="316">
        <f t="shared" si="167"/>
        <v>0</v>
      </c>
      <c r="AB103" s="131">
        <f>ROUND(U103*2%,0)</f>
        <v>0</v>
      </c>
      <c r="AC103" s="130">
        <v>0</v>
      </c>
      <c r="AD103" s="130">
        <v>0</v>
      </c>
      <c r="AE103" s="130">
        <f>SUM(AC103:AD103)</f>
        <v>0</v>
      </c>
      <c r="AF103" s="130">
        <f>Z103+AA103+AB103+AE103</f>
        <v>0</v>
      </c>
      <c r="AG103" s="132">
        <v>0</v>
      </c>
      <c r="AH103" s="132">
        <v>0</v>
      </c>
      <c r="AI103" s="132">
        <v>0</v>
      </c>
      <c r="AJ103" s="132">
        <v>0</v>
      </c>
      <c r="AK103" s="132">
        <v>0</v>
      </c>
      <c r="AL103" s="132">
        <f>AG103+AI103+AJ103</f>
        <v>0</v>
      </c>
      <c r="AM103" s="132">
        <f>AH103+AK103</f>
        <v>0</v>
      </c>
      <c r="AN103" s="403">
        <f>SUM(AL103:AM103)</f>
        <v>0</v>
      </c>
      <c r="AO103" s="128">
        <f t="shared" si="174"/>
        <v>2322977</v>
      </c>
      <c r="AP103" s="253">
        <f t="shared" si="175"/>
        <v>1698628</v>
      </c>
      <c r="AQ103" s="253">
        <f t="shared" si="176"/>
        <v>0</v>
      </c>
      <c r="AR103" s="130">
        <f t="shared" si="177"/>
        <v>574136</v>
      </c>
      <c r="AS103" s="130">
        <f t="shared" si="178"/>
        <v>33973</v>
      </c>
      <c r="AT103" s="253">
        <f t="shared" si="179"/>
        <v>16240</v>
      </c>
      <c r="AU103" s="132">
        <f t="shared" si="180"/>
        <v>5.78</v>
      </c>
      <c r="AV103" s="132">
        <f t="shared" si="181"/>
        <v>0</v>
      </c>
      <c r="AW103" s="133">
        <f t="shared" si="182"/>
        <v>5.78</v>
      </c>
    </row>
    <row r="104" spans="1:49" s="196" customFormat="1" ht="14.1" customHeight="1" x14ac:dyDescent="0.2">
      <c r="A104" s="242">
        <v>15</v>
      </c>
      <c r="B104" s="198">
        <v>2438</v>
      </c>
      <c r="C104" s="199">
        <v>600079384</v>
      </c>
      <c r="D104" s="198">
        <v>72741911</v>
      </c>
      <c r="E104" s="200" t="s">
        <v>779</v>
      </c>
      <c r="F104" s="201"/>
      <c r="G104" s="202"/>
      <c r="H104" s="203"/>
      <c r="I104" s="197">
        <f t="shared" ref="I104:P104" si="204">SUM(I101:I103)</f>
        <v>10334420</v>
      </c>
      <c r="J104" s="357">
        <f t="shared" si="204"/>
        <v>7563608</v>
      </c>
      <c r="K104" s="357">
        <f t="shared" si="204"/>
        <v>2556499</v>
      </c>
      <c r="L104" s="357">
        <f t="shared" si="204"/>
        <v>151273</v>
      </c>
      <c r="M104" s="357">
        <f t="shared" si="204"/>
        <v>63040</v>
      </c>
      <c r="N104" s="678">
        <f t="shared" si="204"/>
        <v>19.404800000000002</v>
      </c>
      <c r="O104" s="678">
        <f t="shared" si="204"/>
        <v>10.3226</v>
      </c>
      <c r="P104" s="679">
        <f t="shared" si="204"/>
        <v>9.0822000000000003</v>
      </c>
      <c r="Q104" s="357">
        <f t="shared" ref="Q104:AW104" si="205">SUM(Q101:Q103)</f>
        <v>-34560</v>
      </c>
      <c r="R104" s="209">
        <f t="shared" si="205"/>
        <v>1356882</v>
      </c>
      <c r="S104" s="209">
        <f t="shared" si="205"/>
        <v>0</v>
      </c>
      <c r="T104" s="209">
        <f t="shared" si="205"/>
        <v>0</v>
      </c>
      <c r="U104" s="209">
        <f t="shared" si="205"/>
        <v>1322322</v>
      </c>
      <c r="V104" s="209">
        <f t="shared" si="205"/>
        <v>34560</v>
      </c>
      <c r="W104" s="209">
        <f t="shared" ref="W104" si="206">SUM(W101:W103)</f>
        <v>0</v>
      </c>
      <c r="X104" s="209">
        <f t="shared" si="205"/>
        <v>0</v>
      </c>
      <c r="Y104" s="209">
        <f t="shared" si="205"/>
        <v>34560</v>
      </c>
      <c r="Z104" s="209">
        <f t="shared" si="205"/>
        <v>1356882</v>
      </c>
      <c r="AA104" s="209">
        <f t="shared" si="205"/>
        <v>458626</v>
      </c>
      <c r="AB104" s="209">
        <f t="shared" si="205"/>
        <v>26447</v>
      </c>
      <c r="AC104" s="209">
        <f t="shared" si="205"/>
        <v>0</v>
      </c>
      <c r="AD104" s="209">
        <f t="shared" si="205"/>
        <v>0</v>
      </c>
      <c r="AE104" s="209">
        <f t="shared" si="205"/>
        <v>0</v>
      </c>
      <c r="AF104" s="209">
        <f t="shared" si="205"/>
        <v>1841955</v>
      </c>
      <c r="AG104" s="210">
        <f t="shared" si="205"/>
        <v>0</v>
      </c>
      <c r="AH104" s="210">
        <f t="shared" si="205"/>
        <v>-0.18</v>
      </c>
      <c r="AI104" s="210">
        <f t="shared" si="205"/>
        <v>4.25</v>
      </c>
      <c r="AJ104" s="210">
        <f t="shared" si="205"/>
        <v>0</v>
      </c>
      <c r="AK104" s="210">
        <f t="shared" si="205"/>
        <v>0</v>
      </c>
      <c r="AL104" s="210">
        <f t="shared" si="205"/>
        <v>4.25</v>
      </c>
      <c r="AM104" s="210">
        <f t="shared" si="205"/>
        <v>-0.18</v>
      </c>
      <c r="AN104" s="383">
        <f t="shared" si="205"/>
        <v>4.07</v>
      </c>
      <c r="AO104" s="692">
        <f t="shared" si="205"/>
        <v>12176375</v>
      </c>
      <c r="AP104" s="685">
        <f t="shared" si="205"/>
        <v>8885930</v>
      </c>
      <c r="AQ104" s="685">
        <f t="shared" si="205"/>
        <v>34560</v>
      </c>
      <c r="AR104" s="685">
        <f t="shared" si="205"/>
        <v>3015125</v>
      </c>
      <c r="AS104" s="685">
        <f t="shared" si="205"/>
        <v>177720</v>
      </c>
      <c r="AT104" s="685">
        <f t="shared" si="205"/>
        <v>63040</v>
      </c>
      <c r="AU104" s="383">
        <f t="shared" si="205"/>
        <v>23.474800000000002</v>
      </c>
      <c r="AV104" s="383">
        <f t="shared" si="205"/>
        <v>14.5726</v>
      </c>
      <c r="AW104" s="211">
        <f t="shared" si="205"/>
        <v>8.9022000000000006</v>
      </c>
    </row>
    <row r="105" spans="1:49" s="196" customFormat="1" ht="14.1" customHeight="1" x14ac:dyDescent="0.2">
      <c r="A105" s="241">
        <v>16</v>
      </c>
      <c r="B105" s="191">
        <v>2315</v>
      </c>
      <c r="C105" s="192">
        <v>600080447</v>
      </c>
      <c r="D105" s="143">
        <v>46744819</v>
      </c>
      <c r="E105" s="193" t="s">
        <v>780</v>
      </c>
      <c r="F105" s="194">
        <v>3233</v>
      </c>
      <c r="G105" s="143" t="s">
        <v>324</v>
      </c>
      <c r="H105" s="205" t="s">
        <v>284</v>
      </c>
      <c r="I105" s="126">
        <f t="shared" si="159"/>
        <v>2137125</v>
      </c>
      <c r="J105" s="478">
        <v>1570696</v>
      </c>
      <c r="K105" s="127">
        <f t="shared" si="160"/>
        <v>530895</v>
      </c>
      <c r="L105" s="477">
        <f t="shared" si="161"/>
        <v>31414</v>
      </c>
      <c r="M105" s="479">
        <v>4120</v>
      </c>
      <c r="N105" s="390">
        <f t="shared" si="162"/>
        <v>3.5</v>
      </c>
      <c r="O105" s="640">
        <v>2.5</v>
      </c>
      <c r="P105" s="641">
        <v>1</v>
      </c>
      <c r="Q105" s="387">
        <f t="shared" si="163"/>
        <v>-96000</v>
      </c>
      <c r="R105" s="253">
        <v>0</v>
      </c>
      <c r="S105" s="253">
        <v>0</v>
      </c>
      <c r="T105" s="253">
        <v>0</v>
      </c>
      <c r="U105" s="130">
        <f>SUM(Q105:T105)</f>
        <v>-96000</v>
      </c>
      <c r="V105" s="130">
        <v>96000</v>
      </c>
      <c r="W105" s="130">
        <v>0</v>
      </c>
      <c r="X105" s="130">
        <v>0</v>
      </c>
      <c r="Y105" s="130">
        <f>SUM(V105:X105)</f>
        <v>96000</v>
      </c>
      <c r="Z105" s="130">
        <f>U105+Y105</f>
        <v>0</v>
      </c>
      <c r="AA105" s="316">
        <f t="shared" si="167"/>
        <v>0</v>
      </c>
      <c r="AB105" s="131">
        <f>ROUND(U105*2%,0)</f>
        <v>-1920</v>
      </c>
      <c r="AC105" s="130">
        <v>0</v>
      </c>
      <c r="AD105" s="130">
        <v>0</v>
      </c>
      <c r="AE105" s="130">
        <f>SUM(AC105:AD105)</f>
        <v>0</v>
      </c>
      <c r="AF105" s="130">
        <f>Z105+AA105+AB105+AE105</f>
        <v>-1920</v>
      </c>
      <c r="AG105" s="132">
        <v>-0.11</v>
      </c>
      <c r="AH105" s="132">
        <v>-0.14000000000000001</v>
      </c>
      <c r="AI105" s="132">
        <v>0</v>
      </c>
      <c r="AJ105" s="132">
        <v>0</v>
      </c>
      <c r="AK105" s="132">
        <v>0</v>
      </c>
      <c r="AL105" s="132">
        <f>AG105+AI105+AJ105</f>
        <v>-0.11</v>
      </c>
      <c r="AM105" s="132">
        <f>AH105+AK105</f>
        <v>-0.14000000000000001</v>
      </c>
      <c r="AN105" s="403">
        <f>SUM(AL105:AM105)</f>
        <v>-0.25</v>
      </c>
      <c r="AO105" s="128">
        <f t="shared" si="174"/>
        <v>2135205</v>
      </c>
      <c r="AP105" s="253">
        <f t="shared" si="175"/>
        <v>1474696</v>
      </c>
      <c r="AQ105" s="253">
        <f t="shared" si="176"/>
        <v>96000</v>
      </c>
      <c r="AR105" s="130">
        <f t="shared" si="177"/>
        <v>530895</v>
      </c>
      <c r="AS105" s="130">
        <f t="shared" si="178"/>
        <v>29494</v>
      </c>
      <c r="AT105" s="253">
        <f t="shared" si="179"/>
        <v>4120</v>
      </c>
      <c r="AU105" s="132">
        <f t="shared" si="180"/>
        <v>3.25</v>
      </c>
      <c r="AV105" s="132">
        <f t="shared" si="181"/>
        <v>2.39</v>
      </c>
      <c r="AW105" s="133">
        <f t="shared" si="182"/>
        <v>0.86</v>
      </c>
    </row>
    <row r="106" spans="1:49" s="196" customFormat="1" ht="14.1" customHeight="1" x14ac:dyDescent="0.2">
      <c r="A106" s="242">
        <v>16</v>
      </c>
      <c r="B106" s="198">
        <v>2315</v>
      </c>
      <c r="C106" s="199">
        <v>600080447</v>
      </c>
      <c r="D106" s="198">
        <v>46744819</v>
      </c>
      <c r="E106" s="200" t="s">
        <v>781</v>
      </c>
      <c r="F106" s="201"/>
      <c r="G106" s="202"/>
      <c r="H106" s="203"/>
      <c r="I106" s="197">
        <f t="shared" ref="I106:P106" si="207">SUM(I105:I105)</f>
        <v>2137125</v>
      </c>
      <c r="J106" s="357">
        <f t="shared" si="207"/>
        <v>1570696</v>
      </c>
      <c r="K106" s="357">
        <f t="shared" si="207"/>
        <v>530895</v>
      </c>
      <c r="L106" s="357">
        <f t="shared" si="207"/>
        <v>31414</v>
      </c>
      <c r="M106" s="357">
        <f t="shared" si="207"/>
        <v>4120</v>
      </c>
      <c r="N106" s="678">
        <f t="shared" si="207"/>
        <v>3.5</v>
      </c>
      <c r="O106" s="678">
        <f t="shared" si="207"/>
        <v>2.5</v>
      </c>
      <c r="P106" s="679">
        <f t="shared" si="207"/>
        <v>1</v>
      </c>
      <c r="Q106" s="357">
        <f t="shared" ref="Q106:AW106" si="208">SUM(Q105:Q105)</f>
        <v>-96000</v>
      </c>
      <c r="R106" s="209">
        <f t="shared" si="208"/>
        <v>0</v>
      </c>
      <c r="S106" s="209">
        <f t="shared" si="208"/>
        <v>0</v>
      </c>
      <c r="T106" s="209">
        <f t="shared" si="208"/>
        <v>0</v>
      </c>
      <c r="U106" s="209">
        <f t="shared" si="208"/>
        <v>-96000</v>
      </c>
      <c r="V106" s="209">
        <f t="shared" si="208"/>
        <v>96000</v>
      </c>
      <c r="W106" s="209">
        <f t="shared" ref="W106" si="209">SUM(W105:W105)</f>
        <v>0</v>
      </c>
      <c r="X106" s="209">
        <f t="shared" si="208"/>
        <v>0</v>
      </c>
      <c r="Y106" s="209">
        <f t="shared" si="208"/>
        <v>96000</v>
      </c>
      <c r="Z106" s="209">
        <f t="shared" si="208"/>
        <v>0</v>
      </c>
      <c r="AA106" s="209">
        <f t="shared" si="208"/>
        <v>0</v>
      </c>
      <c r="AB106" s="209">
        <f t="shared" si="208"/>
        <v>-1920</v>
      </c>
      <c r="AC106" s="209">
        <f t="shared" si="208"/>
        <v>0</v>
      </c>
      <c r="AD106" s="209">
        <f t="shared" si="208"/>
        <v>0</v>
      </c>
      <c r="AE106" s="209">
        <f t="shared" si="208"/>
        <v>0</v>
      </c>
      <c r="AF106" s="209">
        <f t="shared" si="208"/>
        <v>-1920</v>
      </c>
      <c r="AG106" s="210">
        <f t="shared" si="208"/>
        <v>-0.11</v>
      </c>
      <c r="AH106" s="210">
        <f t="shared" si="208"/>
        <v>-0.14000000000000001</v>
      </c>
      <c r="AI106" s="210">
        <f t="shared" si="208"/>
        <v>0</v>
      </c>
      <c r="AJ106" s="210">
        <f t="shared" si="208"/>
        <v>0</v>
      </c>
      <c r="AK106" s="210">
        <f t="shared" si="208"/>
        <v>0</v>
      </c>
      <c r="AL106" s="210">
        <f t="shared" si="208"/>
        <v>-0.11</v>
      </c>
      <c r="AM106" s="210">
        <f t="shared" si="208"/>
        <v>-0.14000000000000001</v>
      </c>
      <c r="AN106" s="383">
        <f t="shared" si="208"/>
        <v>-0.25</v>
      </c>
      <c r="AO106" s="692">
        <f t="shared" si="208"/>
        <v>2135205</v>
      </c>
      <c r="AP106" s="685">
        <f t="shared" si="208"/>
        <v>1474696</v>
      </c>
      <c r="AQ106" s="685">
        <f t="shared" si="208"/>
        <v>96000</v>
      </c>
      <c r="AR106" s="685">
        <f t="shared" si="208"/>
        <v>530895</v>
      </c>
      <c r="AS106" s="685">
        <f t="shared" si="208"/>
        <v>29494</v>
      </c>
      <c r="AT106" s="685">
        <f t="shared" si="208"/>
        <v>4120</v>
      </c>
      <c r="AU106" s="383">
        <f t="shared" si="208"/>
        <v>3.25</v>
      </c>
      <c r="AV106" s="383">
        <f t="shared" si="208"/>
        <v>2.39</v>
      </c>
      <c r="AW106" s="211">
        <f t="shared" si="208"/>
        <v>0.86</v>
      </c>
    </row>
    <row r="107" spans="1:49" s="196" customFormat="1" ht="14.1" customHeight="1" x14ac:dyDescent="0.2">
      <c r="A107" s="241">
        <v>17</v>
      </c>
      <c r="B107" s="191">
        <v>2494</v>
      </c>
      <c r="C107" s="212">
        <v>600080315</v>
      </c>
      <c r="D107" s="143">
        <v>72741996</v>
      </c>
      <c r="E107" s="193" t="s">
        <v>782</v>
      </c>
      <c r="F107" s="194">
        <v>3113</v>
      </c>
      <c r="G107" s="145" t="s">
        <v>320</v>
      </c>
      <c r="H107" s="205" t="s">
        <v>283</v>
      </c>
      <c r="I107" s="126">
        <f t="shared" si="159"/>
        <v>24986255</v>
      </c>
      <c r="J107" s="478">
        <v>18048928</v>
      </c>
      <c r="K107" s="127">
        <f t="shared" si="160"/>
        <v>6100538</v>
      </c>
      <c r="L107" s="477">
        <f t="shared" si="161"/>
        <v>360979</v>
      </c>
      <c r="M107" s="479">
        <v>475810</v>
      </c>
      <c r="N107" s="390">
        <f t="shared" si="162"/>
        <v>34.5518</v>
      </c>
      <c r="O107" s="647">
        <v>26.76</v>
      </c>
      <c r="P107" s="639">
        <v>7.7918000000000003</v>
      </c>
      <c r="Q107" s="387">
        <f t="shared" si="163"/>
        <v>0</v>
      </c>
      <c r="R107" s="253">
        <v>0</v>
      </c>
      <c r="S107" s="253">
        <v>0</v>
      </c>
      <c r="T107" s="253">
        <v>0</v>
      </c>
      <c r="U107" s="130">
        <f>SUM(Q107:T107)</f>
        <v>0</v>
      </c>
      <c r="V107" s="130">
        <v>0</v>
      </c>
      <c r="W107" s="130">
        <v>0</v>
      </c>
      <c r="X107" s="130">
        <v>0</v>
      </c>
      <c r="Y107" s="130">
        <f>SUM(V107:X107)</f>
        <v>0</v>
      </c>
      <c r="Z107" s="130">
        <f>U107+Y107</f>
        <v>0</v>
      </c>
      <c r="AA107" s="316">
        <f t="shared" si="167"/>
        <v>0</v>
      </c>
      <c r="AB107" s="131">
        <f>ROUND(U107*2%,0)</f>
        <v>0</v>
      </c>
      <c r="AC107" s="130">
        <v>0</v>
      </c>
      <c r="AD107" s="130">
        <v>0</v>
      </c>
      <c r="AE107" s="130">
        <f>SUM(AC107:AD107)</f>
        <v>0</v>
      </c>
      <c r="AF107" s="130">
        <f>Z107+AA107+AB107+AE107</f>
        <v>0</v>
      </c>
      <c r="AG107" s="132">
        <v>0</v>
      </c>
      <c r="AH107" s="132">
        <v>0</v>
      </c>
      <c r="AI107" s="132">
        <v>0</v>
      </c>
      <c r="AJ107" s="132">
        <v>0</v>
      </c>
      <c r="AK107" s="132">
        <v>0</v>
      </c>
      <c r="AL107" s="132">
        <f>AG107+AI107+AJ107</f>
        <v>0</v>
      </c>
      <c r="AM107" s="132">
        <f>AH107+AK107</f>
        <v>0</v>
      </c>
      <c r="AN107" s="403">
        <f>SUM(AL107:AM107)</f>
        <v>0</v>
      </c>
      <c r="AO107" s="128">
        <f t="shared" si="174"/>
        <v>24986255</v>
      </c>
      <c r="AP107" s="253">
        <f t="shared" si="175"/>
        <v>18048928</v>
      </c>
      <c r="AQ107" s="253">
        <f t="shared" si="176"/>
        <v>0</v>
      </c>
      <c r="AR107" s="130">
        <f t="shared" si="177"/>
        <v>6100538</v>
      </c>
      <c r="AS107" s="130">
        <f t="shared" si="178"/>
        <v>360979</v>
      </c>
      <c r="AT107" s="253">
        <f t="shared" si="179"/>
        <v>475810</v>
      </c>
      <c r="AU107" s="132">
        <f t="shared" si="180"/>
        <v>34.5518</v>
      </c>
      <c r="AV107" s="132">
        <f t="shared" si="181"/>
        <v>26.76</v>
      </c>
      <c r="AW107" s="133">
        <f t="shared" si="182"/>
        <v>7.7918000000000003</v>
      </c>
    </row>
    <row r="108" spans="1:49" s="196" customFormat="1" ht="14.1" customHeight="1" x14ac:dyDescent="0.2">
      <c r="A108" s="241">
        <v>17</v>
      </c>
      <c r="B108" s="191">
        <v>2494</v>
      </c>
      <c r="C108" s="212">
        <v>600080315</v>
      </c>
      <c r="D108" s="143">
        <v>72741996</v>
      </c>
      <c r="E108" s="193" t="s">
        <v>782</v>
      </c>
      <c r="F108" s="206">
        <v>3113</v>
      </c>
      <c r="G108" s="98" t="s">
        <v>319</v>
      </c>
      <c r="H108" s="205" t="s">
        <v>283</v>
      </c>
      <c r="I108" s="126">
        <f t="shared" si="159"/>
        <v>807356</v>
      </c>
      <c r="J108" s="631">
        <v>594519</v>
      </c>
      <c r="K108" s="127">
        <f t="shared" si="160"/>
        <v>200947</v>
      </c>
      <c r="L108" s="477">
        <f t="shared" si="161"/>
        <v>11890</v>
      </c>
      <c r="M108" s="479">
        <v>0</v>
      </c>
      <c r="N108" s="390">
        <f t="shared" si="162"/>
        <v>1.5284</v>
      </c>
      <c r="O108" s="644">
        <v>1.5284</v>
      </c>
      <c r="P108" s="639">
        <v>0</v>
      </c>
      <c r="Q108" s="387">
        <f t="shared" si="163"/>
        <v>0</v>
      </c>
      <c r="R108" s="253">
        <v>0</v>
      </c>
      <c r="S108" s="253">
        <v>0</v>
      </c>
      <c r="T108" s="253">
        <v>0</v>
      </c>
      <c r="U108" s="130">
        <f>SUM(Q108:T108)</f>
        <v>0</v>
      </c>
      <c r="V108" s="130">
        <v>0</v>
      </c>
      <c r="W108" s="130">
        <v>0</v>
      </c>
      <c r="X108" s="130">
        <v>0</v>
      </c>
      <c r="Y108" s="130">
        <f>SUM(V108:X108)</f>
        <v>0</v>
      </c>
      <c r="Z108" s="130">
        <f>U108+Y108</f>
        <v>0</v>
      </c>
      <c r="AA108" s="316">
        <f t="shared" si="167"/>
        <v>0</v>
      </c>
      <c r="AB108" s="131">
        <f>ROUND(U108*2%,0)</f>
        <v>0</v>
      </c>
      <c r="AC108" s="130">
        <v>0</v>
      </c>
      <c r="AD108" s="130">
        <v>0</v>
      </c>
      <c r="AE108" s="130">
        <f>SUM(AC108:AD108)</f>
        <v>0</v>
      </c>
      <c r="AF108" s="130">
        <f>Z108+AA108+AB108+AE108</f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f>AG108+AI108+AJ108</f>
        <v>0</v>
      </c>
      <c r="AM108" s="132">
        <f>AH108+AK108</f>
        <v>0</v>
      </c>
      <c r="AN108" s="403">
        <f>SUM(AL108:AM108)</f>
        <v>0</v>
      </c>
      <c r="AO108" s="128">
        <f t="shared" si="174"/>
        <v>807356</v>
      </c>
      <c r="AP108" s="253">
        <f t="shared" si="175"/>
        <v>594519</v>
      </c>
      <c r="AQ108" s="253">
        <f t="shared" si="176"/>
        <v>0</v>
      </c>
      <c r="AR108" s="130">
        <f t="shared" si="177"/>
        <v>200947</v>
      </c>
      <c r="AS108" s="130">
        <f t="shared" si="178"/>
        <v>11890</v>
      </c>
      <c r="AT108" s="253">
        <f t="shared" si="179"/>
        <v>0</v>
      </c>
      <c r="AU108" s="132">
        <f t="shared" si="180"/>
        <v>1.5284</v>
      </c>
      <c r="AV108" s="132">
        <f t="shared" si="181"/>
        <v>1.5284</v>
      </c>
      <c r="AW108" s="133">
        <f t="shared" si="182"/>
        <v>0</v>
      </c>
    </row>
    <row r="109" spans="1:49" s="196" customFormat="1" ht="14.1" customHeight="1" x14ac:dyDescent="0.2">
      <c r="A109" s="241">
        <v>17</v>
      </c>
      <c r="B109" s="207">
        <v>2494</v>
      </c>
      <c r="C109" s="212">
        <v>600080315</v>
      </c>
      <c r="D109" s="143">
        <v>72741996</v>
      </c>
      <c r="E109" s="208" t="s">
        <v>782</v>
      </c>
      <c r="F109" s="194">
        <v>3113</v>
      </c>
      <c r="G109" s="143" t="s">
        <v>318</v>
      </c>
      <c r="H109" s="205" t="s">
        <v>284</v>
      </c>
      <c r="I109" s="126">
        <f t="shared" si="159"/>
        <v>0</v>
      </c>
      <c r="J109" s="325">
        <v>0</v>
      </c>
      <c r="K109" s="127">
        <f t="shared" si="160"/>
        <v>0</v>
      </c>
      <c r="L109" s="477">
        <f t="shared" si="161"/>
        <v>0</v>
      </c>
      <c r="M109" s="325">
        <v>0</v>
      </c>
      <c r="N109" s="390">
        <f t="shared" si="162"/>
        <v>0</v>
      </c>
      <c r="O109" s="640">
        <v>0</v>
      </c>
      <c r="P109" s="641">
        <v>0</v>
      </c>
      <c r="Q109" s="387">
        <f t="shared" si="163"/>
        <v>0</v>
      </c>
      <c r="R109" s="253">
        <f>1982631+590461</f>
        <v>2573092</v>
      </c>
      <c r="S109" s="253">
        <v>0</v>
      </c>
      <c r="T109" s="253">
        <v>0</v>
      </c>
      <c r="U109" s="130">
        <f>SUM(Q109:T109)</f>
        <v>2573092</v>
      </c>
      <c r="V109" s="130">
        <v>0</v>
      </c>
      <c r="W109" s="130">
        <v>0</v>
      </c>
      <c r="X109" s="130">
        <v>0</v>
      </c>
      <c r="Y109" s="130">
        <f>SUM(V109:X109)</f>
        <v>0</v>
      </c>
      <c r="Z109" s="130">
        <f>U109+Y109</f>
        <v>2573092</v>
      </c>
      <c r="AA109" s="316">
        <f t="shared" si="167"/>
        <v>869705</v>
      </c>
      <c r="AB109" s="131">
        <f>ROUND(U109*2%,0)</f>
        <v>51462</v>
      </c>
      <c r="AC109" s="130">
        <v>6250</v>
      </c>
      <c r="AD109" s="130">
        <v>0</v>
      </c>
      <c r="AE109" s="130">
        <f>SUM(AC109:AD109)</f>
        <v>6250</v>
      </c>
      <c r="AF109" s="130">
        <f>Z109+AA109+AB109+AE109</f>
        <v>3500509</v>
      </c>
      <c r="AG109" s="132">
        <v>0</v>
      </c>
      <c r="AH109" s="132">
        <v>0</v>
      </c>
      <c r="AI109" s="132">
        <f>5.64+1.68</f>
        <v>7.3199999999999994</v>
      </c>
      <c r="AJ109" s="132">
        <v>0</v>
      </c>
      <c r="AK109" s="132">
        <v>0</v>
      </c>
      <c r="AL109" s="132">
        <f>AG109+AI109+AJ109</f>
        <v>7.3199999999999994</v>
      </c>
      <c r="AM109" s="132">
        <f>AH109+AK109</f>
        <v>0</v>
      </c>
      <c r="AN109" s="403">
        <f>SUM(AL109:AM109)</f>
        <v>7.3199999999999994</v>
      </c>
      <c r="AO109" s="128">
        <f t="shared" si="174"/>
        <v>3500509</v>
      </c>
      <c r="AP109" s="253">
        <f t="shared" si="175"/>
        <v>2573092</v>
      </c>
      <c r="AQ109" s="253">
        <f t="shared" si="176"/>
        <v>0</v>
      </c>
      <c r="AR109" s="130">
        <f t="shared" si="177"/>
        <v>869705</v>
      </c>
      <c r="AS109" s="130">
        <f t="shared" si="178"/>
        <v>51462</v>
      </c>
      <c r="AT109" s="253">
        <f t="shared" si="179"/>
        <v>6250</v>
      </c>
      <c r="AU109" s="132">
        <f t="shared" si="180"/>
        <v>7.3199999999999994</v>
      </c>
      <c r="AV109" s="132">
        <f t="shared" si="181"/>
        <v>7.3199999999999994</v>
      </c>
      <c r="AW109" s="133">
        <f t="shared" si="182"/>
        <v>0</v>
      </c>
    </row>
    <row r="110" spans="1:49" s="196" customFormat="1" ht="14.1" customHeight="1" x14ac:dyDescent="0.2">
      <c r="A110" s="241">
        <v>17</v>
      </c>
      <c r="B110" s="143">
        <v>2494</v>
      </c>
      <c r="C110" s="537">
        <v>600080315</v>
      </c>
      <c r="D110" s="143">
        <v>72741996</v>
      </c>
      <c r="E110" s="145" t="s">
        <v>782</v>
      </c>
      <c r="F110" s="206">
        <v>3143</v>
      </c>
      <c r="G110" s="145" t="s">
        <v>635</v>
      </c>
      <c r="H110" s="205" t="s">
        <v>283</v>
      </c>
      <c r="I110" s="126">
        <f t="shared" si="159"/>
        <v>1691641</v>
      </c>
      <c r="J110" s="29">
        <v>1245685</v>
      </c>
      <c r="K110" s="127">
        <f t="shared" si="160"/>
        <v>421042</v>
      </c>
      <c r="L110" s="477">
        <f t="shared" si="161"/>
        <v>24914</v>
      </c>
      <c r="M110" s="479">
        <v>0</v>
      </c>
      <c r="N110" s="390">
        <f t="shared" si="162"/>
        <v>2.5470000000000002</v>
      </c>
      <c r="O110" s="22">
        <v>2.5470000000000002</v>
      </c>
      <c r="P110" s="641">
        <v>0</v>
      </c>
      <c r="Q110" s="387">
        <f t="shared" si="163"/>
        <v>0</v>
      </c>
      <c r="R110" s="130">
        <v>0</v>
      </c>
      <c r="S110" s="130">
        <v>0</v>
      </c>
      <c r="T110" s="130">
        <v>0</v>
      </c>
      <c r="U110" s="130">
        <f>SUM(Q110:T110)</f>
        <v>0</v>
      </c>
      <c r="V110" s="130">
        <v>0</v>
      </c>
      <c r="W110" s="130">
        <v>0</v>
      </c>
      <c r="X110" s="130">
        <v>0</v>
      </c>
      <c r="Y110" s="130">
        <f>SUM(V110:X110)</f>
        <v>0</v>
      </c>
      <c r="Z110" s="130">
        <f>U110+Y110</f>
        <v>0</v>
      </c>
      <c r="AA110" s="316">
        <f t="shared" si="167"/>
        <v>0</v>
      </c>
      <c r="AB110" s="131">
        <f>ROUND(U110*2%,0)</f>
        <v>0</v>
      </c>
      <c r="AC110" s="130">
        <v>0</v>
      </c>
      <c r="AD110" s="130">
        <v>0</v>
      </c>
      <c r="AE110" s="130">
        <f>SUM(AC110:AD110)</f>
        <v>0</v>
      </c>
      <c r="AF110" s="130">
        <f>Z110+AA110+AB110+AE110</f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f>AG110+AI110+AJ110</f>
        <v>0</v>
      </c>
      <c r="AM110" s="132">
        <f>AH110+AK110</f>
        <v>0</v>
      </c>
      <c r="AN110" s="403">
        <f>SUM(AL110:AM110)</f>
        <v>0</v>
      </c>
      <c r="AO110" s="128">
        <f t="shared" si="174"/>
        <v>1691641</v>
      </c>
      <c r="AP110" s="253">
        <f t="shared" si="175"/>
        <v>1245685</v>
      </c>
      <c r="AQ110" s="253">
        <f t="shared" si="176"/>
        <v>0</v>
      </c>
      <c r="AR110" s="130">
        <f t="shared" si="177"/>
        <v>421042</v>
      </c>
      <c r="AS110" s="130">
        <f t="shared" si="178"/>
        <v>24914</v>
      </c>
      <c r="AT110" s="253">
        <f t="shared" si="179"/>
        <v>0</v>
      </c>
      <c r="AU110" s="132">
        <f t="shared" si="180"/>
        <v>2.5470000000000002</v>
      </c>
      <c r="AV110" s="132">
        <f t="shared" si="181"/>
        <v>2.5470000000000002</v>
      </c>
      <c r="AW110" s="133">
        <f t="shared" si="182"/>
        <v>0</v>
      </c>
    </row>
    <row r="111" spans="1:49" s="196" customFormat="1" ht="14.1" customHeight="1" x14ac:dyDescent="0.2">
      <c r="A111" s="241">
        <v>17</v>
      </c>
      <c r="B111" s="143">
        <v>2494</v>
      </c>
      <c r="C111" s="537">
        <v>600080315</v>
      </c>
      <c r="D111" s="143">
        <v>72741996</v>
      </c>
      <c r="E111" s="145" t="s">
        <v>782</v>
      </c>
      <c r="F111" s="206">
        <v>3143</v>
      </c>
      <c r="G111" s="145" t="s">
        <v>636</v>
      </c>
      <c r="H111" s="205" t="s">
        <v>284</v>
      </c>
      <c r="I111" s="126">
        <f t="shared" si="159"/>
        <v>59688</v>
      </c>
      <c r="J111" s="664">
        <v>42075</v>
      </c>
      <c r="K111" s="127">
        <f t="shared" si="160"/>
        <v>14221</v>
      </c>
      <c r="L111" s="477">
        <f t="shared" si="161"/>
        <v>842</v>
      </c>
      <c r="M111" s="664">
        <v>2550</v>
      </c>
      <c r="N111" s="390">
        <f t="shared" si="162"/>
        <v>0.18</v>
      </c>
      <c r="O111" s="662">
        <v>0</v>
      </c>
      <c r="P111" s="663">
        <v>0.18</v>
      </c>
      <c r="Q111" s="387">
        <f t="shared" si="163"/>
        <v>0</v>
      </c>
      <c r="R111" s="130">
        <v>0</v>
      </c>
      <c r="S111" s="130">
        <v>0</v>
      </c>
      <c r="T111" s="130">
        <v>0</v>
      </c>
      <c r="U111" s="130">
        <f>SUM(Q111:T111)</f>
        <v>0</v>
      </c>
      <c r="V111" s="130">
        <v>0</v>
      </c>
      <c r="W111" s="130">
        <v>0</v>
      </c>
      <c r="X111" s="130">
        <v>0</v>
      </c>
      <c r="Y111" s="130">
        <f>SUM(V111:X111)</f>
        <v>0</v>
      </c>
      <c r="Z111" s="130">
        <f>U111+Y111</f>
        <v>0</v>
      </c>
      <c r="AA111" s="316">
        <f t="shared" si="167"/>
        <v>0</v>
      </c>
      <c r="AB111" s="131">
        <f>ROUND(U111*2%,0)</f>
        <v>0</v>
      </c>
      <c r="AC111" s="130">
        <v>0</v>
      </c>
      <c r="AD111" s="130">
        <v>0</v>
      </c>
      <c r="AE111" s="130">
        <f>SUM(AC111:AD111)</f>
        <v>0</v>
      </c>
      <c r="AF111" s="130">
        <f>Z111+AA111+AB111+AE111</f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f>AG111+AI111+AJ111</f>
        <v>0</v>
      </c>
      <c r="AM111" s="132">
        <f>AH111+AK111</f>
        <v>0</v>
      </c>
      <c r="AN111" s="403">
        <f>SUM(AL111:AM111)</f>
        <v>0</v>
      </c>
      <c r="AO111" s="128">
        <f t="shared" si="174"/>
        <v>59688</v>
      </c>
      <c r="AP111" s="253">
        <f t="shared" si="175"/>
        <v>42075</v>
      </c>
      <c r="AQ111" s="253">
        <f t="shared" si="176"/>
        <v>0</v>
      </c>
      <c r="AR111" s="130">
        <f t="shared" si="177"/>
        <v>14221</v>
      </c>
      <c r="AS111" s="130">
        <f t="shared" si="178"/>
        <v>842</v>
      </c>
      <c r="AT111" s="253">
        <f t="shared" si="179"/>
        <v>2550</v>
      </c>
      <c r="AU111" s="132">
        <f t="shared" si="180"/>
        <v>0.18</v>
      </c>
      <c r="AV111" s="132">
        <f t="shared" si="181"/>
        <v>0</v>
      </c>
      <c r="AW111" s="133">
        <f t="shared" si="182"/>
        <v>0.18</v>
      </c>
    </row>
    <row r="112" spans="1:49" s="196" customFormat="1" ht="14.1" customHeight="1" x14ac:dyDescent="0.2">
      <c r="A112" s="242">
        <v>17</v>
      </c>
      <c r="B112" s="198">
        <v>2494</v>
      </c>
      <c r="C112" s="213">
        <v>600080315</v>
      </c>
      <c r="D112" s="198">
        <v>72741996</v>
      </c>
      <c r="E112" s="200" t="s">
        <v>783</v>
      </c>
      <c r="F112" s="201"/>
      <c r="G112" s="202"/>
      <c r="H112" s="203"/>
      <c r="I112" s="197">
        <f t="shared" ref="I112:P112" si="210">SUM(I107:I111)</f>
        <v>27544940</v>
      </c>
      <c r="J112" s="357">
        <f t="shared" si="210"/>
        <v>19931207</v>
      </c>
      <c r="K112" s="357">
        <f t="shared" si="210"/>
        <v>6736748</v>
      </c>
      <c r="L112" s="357">
        <f t="shared" si="210"/>
        <v>398625</v>
      </c>
      <c r="M112" s="357">
        <f t="shared" si="210"/>
        <v>478360</v>
      </c>
      <c r="N112" s="678">
        <f t="shared" si="210"/>
        <v>38.807199999999995</v>
      </c>
      <c r="O112" s="678">
        <f t="shared" si="210"/>
        <v>30.835400000000003</v>
      </c>
      <c r="P112" s="679">
        <f t="shared" si="210"/>
        <v>7.9718</v>
      </c>
      <c r="Q112" s="357">
        <f t="shared" ref="Q112:AW112" si="211">SUM(Q107:Q111)</f>
        <v>0</v>
      </c>
      <c r="R112" s="209">
        <f t="shared" si="211"/>
        <v>2573092</v>
      </c>
      <c r="S112" s="209">
        <f t="shared" si="211"/>
        <v>0</v>
      </c>
      <c r="T112" s="209">
        <f t="shared" si="211"/>
        <v>0</v>
      </c>
      <c r="U112" s="209">
        <f t="shared" si="211"/>
        <v>2573092</v>
      </c>
      <c r="V112" s="209">
        <f t="shared" si="211"/>
        <v>0</v>
      </c>
      <c r="W112" s="209">
        <f t="shared" ref="W112" si="212">SUM(W107:W111)</f>
        <v>0</v>
      </c>
      <c r="X112" s="209">
        <f t="shared" si="211"/>
        <v>0</v>
      </c>
      <c r="Y112" s="209">
        <f t="shared" si="211"/>
        <v>0</v>
      </c>
      <c r="Z112" s="209">
        <f t="shared" si="211"/>
        <v>2573092</v>
      </c>
      <c r="AA112" s="209">
        <f t="shared" si="211"/>
        <v>869705</v>
      </c>
      <c r="AB112" s="209">
        <f t="shared" si="211"/>
        <v>51462</v>
      </c>
      <c r="AC112" s="209">
        <f t="shared" si="211"/>
        <v>6250</v>
      </c>
      <c r="AD112" s="209">
        <f t="shared" si="211"/>
        <v>0</v>
      </c>
      <c r="AE112" s="209">
        <f t="shared" si="211"/>
        <v>6250</v>
      </c>
      <c r="AF112" s="209">
        <f t="shared" si="211"/>
        <v>3500509</v>
      </c>
      <c r="AG112" s="210">
        <f t="shared" si="211"/>
        <v>0</v>
      </c>
      <c r="AH112" s="210">
        <f t="shared" si="211"/>
        <v>0</v>
      </c>
      <c r="AI112" s="210">
        <f t="shared" si="211"/>
        <v>7.3199999999999994</v>
      </c>
      <c r="AJ112" s="210">
        <f t="shared" si="211"/>
        <v>0</v>
      </c>
      <c r="AK112" s="210">
        <f t="shared" si="211"/>
        <v>0</v>
      </c>
      <c r="AL112" s="210">
        <f t="shared" si="211"/>
        <v>7.3199999999999994</v>
      </c>
      <c r="AM112" s="210">
        <f t="shared" si="211"/>
        <v>0</v>
      </c>
      <c r="AN112" s="383">
        <f t="shared" si="211"/>
        <v>7.3199999999999994</v>
      </c>
      <c r="AO112" s="692">
        <f t="shared" si="211"/>
        <v>31045449</v>
      </c>
      <c r="AP112" s="685">
        <f t="shared" si="211"/>
        <v>22504299</v>
      </c>
      <c r="AQ112" s="685">
        <f t="shared" si="211"/>
        <v>0</v>
      </c>
      <c r="AR112" s="685">
        <f t="shared" si="211"/>
        <v>7606453</v>
      </c>
      <c r="AS112" s="685">
        <f t="shared" si="211"/>
        <v>450087</v>
      </c>
      <c r="AT112" s="685">
        <f t="shared" si="211"/>
        <v>484610</v>
      </c>
      <c r="AU112" s="383">
        <f t="shared" si="211"/>
        <v>46.127199999999995</v>
      </c>
      <c r="AV112" s="383">
        <f t="shared" si="211"/>
        <v>38.1554</v>
      </c>
      <c r="AW112" s="211">
        <f t="shared" si="211"/>
        <v>7.9718</v>
      </c>
    </row>
    <row r="113" spans="1:49" s="196" customFormat="1" ht="14.1" customHeight="1" x14ac:dyDescent="0.2">
      <c r="A113" s="241">
        <v>18</v>
      </c>
      <c r="B113" s="191">
        <v>2301</v>
      </c>
      <c r="C113" s="192">
        <v>600080226</v>
      </c>
      <c r="D113" s="143">
        <v>72741830</v>
      </c>
      <c r="E113" s="193" t="s">
        <v>784</v>
      </c>
      <c r="F113" s="194">
        <v>3231</v>
      </c>
      <c r="G113" s="145" t="s">
        <v>322</v>
      </c>
      <c r="H113" s="205" t="s">
        <v>283</v>
      </c>
      <c r="I113" s="126">
        <f t="shared" si="159"/>
        <v>3949356</v>
      </c>
      <c r="J113" s="478">
        <v>2897972</v>
      </c>
      <c r="K113" s="127">
        <f t="shared" si="160"/>
        <v>979515</v>
      </c>
      <c r="L113" s="477">
        <f t="shared" si="161"/>
        <v>57959</v>
      </c>
      <c r="M113" s="479">
        <v>13910</v>
      </c>
      <c r="N113" s="390">
        <f t="shared" ref="N113" si="213">O113+P113</f>
        <v>5.6237000000000004</v>
      </c>
      <c r="O113" s="647">
        <v>4.9706000000000001</v>
      </c>
      <c r="P113" s="639">
        <v>0.65310000000000001</v>
      </c>
      <c r="Q113" s="387">
        <f t="shared" si="163"/>
        <v>0</v>
      </c>
      <c r="R113" s="253">
        <v>0</v>
      </c>
      <c r="S113" s="253">
        <v>0</v>
      </c>
      <c r="T113" s="253">
        <v>0</v>
      </c>
      <c r="U113" s="130">
        <f>SUM(Q113:T113)</f>
        <v>0</v>
      </c>
      <c r="V113" s="130">
        <v>0</v>
      </c>
      <c r="W113" s="130">
        <v>0</v>
      </c>
      <c r="X113" s="130">
        <v>0</v>
      </c>
      <c r="Y113" s="130">
        <f>SUM(V113:X113)</f>
        <v>0</v>
      </c>
      <c r="Z113" s="130">
        <f>U113+Y113</f>
        <v>0</v>
      </c>
      <c r="AA113" s="316">
        <f t="shared" si="167"/>
        <v>0</v>
      </c>
      <c r="AB113" s="131">
        <f>ROUND(U113*2%,0)</f>
        <v>0</v>
      </c>
      <c r="AC113" s="130">
        <v>0</v>
      </c>
      <c r="AD113" s="130">
        <v>0</v>
      </c>
      <c r="AE113" s="130">
        <f>SUM(AC113:AD113)</f>
        <v>0</v>
      </c>
      <c r="AF113" s="130">
        <f>Z113+AA113+AB113+AE113</f>
        <v>0</v>
      </c>
      <c r="AG113" s="132">
        <v>0</v>
      </c>
      <c r="AH113" s="132">
        <v>0</v>
      </c>
      <c r="AI113" s="132">
        <v>0</v>
      </c>
      <c r="AJ113" s="132">
        <v>0</v>
      </c>
      <c r="AK113" s="132">
        <v>0</v>
      </c>
      <c r="AL113" s="132">
        <f>AG113+AI113+AJ113</f>
        <v>0</v>
      </c>
      <c r="AM113" s="132">
        <f>AH113+AK113</f>
        <v>0</v>
      </c>
      <c r="AN113" s="403">
        <f>SUM(AL113:AM113)</f>
        <v>0</v>
      </c>
      <c r="AO113" s="128">
        <f t="shared" si="174"/>
        <v>3949356</v>
      </c>
      <c r="AP113" s="253">
        <f t="shared" si="175"/>
        <v>2897972</v>
      </c>
      <c r="AQ113" s="253">
        <f t="shared" si="176"/>
        <v>0</v>
      </c>
      <c r="AR113" s="130">
        <f t="shared" si="177"/>
        <v>979515</v>
      </c>
      <c r="AS113" s="130">
        <f t="shared" si="178"/>
        <v>57959</v>
      </c>
      <c r="AT113" s="253">
        <f t="shared" si="179"/>
        <v>13910</v>
      </c>
      <c r="AU113" s="132">
        <f t="shared" si="180"/>
        <v>5.6237000000000004</v>
      </c>
      <c r="AV113" s="132">
        <f t="shared" si="181"/>
        <v>4.9706000000000001</v>
      </c>
      <c r="AW113" s="133">
        <f t="shared" si="182"/>
        <v>0.65310000000000001</v>
      </c>
    </row>
    <row r="114" spans="1:49" s="196" customFormat="1" ht="14.1" customHeight="1" x14ac:dyDescent="0.2">
      <c r="A114" s="242">
        <v>18</v>
      </c>
      <c r="B114" s="198">
        <v>2301</v>
      </c>
      <c r="C114" s="199">
        <v>600080226</v>
      </c>
      <c r="D114" s="198">
        <v>72741830</v>
      </c>
      <c r="E114" s="200" t="s">
        <v>785</v>
      </c>
      <c r="F114" s="201"/>
      <c r="G114" s="202"/>
      <c r="H114" s="203"/>
      <c r="I114" s="217">
        <f t="shared" ref="I114:P114" si="214">SUM(I113)</f>
        <v>3949356</v>
      </c>
      <c r="J114" s="358">
        <f t="shared" si="214"/>
        <v>2897972</v>
      </c>
      <c r="K114" s="358">
        <f t="shared" si="214"/>
        <v>979515</v>
      </c>
      <c r="L114" s="358">
        <f t="shared" si="214"/>
        <v>57959</v>
      </c>
      <c r="M114" s="358">
        <f t="shared" si="214"/>
        <v>13910</v>
      </c>
      <c r="N114" s="680">
        <f t="shared" si="214"/>
        <v>5.6237000000000004</v>
      </c>
      <c r="O114" s="680">
        <f t="shared" si="214"/>
        <v>4.9706000000000001</v>
      </c>
      <c r="P114" s="681">
        <f t="shared" si="214"/>
        <v>0.65310000000000001</v>
      </c>
      <c r="Q114" s="358">
        <f t="shared" ref="Q114:AW114" si="215">SUM(Q113)</f>
        <v>0</v>
      </c>
      <c r="R114" s="218">
        <f t="shared" si="215"/>
        <v>0</v>
      </c>
      <c r="S114" s="218">
        <f t="shared" si="215"/>
        <v>0</v>
      </c>
      <c r="T114" s="218">
        <f t="shared" si="215"/>
        <v>0</v>
      </c>
      <c r="U114" s="218">
        <f t="shared" si="215"/>
        <v>0</v>
      </c>
      <c r="V114" s="218">
        <f t="shared" si="215"/>
        <v>0</v>
      </c>
      <c r="W114" s="218">
        <f t="shared" ref="W114" si="216">SUM(W113)</f>
        <v>0</v>
      </c>
      <c r="X114" s="218">
        <f t="shared" si="215"/>
        <v>0</v>
      </c>
      <c r="Y114" s="218">
        <f t="shared" si="215"/>
        <v>0</v>
      </c>
      <c r="Z114" s="218">
        <f t="shared" si="215"/>
        <v>0</v>
      </c>
      <c r="AA114" s="218">
        <f t="shared" si="215"/>
        <v>0</v>
      </c>
      <c r="AB114" s="218">
        <f t="shared" si="215"/>
        <v>0</v>
      </c>
      <c r="AC114" s="218">
        <f t="shared" si="215"/>
        <v>0</v>
      </c>
      <c r="AD114" s="218">
        <f t="shared" si="215"/>
        <v>0</v>
      </c>
      <c r="AE114" s="218">
        <f t="shared" si="215"/>
        <v>0</v>
      </c>
      <c r="AF114" s="218">
        <f t="shared" si="215"/>
        <v>0</v>
      </c>
      <c r="AG114" s="219">
        <f t="shared" si="215"/>
        <v>0</v>
      </c>
      <c r="AH114" s="219">
        <f t="shared" si="215"/>
        <v>0</v>
      </c>
      <c r="AI114" s="219">
        <f t="shared" si="215"/>
        <v>0</v>
      </c>
      <c r="AJ114" s="219">
        <f t="shared" si="215"/>
        <v>0</v>
      </c>
      <c r="AK114" s="219">
        <f t="shared" si="215"/>
        <v>0</v>
      </c>
      <c r="AL114" s="219">
        <f t="shared" si="215"/>
        <v>0</v>
      </c>
      <c r="AM114" s="219">
        <f t="shared" si="215"/>
        <v>0</v>
      </c>
      <c r="AN114" s="384">
        <f t="shared" si="215"/>
        <v>0</v>
      </c>
      <c r="AO114" s="694">
        <f t="shared" si="215"/>
        <v>3949356</v>
      </c>
      <c r="AP114" s="687">
        <f t="shared" si="215"/>
        <v>2897972</v>
      </c>
      <c r="AQ114" s="687">
        <f t="shared" si="215"/>
        <v>0</v>
      </c>
      <c r="AR114" s="687">
        <f t="shared" si="215"/>
        <v>979515</v>
      </c>
      <c r="AS114" s="687">
        <f t="shared" si="215"/>
        <v>57959</v>
      </c>
      <c r="AT114" s="687">
        <f t="shared" si="215"/>
        <v>13910</v>
      </c>
      <c r="AU114" s="384">
        <f t="shared" si="215"/>
        <v>5.6237000000000004</v>
      </c>
      <c r="AV114" s="384">
        <f t="shared" si="215"/>
        <v>4.9706000000000001</v>
      </c>
      <c r="AW114" s="220">
        <f t="shared" si="215"/>
        <v>0.65310000000000001</v>
      </c>
    </row>
    <row r="115" spans="1:49" s="196" customFormat="1" ht="14.1" customHeight="1" x14ac:dyDescent="0.2">
      <c r="A115" s="241">
        <v>19</v>
      </c>
      <c r="B115" s="207">
        <v>2497</v>
      </c>
      <c r="C115" s="212">
        <v>600080064</v>
      </c>
      <c r="D115" s="143">
        <v>72744189</v>
      </c>
      <c r="E115" s="193" t="s">
        <v>786</v>
      </c>
      <c r="F115" s="206">
        <v>3111</v>
      </c>
      <c r="G115" s="145" t="s">
        <v>317</v>
      </c>
      <c r="H115" s="205" t="s">
        <v>283</v>
      </c>
      <c r="I115" s="126">
        <f t="shared" si="159"/>
        <v>6140684</v>
      </c>
      <c r="J115" s="127">
        <v>4492035</v>
      </c>
      <c r="K115" s="127">
        <f t="shared" si="160"/>
        <v>1518308</v>
      </c>
      <c r="L115" s="477">
        <f t="shared" si="161"/>
        <v>89841</v>
      </c>
      <c r="M115" s="127">
        <v>40500</v>
      </c>
      <c r="N115" s="390">
        <f t="shared" si="162"/>
        <v>10.043699999999999</v>
      </c>
      <c r="O115" s="390">
        <v>8</v>
      </c>
      <c r="P115" s="439">
        <v>2.0436999999999999</v>
      </c>
      <c r="Q115" s="387">
        <f t="shared" si="163"/>
        <v>-46400</v>
      </c>
      <c r="R115" s="253">
        <v>0</v>
      </c>
      <c r="S115" s="253">
        <v>0</v>
      </c>
      <c r="T115" s="253">
        <v>0</v>
      </c>
      <c r="U115" s="130">
        <f t="shared" ref="U115:U122" si="217">SUM(Q115:T115)</f>
        <v>-46400</v>
      </c>
      <c r="V115" s="130">
        <v>46400</v>
      </c>
      <c r="W115" s="130">
        <v>0</v>
      </c>
      <c r="X115" s="130">
        <v>0</v>
      </c>
      <c r="Y115" s="130">
        <f t="shared" ref="Y115:Y122" si="218">SUM(V115:X115)</f>
        <v>46400</v>
      </c>
      <c r="Z115" s="130">
        <f t="shared" ref="Z115:Z122" si="219">U115+Y115</f>
        <v>0</v>
      </c>
      <c r="AA115" s="316">
        <f t="shared" si="167"/>
        <v>0</v>
      </c>
      <c r="AB115" s="131">
        <f t="shared" ref="AB115:AB122" si="220">ROUND(U115*2%,0)</f>
        <v>-928</v>
      </c>
      <c r="AC115" s="130">
        <v>0</v>
      </c>
      <c r="AD115" s="130">
        <v>0</v>
      </c>
      <c r="AE115" s="130">
        <f t="shared" ref="AE115:AE122" si="221">SUM(AC115:AD115)</f>
        <v>0</v>
      </c>
      <c r="AF115" s="130">
        <f t="shared" ref="AF115:AF122" si="222">Z115+AA115+AB115+AE115</f>
        <v>-928</v>
      </c>
      <c r="AG115" s="132">
        <v>-0.11</v>
      </c>
      <c r="AH115" s="132">
        <v>0</v>
      </c>
      <c r="AI115" s="132">
        <v>0</v>
      </c>
      <c r="AJ115" s="132">
        <v>0</v>
      </c>
      <c r="AK115" s="132">
        <v>0</v>
      </c>
      <c r="AL115" s="132">
        <f t="shared" ref="AL115:AL122" si="223">AG115+AI115+AJ115</f>
        <v>-0.11</v>
      </c>
      <c r="AM115" s="132">
        <f t="shared" ref="AM115:AM122" si="224">AH115+AK115</f>
        <v>0</v>
      </c>
      <c r="AN115" s="403">
        <f t="shared" ref="AN115:AN122" si="225">SUM(AL115:AM115)</f>
        <v>-0.11</v>
      </c>
      <c r="AO115" s="128">
        <f t="shared" si="174"/>
        <v>6139756</v>
      </c>
      <c r="AP115" s="253">
        <f t="shared" si="175"/>
        <v>4445635</v>
      </c>
      <c r="AQ115" s="253">
        <f t="shared" si="176"/>
        <v>46400</v>
      </c>
      <c r="AR115" s="130">
        <f t="shared" si="177"/>
        <v>1518308</v>
      </c>
      <c r="AS115" s="130">
        <f t="shared" si="178"/>
        <v>88913</v>
      </c>
      <c r="AT115" s="253">
        <f t="shared" si="179"/>
        <v>40500</v>
      </c>
      <c r="AU115" s="132">
        <f t="shared" si="180"/>
        <v>9.9337</v>
      </c>
      <c r="AV115" s="132">
        <f t="shared" si="181"/>
        <v>7.89</v>
      </c>
      <c r="AW115" s="133">
        <f t="shared" si="182"/>
        <v>2.0436999999999999</v>
      </c>
    </row>
    <row r="116" spans="1:49" s="196" customFormat="1" ht="14.1" customHeight="1" x14ac:dyDescent="0.2">
      <c r="A116" s="241">
        <v>19</v>
      </c>
      <c r="B116" s="191">
        <v>2497</v>
      </c>
      <c r="C116" s="212">
        <v>600080064</v>
      </c>
      <c r="D116" s="143">
        <v>72744189</v>
      </c>
      <c r="E116" s="193" t="s">
        <v>786</v>
      </c>
      <c r="F116" s="194">
        <v>3113</v>
      </c>
      <c r="G116" s="145" t="s">
        <v>320</v>
      </c>
      <c r="H116" s="205" t="s">
        <v>283</v>
      </c>
      <c r="I116" s="126">
        <f t="shared" si="159"/>
        <v>19982855</v>
      </c>
      <c r="J116" s="477">
        <v>14442950</v>
      </c>
      <c r="K116" s="127">
        <f t="shared" si="160"/>
        <v>4881717</v>
      </c>
      <c r="L116" s="477">
        <v>288858</v>
      </c>
      <c r="M116" s="477">
        <v>369330</v>
      </c>
      <c r="N116" s="390">
        <f t="shared" si="162"/>
        <v>28.389600000000002</v>
      </c>
      <c r="O116" s="645">
        <v>20.73</v>
      </c>
      <c r="P116" s="646">
        <v>7.6595999999999993</v>
      </c>
      <c r="Q116" s="387">
        <f t="shared" si="163"/>
        <v>-48000</v>
      </c>
      <c r="R116" s="253">
        <v>0</v>
      </c>
      <c r="S116" s="253">
        <v>0</v>
      </c>
      <c r="T116" s="253">
        <v>35154</v>
      </c>
      <c r="U116" s="130">
        <f t="shared" si="217"/>
        <v>-12846</v>
      </c>
      <c r="V116" s="130">
        <v>48000</v>
      </c>
      <c r="W116" s="130">
        <v>0</v>
      </c>
      <c r="X116" s="130">
        <v>0</v>
      </c>
      <c r="Y116" s="130">
        <f t="shared" si="218"/>
        <v>48000</v>
      </c>
      <c r="Z116" s="130">
        <f t="shared" si="219"/>
        <v>35154</v>
      </c>
      <c r="AA116" s="316">
        <f t="shared" si="167"/>
        <v>11882</v>
      </c>
      <c r="AB116" s="131">
        <f t="shared" si="220"/>
        <v>-257</v>
      </c>
      <c r="AC116" s="130">
        <v>0</v>
      </c>
      <c r="AD116" s="130">
        <v>0</v>
      </c>
      <c r="AE116" s="130">
        <f t="shared" si="221"/>
        <v>0</v>
      </c>
      <c r="AF116" s="130">
        <f t="shared" si="222"/>
        <v>46779</v>
      </c>
      <c r="AG116" s="132">
        <v>0</v>
      </c>
      <c r="AH116" s="132">
        <v>0</v>
      </c>
      <c r="AI116" s="132">
        <v>0</v>
      </c>
      <c r="AJ116" s="132">
        <v>0.06</v>
      </c>
      <c r="AK116" s="132">
        <v>0</v>
      </c>
      <c r="AL116" s="132">
        <f t="shared" si="223"/>
        <v>0.06</v>
      </c>
      <c r="AM116" s="132">
        <f t="shared" si="224"/>
        <v>0</v>
      </c>
      <c r="AN116" s="403">
        <f t="shared" si="225"/>
        <v>0.06</v>
      </c>
      <c r="AO116" s="128">
        <f t="shared" si="174"/>
        <v>20029634</v>
      </c>
      <c r="AP116" s="253">
        <f t="shared" si="175"/>
        <v>14430104</v>
      </c>
      <c r="AQ116" s="253">
        <f t="shared" si="176"/>
        <v>48000</v>
      </c>
      <c r="AR116" s="130">
        <f t="shared" si="177"/>
        <v>4893599</v>
      </c>
      <c r="AS116" s="130">
        <f t="shared" si="178"/>
        <v>288601</v>
      </c>
      <c r="AT116" s="253">
        <f t="shared" si="179"/>
        <v>369330</v>
      </c>
      <c r="AU116" s="132">
        <f t="shared" si="180"/>
        <v>28.4496</v>
      </c>
      <c r="AV116" s="132">
        <f t="shared" si="181"/>
        <v>20.79</v>
      </c>
      <c r="AW116" s="133">
        <f t="shared" si="182"/>
        <v>7.6595999999999993</v>
      </c>
    </row>
    <row r="117" spans="1:49" s="196" customFormat="1" ht="14.1" customHeight="1" x14ac:dyDescent="0.2">
      <c r="A117" s="241">
        <v>19</v>
      </c>
      <c r="B117" s="191">
        <v>2497</v>
      </c>
      <c r="C117" s="212">
        <v>600080064</v>
      </c>
      <c r="D117" s="143">
        <v>72744189</v>
      </c>
      <c r="E117" s="193" t="s">
        <v>786</v>
      </c>
      <c r="F117" s="206">
        <v>3113</v>
      </c>
      <c r="G117" s="98" t="s">
        <v>319</v>
      </c>
      <c r="H117" s="205" t="s">
        <v>283</v>
      </c>
      <c r="I117" s="126">
        <f t="shared" si="159"/>
        <v>1617699</v>
      </c>
      <c r="J117" s="631">
        <v>1191236</v>
      </c>
      <c r="K117" s="127">
        <f t="shared" si="160"/>
        <v>402638</v>
      </c>
      <c r="L117" s="477">
        <f t="shared" si="161"/>
        <v>23825</v>
      </c>
      <c r="M117" s="479">
        <v>0</v>
      </c>
      <c r="N117" s="390">
        <f t="shared" si="162"/>
        <v>3.0278</v>
      </c>
      <c r="O117" s="644">
        <v>3.0278</v>
      </c>
      <c r="P117" s="639">
        <v>0</v>
      </c>
      <c r="Q117" s="387">
        <f t="shared" si="163"/>
        <v>0</v>
      </c>
      <c r="R117" s="253">
        <v>0</v>
      </c>
      <c r="S117" s="253">
        <v>0</v>
      </c>
      <c r="T117" s="253">
        <v>0</v>
      </c>
      <c r="U117" s="130">
        <f t="shared" si="217"/>
        <v>0</v>
      </c>
      <c r="V117" s="130">
        <v>0</v>
      </c>
      <c r="W117" s="130">
        <v>0</v>
      </c>
      <c r="X117" s="130">
        <v>0</v>
      </c>
      <c r="Y117" s="130">
        <f t="shared" si="218"/>
        <v>0</v>
      </c>
      <c r="Z117" s="130">
        <f t="shared" si="219"/>
        <v>0</v>
      </c>
      <c r="AA117" s="316">
        <f t="shared" si="167"/>
        <v>0</v>
      </c>
      <c r="AB117" s="131">
        <f t="shared" si="220"/>
        <v>0</v>
      </c>
      <c r="AC117" s="130">
        <v>0</v>
      </c>
      <c r="AD117" s="130">
        <v>0</v>
      </c>
      <c r="AE117" s="130">
        <f t="shared" si="221"/>
        <v>0</v>
      </c>
      <c r="AF117" s="130">
        <f t="shared" si="222"/>
        <v>0</v>
      </c>
      <c r="AG117" s="132">
        <v>0</v>
      </c>
      <c r="AH117" s="132">
        <v>0</v>
      </c>
      <c r="AI117" s="132">
        <v>0</v>
      </c>
      <c r="AJ117" s="132">
        <v>0</v>
      </c>
      <c r="AK117" s="132">
        <v>0</v>
      </c>
      <c r="AL117" s="132">
        <f t="shared" si="223"/>
        <v>0</v>
      </c>
      <c r="AM117" s="132">
        <f t="shared" si="224"/>
        <v>0</v>
      </c>
      <c r="AN117" s="403">
        <f t="shared" si="225"/>
        <v>0</v>
      </c>
      <c r="AO117" s="128">
        <f t="shared" si="174"/>
        <v>1617699</v>
      </c>
      <c r="AP117" s="253">
        <f t="shared" si="175"/>
        <v>1191236</v>
      </c>
      <c r="AQ117" s="253">
        <f t="shared" si="176"/>
        <v>0</v>
      </c>
      <c r="AR117" s="130">
        <f t="shared" si="177"/>
        <v>402638</v>
      </c>
      <c r="AS117" s="130">
        <f t="shared" si="178"/>
        <v>23825</v>
      </c>
      <c r="AT117" s="253">
        <f t="shared" si="179"/>
        <v>0</v>
      </c>
      <c r="AU117" s="132">
        <f t="shared" si="180"/>
        <v>3.0278</v>
      </c>
      <c r="AV117" s="132">
        <f t="shared" si="181"/>
        <v>3.0278</v>
      </c>
      <c r="AW117" s="133">
        <f t="shared" si="182"/>
        <v>0</v>
      </c>
    </row>
    <row r="118" spans="1:49" s="196" customFormat="1" ht="14.1" customHeight="1" x14ac:dyDescent="0.2">
      <c r="A118" s="241">
        <v>19</v>
      </c>
      <c r="B118" s="207">
        <v>2497</v>
      </c>
      <c r="C118" s="212">
        <v>600080064</v>
      </c>
      <c r="D118" s="143">
        <v>72744189</v>
      </c>
      <c r="E118" s="208" t="s">
        <v>786</v>
      </c>
      <c r="F118" s="194">
        <v>3113</v>
      </c>
      <c r="G118" s="143" t="s">
        <v>318</v>
      </c>
      <c r="H118" s="205" t="s">
        <v>284</v>
      </c>
      <c r="I118" s="126">
        <f t="shared" si="159"/>
        <v>0</v>
      </c>
      <c r="J118" s="325">
        <v>0</v>
      </c>
      <c r="K118" s="127">
        <f t="shared" si="160"/>
        <v>0</v>
      </c>
      <c r="L118" s="477">
        <f t="shared" si="161"/>
        <v>0</v>
      </c>
      <c r="M118" s="325">
        <v>0</v>
      </c>
      <c r="N118" s="390">
        <f t="shared" si="162"/>
        <v>0</v>
      </c>
      <c r="O118" s="640">
        <v>0</v>
      </c>
      <c r="P118" s="641">
        <v>0</v>
      </c>
      <c r="Q118" s="387">
        <f t="shared" si="163"/>
        <v>0</v>
      </c>
      <c r="R118" s="253">
        <v>3556746</v>
      </c>
      <c r="S118" s="253">
        <v>0</v>
      </c>
      <c r="T118" s="253">
        <v>0</v>
      </c>
      <c r="U118" s="130">
        <f t="shared" si="217"/>
        <v>3556746</v>
      </c>
      <c r="V118" s="130">
        <v>0</v>
      </c>
      <c r="W118" s="130">
        <v>0</v>
      </c>
      <c r="X118" s="130">
        <v>0</v>
      </c>
      <c r="Y118" s="130">
        <f t="shared" si="218"/>
        <v>0</v>
      </c>
      <c r="Z118" s="130">
        <f t="shared" si="219"/>
        <v>3556746</v>
      </c>
      <c r="AA118" s="316">
        <f t="shared" si="167"/>
        <v>1202180</v>
      </c>
      <c r="AB118" s="131">
        <f t="shared" si="220"/>
        <v>71135</v>
      </c>
      <c r="AC118" s="130">
        <f>4450+500+500</f>
        <v>5450</v>
      </c>
      <c r="AD118" s="130">
        <v>0</v>
      </c>
      <c r="AE118" s="130">
        <f t="shared" si="221"/>
        <v>5450</v>
      </c>
      <c r="AF118" s="130">
        <f t="shared" si="222"/>
        <v>4835511</v>
      </c>
      <c r="AG118" s="132">
        <v>0</v>
      </c>
      <c r="AH118" s="132">
        <v>0</v>
      </c>
      <c r="AI118" s="132">
        <v>10.1</v>
      </c>
      <c r="AJ118" s="132">
        <v>0</v>
      </c>
      <c r="AK118" s="132">
        <v>0</v>
      </c>
      <c r="AL118" s="132">
        <f t="shared" si="223"/>
        <v>10.1</v>
      </c>
      <c r="AM118" s="132">
        <f t="shared" si="224"/>
        <v>0</v>
      </c>
      <c r="AN118" s="403">
        <f t="shared" si="225"/>
        <v>10.1</v>
      </c>
      <c r="AO118" s="128">
        <f t="shared" si="174"/>
        <v>4835511</v>
      </c>
      <c r="AP118" s="253">
        <f t="shared" si="175"/>
        <v>3556746</v>
      </c>
      <c r="AQ118" s="253">
        <f t="shared" si="176"/>
        <v>0</v>
      </c>
      <c r="AR118" s="130">
        <f t="shared" si="177"/>
        <v>1202180</v>
      </c>
      <c r="AS118" s="130">
        <f t="shared" si="178"/>
        <v>71135</v>
      </c>
      <c r="AT118" s="253">
        <f t="shared" si="179"/>
        <v>5450</v>
      </c>
      <c r="AU118" s="132">
        <f t="shared" si="180"/>
        <v>10.1</v>
      </c>
      <c r="AV118" s="132">
        <f t="shared" si="181"/>
        <v>10.1</v>
      </c>
      <c r="AW118" s="133">
        <f t="shared" si="182"/>
        <v>0</v>
      </c>
    </row>
    <row r="119" spans="1:49" s="196" customFormat="1" ht="14.1" customHeight="1" x14ac:dyDescent="0.2">
      <c r="A119" s="241">
        <v>19</v>
      </c>
      <c r="B119" s="191">
        <v>2497</v>
      </c>
      <c r="C119" s="212">
        <v>600080064</v>
      </c>
      <c r="D119" s="143">
        <v>72744189</v>
      </c>
      <c r="E119" s="193" t="s">
        <v>786</v>
      </c>
      <c r="F119" s="194">
        <v>3141</v>
      </c>
      <c r="G119" s="145" t="s">
        <v>321</v>
      </c>
      <c r="H119" s="205" t="s">
        <v>284</v>
      </c>
      <c r="I119" s="126">
        <f t="shared" si="159"/>
        <v>2007496</v>
      </c>
      <c r="J119" s="675">
        <v>1466760</v>
      </c>
      <c r="K119" s="127">
        <f t="shared" si="160"/>
        <v>495765</v>
      </c>
      <c r="L119" s="477">
        <f t="shared" si="161"/>
        <v>29335</v>
      </c>
      <c r="M119" s="675">
        <v>15636</v>
      </c>
      <c r="N119" s="390">
        <f t="shared" si="162"/>
        <v>4.99</v>
      </c>
      <c r="O119" s="676">
        <v>0</v>
      </c>
      <c r="P119" s="677">
        <v>4.99</v>
      </c>
      <c r="Q119" s="387">
        <f t="shared" si="163"/>
        <v>-16000</v>
      </c>
      <c r="R119" s="253">
        <v>0</v>
      </c>
      <c r="S119" s="253">
        <v>0</v>
      </c>
      <c r="T119" s="253">
        <v>0</v>
      </c>
      <c r="U119" s="130">
        <f t="shared" si="217"/>
        <v>-16000</v>
      </c>
      <c r="V119" s="130">
        <v>16000</v>
      </c>
      <c r="W119" s="130">
        <v>0</v>
      </c>
      <c r="X119" s="130">
        <v>0</v>
      </c>
      <c r="Y119" s="130">
        <f t="shared" si="218"/>
        <v>16000</v>
      </c>
      <c r="Z119" s="130">
        <f t="shared" si="219"/>
        <v>0</v>
      </c>
      <c r="AA119" s="316">
        <f t="shared" si="167"/>
        <v>0</v>
      </c>
      <c r="AB119" s="131">
        <f t="shared" si="220"/>
        <v>-320</v>
      </c>
      <c r="AC119" s="130">
        <v>0</v>
      </c>
      <c r="AD119" s="130">
        <v>0</v>
      </c>
      <c r="AE119" s="130">
        <f t="shared" si="221"/>
        <v>0</v>
      </c>
      <c r="AF119" s="130">
        <f t="shared" si="222"/>
        <v>-320</v>
      </c>
      <c r="AG119" s="132">
        <v>0</v>
      </c>
      <c r="AH119" s="132">
        <v>0</v>
      </c>
      <c r="AI119" s="132">
        <v>0</v>
      </c>
      <c r="AJ119" s="132">
        <v>0</v>
      </c>
      <c r="AK119" s="132">
        <v>0</v>
      </c>
      <c r="AL119" s="132">
        <f t="shared" si="223"/>
        <v>0</v>
      </c>
      <c r="AM119" s="132">
        <f t="shared" si="224"/>
        <v>0</v>
      </c>
      <c r="AN119" s="403">
        <f t="shared" si="225"/>
        <v>0</v>
      </c>
      <c r="AO119" s="128">
        <f t="shared" si="174"/>
        <v>2007176</v>
      </c>
      <c r="AP119" s="253">
        <f t="shared" si="175"/>
        <v>1450760</v>
      </c>
      <c r="AQ119" s="253">
        <f t="shared" si="176"/>
        <v>16000</v>
      </c>
      <c r="AR119" s="130">
        <f t="shared" si="177"/>
        <v>495765</v>
      </c>
      <c r="AS119" s="130">
        <f t="shared" si="178"/>
        <v>29015</v>
      </c>
      <c r="AT119" s="253">
        <f t="shared" si="179"/>
        <v>15636</v>
      </c>
      <c r="AU119" s="132">
        <f t="shared" si="180"/>
        <v>4.99</v>
      </c>
      <c r="AV119" s="132">
        <f t="shared" si="181"/>
        <v>0</v>
      </c>
      <c r="AW119" s="133">
        <f t="shared" si="182"/>
        <v>4.99</v>
      </c>
    </row>
    <row r="120" spans="1:49" s="196" customFormat="1" ht="14.1" customHeight="1" x14ac:dyDescent="0.2">
      <c r="A120" s="241">
        <v>19</v>
      </c>
      <c r="B120" s="143">
        <v>2497</v>
      </c>
      <c r="C120" s="537">
        <v>600080064</v>
      </c>
      <c r="D120" s="143">
        <v>72744189</v>
      </c>
      <c r="E120" s="145" t="s">
        <v>786</v>
      </c>
      <c r="F120" s="206">
        <v>3143</v>
      </c>
      <c r="G120" s="145" t="s">
        <v>635</v>
      </c>
      <c r="H120" s="205" t="s">
        <v>283</v>
      </c>
      <c r="I120" s="126">
        <f t="shared" si="159"/>
        <v>1013667</v>
      </c>
      <c r="J120" s="29">
        <v>746441</v>
      </c>
      <c r="K120" s="127">
        <f t="shared" si="160"/>
        <v>252297</v>
      </c>
      <c r="L120" s="477">
        <f t="shared" si="161"/>
        <v>14929</v>
      </c>
      <c r="M120" s="479">
        <v>0</v>
      </c>
      <c r="N120" s="390">
        <f t="shared" si="162"/>
        <v>1.76</v>
      </c>
      <c r="O120" s="22">
        <v>1.76</v>
      </c>
      <c r="P120" s="641">
        <v>0</v>
      </c>
      <c r="Q120" s="387">
        <f t="shared" si="163"/>
        <v>-20000</v>
      </c>
      <c r="R120" s="130">
        <v>0</v>
      </c>
      <c r="S120" s="130">
        <v>0</v>
      </c>
      <c r="T120" s="130">
        <v>0</v>
      </c>
      <c r="U120" s="130">
        <f t="shared" si="217"/>
        <v>-20000</v>
      </c>
      <c r="V120" s="130">
        <v>20000</v>
      </c>
      <c r="W120" s="130">
        <v>0</v>
      </c>
      <c r="X120" s="130">
        <v>0</v>
      </c>
      <c r="Y120" s="130">
        <f t="shared" si="218"/>
        <v>20000</v>
      </c>
      <c r="Z120" s="130">
        <f t="shared" si="219"/>
        <v>0</v>
      </c>
      <c r="AA120" s="316">
        <f t="shared" si="167"/>
        <v>0</v>
      </c>
      <c r="AB120" s="131">
        <f t="shared" si="220"/>
        <v>-400</v>
      </c>
      <c r="AC120" s="130">
        <v>0</v>
      </c>
      <c r="AD120" s="130">
        <v>0</v>
      </c>
      <c r="AE120" s="130">
        <f t="shared" si="221"/>
        <v>0</v>
      </c>
      <c r="AF120" s="130">
        <f t="shared" si="222"/>
        <v>-400</v>
      </c>
      <c r="AG120" s="132">
        <v>0</v>
      </c>
      <c r="AH120" s="132">
        <v>0</v>
      </c>
      <c r="AI120" s="132">
        <v>0</v>
      </c>
      <c r="AJ120" s="132">
        <v>0</v>
      </c>
      <c r="AK120" s="132">
        <v>0</v>
      </c>
      <c r="AL120" s="132">
        <f t="shared" si="223"/>
        <v>0</v>
      </c>
      <c r="AM120" s="132">
        <f t="shared" si="224"/>
        <v>0</v>
      </c>
      <c r="AN120" s="403">
        <f t="shared" si="225"/>
        <v>0</v>
      </c>
      <c r="AO120" s="128">
        <f t="shared" si="174"/>
        <v>1013267</v>
      </c>
      <c r="AP120" s="253">
        <f t="shared" si="175"/>
        <v>726441</v>
      </c>
      <c r="AQ120" s="253">
        <f t="shared" si="176"/>
        <v>20000</v>
      </c>
      <c r="AR120" s="130">
        <f t="shared" si="177"/>
        <v>252297</v>
      </c>
      <c r="AS120" s="130">
        <f t="shared" si="178"/>
        <v>14529</v>
      </c>
      <c r="AT120" s="253">
        <f t="shared" si="179"/>
        <v>0</v>
      </c>
      <c r="AU120" s="132">
        <f t="shared" si="180"/>
        <v>1.76</v>
      </c>
      <c r="AV120" s="132">
        <f t="shared" si="181"/>
        <v>1.76</v>
      </c>
      <c r="AW120" s="133">
        <f t="shared" si="182"/>
        <v>0</v>
      </c>
    </row>
    <row r="121" spans="1:49" s="196" customFormat="1" ht="14.1" customHeight="1" x14ac:dyDescent="0.2">
      <c r="A121" s="241">
        <v>19</v>
      </c>
      <c r="B121" s="143">
        <v>2497</v>
      </c>
      <c r="C121" s="537">
        <v>600080064</v>
      </c>
      <c r="D121" s="143">
        <v>72744189</v>
      </c>
      <c r="E121" s="145" t="s">
        <v>786</v>
      </c>
      <c r="F121" s="206">
        <v>3143</v>
      </c>
      <c r="G121" s="145" t="s">
        <v>636</v>
      </c>
      <c r="H121" s="205" t="s">
        <v>284</v>
      </c>
      <c r="I121" s="126">
        <f t="shared" si="159"/>
        <v>39323</v>
      </c>
      <c r="J121" s="664">
        <v>27720</v>
      </c>
      <c r="K121" s="127">
        <f t="shared" si="160"/>
        <v>9369</v>
      </c>
      <c r="L121" s="477">
        <f t="shared" si="161"/>
        <v>554</v>
      </c>
      <c r="M121" s="664">
        <v>1680</v>
      </c>
      <c r="N121" s="390">
        <f t="shared" si="162"/>
        <v>0.12</v>
      </c>
      <c r="O121" s="662">
        <v>0</v>
      </c>
      <c r="P121" s="663">
        <v>0.12</v>
      </c>
      <c r="Q121" s="387">
        <f t="shared" si="163"/>
        <v>0</v>
      </c>
      <c r="R121" s="130">
        <v>0</v>
      </c>
      <c r="S121" s="130">
        <v>0</v>
      </c>
      <c r="T121" s="130">
        <v>0</v>
      </c>
      <c r="U121" s="130">
        <f t="shared" si="217"/>
        <v>0</v>
      </c>
      <c r="V121" s="130">
        <v>0</v>
      </c>
      <c r="W121" s="130">
        <v>0</v>
      </c>
      <c r="X121" s="130">
        <v>0</v>
      </c>
      <c r="Y121" s="130">
        <f t="shared" si="218"/>
        <v>0</v>
      </c>
      <c r="Z121" s="130">
        <f t="shared" si="219"/>
        <v>0</v>
      </c>
      <c r="AA121" s="316">
        <f t="shared" si="167"/>
        <v>0</v>
      </c>
      <c r="AB121" s="131">
        <f t="shared" si="220"/>
        <v>0</v>
      </c>
      <c r="AC121" s="130">
        <v>0</v>
      </c>
      <c r="AD121" s="130">
        <v>0</v>
      </c>
      <c r="AE121" s="130">
        <f t="shared" si="221"/>
        <v>0</v>
      </c>
      <c r="AF121" s="130">
        <f t="shared" si="222"/>
        <v>0</v>
      </c>
      <c r="AG121" s="132">
        <v>0</v>
      </c>
      <c r="AH121" s="132">
        <v>0</v>
      </c>
      <c r="AI121" s="132">
        <v>0</v>
      </c>
      <c r="AJ121" s="132">
        <v>0</v>
      </c>
      <c r="AK121" s="132">
        <v>0</v>
      </c>
      <c r="AL121" s="132">
        <f t="shared" si="223"/>
        <v>0</v>
      </c>
      <c r="AM121" s="132">
        <f t="shared" si="224"/>
        <v>0</v>
      </c>
      <c r="AN121" s="403">
        <f t="shared" si="225"/>
        <v>0</v>
      </c>
      <c r="AO121" s="128">
        <f t="shared" si="174"/>
        <v>39323</v>
      </c>
      <c r="AP121" s="253">
        <f t="shared" si="175"/>
        <v>27720</v>
      </c>
      <c r="AQ121" s="253">
        <f t="shared" si="176"/>
        <v>0</v>
      </c>
      <c r="AR121" s="130">
        <f t="shared" si="177"/>
        <v>9369</v>
      </c>
      <c r="AS121" s="130">
        <f t="shared" si="178"/>
        <v>554</v>
      </c>
      <c r="AT121" s="253">
        <f t="shared" si="179"/>
        <v>1680</v>
      </c>
      <c r="AU121" s="132">
        <f t="shared" si="180"/>
        <v>0.12</v>
      </c>
      <c r="AV121" s="132">
        <f t="shared" si="181"/>
        <v>0</v>
      </c>
      <c r="AW121" s="133">
        <f t="shared" si="182"/>
        <v>0.12</v>
      </c>
    </row>
    <row r="122" spans="1:49" s="196" customFormat="1" ht="14.1" customHeight="1" x14ac:dyDescent="0.2">
      <c r="A122" s="241">
        <v>19</v>
      </c>
      <c r="B122" s="143">
        <v>2497</v>
      </c>
      <c r="C122" s="537">
        <v>600080064</v>
      </c>
      <c r="D122" s="143">
        <v>72744189</v>
      </c>
      <c r="E122" s="145" t="s">
        <v>786</v>
      </c>
      <c r="F122" s="206">
        <v>3143</v>
      </c>
      <c r="G122" s="145" t="s">
        <v>323</v>
      </c>
      <c r="H122" s="205" t="s">
        <v>284</v>
      </c>
      <c r="I122" s="126">
        <f t="shared" si="159"/>
        <v>336957</v>
      </c>
      <c r="J122" s="664">
        <v>247575</v>
      </c>
      <c r="K122" s="127">
        <f t="shared" si="160"/>
        <v>83680</v>
      </c>
      <c r="L122" s="477">
        <f t="shared" si="161"/>
        <v>4952</v>
      </c>
      <c r="M122" s="664">
        <v>750</v>
      </c>
      <c r="N122" s="390">
        <f t="shared" si="162"/>
        <v>0.55000000000000004</v>
      </c>
      <c r="O122" s="662">
        <v>0.5</v>
      </c>
      <c r="P122" s="663">
        <v>0.05</v>
      </c>
      <c r="Q122" s="387">
        <f t="shared" si="163"/>
        <v>-12000</v>
      </c>
      <c r="R122" s="130">
        <v>0</v>
      </c>
      <c r="S122" s="130">
        <v>0</v>
      </c>
      <c r="T122" s="130">
        <v>0</v>
      </c>
      <c r="U122" s="130">
        <f t="shared" si="217"/>
        <v>-12000</v>
      </c>
      <c r="V122" s="130">
        <v>12000</v>
      </c>
      <c r="W122" s="130">
        <v>0</v>
      </c>
      <c r="X122" s="130">
        <v>0</v>
      </c>
      <c r="Y122" s="130">
        <f t="shared" si="218"/>
        <v>12000</v>
      </c>
      <c r="Z122" s="130">
        <f t="shared" si="219"/>
        <v>0</v>
      </c>
      <c r="AA122" s="316">
        <f t="shared" si="167"/>
        <v>0</v>
      </c>
      <c r="AB122" s="131">
        <f t="shared" si="220"/>
        <v>-240</v>
      </c>
      <c r="AC122" s="130">
        <v>0</v>
      </c>
      <c r="AD122" s="130">
        <v>0</v>
      </c>
      <c r="AE122" s="130">
        <f t="shared" si="221"/>
        <v>0</v>
      </c>
      <c r="AF122" s="130">
        <f t="shared" si="222"/>
        <v>-240</v>
      </c>
      <c r="AG122" s="132">
        <v>0</v>
      </c>
      <c r="AH122" s="132">
        <v>0</v>
      </c>
      <c r="AI122" s="132">
        <v>0</v>
      </c>
      <c r="AJ122" s="132">
        <v>0</v>
      </c>
      <c r="AK122" s="132">
        <v>0</v>
      </c>
      <c r="AL122" s="132">
        <f t="shared" si="223"/>
        <v>0</v>
      </c>
      <c r="AM122" s="132">
        <f t="shared" si="224"/>
        <v>0</v>
      </c>
      <c r="AN122" s="403">
        <f t="shared" si="225"/>
        <v>0</v>
      </c>
      <c r="AO122" s="128">
        <f t="shared" si="174"/>
        <v>336717</v>
      </c>
      <c r="AP122" s="253">
        <f t="shared" si="175"/>
        <v>235575</v>
      </c>
      <c r="AQ122" s="253">
        <f t="shared" si="176"/>
        <v>12000</v>
      </c>
      <c r="AR122" s="130">
        <f t="shared" si="177"/>
        <v>83680</v>
      </c>
      <c r="AS122" s="130">
        <f t="shared" si="178"/>
        <v>4712</v>
      </c>
      <c r="AT122" s="253">
        <f t="shared" si="179"/>
        <v>750</v>
      </c>
      <c r="AU122" s="132">
        <f t="shared" si="180"/>
        <v>0.55000000000000004</v>
      </c>
      <c r="AV122" s="132">
        <f t="shared" si="181"/>
        <v>0.5</v>
      </c>
      <c r="AW122" s="133">
        <f t="shared" si="182"/>
        <v>0.05</v>
      </c>
    </row>
    <row r="123" spans="1:49" s="196" customFormat="1" ht="14.1" customHeight="1" x14ac:dyDescent="0.2">
      <c r="A123" s="242">
        <v>19</v>
      </c>
      <c r="B123" s="198">
        <v>2497</v>
      </c>
      <c r="C123" s="213">
        <v>600080064</v>
      </c>
      <c r="D123" s="198">
        <v>72744189</v>
      </c>
      <c r="E123" s="200" t="s">
        <v>787</v>
      </c>
      <c r="F123" s="201"/>
      <c r="G123" s="202"/>
      <c r="H123" s="203"/>
      <c r="I123" s="197">
        <f t="shared" ref="I123:P123" si="226">SUM(I115:I122)</f>
        <v>31138681</v>
      </c>
      <c r="J123" s="357">
        <f t="shared" si="226"/>
        <v>22614717</v>
      </c>
      <c r="K123" s="357">
        <f t="shared" si="226"/>
        <v>7643774</v>
      </c>
      <c r="L123" s="357">
        <f t="shared" si="226"/>
        <v>452294</v>
      </c>
      <c r="M123" s="357">
        <f t="shared" si="226"/>
        <v>427896</v>
      </c>
      <c r="N123" s="678">
        <f t="shared" si="226"/>
        <v>48.881099999999996</v>
      </c>
      <c r="O123" s="678">
        <f t="shared" si="226"/>
        <v>34.017800000000001</v>
      </c>
      <c r="P123" s="679">
        <f t="shared" si="226"/>
        <v>14.863299999999999</v>
      </c>
      <c r="Q123" s="357">
        <f t="shared" ref="Q123:AW123" si="227">SUM(Q115:Q122)</f>
        <v>-142400</v>
      </c>
      <c r="R123" s="209">
        <f t="shared" si="227"/>
        <v>3556746</v>
      </c>
      <c r="S123" s="209">
        <f t="shared" si="227"/>
        <v>0</v>
      </c>
      <c r="T123" s="209">
        <f t="shared" si="227"/>
        <v>35154</v>
      </c>
      <c r="U123" s="209">
        <f t="shared" si="227"/>
        <v>3449500</v>
      </c>
      <c r="V123" s="209">
        <f t="shared" si="227"/>
        <v>142400</v>
      </c>
      <c r="W123" s="209">
        <f t="shared" ref="W123" si="228">SUM(W115:W122)</f>
        <v>0</v>
      </c>
      <c r="X123" s="209">
        <f t="shared" si="227"/>
        <v>0</v>
      </c>
      <c r="Y123" s="209">
        <f t="shared" si="227"/>
        <v>142400</v>
      </c>
      <c r="Z123" s="209">
        <f t="shared" si="227"/>
        <v>3591900</v>
      </c>
      <c r="AA123" s="209">
        <f t="shared" si="227"/>
        <v>1214062</v>
      </c>
      <c r="AB123" s="209">
        <f t="shared" si="227"/>
        <v>68990</v>
      </c>
      <c r="AC123" s="209">
        <f t="shared" si="227"/>
        <v>5450</v>
      </c>
      <c r="AD123" s="209">
        <f t="shared" si="227"/>
        <v>0</v>
      </c>
      <c r="AE123" s="209">
        <f t="shared" si="227"/>
        <v>5450</v>
      </c>
      <c r="AF123" s="209">
        <f t="shared" si="227"/>
        <v>4880402</v>
      </c>
      <c r="AG123" s="210">
        <f t="shared" si="227"/>
        <v>-0.11</v>
      </c>
      <c r="AH123" s="210">
        <f t="shared" si="227"/>
        <v>0</v>
      </c>
      <c r="AI123" s="210">
        <f t="shared" si="227"/>
        <v>10.1</v>
      </c>
      <c r="AJ123" s="210">
        <f t="shared" si="227"/>
        <v>0.06</v>
      </c>
      <c r="AK123" s="210">
        <f t="shared" si="227"/>
        <v>0</v>
      </c>
      <c r="AL123" s="210">
        <f t="shared" si="227"/>
        <v>10.049999999999999</v>
      </c>
      <c r="AM123" s="210">
        <f t="shared" si="227"/>
        <v>0</v>
      </c>
      <c r="AN123" s="383">
        <f t="shared" si="227"/>
        <v>10.049999999999999</v>
      </c>
      <c r="AO123" s="692">
        <f t="shared" si="227"/>
        <v>36019083</v>
      </c>
      <c r="AP123" s="685">
        <f t="shared" si="227"/>
        <v>26064217</v>
      </c>
      <c r="AQ123" s="685">
        <f t="shared" si="227"/>
        <v>142400</v>
      </c>
      <c r="AR123" s="685">
        <f t="shared" si="227"/>
        <v>8857836</v>
      </c>
      <c r="AS123" s="685">
        <f t="shared" si="227"/>
        <v>521284</v>
      </c>
      <c r="AT123" s="685">
        <f t="shared" si="227"/>
        <v>433346</v>
      </c>
      <c r="AU123" s="383">
        <f t="shared" si="227"/>
        <v>58.931099999999994</v>
      </c>
      <c r="AV123" s="383">
        <f t="shared" si="227"/>
        <v>44.067799999999998</v>
      </c>
      <c r="AW123" s="211">
        <f t="shared" si="227"/>
        <v>14.863299999999999</v>
      </c>
    </row>
    <row r="124" spans="1:49" s="196" customFormat="1" ht="14.1" customHeight="1" x14ac:dyDescent="0.2">
      <c r="A124" s="241">
        <v>20</v>
      </c>
      <c r="B124" s="207">
        <v>2446</v>
      </c>
      <c r="C124" s="212">
        <v>600080129</v>
      </c>
      <c r="D124" s="191">
        <v>72743522</v>
      </c>
      <c r="E124" s="145" t="s">
        <v>788</v>
      </c>
      <c r="F124" s="206">
        <v>3111</v>
      </c>
      <c r="G124" s="145" t="s">
        <v>317</v>
      </c>
      <c r="H124" s="205" t="s">
        <v>283</v>
      </c>
      <c r="I124" s="126">
        <f t="shared" si="159"/>
        <v>2197783</v>
      </c>
      <c r="J124" s="127">
        <v>1606799</v>
      </c>
      <c r="K124" s="127">
        <f t="shared" si="160"/>
        <v>543098</v>
      </c>
      <c r="L124" s="477">
        <f t="shared" si="161"/>
        <v>32136</v>
      </c>
      <c r="M124" s="127">
        <v>15750</v>
      </c>
      <c r="N124" s="390">
        <f t="shared" si="162"/>
        <v>3.9218000000000002</v>
      </c>
      <c r="O124" s="390">
        <v>3</v>
      </c>
      <c r="P124" s="439">
        <v>0.92179999999999995</v>
      </c>
      <c r="Q124" s="387">
        <f t="shared" si="163"/>
        <v>-8000</v>
      </c>
      <c r="R124" s="253">
        <v>0</v>
      </c>
      <c r="S124" s="253">
        <v>0</v>
      </c>
      <c r="T124" s="253">
        <v>0</v>
      </c>
      <c r="U124" s="130">
        <f>SUM(Q124:T124)</f>
        <v>-8000</v>
      </c>
      <c r="V124" s="130">
        <v>8000</v>
      </c>
      <c r="W124" s="130">
        <v>0</v>
      </c>
      <c r="X124" s="130">
        <v>0</v>
      </c>
      <c r="Y124" s="130">
        <f>SUM(V124:X124)</f>
        <v>8000</v>
      </c>
      <c r="Z124" s="130">
        <f>U124+Y124</f>
        <v>0</v>
      </c>
      <c r="AA124" s="316">
        <f t="shared" si="167"/>
        <v>0</v>
      </c>
      <c r="AB124" s="131">
        <f>ROUND(U124*2%,0)</f>
        <v>-160</v>
      </c>
      <c r="AC124" s="130">
        <v>0</v>
      </c>
      <c r="AD124" s="130">
        <v>0</v>
      </c>
      <c r="AE124" s="130">
        <f>SUM(AC124:AD124)</f>
        <v>0</v>
      </c>
      <c r="AF124" s="130">
        <f>Z124+AA124+AB124+AE124</f>
        <v>-160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f>AG124+AI124+AJ124</f>
        <v>0</v>
      </c>
      <c r="AM124" s="132">
        <f>AH124+AK124</f>
        <v>0</v>
      </c>
      <c r="AN124" s="403">
        <f>SUM(AL124:AM124)</f>
        <v>0</v>
      </c>
      <c r="AO124" s="128">
        <f t="shared" si="174"/>
        <v>2197623</v>
      </c>
      <c r="AP124" s="253">
        <f t="shared" si="175"/>
        <v>1598799</v>
      </c>
      <c r="AQ124" s="253">
        <f t="shared" si="176"/>
        <v>8000</v>
      </c>
      <c r="AR124" s="130">
        <f t="shared" si="177"/>
        <v>543098</v>
      </c>
      <c r="AS124" s="130">
        <f t="shared" si="178"/>
        <v>31976</v>
      </c>
      <c r="AT124" s="253">
        <f t="shared" si="179"/>
        <v>15750</v>
      </c>
      <c r="AU124" s="132">
        <f t="shared" si="180"/>
        <v>3.9218000000000002</v>
      </c>
      <c r="AV124" s="132">
        <f t="shared" si="181"/>
        <v>3</v>
      </c>
      <c r="AW124" s="133">
        <f t="shared" si="182"/>
        <v>0.92179999999999995</v>
      </c>
    </row>
    <row r="125" spans="1:49" s="196" customFormat="1" ht="14.1" customHeight="1" x14ac:dyDescent="0.2">
      <c r="A125" s="241">
        <v>20</v>
      </c>
      <c r="B125" s="214">
        <v>2446</v>
      </c>
      <c r="C125" s="212">
        <v>600080129</v>
      </c>
      <c r="D125" s="191">
        <v>72743522</v>
      </c>
      <c r="E125" s="214" t="s">
        <v>788</v>
      </c>
      <c r="F125" s="215">
        <v>3117</v>
      </c>
      <c r="G125" s="214" t="s">
        <v>335</v>
      </c>
      <c r="H125" s="205" t="s">
        <v>283</v>
      </c>
      <c r="I125" s="126">
        <f t="shared" si="159"/>
        <v>5647576</v>
      </c>
      <c r="J125" s="477">
        <v>4081933</v>
      </c>
      <c r="K125" s="127">
        <v>1379694</v>
      </c>
      <c r="L125" s="477">
        <f t="shared" si="161"/>
        <v>81639</v>
      </c>
      <c r="M125" s="477">
        <v>104310</v>
      </c>
      <c r="N125" s="390">
        <f t="shared" si="162"/>
        <v>8.4004999999999992</v>
      </c>
      <c r="O125" s="645">
        <v>5.7264999999999997</v>
      </c>
      <c r="P125" s="646">
        <v>2.6739999999999999</v>
      </c>
      <c r="Q125" s="387">
        <f t="shared" si="163"/>
        <v>-20000</v>
      </c>
      <c r="R125" s="253">
        <v>0</v>
      </c>
      <c r="S125" s="253">
        <v>0</v>
      </c>
      <c r="T125" s="253">
        <v>0</v>
      </c>
      <c r="U125" s="130">
        <f>SUM(Q125:T125)</f>
        <v>-20000</v>
      </c>
      <c r="V125" s="130">
        <v>20000</v>
      </c>
      <c r="W125" s="130">
        <v>0</v>
      </c>
      <c r="X125" s="130">
        <v>0</v>
      </c>
      <c r="Y125" s="130">
        <f>SUM(V125:X125)</f>
        <v>20000</v>
      </c>
      <c r="Z125" s="130">
        <f>U125+Y125</f>
        <v>0</v>
      </c>
      <c r="AA125" s="316">
        <f t="shared" si="167"/>
        <v>0</v>
      </c>
      <c r="AB125" s="131">
        <f>ROUND(U125*2%,0)</f>
        <v>-400</v>
      </c>
      <c r="AC125" s="130">
        <v>0</v>
      </c>
      <c r="AD125" s="130">
        <v>0</v>
      </c>
      <c r="AE125" s="130">
        <f>SUM(AC125:AD125)</f>
        <v>0</v>
      </c>
      <c r="AF125" s="130">
        <f>Z125+AA125+AB125+AE125</f>
        <v>-400</v>
      </c>
      <c r="AG125" s="132">
        <v>0</v>
      </c>
      <c r="AH125" s="132">
        <v>-0.02</v>
      </c>
      <c r="AI125" s="132">
        <v>0</v>
      </c>
      <c r="AJ125" s="132">
        <v>0</v>
      </c>
      <c r="AK125" s="132">
        <v>0</v>
      </c>
      <c r="AL125" s="132">
        <f>AG125+AI125+AJ125</f>
        <v>0</v>
      </c>
      <c r="AM125" s="132">
        <f>AH125+AK125</f>
        <v>-0.02</v>
      </c>
      <c r="AN125" s="403">
        <f>SUM(AL125:AM125)</f>
        <v>-0.02</v>
      </c>
      <c r="AO125" s="128">
        <f t="shared" si="174"/>
        <v>5647176</v>
      </c>
      <c r="AP125" s="253">
        <f t="shared" si="175"/>
        <v>4061933</v>
      </c>
      <c r="AQ125" s="253">
        <f t="shared" si="176"/>
        <v>20000</v>
      </c>
      <c r="AR125" s="130">
        <f t="shared" si="177"/>
        <v>1379694</v>
      </c>
      <c r="AS125" s="130">
        <f t="shared" si="178"/>
        <v>81239</v>
      </c>
      <c r="AT125" s="253">
        <f t="shared" si="179"/>
        <v>104310</v>
      </c>
      <c r="AU125" s="132">
        <f t="shared" si="180"/>
        <v>8.3804999999999996</v>
      </c>
      <c r="AV125" s="132">
        <f t="shared" si="181"/>
        <v>5.7264999999999997</v>
      </c>
      <c r="AW125" s="133">
        <f t="shared" si="182"/>
        <v>2.6539999999999999</v>
      </c>
    </row>
    <row r="126" spans="1:49" s="196" customFormat="1" ht="14.1" customHeight="1" x14ac:dyDescent="0.2">
      <c r="A126" s="241">
        <v>20</v>
      </c>
      <c r="B126" s="207">
        <v>2446</v>
      </c>
      <c r="C126" s="212">
        <v>600080129</v>
      </c>
      <c r="D126" s="191">
        <v>72743522</v>
      </c>
      <c r="E126" s="208" t="s">
        <v>788</v>
      </c>
      <c r="F126" s="194">
        <v>3117</v>
      </c>
      <c r="G126" s="143" t="s">
        <v>318</v>
      </c>
      <c r="H126" s="205" t="s">
        <v>284</v>
      </c>
      <c r="I126" s="126">
        <f t="shared" si="159"/>
        <v>0</v>
      </c>
      <c r="J126" s="325">
        <v>0</v>
      </c>
      <c r="K126" s="127">
        <f t="shared" si="160"/>
        <v>0</v>
      </c>
      <c r="L126" s="477">
        <f t="shared" si="161"/>
        <v>0</v>
      </c>
      <c r="M126" s="325">
        <v>0</v>
      </c>
      <c r="N126" s="390">
        <f t="shared" si="162"/>
        <v>0</v>
      </c>
      <c r="O126" s="640">
        <v>0</v>
      </c>
      <c r="P126" s="641">
        <v>0</v>
      </c>
      <c r="Q126" s="387">
        <f t="shared" si="163"/>
        <v>0</v>
      </c>
      <c r="R126" s="253">
        <f>945147+57841</f>
        <v>1002988</v>
      </c>
      <c r="S126" s="253">
        <v>0</v>
      </c>
      <c r="T126" s="253">
        <v>0</v>
      </c>
      <c r="U126" s="130">
        <f>SUM(Q126:T126)</f>
        <v>1002988</v>
      </c>
      <c r="V126" s="130">
        <v>0</v>
      </c>
      <c r="W126" s="130">
        <v>0</v>
      </c>
      <c r="X126" s="130">
        <v>0</v>
      </c>
      <c r="Y126" s="130">
        <f>SUM(V126:X126)</f>
        <v>0</v>
      </c>
      <c r="Z126" s="130">
        <f>U126+Y126</f>
        <v>1002988</v>
      </c>
      <c r="AA126" s="316">
        <f t="shared" si="167"/>
        <v>339010</v>
      </c>
      <c r="AB126" s="131">
        <f>ROUND(U126*2%,0)</f>
        <v>20060</v>
      </c>
      <c r="AC126" s="130">
        <v>0</v>
      </c>
      <c r="AD126" s="130">
        <v>0</v>
      </c>
      <c r="AE126" s="130">
        <f>SUM(AC126:AD126)</f>
        <v>0</v>
      </c>
      <c r="AF126" s="130">
        <f>Z126+AA126+AB126+AE126</f>
        <v>1362058</v>
      </c>
      <c r="AG126" s="132">
        <v>0</v>
      </c>
      <c r="AH126" s="132">
        <v>0</v>
      </c>
      <c r="AI126" s="132">
        <v>2.81</v>
      </c>
      <c r="AJ126" s="132">
        <v>0</v>
      </c>
      <c r="AK126" s="132">
        <v>0</v>
      </c>
      <c r="AL126" s="132">
        <f>AG126+AI126+AJ126</f>
        <v>2.81</v>
      </c>
      <c r="AM126" s="132">
        <f>AH126+AK126</f>
        <v>0</v>
      </c>
      <c r="AN126" s="403">
        <f>SUM(AL126:AM126)</f>
        <v>2.81</v>
      </c>
      <c r="AO126" s="128">
        <f t="shared" si="174"/>
        <v>1362058</v>
      </c>
      <c r="AP126" s="253">
        <f t="shared" si="175"/>
        <v>1002988</v>
      </c>
      <c r="AQ126" s="253">
        <f t="shared" si="176"/>
        <v>0</v>
      </c>
      <c r="AR126" s="130">
        <f t="shared" si="177"/>
        <v>339010</v>
      </c>
      <c r="AS126" s="130">
        <f t="shared" si="178"/>
        <v>20060</v>
      </c>
      <c r="AT126" s="253">
        <f t="shared" si="179"/>
        <v>0</v>
      </c>
      <c r="AU126" s="132">
        <f t="shared" si="180"/>
        <v>2.81</v>
      </c>
      <c r="AV126" s="132">
        <f t="shared" si="181"/>
        <v>2.81</v>
      </c>
      <c r="AW126" s="133">
        <f t="shared" si="182"/>
        <v>0</v>
      </c>
    </row>
    <row r="127" spans="1:49" s="196" customFormat="1" ht="14.1" customHeight="1" x14ac:dyDescent="0.2">
      <c r="A127" s="241">
        <v>20</v>
      </c>
      <c r="B127" s="143">
        <v>2446</v>
      </c>
      <c r="C127" s="537">
        <v>600080129</v>
      </c>
      <c r="D127" s="143">
        <v>72743522</v>
      </c>
      <c r="E127" s="145" t="s">
        <v>788</v>
      </c>
      <c r="F127" s="206">
        <v>3143</v>
      </c>
      <c r="G127" s="145" t="s">
        <v>635</v>
      </c>
      <c r="H127" s="205" t="s">
        <v>283</v>
      </c>
      <c r="I127" s="126">
        <f t="shared" si="159"/>
        <v>796022</v>
      </c>
      <c r="J127" s="29">
        <v>586173</v>
      </c>
      <c r="K127" s="127">
        <f t="shared" si="160"/>
        <v>198126</v>
      </c>
      <c r="L127" s="477">
        <f t="shared" si="161"/>
        <v>11723</v>
      </c>
      <c r="M127" s="479">
        <v>0</v>
      </c>
      <c r="N127" s="390">
        <f t="shared" si="162"/>
        <v>1.3280000000000001</v>
      </c>
      <c r="O127" s="22">
        <v>1.3280000000000001</v>
      </c>
      <c r="P127" s="641">
        <v>0</v>
      </c>
      <c r="Q127" s="387">
        <f t="shared" si="163"/>
        <v>0</v>
      </c>
      <c r="R127" s="130">
        <v>0</v>
      </c>
      <c r="S127" s="130">
        <v>0</v>
      </c>
      <c r="T127" s="130">
        <v>0</v>
      </c>
      <c r="U127" s="130">
        <f>SUM(Q127:T127)</f>
        <v>0</v>
      </c>
      <c r="V127" s="130">
        <v>0</v>
      </c>
      <c r="W127" s="130">
        <v>0</v>
      </c>
      <c r="X127" s="130">
        <v>0</v>
      </c>
      <c r="Y127" s="130">
        <f>SUM(V127:X127)</f>
        <v>0</v>
      </c>
      <c r="Z127" s="130">
        <f>U127+Y127</f>
        <v>0</v>
      </c>
      <c r="AA127" s="316">
        <f t="shared" si="167"/>
        <v>0</v>
      </c>
      <c r="AB127" s="131">
        <f>ROUND(U127*2%,0)</f>
        <v>0</v>
      </c>
      <c r="AC127" s="130">
        <v>0</v>
      </c>
      <c r="AD127" s="130">
        <v>0</v>
      </c>
      <c r="AE127" s="130">
        <f>SUM(AC127:AD127)</f>
        <v>0</v>
      </c>
      <c r="AF127" s="130">
        <f>Z127+AA127+AB127+AE127</f>
        <v>0</v>
      </c>
      <c r="AG127" s="132">
        <v>0</v>
      </c>
      <c r="AH127" s="132">
        <v>0</v>
      </c>
      <c r="AI127" s="132">
        <v>0</v>
      </c>
      <c r="AJ127" s="132">
        <v>0</v>
      </c>
      <c r="AK127" s="132">
        <v>0</v>
      </c>
      <c r="AL127" s="132">
        <f>AG127+AI127+AJ127</f>
        <v>0</v>
      </c>
      <c r="AM127" s="132">
        <f>AH127+AK127</f>
        <v>0</v>
      </c>
      <c r="AN127" s="403">
        <f>SUM(AL127:AM127)</f>
        <v>0</v>
      </c>
      <c r="AO127" s="128">
        <f t="shared" si="174"/>
        <v>796022</v>
      </c>
      <c r="AP127" s="253">
        <f t="shared" si="175"/>
        <v>586173</v>
      </c>
      <c r="AQ127" s="253">
        <f t="shared" si="176"/>
        <v>0</v>
      </c>
      <c r="AR127" s="130">
        <f t="shared" si="177"/>
        <v>198126</v>
      </c>
      <c r="AS127" s="130">
        <f t="shared" si="178"/>
        <v>11723</v>
      </c>
      <c r="AT127" s="253">
        <f t="shared" si="179"/>
        <v>0</v>
      </c>
      <c r="AU127" s="132">
        <f t="shared" si="180"/>
        <v>1.3280000000000001</v>
      </c>
      <c r="AV127" s="132">
        <f t="shared" si="181"/>
        <v>1.3280000000000001</v>
      </c>
      <c r="AW127" s="133">
        <f t="shared" si="182"/>
        <v>0</v>
      </c>
    </row>
    <row r="128" spans="1:49" s="196" customFormat="1" ht="14.1" customHeight="1" x14ac:dyDescent="0.2">
      <c r="A128" s="241">
        <v>20</v>
      </c>
      <c r="B128" s="143">
        <v>2446</v>
      </c>
      <c r="C128" s="537">
        <v>600080129</v>
      </c>
      <c r="D128" s="143">
        <v>72743522</v>
      </c>
      <c r="E128" s="145" t="s">
        <v>788</v>
      </c>
      <c r="F128" s="206">
        <v>3143</v>
      </c>
      <c r="G128" s="145" t="s">
        <v>636</v>
      </c>
      <c r="H128" s="205" t="s">
        <v>284</v>
      </c>
      <c r="I128" s="126">
        <f t="shared" si="159"/>
        <v>21769</v>
      </c>
      <c r="J128" s="664">
        <v>15345</v>
      </c>
      <c r="K128" s="127">
        <f t="shared" si="160"/>
        <v>5187</v>
      </c>
      <c r="L128" s="477">
        <f t="shared" si="161"/>
        <v>307</v>
      </c>
      <c r="M128" s="664">
        <v>930</v>
      </c>
      <c r="N128" s="390">
        <f t="shared" si="162"/>
        <v>0.06</v>
      </c>
      <c r="O128" s="662">
        <v>0</v>
      </c>
      <c r="P128" s="663">
        <v>0.06</v>
      </c>
      <c r="Q128" s="387">
        <f t="shared" si="163"/>
        <v>0</v>
      </c>
      <c r="R128" s="130">
        <v>0</v>
      </c>
      <c r="S128" s="130">
        <v>0</v>
      </c>
      <c r="T128" s="130">
        <v>0</v>
      </c>
      <c r="U128" s="130">
        <f>SUM(Q128:T128)</f>
        <v>0</v>
      </c>
      <c r="V128" s="130">
        <v>0</v>
      </c>
      <c r="W128" s="130">
        <v>0</v>
      </c>
      <c r="X128" s="130">
        <v>0</v>
      </c>
      <c r="Y128" s="130">
        <f>SUM(V128:X128)</f>
        <v>0</v>
      </c>
      <c r="Z128" s="130">
        <f>U128+Y128</f>
        <v>0</v>
      </c>
      <c r="AA128" s="316">
        <f t="shared" si="167"/>
        <v>0</v>
      </c>
      <c r="AB128" s="131">
        <f>ROUND(U128*2%,0)</f>
        <v>0</v>
      </c>
      <c r="AC128" s="130">
        <v>0</v>
      </c>
      <c r="AD128" s="130">
        <v>0</v>
      </c>
      <c r="AE128" s="130">
        <f>SUM(AC128:AD128)</f>
        <v>0</v>
      </c>
      <c r="AF128" s="130">
        <f>Z128+AA128+AB128+AE128</f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f>AG128+AI128+AJ128</f>
        <v>0</v>
      </c>
      <c r="AM128" s="132">
        <f>AH128+AK128</f>
        <v>0</v>
      </c>
      <c r="AN128" s="403">
        <f>SUM(AL128:AM128)</f>
        <v>0</v>
      </c>
      <c r="AO128" s="128">
        <f t="shared" si="174"/>
        <v>21769</v>
      </c>
      <c r="AP128" s="253">
        <f t="shared" si="175"/>
        <v>15345</v>
      </c>
      <c r="AQ128" s="253">
        <f t="shared" si="176"/>
        <v>0</v>
      </c>
      <c r="AR128" s="130">
        <f t="shared" si="177"/>
        <v>5187</v>
      </c>
      <c r="AS128" s="130">
        <f t="shared" si="178"/>
        <v>307</v>
      </c>
      <c r="AT128" s="253">
        <f t="shared" si="179"/>
        <v>930</v>
      </c>
      <c r="AU128" s="132">
        <f t="shared" si="180"/>
        <v>0.06</v>
      </c>
      <c r="AV128" s="132">
        <f t="shared" si="181"/>
        <v>0</v>
      </c>
      <c r="AW128" s="133">
        <f t="shared" si="182"/>
        <v>0.06</v>
      </c>
    </row>
    <row r="129" spans="1:49" s="196" customFormat="1" ht="14.1" customHeight="1" thickBot="1" x14ac:dyDescent="0.25">
      <c r="A129" s="243">
        <v>20</v>
      </c>
      <c r="B129" s="221">
        <v>2446</v>
      </c>
      <c r="C129" s="222">
        <v>600080129</v>
      </c>
      <c r="D129" s="221">
        <v>72743522</v>
      </c>
      <c r="E129" s="223" t="s">
        <v>789</v>
      </c>
      <c r="F129" s="224"/>
      <c r="G129" s="225"/>
      <c r="H129" s="226"/>
      <c r="I129" s="353">
        <f t="shared" ref="I129:P129" si="229">SUM(I124:I128)</f>
        <v>8663150</v>
      </c>
      <c r="J129" s="359">
        <f t="shared" si="229"/>
        <v>6290250</v>
      </c>
      <c r="K129" s="359">
        <f t="shared" si="229"/>
        <v>2126105</v>
      </c>
      <c r="L129" s="359">
        <f t="shared" si="229"/>
        <v>125805</v>
      </c>
      <c r="M129" s="359">
        <f t="shared" si="229"/>
        <v>120990</v>
      </c>
      <c r="N129" s="682">
        <f t="shared" si="229"/>
        <v>13.710299999999998</v>
      </c>
      <c r="O129" s="682">
        <f t="shared" si="229"/>
        <v>10.054499999999999</v>
      </c>
      <c r="P129" s="683">
        <f t="shared" si="229"/>
        <v>3.6557999999999997</v>
      </c>
      <c r="Q129" s="359">
        <f t="shared" ref="Q129:AW129" si="230">SUM(Q124:Q128)</f>
        <v>-28000</v>
      </c>
      <c r="R129" s="354">
        <f t="shared" si="230"/>
        <v>1002988</v>
      </c>
      <c r="S129" s="354">
        <f t="shared" si="230"/>
        <v>0</v>
      </c>
      <c r="T129" s="354">
        <f t="shared" si="230"/>
        <v>0</v>
      </c>
      <c r="U129" s="354">
        <f t="shared" si="230"/>
        <v>974988</v>
      </c>
      <c r="V129" s="354">
        <f t="shared" si="230"/>
        <v>28000</v>
      </c>
      <c r="W129" s="354">
        <f t="shared" ref="W129" si="231">SUM(W124:W128)</f>
        <v>0</v>
      </c>
      <c r="X129" s="354">
        <f t="shared" si="230"/>
        <v>0</v>
      </c>
      <c r="Y129" s="354">
        <f t="shared" si="230"/>
        <v>28000</v>
      </c>
      <c r="Z129" s="354">
        <f t="shared" si="230"/>
        <v>1002988</v>
      </c>
      <c r="AA129" s="354">
        <f t="shared" si="230"/>
        <v>339010</v>
      </c>
      <c r="AB129" s="354">
        <f t="shared" si="230"/>
        <v>19500</v>
      </c>
      <c r="AC129" s="354">
        <f t="shared" si="230"/>
        <v>0</v>
      </c>
      <c r="AD129" s="354">
        <f t="shared" si="230"/>
        <v>0</v>
      </c>
      <c r="AE129" s="354">
        <f t="shared" si="230"/>
        <v>0</v>
      </c>
      <c r="AF129" s="354">
        <f t="shared" si="230"/>
        <v>1361498</v>
      </c>
      <c r="AG129" s="355">
        <f t="shared" si="230"/>
        <v>0</v>
      </c>
      <c r="AH129" s="355">
        <f t="shared" si="230"/>
        <v>-0.02</v>
      </c>
      <c r="AI129" s="355">
        <f t="shared" si="230"/>
        <v>2.81</v>
      </c>
      <c r="AJ129" s="355">
        <f t="shared" si="230"/>
        <v>0</v>
      </c>
      <c r="AK129" s="355">
        <f t="shared" si="230"/>
        <v>0</v>
      </c>
      <c r="AL129" s="355">
        <f t="shared" si="230"/>
        <v>2.81</v>
      </c>
      <c r="AM129" s="355">
        <f t="shared" si="230"/>
        <v>-0.02</v>
      </c>
      <c r="AN129" s="385">
        <f t="shared" si="230"/>
        <v>2.79</v>
      </c>
      <c r="AO129" s="695">
        <f t="shared" si="230"/>
        <v>10024648</v>
      </c>
      <c r="AP129" s="688">
        <f t="shared" si="230"/>
        <v>7265238</v>
      </c>
      <c r="AQ129" s="688">
        <f t="shared" si="230"/>
        <v>28000</v>
      </c>
      <c r="AR129" s="688">
        <f t="shared" si="230"/>
        <v>2465115</v>
      </c>
      <c r="AS129" s="688">
        <f t="shared" si="230"/>
        <v>145305</v>
      </c>
      <c r="AT129" s="688">
        <f t="shared" si="230"/>
        <v>120990</v>
      </c>
      <c r="AU129" s="385">
        <f t="shared" si="230"/>
        <v>16.500299999999999</v>
      </c>
      <c r="AV129" s="385">
        <f t="shared" si="230"/>
        <v>12.8645</v>
      </c>
      <c r="AW129" s="356">
        <f t="shared" si="230"/>
        <v>3.6358000000000001</v>
      </c>
    </row>
    <row r="130" spans="1:49" s="196" customFormat="1" ht="14.1" customHeight="1" thickBot="1" x14ac:dyDescent="0.25">
      <c r="A130" s="727"/>
      <c r="B130" s="728"/>
      <c r="C130" s="728"/>
      <c r="D130" s="728"/>
      <c r="E130" s="728" t="s">
        <v>790</v>
      </c>
      <c r="F130" s="728"/>
      <c r="G130" s="728"/>
      <c r="H130" s="729"/>
      <c r="I130" s="730">
        <f t="shared" ref="I130:AW130" si="232">I129+I123+I114+I112+I106+I104+I100+I94+I90+I83+I76+I69+I62+I55+I48+I41+I34+I27+I18+I13</f>
        <v>285332229</v>
      </c>
      <c r="J130" s="633">
        <f t="shared" si="232"/>
        <v>207179090</v>
      </c>
      <c r="K130" s="633">
        <f t="shared" si="232"/>
        <v>70026534</v>
      </c>
      <c r="L130" s="633">
        <f t="shared" si="232"/>
        <v>4143583</v>
      </c>
      <c r="M130" s="633">
        <f t="shared" si="232"/>
        <v>3983022</v>
      </c>
      <c r="N130" s="684">
        <f t="shared" si="232"/>
        <v>441.8807000000001</v>
      </c>
      <c r="O130" s="362">
        <f t="shared" si="232"/>
        <v>304.67489999999998</v>
      </c>
      <c r="P130" s="363">
        <f t="shared" si="232"/>
        <v>137.20580000000001</v>
      </c>
      <c r="Q130" s="364">
        <f t="shared" si="232"/>
        <v>-1096160</v>
      </c>
      <c r="R130" s="361">
        <f t="shared" si="232"/>
        <v>21793716</v>
      </c>
      <c r="S130" s="361">
        <f t="shared" si="232"/>
        <v>0</v>
      </c>
      <c r="T130" s="361">
        <f t="shared" si="232"/>
        <v>773378</v>
      </c>
      <c r="U130" s="361">
        <f t="shared" si="232"/>
        <v>21470934</v>
      </c>
      <c r="V130" s="361">
        <f t="shared" si="232"/>
        <v>1096160</v>
      </c>
      <c r="W130" s="361">
        <f t="shared" ref="W130" si="233">W129+W123+W114+W112+W106+W104+W100+W94+W90+W83+W76+W69+W62+W55+W48+W41+W34+W27+W18+W13</f>
        <v>0</v>
      </c>
      <c r="X130" s="361">
        <f t="shared" si="232"/>
        <v>0</v>
      </c>
      <c r="Y130" s="361">
        <f t="shared" si="232"/>
        <v>1096160</v>
      </c>
      <c r="Z130" s="361">
        <f t="shared" si="232"/>
        <v>22567094</v>
      </c>
      <c r="AA130" s="361">
        <f t="shared" si="232"/>
        <v>7627678</v>
      </c>
      <c r="AB130" s="361">
        <f t="shared" si="232"/>
        <v>429419</v>
      </c>
      <c r="AC130" s="361">
        <f t="shared" si="232"/>
        <v>81650</v>
      </c>
      <c r="AD130" s="361">
        <f t="shared" si="232"/>
        <v>0</v>
      </c>
      <c r="AE130" s="361">
        <f t="shared" si="232"/>
        <v>81650</v>
      </c>
      <c r="AF130" s="361">
        <f t="shared" si="232"/>
        <v>30705841</v>
      </c>
      <c r="AG130" s="362">
        <f t="shared" si="232"/>
        <v>-0.55000000000000004</v>
      </c>
      <c r="AH130" s="362">
        <f t="shared" si="232"/>
        <v>-1.52</v>
      </c>
      <c r="AI130" s="362">
        <f t="shared" si="232"/>
        <v>63.149999999999991</v>
      </c>
      <c r="AJ130" s="362">
        <f t="shared" si="232"/>
        <v>0.97000000000000008</v>
      </c>
      <c r="AK130" s="362">
        <f t="shared" si="232"/>
        <v>1.1100000000000001</v>
      </c>
      <c r="AL130" s="362">
        <f t="shared" si="232"/>
        <v>63.569999999999986</v>
      </c>
      <c r="AM130" s="362">
        <f t="shared" si="232"/>
        <v>-0.40999999999999992</v>
      </c>
      <c r="AN130" s="691">
        <f t="shared" si="232"/>
        <v>63.159999999999989</v>
      </c>
      <c r="AO130" s="360">
        <f t="shared" si="232"/>
        <v>316038070</v>
      </c>
      <c r="AP130" s="361">
        <f t="shared" si="232"/>
        <v>228650024</v>
      </c>
      <c r="AQ130" s="361">
        <f t="shared" si="232"/>
        <v>1096160</v>
      </c>
      <c r="AR130" s="361">
        <f t="shared" si="232"/>
        <v>77654212</v>
      </c>
      <c r="AS130" s="361">
        <f t="shared" si="232"/>
        <v>4573002</v>
      </c>
      <c r="AT130" s="361">
        <f t="shared" si="232"/>
        <v>4064672</v>
      </c>
      <c r="AU130" s="362">
        <f t="shared" si="232"/>
        <v>505.04069999999996</v>
      </c>
      <c r="AV130" s="362">
        <f t="shared" si="232"/>
        <v>368.24490000000003</v>
      </c>
      <c r="AW130" s="363">
        <f t="shared" si="232"/>
        <v>136.79580000000001</v>
      </c>
    </row>
    <row r="131" spans="1:49" s="196" customFormat="1" ht="14.1" customHeight="1" x14ac:dyDescent="0.2">
      <c r="A131" s="230"/>
      <c r="B131" s="227"/>
      <c r="C131" s="227"/>
      <c r="D131" s="227"/>
      <c r="E131" s="228"/>
      <c r="F131" s="228"/>
      <c r="G131" s="228"/>
      <c r="H131" s="228"/>
      <c r="I131" s="110">
        <f>SUM(J130:M130)</f>
        <v>285332229</v>
      </c>
      <c r="J131" s="110"/>
      <c r="K131" s="110"/>
      <c r="L131" s="110"/>
      <c r="M131" s="110"/>
      <c r="N131" s="111">
        <f>SUM(O130:P130)</f>
        <v>441.88069999999999</v>
      </c>
      <c r="O131" s="111"/>
      <c r="P131" s="111"/>
      <c r="Q131" s="407"/>
      <c r="R131" s="480"/>
      <c r="S131" s="407"/>
      <c r="T131" s="407"/>
      <c r="U131" s="408">
        <f>SUM(Q130:T130)</f>
        <v>21470934</v>
      </c>
      <c r="V131" s="409"/>
      <c r="W131" s="409"/>
      <c r="X131" s="409"/>
      <c r="Y131" s="408">
        <f>SUM(V130:X130)</f>
        <v>1096160</v>
      </c>
      <c r="Z131" s="408">
        <f>U130+Y130</f>
        <v>22567094</v>
      </c>
      <c r="AA131" s="410"/>
      <c r="AB131" s="410"/>
      <c r="AC131" s="409"/>
      <c r="AD131" s="409"/>
      <c r="AE131" s="408">
        <f>SUM(AC130:AD130)</f>
        <v>81650</v>
      </c>
      <c r="AF131" s="408">
        <f>Z130+AA130+AB130+AE130</f>
        <v>30705841</v>
      </c>
      <c r="AG131" s="411"/>
      <c r="AH131" s="411"/>
      <c r="AI131" s="411"/>
      <c r="AJ131" s="411"/>
      <c r="AK131" s="411"/>
      <c r="AL131" s="412">
        <f>AG130+AI130+AJ130</f>
        <v>63.569999999999993</v>
      </c>
      <c r="AM131" s="412">
        <f>AH130+AK130</f>
        <v>-0.40999999999999992</v>
      </c>
      <c r="AN131" s="412">
        <f>SUM(AL130:AM130)</f>
        <v>63.159999999999989</v>
      </c>
      <c r="AO131" s="413">
        <f>SUM(AP130:AT130)</f>
        <v>316038070</v>
      </c>
      <c r="AP131" s="689"/>
      <c r="AQ131" s="689"/>
      <c r="AR131" s="689"/>
      <c r="AS131" s="689"/>
      <c r="AT131" s="689"/>
      <c r="AU131" s="430">
        <f>SUM(AV130:AW130)</f>
        <v>505.04070000000002</v>
      </c>
      <c r="AV131" s="1131"/>
      <c r="AW131" s="1131"/>
    </row>
    <row r="132" spans="1:49" customFormat="1" ht="13.5" thickBot="1" x14ac:dyDescent="0.25">
      <c r="D132" s="49"/>
      <c r="E132" s="50"/>
      <c r="F132" s="49"/>
      <c r="G132" s="96"/>
      <c r="H132" s="50"/>
      <c r="I132" s="162">
        <f ca="1">SUM(J133:M133)</f>
        <v>285332229</v>
      </c>
      <c r="J132" s="163"/>
      <c r="K132" s="163"/>
      <c r="L132" s="163"/>
      <c r="M132" s="163"/>
      <c r="N132" s="164">
        <f ca="1">SUM(O133:P133)</f>
        <v>441.8807000000001</v>
      </c>
      <c r="O132" s="336"/>
      <c r="P132" s="336"/>
      <c r="Q132" s="431"/>
      <c r="R132" s="431"/>
      <c r="S132" s="431"/>
      <c r="T132" s="431"/>
      <c r="U132" s="415">
        <f ca="1">SUM(Q133:T133)</f>
        <v>21470934</v>
      </c>
      <c r="V132" s="416"/>
      <c r="W132" s="416"/>
      <c r="X132" s="416"/>
      <c r="Y132" s="415">
        <f ca="1">SUM(V133:X133)</f>
        <v>1096160</v>
      </c>
      <c r="Z132" s="415">
        <f ca="1">U133+Y133</f>
        <v>22567094</v>
      </c>
      <c r="AA132" s="417"/>
      <c r="AB132" s="417"/>
      <c r="AC132" s="416"/>
      <c r="AD132" s="416"/>
      <c r="AE132" s="415">
        <f ca="1">SUM(AC133:AD133)</f>
        <v>81650</v>
      </c>
      <c r="AF132" s="415">
        <f ca="1">Z133+AA133+AB133+AE133</f>
        <v>30705841</v>
      </c>
      <c r="AG132" s="418"/>
      <c r="AH132" s="418"/>
      <c r="AI132" s="418"/>
      <c r="AJ132" s="418"/>
      <c r="AK132" s="418"/>
      <c r="AL132" s="419">
        <f ca="1">AG133+AI133+AJ133</f>
        <v>63.57</v>
      </c>
      <c r="AM132" s="419">
        <f ca="1">AH133+AK133</f>
        <v>-0.40999999999999992</v>
      </c>
      <c r="AN132" s="419">
        <f ca="1">SUM(AL133:AM133)</f>
        <v>63.16</v>
      </c>
      <c r="AO132" s="432">
        <f ca="1">SUM(AP133:AT133)</f>
        <v>316038070</v>
      </c>
      <c r="AP132" s="690"/>
      <c r="AQ132" s="690"/>
      <c r="AR132" s="690"/>
      <c r="AS132" s="690"/>
      <c r="AT132" s="690"/>
      <c r="AU132" s="420">
        <f ca="1">SUM(AV133:AW133)</f>
        <v>505.04070000000002</v>
      </c>
      <c r="AV132" s="623"/>
      <c r="AW132" s="623"/>
    </row>
    <row r="133" spans="1:49" customFormat="1" ht="13.5" thickBot="1" x14ac:dyDescent="0.25">
      <c r="D133" s="49"/>
      <c r="E133" s="50"/>
      <c r="F133" s="49"/>
      <c r="G133" s="96"/>
      <c r="H133" s="47" t="s">
        <v>0</v>
      </c>
      <c r="I133" s="365">
        <f t="shared" ref="I133:AV133" ca="1" si="234">SUM(I134:I143)</f>
        <v>285332229</v>
      </c>
      <c r="J133" s="366">
        <f t="shared" ca="1" si="234"/>
        <v>207179090</v>
      </c>
      <c r="K133" s="366">
        <f t="shared" ca="1" si="234"/>
        <v>70026534</v>
      </c>
      <c r="L133" s="366">
        <f t="shared" ca="1" si="234"/>
        <v>4143583</v>
      </c>
      <c r="M133" s="366">
        <f t="shared" ca="1" si="234"/>
        <v>3983022</v>
      </c>
      <c r="N133" s="367">
        <f t="shared" ca="1" si="234"/>
        <v>441.88069999999999</v>
      </c>
      <c r="O133" s="367">
        <f t="shared" ca="1" si="234"/>
        <v>304.67490000000009</v>
      </c>
      <c r="P133" s="648">
        <f t="shared" ca="1" si="234"/>
        <v>137.20580000000001</v>
      </c>
      <c r="Q133" s="368">
        <f t="shared" ca="1" si="234"/>
        <v>-1096160</v>
      </c>
      <c r="R133" s="366">
        <f t="shared" ca="1" si="234"/>
        <v>21793716</v>
      </c>
      <c r="S133" s="366">
        <f t="shared" ca="1" si="234"/>
        <v>0</v>
      </c>
      <c r="T133" s="366">
        <f t="shared" ca="1" si="234"/>
        <v>773378</v>
      </c>
      <c r="U133" s="366">
        <f t="shared" ca="1" si="234"/>
        <v>21470934</v>
      </c>
      <c r="V133" s="366">
        <f t="shared" ca="1" si="234"/>
        <v>1096160</v>
      </c>
      <c r="W133" s="366">
        <f t="shared" ref="W133" ca="1" si="235">SUM(W134:W143)</f>
        <v>0</v>
      </c>
      <c r="X133" s="366">
        <f t="shared" ca="1" si="234"/>
        <v>0</v>
      </c>
      <c r="Y133" s="366">
        <f t="shared" ca="1" si="234"/>
        <v>1096160</v>
      </c>
      <c r="Z133" s="366">
        <f t="shared" ca="1" si="234"/>
        <v>22567094</v>
      </c>
      <c r="AA133" s="366">
        <f t="shared" ca="1" si="234"/>
        <v>7627678</v>
      </c>
      <c r="AB133" s="366">
        <f t="shared" ca="1" si="234"/>
        <v>429419</v>
      </c>
      <c r="AC133" s="366">
        <f t="shared" ca="1" si="234"/>
        <v>81650</v>
      </c>
      <c r="AD133" s="366">
        <f t="shared" ca="1" si="234"/>
        <v>0</v>
      </c>
      <c r="AE133" s="366">
        <f t="shared" ca="1" si="234"/>
        <v>81650</v>
      </c>
      <c r="AF133" s="366">
        <f t="shared" ca="1" si="234"/>
        <v>30705841</v>
      </c>
      <c r="AG133" s="367">
        <f t="shared" ca="1" si="234"/>
        <v>-0.55000000000000004</v>
      </c>
      <c r="AH133" s="367">
        <f t="shared" ca="1" si="234"/>
        <v>-1.52</v>
      </c>
      <c r="AI133" s="367">
        <f t="shared" ca="1" si="234"/>
        <v>63.15</v>
      </c>
      <c r="AJ133" s="367">
        <f t="shared" ca="1" si="234"/>
        <v>0.97</v>
      </c>
      <c r="AK133" s="386">
        <f t="shared" ca="1" si="234"/>
        <v>1.1100000000000001</v>
      </c>
      <c r="AL133" s="386">
        <f t="shared" ca="1" si="234"/>
        <v>63.569999999999993</v>
      </c>
      <c r="AM133" s="367">
        <f t="shared" ca="1" si="234"/>
        <v>-0.41000000000000014</v>
      </c>
      <c r="AN133" s="648">
        <f t="shared" ca="1" si="234"/>
        <v>63.16</v>
      </c>
      <c r="AO133" s="368">
        <f t="shared" ca="1" si="234"/>
        <v>316038070</v>
      </c>
      <c r="AP133" s="366">
        <f t="shared" ca="1" si="234"/>
        <v>228650024</v>
      </c>
      <c r="AQ133" s="366">
        <f t="shared" ca="1" si="234"/>
        <v>1096160</v>
      </c>
      <c r="AR133" s="366">
        <f t="shared" ca="1" si="234"/>
        <v>77654212</v>
      </c>
      <c r="AS133" s="366">
        <f t="shared" ca="1" si="234"/>
        <v>4573002</v>
      </c>
      <c r="AT133" s="366">
        <f t="shared" ca="1" si="234"/>
        <v>4064672</v>
      </c>
      <c r="AU133" s="367">
        <f t="shared" ca="1" si="234"/>
        <v>505.04070000000002</v>
      </c>
      <c r="AV133" s="367">
        <f t="shared" ca="1" si="234"/>
        <v>368.24490000000003</v>
      </c>
      <c r="AW133" s="435">
        <f t="shared" ref="AW133" ca="1" si="236">SUM(AW134:AW143)</f>
        <v>136.79580000000001</v>
      </c>
    </row>
    <row r="134" spans="1:49" customFormat="1" ht="12.75" x14ac:dyDescent="0.2">
      <c r="D134" s="49"/>
      <c r="E134" s="50"/>
      <c r="F134" s="49"/>
      <c r="G134" s="96"/>
      <c r="H134" s="1">
        <v>3111</v>
      </c>
      <c r="I134" s="369">
        <f t="shared" ref="I134:AW134" ca="1" si="237">SUMIF($F$12:$F$270,"=3111",I$12:I$240)</f>
        <v>54775210</v>
      </c>
      <c r="J134" s="370">
        <f t="shared" ca="1" si="237"/>
        <v>40069448</v>
      </c>
      <c r="K134" s="370">
        <f t="shared" ca="1" si="237"/>
        <v>13543473</v>
      </c>
      <c r="L134" s="370">
        <f t="shared" ca="1" si="237"/>
        <v>801389</v>
      </c>
      <c r="M134" s="370">
        <f t="shared" ca="1" si="237"/>
        <v>360900</v>
      </c>
      <c r="N134" s="371">
        <f t="shared" ca="1" si="237"/>
        <v>91.095100000000016</v>
      </c>
      <c r="O134" s="371">
        <f t="shared" ca="1" si="237"/>
        <v>72.051500000000004</v>
      </c>
      <c r="P134" s="649">
        <f t="shared" ca="1" si="237"/>
        <v>19.043600000000001</v>
      </c>
      <c r="Q134" s="372">
        <f t="shared" ca="1" si="237"/>
        <v>-284960</v>
      </c>
      <c r="R134" s="370">
        <f t="shared" ca="1" si="237"/>
        <v>1703325</v>
      </c>
      <c r="S134" s="370">
        <f t="shared" ca="1" si="237"/>
        <v>0</v>
      </c>
      <c r="T134" s="370">
        <f t="shared" ca="1" si="237"/>
        <v>197095</v>
      </c>
      <c r="U134" s="370">
        <f t="shared" ca="1" si="237"/>
        <v>1615460</v>
      </c>
      <c r="V134" s="370">
        <f t="shared" ca="1" si="237"/>
        <v>284960</v>
      </c>
      <c r="W134" s="370">
        <f t="shared" ca="1" si="237"/>
        <v>0</v>
      </c>
      <c r="X134" s="370">
        <f t="shared" ca="1" si="237"/>
        <v>0</v>
      </c>
      <c r="Y134" s="370">
        <f t="shared" ca="1" si="237"/>
        <v>284960</v>
      </c>
      <c r="Z134" s="370">
        <f t="shared" ca="1" si="237"/>
        <v>1900420</v>
      </c>
      <c r="AA134" s="370">
        <f t="shared" ca="1" si="237"/>
        <v>642342</v>
      </c>
      <c r="AB134" s="370">
        <f t="shared" ca="1" si="237"/>
        <v>32310</v>
      </c>
      <c r="AC134" s="370">
        <f t="shared" ca="1" si="237"/>
        <v>0</v>
      </c>
      <c r="AD134" s="370">
        <f t="shared" ca="1" si="237"/>
        <v>0</v>
      </c>
      <c r="AE134" s="370">
        <f t="shared" ca="1" si="237"/>
        <v>0</v>
      </c>
      <c r="AF134" s="370">
        <f t="shared" ca="1" si="237"/>
        <v>2575072</v>
      </c>
      <c r="AG134" s="371">
        <f t="shared" ca="1" si="237"/>
        <v>-0.11</v>
      </c>
      <c r="AH134" s="371">
        <f t="shared" ca="1" si="237"/>
        <v>-0.31</v>
      </c>
      <c r="AI134" s="371">
        <f t="shared" ca="1" si="237"/>
        <v>5.25</v>
      </c>
      <c r="AJ134" s="371">
        <f t="shared" ca="1" si="237"/>
        <v>0.31</v>
      </c>
      <c r="AK134" s="371">
        <f t="shared" ca="1" si="237"/>
        <v>7.0000000000000007E-2</v>
      </c>
      <c r="AL134" s="371">
        <f t="shared" ca="1" si="237"/>
        <v>5.45</v>
      </c>
      <c r="AM134" s="371">
        <f t="shared" ca="1" si="237"/>
        <v>-0.24</v>
      </c>
      <c r="AN134" s="649">
        <f t="shared" ca="1" si="237"/>
        <v>5.21</v>
      </c>
      <c r="AO134" s="372">
        <f t="shared" ca="1" si="237"/>
        <v>57350282</v>
      </c>
      <c r="AP134" s="370">
        <f t="shared" ca="1" si="237"/>
        <v>41684908</v>
      </c>
      <c r="AQ134" s="370">
        <f t="shared" ca="1" si="237"/>
        <v>284960</v>
      </c>
      <c r="AR134" s="370">
        <f t="shared" ca="1" si="237"/>
        <v>14185815</v>
      </c>
      <c r="AS134" s="370">
        <f t="shared" ca="1" si="237"/>
        <v>833699</v>
      </c>
      <c r="AT134" s="370">
        <f t="shared" ca="1" si="237"/>
        <v>360900</v>
      </c>
      <c r="AU134" s="371">
        <f t="shared" ca="1" si="237"/>
        <v>96.30510000000001</v>
      </c>
      <c r="AV134" s="371">
        <f t="shared" ca="1" si="237"/>
        <v>77.501500000000007</v>
      </c>
      <c r="AW134" s="436">
        <f t="shared" ca="1" si="237"/>
        <v>18.803600000000003</v>
      </c>
    </row>
    <row r="135" spans="1:49" customFormat="1" ht="12.75" x14ac:dyDescent="0.2">
      <c r="D135" s="49"/>
      <c r="E135" s="50"/>
      <c r="F135" s="49"/>
      <c r="G135" s="96"/>
      <c r="H135" s="2">
        <v>3113</v>
      </c>
      <c r="I135" s="373">
        <f t="shared" ref="I135:AW135" si="238">SUMIF($F$12:$F$270,"=3113",I$12:I$270)</f>
        <v>133061733</v>
      </c>
      <c r="J135" s="374">
        <f t="shared" si="238"/>
        <v>95977272</v>
      </c>
      <c r="K135" s="374">
        <f t="shared" si="238"/>
        <v>32440318</v>
      </c>
      <c r="L135" s="374">
        <f t="shared" si="238"/>
        <v>1919543</v>
      </c>
      <c r="M135" s="374">
        <f t="shared" si="238"/>
        <v>2724600</v>
      </c>
      <c r="N135" s="375">
        <f t="shared" si="238"/>
        <v>184.43370000000004</v>
      </c>
      <c r="O135" s="375">
        <f t="shared" si="238"/>
        <v>142.53200000000004</v>
      </c>
      <c r="P135" s="650">
        <f t="shared" si="238"/>
        <v>41.901699999999998</v>
      </c>
      <c r="Q135" s="376">
        <f t="shared" si="238"/>
        <v>-254400</v>
      </c>
      <c r="R135" s="374">
        <f t="shared" si="238"/>
        <v>13841374</v>
      </c>
      <c r="S135" s="374">
        <f t="shared" si="238"/>
        <v>0</v>
      </c>
      <c r="T135" s="374">
        <f t="shared" si="238"/>
        <v>35154</v>
      </c>
      <c r="U135" s="374">
        <f t="shared" si="238"/>
        <v>13622128</v>
      </c>
      <c r="V135" s="374">
        <f t="shared" si="238"/>
        <v>254400</v>
      </c>
      <c r="W135" s="374">
        <f t="shared" si="238"/>
        <v>0</v>
      </c>
      <c r="X135" s="374">
        <f t="shared" si="238"/>
        <v>0</v>
      </c>
      <c r="Y135" s="374">
        <f t="shared" si="238"/>
        <v>254400</v>
      </c>
      <c r="Z135" s="374">
        <f t="shared" si="238"/>
        <v>13876528</v>
      </c>
      <c r="AA135" s="374">
        <f t="shared" si="238"/>
        <v>4690266</v>
      </c>
      <c r="AB135" s="374">
        <f t="shared" si="238"/>
        <v>272443</v>
      </c>
      <c r="AC135" s="374">
        <f t="shared" si="238"/>
        <v>39950</v>
      </c>
      <c r="AD135" s="374">
        <f t="shared" si="238"/>
        <v>0</v>
      </c>
      <c r="AE135" s="374">
        <f t="shared" si="238"/>
        <v>39950</v>
      </c>
      <c r="AF135" s="374">
        <f t="shared" si="238"/>
        <v>18879187</v>
      </c>
      <c r="AG135" s="375">
        <f t="shared" si="238"/>
        <v>-0.1</v>
      </c>
      <c r="AH135" s="375">
        <f t="shared" si="238"/>
        <v>-0.15</v>
      </c>
      <c r="AI135" s="375">
        <f t="shared" si="238"/>
        <v>40.07</v>
      </c>
      <c r="AJ135" s="375">
        <f t="shared" si="238"/>
        <v>0.06</v>
      </c>
      <c r="AK135" s="375">
        <f t="shared" si="238"/>
        <v>0</v>
      </c>
      <c r="AL135" s="375">
        <f t="shared" si="238"/>
        <v>40.03</v>
      </c>
      <c r="AM135" s="375">
        <f t="shared" si="238"/>
        <v>-0.15</v>
      </c>
      <c r="AN135" s="650">
        <f t="shared" si="238"/>
        <v>39.879999999999995</v>
      </c>
      <c r="AO135" s="376">
        <f t="shared" si="238"/>
        <v>151940920</v>
      </c>
      <c r="AP135" s="374">
        <f t="shared" si="238"/>
        <v>109599400</v>
      </c>
      <c r="AQ135" s="374">
        <f t="shared" si="238"/>
        <v>254400</v>
      </c>
      <c r="AR135" s="374">
        <f t="shared" si="238"/>
        <v>37130584</v>
      </c>
      <c r="AS135" s="374">
        <f t="shared" si="238"/>
        <v>2191986</v>
      </c>
      <c r="AT135" s="374">
        <f t="shared" si="238"/>
        <v>2764550</v>
      </c>
      <c r="AU135" s="375">
        <f t="shared" si="238"/>
        <v>224.31370000000001</v>
      </c>
      <c r="AV135" s="375">
        <f t="shared" si="238"/>
        <v>182.56200000000001</v>
      </c>
      <c r="AW135" s="437">
        <f t="shared" si="238"/>
        <v>41.7517</v>
      </c>
    </row>
    <row r="136" spans="1:49" customFormat="1" ht="12.75" x14ac:dyDescent="0.2">
      <c r="D136" s="49"/>
      <c r="E136" s="50"/>
      <c r="F136" s="49"/>
      <c r="G136" s="96"/>
      <c r="H136" s="2">
        <v>3114</v>
      </c>
      <c r="I136" s="373">
        <f t="shared" ref="I136:AW136" si="239">SUMIF($F$12:$F$270,"=3114",I$12:I$270)</f>
        <v>13142721</v>
      </c>
      <c r="J136" s="374">
        <f t="shared" si="239"/>
        <v>9596739</v>
      </c>
      <c r="K136" s="374">
        <f t="shared" si="239"/>
        <v>3243697</v>
      </c>
      <c r="L136" s="374">
        <f t="shared" si="239"/>
        <v>191935</v>
      </c>
      <c r="M136" s="374">
        <f t="shared" si="239"/>
        <v>110350</v>
      </c>
      <c r="N136" s="375">
        <f t="shared" si="239"/>
        <v>18.4649</v>
      </c>
      <c r="O136" s="375">
        <f t="shared" si="239"/>
        <v>14.226600000000001</v>
      </c>
      <c r="P136" s="650">
        <f t="shared" si="239"/>
        <v>4.2382999999999997</v>
      </c>
      <c r="Q136" s="376">
        <f t="shared" si="239"/>
        <v>-38400</v>
      </c>
      <c r="R136" s="374">
        <f t="shared" si="239"/>
        <v>0</v>
      </c>
      <c r="S136" s="374">
        <f t="shared" si="239"/>
        <v>0</v>
      </c>
      <c r="T136" s="374">
        <f t="shared" si="239"/>
        <v>77913</v>
      </c>
      <c r="U136" s="374">
        <f t="shared" si="239"/>
        <v>39513</v>
      </c>
      <c r="V136" s="374">
        <f t="shared" si="239"/>
        <v>38400</v>
      </c>
      <c r="W136" s="374">
        <f t="shared" si="239"/>
        <v>0</v>
      </c>
      <c r="X136" s="374">
        <f t="shared" si="239"/>
        <v>0</v>
      </c>
      <c r="Y136" s="374">
        <f t="shared" si="239"/>
        <v>38400</v>
      </c>
      <c r="Z136" s="374">
        <f t="shared" si="239"/>
        <v>77913</v>
      </c>
      <c r="AA136" s="374">
        <f t="shared" si="239"/>
        <v>26335</v>
      </c>
      <c r="AB136" s="374">
        <f t="shared" si="239"/>
        <v>790</v>
      </c>
      <c r="AC136" s="374">
        <f t="shared" si="239"/>
        <v>0</v>
      </c>
      <c r="AD136" s="374">
        <f t="shared" si="239"/>
        <v>0</v>
      </c>
      <c r="AE136" s="374">
        <f t="shared" si="239"/>
        <v>0</v>
      </c>
      <c r="AF136" s="374">
        <f t="shared" si="239"/>
        <v>105038</v>
      </c>
      <c r="AG136" s="375">
        <f t="shared" si="239"/>
        <v>0</v>
      </c>
      <c r="AH136" s="375">
        <f t="shared" si="239"/>
        <v>-0.19</v>
      </c>
      <c r="AI136" s="375">
        <f t="shared" si="239"/>
        <v>0</v>
      </c>
      <c r="AJ136" s="375">
        <f t="shared" si="239"/>
        <v>0.12</v>
      </c>
      <c r="AK136" s="375">
        <f t="shared" si="239"/>
        <v>0</v>
      </c>
      <c r="AL136" s="375">
        <f t="shared" si="239"/>
        <v>0.12</v>
      </c>
      <c r="AM136" s="375">
        <f t="shared" si="239"/>
        <v>-0.19</v>
      </c>
      <c r="AN136" s="650">
        <f t="shared" si="239"/>
        <v>-7.0000000000000007E-2</v>
      </c>
      <c r="AO136" s="376">
        <f t="shared" si="239"/>
        <v>13247759</v>
      </c>
      <c r="AP136" s="374">
        <f t="shared" si="239"/>
        <v>9636252</v>
      </c>
      <c r="AQ136" s="374">
        <f t="shared" si="239"/>
        <v>38400</v>
      </c>
      <c r="AR136" s="374">
        <f t="shared" si="239"/>
        <v>3270032</v>
      </c>
      <c r="AS136" s="374">
        <f t="shared" si="239"/>
        <v>192725</v>
      </c>
      <c r="AT136" s="374">
        <f t="shared" si="239"/>
        <v>110350</v>
      </c>
      <c r="AU136" s="375">
        <f t="shared" si="239"/>
        <v>18.3949</v>
      </c>
      <c r="AV136" s="375">
        <f t="shared" si="239"/>
        <v>14.346599999999999</v>
      </c>
      <c r="AW136" s="437">
        <f t="shared" si="239"/>
        <v>4.0482999999999993</v>
      </c>
    </row>
    <row r="137" spans="1:49" customFormat="1" ht="12.75" x14ac:dyDescent="0.2">
      <c r="D137" s="49"/>
      <c r="E137" s="50"/>
      <c r="F137" s="49"/>
      <c r="G137" s="96"/>
      <c r="H137" s="2">
        <v>3117</v>
      </c>
      <c r="I137" s="373">
        <f t="shared" ref="I137:AW137" si="240">SUMIF($F$12:$F$270,"=3117",I$12:I$270)</f>
        <v>31652304</v>
      </c>
      <c r="J137" s="374">
        <f t="shared" si="240"/>
        <v>22897527</v>
      </c>
      <c r="K137" s="374">
        <f t="shared" si="240"/>
        <v>7739365</v>
      </c>
      <c r="L137" s="374">
        <f t="shared" si="240"/>
        <v>457952</v>
      </c>
      <c r="M137" s="374">
        <f t="shared" si="240"/>
        <v>557460</v>
      </c>
      <c r="N137" s="375">
        <f t="shared" si="240"/>
        <v>46.822799999999994</v>
      </c>
      <c r="O137" s="375">
        <f t="shared" si="240"/>
        <v>31.017399999999995</v>
      </c>
      <c r="P137" s="650">
        <f t="shared" si="240"/>
        <v>15.805400000000001</v>
      </c>
      <c r="Q137" s="376">
        <f t="shared" si="240"/>
        <v>-152800</v>
      </c>
      <c r="R137" s="374">
        <f t="shared" si="240"/>
        <v>6249017</v>
      </c>
      <c r="S137" s="374">
        <f t="shared" si="240"/>
        <v>0</v>
      </c>
      <c r="T137" s="374">
        <f t="shared" si="240"/>
        <v>0</v>
      </c>
      <c r="U137" s="374">
        <f t="shared" si="240"/>
        <v>6096217</v>
      </c>
      <c r="V137" s="374">
        <f t="shared" si="240"/>
        <v>152800</v>
      </c>
      <c r="W137" s="374">
        <f t="shared" si="240"/>
        <v>0</v>
      </c>
      <c r="X137" s="374">
        <f t="shared" si="240"/>
        <v>0</v>
      </c>
      <c r="Y137" s="374">
        <f t="shared" si="240"/>
        <v>152800</v>
      </c>
      <c r="Z137" s="374">
        <f t="shared" si="240"/>
        <v>6249017</v>
      </c>
      <c r="AA137" s="374">
        <f t="shared" si="240"/>
        <v>2112168</v>
      </c>
      <c r="AB137" s="374">
        <f t="shared" si="240"/>
        <v>121924</v>
      </c>
      <c r="AC137" s="374">
        <f t="shared" si="240"/>
        <v>41700</v>
      </c>
      <c r="AD137" s="374">
        <f t="shared" si="240"/>
        <v>0</v>
      </c>
      <c r="AE137" s="374">
        <f t="shared" si="240"/>
        <v>41700</v>
      </c>
      <c r="AF137" s="374">
        <f t="shared" si="240"/>
        <v>8524809</v>
      </c>
      <c r="AG137" s="375">
        <f t="shared" si="240"/>
        <v>-0.05</v>
      </c>
      <c r="AH137" s="375">
        <f t="shared" si="240"/>
        <v>-0.54</v>
      </c>
      <c r="AI137" s="375">
        <f t="shared" si="240"/>
        <v>17.829999999999998</v>
      </c>
      <c r="AJ137" s="375">
        <f t="shared" si="240"/>
        <v>0</v>
      </c>
      <c r="AK137" s="375">
        <f t="shared" si="240"/>
        <v>0</v>
      </c>
      <c r="AL137" s="375">
        <f t="shared" si="240"/>
        <v>17.779999999999998</v>
      </c>
      <c r="AM137" s="375">
        <f t="shared" si="240"/>
        <v>-0.54</v>
      </c>
      <c r="AN137" s="650">
        <f t="shared" si="240"/>
        <v>17.240000000000002</v>
      </c>
      <c r="AO137" s="376">
        <f t="shared" si="240"/>
        <v>40177113</v>
      </c>
      <c r="AP137" s="374">
        <f t="shared" si="240"/>
        <v>28993744</v>
      </c>
      <c r="AQ137" s="374">
        <f t="shared" si="240"/>
        <v>152800</v>
      </c>
      <c r="AR137" s="374">
        <f t="shared" si="240"/>
        <v>9851533</v>
      </c>
      <c r="AS137" s="374">
        <f t="shared" si="240"/>
        <v>579876</v>
      </c>
      <c r="AT137" s="374">
        <f t="shared" si="240"/>
        <v>599160</v>
      </c>
      <c r="AU137" s="375">
        <f t="shared" si="240"/>
        <v>64.062799999999982</v>
      </c>
      <c r="AV137" s="375">
        <f t="shared" si="240"/>
        <v>48.797400000000003</v>
      </c>
      <c r="AW137" s="437">
        <f t="shared" si="240"/>
        <v>15.2654</v>
      </c>
    </row>
    <row r="138" spans="1:49" customFormat="1" ht="12.75" x14ac:dyDescent="0.2">
      <c r="D138" s="49"/>
      <c r="E138" s="50"/>
      <c r="F138" s="49"/>
      <c r="G138" s="96"/>
      <c r="H138" s="2">
        <v>3122</v>
      </c>
      <c r="I138" s="373">
        <f t="shared" ref="I138:AW138" si="241">SUMIF($F$12:$F$240,"=3122",I$12:I$240)</f>
        <v>0</v>
      </c>
      <c r="J138" s="374">
        <f t="shared" si="241"/>
        <v>0</v>
      </c>
      <c r="K138" s="374">
        <f t="shared" si="241"/>
        <v>0</v>
      </c>
      <c r="L138" s="374">
        <f t="shared" si="241"/>
        <v>0</v>
      </c>
      <c r="M138" s="374">
        <f t="shared" si="241"/>
        <v>0</v>
      </c>
      <c r="N138" s="375">
        <f t="shared" si="241"/>
        <v>0</v>
      </c>
      <c r="O138" s="375">
        <f t="shared" si="241"/>
        <v>0</v>
      </c>
      <c r="P138" s="650">
        <f t="shared" si="241"/>
        <v>0</v>
      </c>
      <c r="Q138" s="376">
        <f t="shared" si="241"/>
        <v>0</v>
      </c>
      <c r="R138" s="374">
        <f t="shared" si="241"/>
        <v>0</v>
      </c>
      <c r="S138" s="374">
        <f t="shared" si="241"/>
        <v>0</v>
      </c>
      <c r="T138" s="374">
        <f t="shared" si="241"/>
        <v>0</v>
      </c>
      <c r="U138" s="374">
        <f t="shared" si="241"/>
        <v>0</v>
      </c>
      <c r="V138" s="374">
        <f t="shared" si="241"/>
        <v>0</v>
      </c>
      <c r="W138" s="374">
        <f t="shared" si="241"/>
        <v>0</v>
      </c>
      <c r="X138" s="374">
        <f t="shared" si="241"/>
        <v>0</v>
      </c>
      <c r="Y138" s="374">
        <f t="shared" si="241"/>
        <v>0</v>
      </c>
      <c r="Z138" s="374">
        <f t="shared" si="241"/>
        <v>0</v>
      </c>
      <c r="AA138" s="374">
        <f t="shared" si="241"/>
        <v>0</v>
      </c>
      <c r="AB138" s="374">
        <f t="shared" si="241"/>
        <v>0</v>
      </c>
      <c r="AC138" s="374">
        <f t="shared" si="241"/>
        <v>0</v>
      </c>
      <c r="AD138" s="374">
        <f t="shared" si="241"/>
        <v>0</v>
      </c>
      <c r="AE138" s="374">
        <f t="shared" si="241"/>
        <v>0</v>
      </c>
      <c r="AF138" s="374">
        <f t="shared" si="241"/>
        <v>0</v>
      </c>
      <c r="AG138" s="375">
        <f t="shared" si="241"/>
        <v>0</v>
      </c>
      <c r="AH138" s="375">
        <f t="shared" si="241"/>
        <v>0</v>
      </c>
      <c r="AI138" s="375">
        <f t="shared" si="241"/>
        <v>0</v>
      </c>
      <c r="AJ138" s="375">
        <f t="shared" si="241"/>
        <v>0</v>
      </c>
      <c r="AK138" s="375">
        <f t="shared" si="241"/>
        <v>0</v>
      </c>
      <c r="AL138" s="375">
        <f t="shared" si="241"/>
        <v>0</v>
      </c>
      <c r="AM138" s="375">
        <f t="shared" si="241"/>
        <v>0</v>
      </c>
      <c r="AN138" s="650">
        <f t="shared" si="241"/>
        <v>0</v>
      </c>
      <c r="AO138" s="376">
        <f t="shared" si="241"/>
        <v>0</v>
      </c>
      <c r="AP138" s="374">
        <f t="shared" si="241"/>
        <v>0</v>
      </c>
      <c r="AQ138" s="374">
        <f t="shared" si="241"/>
        <v>0</v>
      </c>
      <c r="AR138" s="374">
        <f t="shared" si="241"/>
        <v>0</v>
      </c>
      <c r="AS138" s="374">
        <f t="shared" si="241"/>
        <v>0</v>
      </c>
      <c r="AT138" s="374">
        <f t="shared" si="241"/>
        <v>0</v>
      </c>
      <c r="AU138" s="375">
        <f t="shared" si="241"/>
        <v>0</v>
      </c>
      <c r="AV138" s="375">
        <f t="shared" si="241"/>
        <v>0</v>
      </c>
      <c r="AW138" s="437">
        <f t="shared" si="241"/>
        <v>0</v>
      </c>
    </row>
    <row r="139" spans="1:49" customFormat="1" ht="12.75" x14ac:dyDescent="0.2">
      <c r="D139" s="49"/>
      <c r="E139" s="50"/>
      <c r="F139" s="49"/>
      <c r="G139" s="96"/>
      <c r="H139" s="2">
        <v>3124</v>
      </c>
      <c r="I139" s="373">
        <f t="shared" ref="I139:AW139" si="242">SUMIF($F$12:$F$240,"=3124",I$12:I$240)</f>
        <v>0</v>
      </c>
      <c r="J139" s="374">
        <f t="shared" si="242"/>
        <v>0</v>
      </c>
      <c r="K139" s="374">
        <f t="shared" si="242"/>
        <v>0</v>
      </c>
      <c r="L139" s="374">
        <f t="shared" si="242"/>
        <v>0</v>
      </c>
      <c r="M139" s="374">
        <f t="shared" si="242"/>
        <v>0</v>
      </c>
      <c r="N139" s="375">
        <f t="shared" si="242"/>
        <v>0</v>
      </c>
      <c r="O139" s="375">
        <f t="shared" si="242"/>
        <v>0</v>
      </c>
      <c r="P139" s="650">
        <f t="shared" si="242"/>
        <v>0</v>
      </c>
      <c r="Q139" s="376">
        <f t="shared" si="242"/>
        <v>0</v>
      </c>
      <c r="R139" s="374">
        <f t="shared" si="242"/>
        <v>0</v>
      </c>
      <c r="S139" s="374">
        <f t="shared" si="242"/>
        <v>0</v>
      </c>
      <c r="T139" s="374">
        <f t="shared" si="242"/>
        <v>0</v>
      </c>
      <c r="U139" s="374">
        <f t="shared" si="242"/>
        <v>0</v>
      </c>
      <c r="V139" s="374">
        <f t="shared" si="242"/>
        <v>0</v>
      </c>
      <c r="W139" s="374">
        <f t="shared" si="242"/>
        <v>0</v>
      </c>
      <c r="X139" s="374">
        <f t="shared" si="242"/>
        <v>0</v>
      </c>
      <c r="Y139" s="374">
        <f t="shared" si="242"/>
        <v>0</v>
      </c>
      <c r="Z139" s="374">
        <f t="shared" si="242"/>
        <v>0</v>
      </c>
      <c r="AA139" s="374">
        <f t="shared" si="242"/>
        <v>0</v>
      </c>
      <c r="AB139" s="374">
        <f t="shared" si="242"/>
        <v>0</v>
      </c>
      <c r="AC139" s="374">
        <f t="shared" si="242"/>
        <v>0</v>
      </c>
      <c r="AD139" s="374">
        <f t="shared" si="242"/>
        <v>0</v>
      </c>
      <c r="AE139" s="374">
        <f t="shared" si="242"/>
        <v>0</v>
      </c>
      <c r="AF139" s="374">
        <f t="shared" si="242"/>
        <v>0</v>
      </c>
      <c r="AG139" s="375">
        <f t="shared" si="242"/>
        <v>0</v>
      </c>
      <c r="AH139" s="375">
        <f t="shared" si="242"/>
        <v>0</v>
      </c>
      <c r="AI139" s="375">
        <f t="shared" si="242"/>
        <v>0</v>
      </c>
      <c r="AJ139" s="375">
        <f t="shared" si="242"/>
        <v>0</v>
      </c>
      <c r="AK139" s="375">
        <f t="shared" si="242"/>
        <v>0</v>
      </c>
      <c r="AL139" s="375">
        <f t="shared" si="242"/>
        <v>0</v>
      </c>
      <c r="AM139" s="375">
        <f t="shared" si="242"/>
        <v>0</v>
      </c>
      <c r="AN139" s="650">
        <f t="shared" si="242"/>
        <v>0</v>
      </c>
      <c r="AO139" s="376">
        <f t="shared" si="242"/>
        <v>0</v>
      </c>
      <c r="AP139" s="374">
        <f t="shared" si="242"/>
        <v>0</v>
      </c>
      <c r="AQ139" s="374">
        <f t="shared" si="242"/>
        <v>0</v>
      </c>
      <c r="AR139" s="374">
        <f t="shared" si="242"/>
        <v>0</v>
      </c>
      <c r="AS139" s="374">
        <f t="shared" si="242"/>
        <v>0</v>
      </c>
      <c r="AT139" s="374">
        <f t="shared" si="242"/>
        <v>0</v>
      </c>
      <c r="AU139" s="375">
        <f t="shared" si="242"/>
        <v>0</v>
      </c>
      <c r="AV139" s="375">
        <f t="shared" si="242"/>
        <v>0</v>
      </c>
      <c r="AW139" s="437">
        <f t="shared" si="242"/>
        <v>0</v>
      </c>
    </row>
    <row r="140" spans="1:49" customFormat="1" ht="12.75" x14ac:dyDescent="0.2">
      <c r="D140" s="49"/>
      <c r="E140" s="50"/>
      <c r="F140" s="49"/>
      <c r="G140" s="96"/>
      <c r="H140" s="2">
        <v>3141</v>
      </c>
      <c r="I140" s="373">
        <f t="shared" ref="I140:AW140" si="243">SUMIF($F$12:$F$270,"=3141",I$12:I$270)</f>
        <v>20467298</v>
      </c>
      <c r="J140" s="374">
        <f t="shared" si="243"/>
        <v>14962394</v>
      </c>
      <c r="K140" s="374">
        <f t="shared" si="243"/>
        <v>5057290</v>
      </c>
      <c r="L140" s="374">
        <f t="shared" si="243"/>
        <v>299248</v>
      </c>
      <c r="M140" s="374">
        <f t="shared" si="243"/>
        <v>148366</v>
      </c>
      <c r="N140" s="375">
        <f t="shared" si="243"/>
        <v>50.860000000000007</v>
      </c>
      <c r="O140" s="375">
        <f t="shared" si="243"/>
        <v>0</v>
      </c>
      <c r="P140" s="650">
        <f t="shared" si="243"/>
        <v>50.860000000000007</v>
      </c>
      <c r="Q140" s="376">
        <f t="shared" si="243"/>
        <v>-100000</v>
      </c>
      <c r="R140" s="374">
        <f t="shared" si="243"/>
        <v>0</v>
      </c>
      <c r="S140" s="374">
        <f t="shared" si="243"/>
        <v>0</v>
      </c>
      <c r="T140" s="374">
        <f t="shared" si="243"/>
        <v>305760</v>
      </c>
      <c r="U140" s="374">
        <f t="shared" si="243"/>
        <v>205760</v>
      </c>
      <c r="V140" s="374">
        <f t="shared" si="243"/>
        <v>100000</v>
      </c>
      <c r="W140" s="374">
        <f t="shared" si="243"/>
        <v>0</v>
      </c>
      <c r="X140" s="374">
        <f t="shared" si="243"/>
        <v>0</v>
      </c>
      <c r="Y140" s="374">
        <f t="shared" si="243"/>
        <v>100000</v>
      </c>
      <c r="Z140" s="374">
        <f t="shared" si="243"/>
        <v>305760</v>
      </c>
      <c r="AA140" s="374">
        <f t="shared" si="243"/>
        <v>103347</v>
      </c>
      <c r="AB140" s="374">
        <f t="shared" si="243"/>
        <v>4115</v>
      </c>
      <c r="AC140" s="374">
        <f t="shared" si="243"/>
        <v>0</v>
      </c>
      <c r="AD140" s="374">
        <f t="shared" si="243"/>
        <v>0</v>
      </c>
      <c r="AE140" s="374">
        <f t="shared" si="243"/>
        <v>0</v>
      </c>
      <c r="AF140" s="374">
        <f t="shared" si="243"/>
        <v>413222</v>
      </c>
      <c r="AG140" s="375">
        <f t="shared" si="243"/>
        <v>0</v>
      </c>
      <c r="AH140" s="375">
        <f t="shared" si="243"/>
        <v>-7.0000000000000007E-2</v>
      </c>
      <c r="AI140" s="375">
        <f t="shared" si="243"/>
        <v>0</v>
      </c>
      <c r="AJ140" s="375">
        <f t="shared" si="243"/>
        <v>0</v>
      </c>
      <c r="AK140" s="375">
        <f t="shared" si="243"/>
        <v>1.04</v>
      </c>
      <c r="AL140" s="375">
        <f t="shared" si="243"/>
        <v>0</v>
      </c>
      <c r="AM140" s="375">
        <f t="shared" si="243"/>
        <v>0.97</v>
      </c>
      <c r="AN140" s="650">
        <f t="shared" si="243"/>
        <v>0.97</v>
      </c>
      <c r="AO140" s="376">
        <f t="shared" si="243"/>
        <v>20880520</v>
      </c>
      <c r="AP140" s="374">
        <f t="shared" si="243"/>
        <v>15168154</v>
      </c>
      <c r="AQ140" s="374">
        <f t="shared" si="243"/>
        <v>100000</v>
      </c>
      <c r="AR140" s="374">
        <f t="shared" si="243"/>
        <v>5160637</v>
      </c>
      <c r="AS140" s="374">
        <f t="shared" si="243"/>
        <v>303363</v>
      </c>
      <c r="AT140" s="374">
        <f t="shared" si="243"/>
        <v>148366</v>
      </c>
      <c r="AU140" s="375">
        <f t="shared" si="243"/>
        <v>51.830000000000013</v>
      </c>
      <c r="AV140" s="375">
        <f t="shared" si="243"/>
        <v>0</v>
      </c>
      <c r="AW140" s="437">
        <f t="shared" si="243"/>
        <v>51.830000000000013</v>
      </c>
    </row>
    <row r="141" spans="1:49" customFormat="1" ht="12.75" x14ac:dyDescent="0.2">
      <c r="D141" s="49"/>
      <c r="E141" s="50"/>
      <c r="F141" s="49"/>
      <c r="G141" s="96"/>
      <c r="H141" s="2">
        <v>3143</v>
      </c>
      <c r="I141" s="373">
        <f t="shared" ref="I141:AW141" si="244">SUMIF($F$12:$F$270,"=3143",I$12:I$270)</f>
        <v>15986321</v>
      </c>
      <c r="J141" s="374">
        <f t="shared" si="244"/>
        <v>11755831</v>
      </c>
      <c r="K141" s="374">
        <f t="shared" si="244"/>
        <v>3973472</v>
      </c>
      <c r="L141" s="374">
        <f t="shared" si="244"/>
        <v>235118</v>
      </c>
      <c r="M141" s="374">
        <f t="shared" si="244"/>
        <v>21900</v>
      </c>
      <c r="N141" s="375">
        <f t="shared" si="244"/>
        <v>26.221000000000004</v>
      </c>
      <c r="O141" s="375">
        <f t="shared" si="244"/>
        <v>24.711000000000002</v>
      </c>
      <c r="P141" s="650">
        <f t="shared" si="244"/>
        <v>1.51</v>
      </c>
      <c r="Q141" s="376">
        <f t="shared" si="244"/>
        <v>-72000</v>
      </c>
      <c r="R141" s="374">
        <f t="shared" si="244"/>
        <v>0</v>
      </c>
      <c r="S141" s="374">
        <f t="shared" si="244"/>
        <v>0</v>
      </c>
      <c r="T141" s="374">
        <f t="shared" si="244"/>
        <v>157456</v>
      </c>
      <c r="U141" s="374">
        <f t="shared" si="244"/>
        <v>85456</v>
      </c>
      <c r="V141" s="374">
        <f t="shared" si="244"/>
        <v>72000</v>
      </c>
      <c r="W141" s="374">
        <f t="shared" si="244"/>
        <v>0</v>
      </c>
      <c r="X141" s="374">
        <f t="shared" si="244"/>
        <v>0</v>
      </c>
      <c r="Y141" s="374">
        <f t="shared" si="244"/>
        <v>72000</v>
      </c>
      <c r="Z141" s="374">
        <f t="shared" si="244"/>
        <v>157456</v>
      </c>
      <c r="AA141" s="374">
        <f t="shared" si="244"/>
        <v>53220</v>
      </c>
      <c r="AB141" s="374">
        <f t="shared" si="244"/>
        <v>1709</v>
      </c>
      <c r="AC141" s="374">
        <f t="shared" si="244"/>
        <v>0</v>
      </c>
      <c r="AD141" s="374">
        <f t="shared" si="244"/>
        <v>0</v>
      </c>
      <c r="AE141" s="374">
        <f t="shared" si="244"/>
        <v>0</v>
      </c>
      <c r="AF141" s="374">
        <f t="shared" si="244"/>
        <v>212385</v>
      </c>
      <c r="AG141" s="375">
        <f t="shared" si="244"/>
        <v>-0.04</v>
      </c>
      <c r="AH141" s="375">
        <f t="shared" si="244"/>
        <v>0</v>
      </c>
      <c r="AI141" s="375">
        <f t="shared" si="244"/>
        <v>0</v>
      </c>
      <c r="AJ141" s="375">
        <f t="shared" si="244"/>
        <v>0.48</v>
      </c>
      <c r="AK141" s="375">
        <f t="shared" si="244"/>
        <v>0</v>
      </c>
      <c r="AL141" s="375">
        <f t="shared" si="244"/>
        <v>0.44</v>
      </c>
      <c r="AM141" s="375">
        <f t="shared" si="244"/>
        <v>0</v>
      </c>
      <c r="AN141" s="650">
        <f t="shared" si="244"/>
        <v>0.44</v>
      </c>
      <c r="AO141" s="376">
        <f t="shared" si="244"/>
        <v>16198706</v>
      </c>
      <c r="AP141" s="374">
        <f t="shared" si="244"/>
        <v>11841287</v>
      </c>
      <c r="AQ141" s="374">
        <f t="shared" si="244"/>
        <v>72000</v>
      </c>
      <c r="AR141" s="374">
        <f t="shared" si="244"/>
        <v>4026692</v>
      </c>
      <c r="AS141" s="374">
        <f t="shared" si="244"/>
        <v>236827</v>
      </c>
      <c r="AT141" s="374">
        <f t="shared" si="244"/>
        <v>21900</v>
      </c>
      <c r="AU141" s="375">
        <f t="shared" si="244"/>
        <v>26.661000000000005</v>
      </c>
      <c r="AV141" s="375">
        <f t="shared" si="244"/>
        <v>25.151000000000003</v>
      </c>
      <c r="AW141" s="437">
        <f t="shared" si="244"/>
        <v>1.51</v>
      </c>
    </row>
    <row r="142" spans="1:49" customFormat="1" ht="12.75" x14ac:dyDescent="0.2">
      <c r="D142" s="49"/>
      <c r="E142" s="50"/>
      <c r="F142" s="49"/>
      <c r="G142" s="96"/>
      <c r="H142" s="2">
        <v>3231</v>
      </c>
      <c r="I142" s="373">
        <f t="shared" ref="I142:AW142" si="245">SUMIF($F$12:$F$270,"=3231",I$12:I$270)</f>
        <v>11965380</v>
      </c>
      <c r="J142" s="374">
        <f t="shared" si="245"/>
        <v>8781053</v>
      </c>
      <c r="K142" s="374">
        <f t="shared" si="245"/>
        <v>2967996</v>
      </c>
      <c r="L142" s="374">
        <f t="shared" si="245"/>
        <v>175621</v>
      </c>
      <c r="M142" s="374">
        <f t="shared" si="245"/>
        <v>40710</v>
      </c>
      <c r="N142" s="375">
        <f t="shared" si="245"/>
        <v>17.023199999999999</v>
      </c>
      <c r="O142" s="375">
        <f t="shared" si="245"/>
        <v>15.086400000000001</v>
      </c>
      <c r="P142" s="650">
        <f t="shared" si="245"/>
        <v>1.9368000000000001</v>
      </c>
      <c r="Q142" s="376">
        <f t="shared" si="245"/>
        <v>-91200</v>
      </c>
      <c r="R142" s="374">
        <f t="shared" si="245"/>
        <v>0</v>
      </c>
      <c r="S142" s="374">
        <f t="shared" si="245"/>
        <v>0</v>
      </c>
      <c r="T142" s="374">
        <f t="shared" si="245"/>
        <v>0</v>
      </c>
      <c r="U142" s="374">
        <f t="shared" si="245"/>
        <v>-91200</v>
      </c>
      <c r="V142" s="374">
        <f t="shared" si="245"/>
        <v>91200</v>
      </c>
      <c r="W142" s="374">
        <f t="shared" si="245"/>
        <v>0</v>
      </c>
      <c r="X142" s="374">
        <f t="shared" si="245"/>
        <v>0</v>
      </c>
      <c r="Y142" s="374">
        <f t="shared" si="245"/>
        <v>91200</v>
      </c>
      <c r="Z142" s="374">
        <f t="shared" si="245"/>
        <v>0</v>
      </c>
      <c r="AA142" s="374">
        <f t="shared" si="245"/>
        <v>0</v>
      </c>
      <c r="AB142" s="374">
        <f t="shared" si="245"/>
        <v>-1824</v>
      </c>
      <c r="AC142" s="374">
        <f t="shared" si="245"/>
        <v>0</v>
      </c>
      <c r="AD142" s="374">
        <f t="shared" si="245"/>
        <v>0</v>
      </c>
      <c r="AE142" s="374">
        <f t="shared" si="245"/>
        <v>0</v>
      </c>
      <c r="AF142" s="374">
        <f t="shared" si="245"/>
        <v>-1824</v>
      </c>
      <c r="AG142" s="375">
        <f t="shared" si="245"/>
        <v>-0.13</v>
      </c>
      <c r="AH142" s="375">
        <f t="shared" si="245"/>
        <v>-0.12</v>
      </c>
      <c r="AI142" s="375">
        <f t="shared" si="245"/>
        <v>0</v>
      </c>
      <c r="AJ142" s="375">
        <f t="shared" si="245"/>
        <v>0</v>
      </c>
      <c r="AK142" s="375">
        <f t="shared" si="245"/>
        <v>0</v>
      </c>
      <c r="AL142" s="375">
        <f t="shared" si="245"/>
        <v>-0.13</v>
      </c>
      <c r="AM142" s="375">
        <f t="shared" si="245"/>
        <v>-0.12</v>
      </c>
      <c r="AN142" s="650">
        <f t="shared" si="245"/>
        <v>-0.25</v>
      </c>
      <c r="AO142" s="376">
        <f t="shared" si="245"/>
        <v>11963556</v>
      </c>
      <c r="AP142" s="374">
        <f t="shared" si="245"/>
        <v>8689853</v>
      </c>
      <c r="AQ142" s="374">
        <f t="shared" si="245"/>
        <v>91200</v>
      </c>
      <c r="AR142" s="374">
        <f t="shared" si="245"/>
        <v>2967996</v>
      </c>
      <c r="AS142" s="374">
        <f t="shared" si="245"/>
        <v>173797</v>
      </c>
      <c r="AT142" s="374">
        <f t="shared" si="245"/>
        <v>40710</v>
      </c>
      <c r="AU142" s="375">
        <f t="shared" si="245"/>
        <v>16.773199999999999</v>
      </c>
      <c r="AV142" s="375">
        <f t="shared" si="245"/>
        <v>14.956399999999999</v>
      </c>
      <c r="AW142" s="437">
        <f t="shared" si="245"/>
        <v>1.8168</v>
      </c>
    </row>
    <row r="143" spans="1:49" customFormat="1" ht="13.5" thickBot="1" x14ac:dyDescent="0.25">
      <c r="D143" s="49"/>
      <c r="E143" s="50"/>
      <c r="F143" s="49"/>
      <c r="G143" s="96"/>
      <c r="H143" s="291">
        <v>3233</v>
      </c>
      <c r="I143" s="377">
        <f t="shared" ref="I143:AW143" si="246">SUMIF($F$12:$F$270,"=3233",I$12:I$270)</f>
        <v>4281262</v>
      </c>
      <c r="J143" s="378">
        <f t="shared" si="246"/>
        <v>3138826</v>
      </c>
      <c r="K143" s="378">
        <f t="shared" si="246"/>
        <v>1060923</v>
      </c>
      <c r="L143" s="378">
        <f t="shared" si="246"/>
        <v>62777</v>
      </c>
      <c r="M143" s="378">
        <f t="shared" si="246"/>
        <v>18736</v>
      </c>
      <c r="N143" s="379">
        <f t="shared" si="246"/>
        <v>6.96</v>
      </c>
      <c r="O143" s="379">
        <f t="shared" si="246"/>
        <v>5.05</v>
      </c>
      <c r="P143" s="651">
        <f t="shared" si="246"/>
        <v>1.9100000000000001</v>
      </c>
      <c r="Q143" s="380">
        <f t="shared" si="246"/>
        <v>-102400</v>
      </c>
      <c r="R143" s="378">
        <f t="shared" si="246"/>
        <v>0</v>
      </c>
      <c r="S143" s="378">
        <f t="shared" si="246"/>
        <v>0</v>
      </c>
      <c r="T143" s="378">
        <f t="shared" si="246"/>
        <v>0</v>
      </c>
      <c r="U143" s="378">
        <f t="shared" si="246"/>
        <v>-102400</v>
      </c>
      <c r="V143" s="378">
        <f t="shared" si="246"/>
        <v>102400</v>
      </c>
      <c r="W143" s="378">
        <f t="shared" si="246"/>
        <v>0</v>
      </c>
      <c r="X143" s="378">
        <f t="shared" si="246"/>
        <v>0</v>
      </c>
      <c r="Y143" s="378">
        <f t="shared" si="246"/>
        <v>102400</v>
      </c>
      <c r="Z143" s="378">
        <f t="shared" si="246"/>
        <v>0</v>
      </c>
      <c r="AA143" s="378">
        <f t="shared" si="246"/>
        <v>0</v>
      </c>
      <c r="AB143" s="378">
        <f t="shared" si="246"/>
        <v>-2048</v>
      </c>
      <c r="AC143" s="378">
        <f t="shared" si="246"/>
        <v>0</v>
      </c>
      <c r="AD143" s="378">
        <f t="shared" si="246"/>
        <v>0</v>
      </c>
      <c r="AE143" s="378">
        <f t="shared" si="246"/>
        <v>0</v>
      </c>
      <c r="AF143" s="378">
        <f t="shared" si="246"/>
        <v>-2048</v>
      </c>
      <c r="AG143" s="379">
        <f t="shared" si="246"/>
        <v>-0.12</v>
      </c>
      <c r="AH143" s="379">
        <f t="shared" si="246"/>
        <v>-0.14000000000000001</v>
      </c>
      <c r="AI143" s="379">
        <f t="shared" si="246"/>
        <v>0</v>
      </c>
      <c r="AJ143" s="379">
        <f t="shared" si="246"/>
        <v>0</v>
      </c>
      <c r="AK143" s="379">
        <f t="shared" si="246"/>
        <v>0</v>
      </c>
      <c r="AL143" s="379">
        <f t="shared" si="246"/>
        <v>-0.12</v>
      </c>
      <c r="AM143" s="379">
        <f t="shared" si="246"/>
        <v>-0.14000000000000001</v>
      </c>
      <c r="AN143" s="651">
        <f t="shared" si="246"/>
        <v>-0.26</v>
      </c>
      <c r="AO143" s="380">
        <f t="shared" si="246"/>
        <v>4279214</v>
      </c>
      <c r="AP143" s="378">
        <f t="shared" si="246"/>
        <v>3036426</v>
      </c>
      <c r="AQ143" s="378">
        <f t="shared" si="246"/>
        <v>102400</v>
      </c>
      <c r="AR143" s="378">
        <f t="shared" si="246"/>
        <v>1060923</v>
      </c>
      <c r="AS143" s="378">
        <f t="shared" si="246"/>
        <v>60729</v>
      </c>
      <c r="AT143" s="378">
        <f t="shared" si="246"/>
        <v>18736</v>
      </c>
      <c r="AU143" s="379">
        <f t="shared" si="246"/>
        <v>6.7</v>
      </c>
      <c r="AV143" s="379">
        <f t="shared" si="246"/>
        <v>4.93</v>
      </c>
      <c r="AW143" s="438">
        <f t="shared" si="246"/>
        <v>1.77</v>
      </c>
    </row>
    <row r="144" spans="1:49" x14ac:dyDescent="0.25">
      <c r="I144" s="179"/>
      <c r="J144" s="179"/>
      <c r="K144" s="179"/>
      <c r="L144" s="179"/>
      <c r="M144" s="179"/>
      <c r="N144" s="652"/>
      <c r="O144" s="652"/>
      <c r="P144" s="652"/>
      <c r="Q144" s="229"/>
      <c r="R144" s="381"/>
      <c r="S144" s="381"/>
      <c r="T144" s="381"/>
      <c r="U144" s="381"/>
      <c r="V144" s="381"/>
      <c r="W144" s="381"/>
      <c r="X144" s="381"/>
      <c r="Y144" s="381"/>
      <c r="Z144" s="381"/>
      <c r="AA144" s="381"/>
      <c r="AB144" s="381"/>
      <c r="AC144" s="381"/>
      <c r="AD144" s="381"/>
      <c r="AE144" s="381"/>
      <c r="AF144" s="381"/>
      <c r="AG144" s="382"/>
      <c r="AH144" s="382"/>
      <c r="AI144" s="382"/>
      <c r="AJ144" s="382"/>
      <c r="AK144" s="382"/>
      <c r="AL144" s="382"/>
      <c r="AM144" s="382"/>
      <c r="AN144" s="382"/>
      <c r="AO144" s="381"/>
      <c r="AP144" s="381"/>
      <c r="AQ144" s="381"/>
      <c r="AR144" s="381"/>
      <c r="AS144" s="381"/>
      <c r="AT144" s="381"/>
      <c r="AU144" s="382"/>
      <c r="AV144" s="382"/>
    </row>
    <row r="145" spans="1:49" s="112" customFormat="1" x14ac:dyDescent="0.25">
      <c r="A145" s="179"/>
      <c r="B145" s="178"/>
      <c r="C145" s="178"/>
      <c r="D145" s="178"/>
      <c r="E145" s="179"/>
      <c r="F145" s="179"/>
      <c r="G145" s="179"/>
      <c r="H145" s="179"/>
      <c r="I145" s="179"/>
      <c r="J145" s="179"/>
      <c r="K145" s="179"/>
      <c r="L145" s="179"/>
      <c r="M145" s="179"/>
      <c r="N145" s="652"/>
      <c r="O145" s="652"/>
      <c r="P145" s="652"/>
      <c r="Q145" s="229"/>
      <c r="AG145" s="113"/>
      <c r="AH145" s="113"/>
      <c r="AI145" s="113"/>
      <c r="AJ145" s="113"/>
      <c r="AK145" s="113"/>
      <c r="AL145" s="113"/>
      <c r="AM145" s="113"/>
      <c r="AN145" s="113"/>
      <c r="AU145" s="113"/>
      <c r="AV145" s="113"/>
      <c r="AW145" s="113"/>
    </row>
    <row r="146" spans="1:49" s="112" customFormat="1" x14ac:dyDescent="0.25">
      <c r="A146" s="179"/>
      <c r="B146" s="178"/>
      <c r="C146" s="178"/>
      <c r="D146" s="178"/>
      <c r="E146" s="179"/>
      <c r="F146" s="179"/>
      <c r="G146" s="179"/>
      <c r="H146" s="179"/>
      <c r="I146" s="229"/>
      <c r="J146" s="229"/>
      <c r="K146" s="229"/>
      <c r="L146" s="229"/>
      <c r="M146" s="229"/>
      <c r="N146" s="652"/>
      <c r="O146" s="652"/>
      <c r="P146" s="652"/>
      <c r="Q146" s="229"/>
      <c r="AG146" s="113"/>
      <c r="AH146" s="113"/>
      <c r="AI146" s="113"/>
      <c r="AJ146" s="113"/>
      <c r="AK146" s="113"/>
      <c r="AL146" s="113"/>
      <c r="AM146" s="113"/>
      <c r="AN146" s="113"/>
      <c r="AU146" s="113"/>
      <c r="AV146" s="113"/>
      <c r="AW146" s="113"/>
    </row>
    <row r="147" spans="1:49" s="112" customFormat="1" x14ac:dyDescent="0.25">
      <c r="A147" s="179"/>
      <c r="B147" s="178"/>
      <c r="C147" s="178"/>
      <c r="D147" s="178"/>
      <c r="E147" s="179"/>
      <c r="F147" s="179"/>
      <c r="G147" s="179"/>
      <c r="H147" s="179"/>
      <c r="I147" s="179"/>
      <c r="J147" s="179"/>
      <c r="K147" s="179"/>
      <c r="L147" s="179"/>
      <c r="M147" s="179"/>
      <c r="N147" s="652"/>
      <c r="O147" s="652"/>
      <c r="P147" s="652"/>
      <c r="Q147" s="229"/>
      <c r="T147" s="113"/>
      <c r="AG147" s="113"/>
      <c r="AH147" s="113"/>
      <c r="AI147" s="113"/>
      <c r="AJ147" s="113"/>
      <c r="AK147" s="113"/>
      <c r="AL147" s="113"/>
      <c r="AM147" s="113"/>
      <c r="AN147" s="113"/>
      <c r="AU147" s="113"/>
      <c r="AV147" s="113"/>
      <c r="AW147" s="113"/>
    </row>
    <row r="149" spans="1:49" s="112" customFormat="1" x14ac:dyDescent="0.25">
      <c r="A149" s="179"/>
      <c r="B149" s="178"/>
      <c r="C149" s="178"/>
      <c r="D149" s="178"/>
      <c r="E149" s="179"/>
      <c r="F149" s="179"/>
      <c r="G149" s="179"/>
      <c r="H149" s="179"/>
      <c r="I149" s="179"/>
      <c r="J149" s="179"/>
      <c r="K149" s="179"/>
      <c r="L149" s="179"/>
      <c r="M149" s="179"/>
      <c r="N149" s="652"/>
      <c r="O149" s="652"/>
      <c r="P149" s="652"/>
      <c r="Q149" s="229"/>
      <c r="R149" s="229"/>
      <c r="S149" s="229"/>
      <c r="T149" s="229"/>
      <c r="AG149" s="113"/>
      <c r="AH149" s="113"/>
      <c r="AI149" s="113"/>
      <c r="AJ149" s="113"/>
      <c r="AK149" s="113"/>
      <c r="AL149" s="113"/>
      <c r="AM149" s="113"/>
      <c r="AN149" s="113"/>
      <c r="AU149" s="113"/>
      <c r="AV149" s="113"/>
      <c r="AW149" s="113"/>
    </row>
    <row r="151" spans="1:49" s="112" customFormat="1" x14ac:dyDescent="0.25">
      <c r="A151" s="179"/>
      <c r="B151" s="178"/>
      <c r="C151" s="178"/>
      <c r="D151" s="178"/>
      <c r="E151" s="179"/>
      <c r="F151" s="179"/>
      <c r="G151" s="179"/>
      <c r="H151" s="179"/>
      <c r="I151" s="180"/>
      <c r="J151" s="180"/>
      <c r="K151" s="180"/>
      <c r="L151" s="180"/>
      <c r="M151" s="180"/>
      <c r="N151" s="653"/>
      <c r="O151" s="653"/>
      <c r="P151" s="653"/>
      <c r="AG151" s="113"/>
      <c r="AH151" s="113"/>
      <c r="AI151" s="113"/>
      <c r="AJ151" s="113"/>
      <c r="AK151" s="113"/>
      <c r="AL151" s="113"/>
      <c r="AM151" s="113"/>
      <c r="AN151" s="113"/>
      <c r="AU151" s="113"/>
      <c r="AV151" s="113"/>
      <c r="AW151" s="113"/>
    </row>
    <row r="153" spans="1:49" s="112" customFormat="1" x14ac:dyDescent="0.25">
      <c r="A153" s="179"/>
      <c r="B153" s="178"/>
      <c r="C153" s="178"/>
      <c r="D153" s="178"/>
      <c r="E153" s="179"/>
      <c r="F153" s="228"/>
      <c r="G153" s="179"/>
      <c r="H153" s="179"/>
      <c r="I153" s="180"/>
      <c r="J153" s="181"/>
      <c r="K153" s="181"/>
      <c r="L153" s="181"/>
      <c r="M153" s="181"/>
      <c r="N153" s="653"/>
      <c r="O153" s="182"/>
      <c r="P153" s="182"/>
      <c r="AG153" s="113"/>
      <c r="AH153" s="113"/>
      <c r="AI153" s="113"/>
      <c r="AJ153" s="113"/>
      <c r="AK153" s="113"/>
      <c r="AL153" s="113"/>
      <c r="AM153" s="113"/>
      <c r="AN153" s="113"/>
      <c r="AU153" s="113"/>
      <c r="AV153" s="113"/>
      <c r="AW153" s="113"/>
    </row>
    <row r="154" spans="1:49" s="112" customFormat="1" x14ac:dyDescent="0.25">
      <c r="A154" s="179"/>
      <c r="B154" s="178"/>
      <c r="C154" s="178"/>
      <c r="D154" s="178"/>
      <c r="E154" s="179"/>
      <c r="F154" s="228"/>
      <c r="G154" s="179"/>
      <c r="H154" s="179"/>
      <c r="I154" s="180"/>
      <c r="J154" s="181"/>
      <c r="K154" s="181"/>
      <c r="L154" s="181"/>
      <c r="M154" s="181"/>
      <c r="N154" s="653"/>
      <c r="O154" s="182"/>
      <c r="P154" s="182"/>
      <c r="AG154" s="113"/>
      <c r="AH154" s="113"/>
      <c r="AI154" s="113"/>
      <c r="AJ154" s="113"/>
      <c r="AK154" s="113"/>
      <c r="AL154" s="113"/>
      <c r="AM154" s="113"/>
      <c r="AN154" s="113"/>
      <c r="AU154" s="113"/>
      <c r="AV154" s="113"/>
      <c r="AW154" s="113"/>
    </row>
    <row r="155" spans="1:49" s="112" customFormat="1" x14ac:dyDescent="0.25">
      <c r="A155" s="179"/>
      <c r="B155" s="178"/>
      <c r="C155" s="178"/>
      <c r="D155" s="178"/>
      <c r="E155" s="179"/>
      <c r="F155" s="228"/>
      <c r="G155" s="179"/>
      <c r="H155" s="179"/>
      <c r="I155" s="180"/>
      <c r="J155" s="181"/>
      <c r="K155" s="181"/>
      <c r="L155" s="181"/>
      <c r="M155" s="181"/>
      <c r="N155" s="653"/>
      <c r="O155" s="182"/>
      <c r="P155" s="182"/>
      <c r="AG155" s="113"/>
      <c r="AH155" s="113"/>
      <c r="AI155" s="113"/>
      <c r="AJ155" s="113"/>
      <c r="AK155" s="113"/>
      <c r="AL155" s="113"/>
      <c r="AM155" s="113"/>
      <c r="AN155" s="113"/>
      <c r="AU155" s="113"/>
      <c r="AV155" s="113"/>
      <c r="AW155" s="113"/>
    </row>
    <row r="156" spans="1:49" s="112" customFormat="1" x14ac:dyDescent="0.25">
      <c r="A156" s="179"/>
      <c r="B156" s="178"/>
      <c r="C156" s="178"/>
      <c r="D156" s="178"/>
      <c r="E156" s="179"/>
      <c r="F156" s="228"/>
      <c r="G156" s="179"/>
      <c r="H156" s="179"/>
      <c r="I156" s="180"/>
      <c r="J156" s="181"/>
      <c r="K156" s="181"/>
      <c r="L156" s="181"/>
      <c r="M156" s="181"/>
      <c r="N156" s="653"/>
      <c r="O156" s="182"/>
      <c r="P156" s="182"/>
      <c r="AG156" s="113"/>
      <c r="AH156" s="113"/>
      <c r="AI156" s="113"/>
      <c r="AJ156" s="113"/>
      <c r="AK156" s="113"/>
      <c r="AL156" s="113"/>
      <c r="AM156" s="113"/>
      <c r="AN156" s="113"/>
      <c r="AU156" s="113"/>
      <c r="AV156" s="113"/>
      <c r="AW156" s="113"/>
    </row>
    <row r="158" spans="1:49" x14ac:dyDescent="0.25">
      <c r="N158" s="182"/>
    </row>
    <row r="159" spans="1:49" x14ac:dyDescent="0.25">
      <c r="N159" s="182"/>
    </row>
    <row r="161" spans="5:16" x14ac:dyDescent="0.25">
      <c r="J161" s="180"/>
      <c r="K161" s="180"/>
      <c r="L161" s="180"/>
      <c r="M161" s="180"/>
      <c r="O161" s="653"/>
      <c r="P161" s="653"/>
    </row>
    <row r="163" spans="5:16" x14ac:dyDescent="0.25">
      <c r="J163" s="180"/>
      <c r="K163" s="180"/>
      <c r="L163" s="180"/>
      <c r="M163" s="180"/>
      <c r="O163" s="653"/>
      <c r="P163" s="653"/>
    </row>
    <row r="165" spans="5:16" x14ac:dyDescent="0.25">
      <c r="E165" s="107"/>
      <c r="K165" s="107"/>
    </row>
    <row r="166" spans="5:16" x14ac:dyDescent="0.25">
      <c r="E166" s="107"/>
      <c r="K166" s="107"/>
    </row>
    <row r="167" spans="5:16" x14ac:dyDescent="0.25">
      <c r="E167" s="107"/>
      <c r="K167" s="107"/>
    </row>
    <row r="168" spans="5:16" x14ac:dyDescent="0.25">
      <c r="E168" s="107"/>
      <c r="K168" s="107"/>
    </row>
    <row r="169" spans="5:16" x14ac:dyDescent="0.25">
      <c r="E169" s="625"/>
    </row>
    <row r="170" spans="5:16" x14ac:dyDescent="0.25">
      <c r="E170" s="625"/>
    </row>
    <row r="171" spans="5:16" x14ac:dyDescent="0.25">
      <c r="E171" s="625"/>
    </row>
    <row r="172" spans="5:16" x14ac:dyDescent="0.25">
      <c r="E172" s="625"/>
    </row>
    <row r="173" spans="5:16" x14ac:dyDescent="0.25">
      <c r="E173" s="625"/>
    </row>
    <row r="174" spans="5:16" x14ac:dyDescent="0.25">
      <c r="E174" s="625"/>
    </row>
    <row r="175" spans="5:16" x14ac:dyDescent="0.25">
      <c r="E175" s="625"/>
    </row>
    <row r="176" spans="5:16" x14ac:dyDescent="0.25">
      <c r="E176" s="625"/>
    </row>
    <row r="177" spans="1:49" x14ac:dyDescent="0.25">
      <c r="E177" s="625"/>
    </row>
    <row r="178" spans="1:49" x14ac:dyDescent="0.25">
      <c r="E178" s="625"/>
    </row>
    <row r="179" spans="1:49" x14ac:dyDescent="0.25">
      <c r="E179" s="625"/>
    </row>
    <row r="180" spans="1:49" x14ac:dyDescent="0.25">
      <c r="E180" s="625"/>
    </row>
    <row r="182" spans="1:49" s="196" customFormat="1" x14ac:dyDescent="0.25">
      <c r="A182" s="228"/>
      <c r="B182" s="227"/>
      <c r="C182" s="227"/>
      <c r="H182" s="228"/>
      <c r="I182" s="180"/>
      <c r="K182" s="181"/>
      <c r="L182" s="181"/>
      <c r="N182" s="653"/>
      <c r="O182" s="628"/>
      <c r="P182" s="628"/>
      <c r="Q182" s="627"/>
      <c r="R182" s="627"/>
      <c r="S182" s="627"/>
      <c r="T182" s="627"/>
      <c r="U182" s="627"/>
      <c r="V182" s="627"/>
      <c r="W182" s="627"/>
      <c r="X182" s="627"/>
      <c r="Y182" s="627"/>
      <c r="Z182" s="627"/>
      <c r="AA182" s="627"/>
      <c r="AB182" s="627"/>
      <c r="AC182" s="627"/>
      <c r="AD182" s="627"/>
      <c r="AE182" s="627"/>
      <c r="AF182" s="627"/>
      <c r="AG182" s="628"/>
      <c r="AH182" s="628"/>
      <c r="AI182" s="628"/>
      <c r="AJ182" s="628"/>
      <c r="AK182" s="628"/>
      <c r="AL182" s="628"/>
      <c r="AM182" s="628"/>
      <c r="AN182" s="628"/>
      <c r="AO182" s="627"/>
      <c r="AP182" s="627"/>
      <c r="AQ182" s="627"/>
      <c r="AR182" s="627"/>
      <c r="AS182" s="627"/>
      <c r="AT182" s="627"/>
      <c r="AU182" s="628"/>
      <c r="AV182" s="628"/>
      <c r="AW182" s="628"/>
    </row>
    <row r="183" spans="1:49" s="196" customFormat="1" x14ac:dyDescent="0.25">
      <c r="A183" s="228"/>
      <c r="B183" s="227"/>
      <c r="C183" s="227"/>
      <c r="H183" s="228"/>
      <c r="I183" s="180"/>
      <c r="K183" s="181"/>
      <c r="L183" s="181"/>
      <c r="N183" s="653"/>
      <c r="O183" s="628"/>
      <c r="P183" s="628"/>
      <c r="Q183" s="627"/>
      <c r="R183" s="627"/>
      <c r="S183" s="627"/>
      <c r="T183" s="627"/>
      <c r="U183" s="627"/>
      <c r="V183" s="627"/>
      <c r="W183" s="627"/>
      <c r="X183" s="627"/>
      <c r="Y183" s="627"/>
      <c r="Z183" s="627"/>
      <c r="AA183" s="627"/>
      <c r="AB183" s="627"/>
      <c r="AC183" s="627"/>
      <c r="AD183" s="627"/>
      <c r="AE183" s="627"/>
      <c r="AF183" s="627"/>
      <c r="AG183" s="628"/>
      <c r="AH183" s="628"/>
      <c r="AI183" s="628"/>
      <c r="AJ183" s="628"/>
      <c r="AK183" s="628"/>
      <c r="AL183" s="628"/>
      <c r="AM183" s="628"/>
      <c r="AN183" s="628"/>
      <c r="AO183" s="627"/>
      <c r="AP183" s="627"/>
      <c r="AQ183" s="627"/>
      <c r="AR183" s="627"/>
      <c r="AS183" s="627"/>
      <c r="AT183" s="627"/>
      <c r="AU183" s="628"/>
      <c r="AV183" s="628"/>
      <c r="AW183" s="628"/>
    </row>
    <row r="184" spans="1:49" s="196" customFormat="1" x14ac:dyDescent="0.25">
      <c r="A184" s="228"/>
      <c r="B184" s="227"/>
      <c r="C184" s="227"/>
      <c r="H184" s="228"/>
      <c r="I184" s="180"/>
      <c r="K184" s="181"/>
      <c r="L184" s="181"/>
      <c r="N184" s="653"/>
      <c r="O184" s="628"/>
      <c r="P184" s="628"/>
      <c r="Q184" s="627"/>
      <c r="R184" s="627"/>
      <c r="S184" s="627"/>
      <c r="T184" s="627"/>
      <c r="U184" s="627"/>
      <c r="V184" s="627"/>
      <c r="W184" s="627"/>
      <c r="X184" s="627"/>
      <c r="Y184" s="627"/>
      <c r="Z184" s="627"/>
      <c r="AA184" s="627"/>
      <c r="AB184" s="627"/>
      <c r="AC184" s="627"/>
      <c r="AD184" s="627"/>
      <c r="AE184" s="627"/>
      <c r="AF184" s="627"/>
      <c r="AG184" s="628"/>
      <c r="AH184" s="628"/>
      <c r="AI184" s="628"/>
      <c r="AJ184" s="628"/>
      <c r="AK184" s="628"/>
      <c r="AL184" s="628"/>
      <c r="AM184" s="628"/>
      <c r="AN184" s="628"/>
      <c r="AO184" s="627"/>
      <c r="AP184" s="627"/>
      <c r="AQ184" s="627"/>
      <c r="AR184" s="627"/>
      <c r="AS184" s="627"/>
      <c r="AT184" s="627"/>
      <c r="AU184" s="628"/>
      <c r="AV184" s="628"/>
      <c r="AW184" s="628"/>
    </row>
    <row r="185" spans="1:49" s="196" customFormat="1" x14ac:dyDescent="0.25">
      <c r="A185" s="228"/>
      <c r="B185" s="227"/>
      <c r="C185" s="227"/>
      <c r="H185" s="228"/>
      <c r="I185" s="180"/>
      <c r="K185" s="181"/>
      <c r="L185" s="181"/>
      <c r="N185" s="653"/>
      <c r="O185" s="628"/>
      <c r="P185" s="628"/>
      <c r="Q185" s="627"/>
      <c r="R185" s="627"/>
      <c r="S185" s="627"/>
      <c r="T185" s="627"/>
      <c r="U185" s="627"/>
      <c r="V185" s="627"/>
      <c r="W185" s="627"/>
      <c r="X185" s="627"/>
      <c r="Y185" s="627"/>
      <c r="Z185" s="627"/>
      <c r="AA185" s="627"/>
      <c r="AB185" s="627"/>
      <c r="AC185" s="627"/>
      <c r="AD185" s="627"/>
      <c r="AE185" s="627"/>
      <c r="AF185" s="627"/>
      <c r="AG185" s="628"/>
      <c r="AH185" s="628"/>
      <c r="AI185" s="628"/>
      <c r="AJ185" s="628"/>
      <c r="AK185" s="628"/>
      <c r="AL185" s="628"/>
      <c r="AM185" s="628"/>
      <c r="AN185" s="628"/>
      <c r="AO185" s="627"/>
      <c r="AP185" s="627"/>
      <c r="AQ185" s="627"/>
      <c r="AR185" s="627"/>
      <c r="AS185" s="627"/>
      <c r="AT185" s="627"/>
      <c r="AU185" s="628"/>
      <c r="AV185" s="628"/>
      <c r="AW185" s="628"/>
    </row>
    <row r="186" spans="1:49" s="196" customFormat="1" x14ac:dyDescent="0.25">
      <c r="A186" s="228"/>
      <c r="B186" s="227"/>
      <c r="C186" s="227"/>
      <c r="H186" s="228"/>
      <c r="I186" s="180"/>
      <c r="K186" s="181"/>
      <c r="L186" s="181"/>
      <c r="N186" s="653"/>
      <c r="O186" s="628"/>
      <c r="P186" s="628"/>
      <c r="Q186" s="627"/>
      <c r="R186" s="627"/>
      <c r="S186" s="627"/>
      <c r="T186" s="627"/>
      <c r="U186" s="627"/>
      <c r="V186" s="627"/>
      <c r="W186" s="627"/>
      <c r="X186" s="627"/>
      <c r="Y186" s="627"/>
      <c r="Z186" s="627"/>
      <c r="AA186" s="627"/>
      <c r="AB186" s="627"/>
      <c r="AC186" s="627"/>
      <c r="AD186" s="627"/>
      <c r="AE186" s="627"/>
      <c r="AF186" s="627"/>
      <c r="AG186" s="628"/>
      <c r="AH186" s="628"/>
      <c r="AI186" s="628"/>
      <c r="AJ186" s="628"/>
      <c r="AK186" s="628"/>
      <c r="AL186" s="628"/>
      <c r="AM186" s="628"/>
      <c r="AN186" s="628"/>
      <c r="AO186" s="627"/>
      <c r="AP186" s="627"/>
      <c r="AQ186" s="627"/>
      <c r="AR186" s="627"/>
      <c r="AS186" s="627"/>
      <c r="AT186" s="627"/>
      <c r="AU186" s="628"/>
      <c r="AV186" s="628"/>
      <c r="AW186" s="628"/>
    </row>
    <row r="187" spans="1:49" x14ac:dyDescent="0.25">
      <c r="J187" s="626"/>
      <c r="M187" s="626"/>
      <c r="O187" s="654"/>
      <c r="P187" s="654"/>
    </row>
    <row r="189" spans="1:49" x14ac:dyDescent="0.25">
      <c r="E189" s="107"/>
      <c r="J189" s="109"/>
      <c r="M189" s="109"/>
      <c r="O189" s="655"/>
      <c r="P189" s="655"/>
    </row>
    <row r="190" spans="1:49" x14ac:dyDescent="0.25">
      <c r="E190" s="107"/>
    </row>
    <row r="191" spans="1:49" x14ac:dyDescent="0.25">
      <c r="E191" s="107"/>
    </row>
    <row r="192" spans="1:49" x14ac:dyDescent="0.25">
      <c r="E192" s="107"/>
    </row>
    <row r="193" spans="5:5" x14ac:dyDescent="0.25">
      <c r="E193" s="107"/>
    </row>
    <row r="194" spans="5:5" x14ac:dyDescent="0.25">
      <c r="E194" s="107"/>
    </row>
    <row r="195" spans="5:5" x14ac:dyDescent="0.25">
      <c r="E195" s="107"/>
    </row>
    <row r="196" spans="5:5" x14ac:dyDescent="0.25">
      <c r="E196" s="107"/>
    </row>
    <row r="197" spans="5:5" x14ac:dyDescent="0.25">
      <c r="E197" s="107"/>
    </row>
    <row r="198" spans="5:5" x14ac:dyDescent="0.25">
      <c r="E198" s="107"/>
    </row>
    <row r="199" spans="5:5" x14ac:dyDescent="0.25">
      <c r="E199" s="107"/>
    </row>
    <row r="200" spans="5:5" x14ac:dyDescent="0.25">
      <c r="E200" s="107"/>
    </row>
    <row r="201" spans="5:5" x14ac:dyDescent="0.25">
      <c r="E201" s="107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1" spans="4:18" x14ac:dyDescent="0.25">
      <c r="D241"/>
      <c r="E241"/>
      <c r="J241" s="229"/>
      <c r="K241" s="229"/>
      <c r="L241" s="229"/>
      <c r="M241" s="229"/>
      <c r="N241" s="652"/>
      <c r="O241" s="652"/>
      <c r="P241" s="652"/>
    </row>
    <row r="242" spans="4:18" x14ac:dyDescent="0.25">
      <c r="J242" s="179"/>
      <c r="K242" s="179"/>
      <c r="L242" s="179"/>
      <c r="M242" s="179"/>
      <c r="N242" s="652"/>
      <c r="O242" s="652"/>
      <c r="P242" s="652"/>
    </row>
    <row r="243" spans="4:18" x14ac:dyDescent="0.25">
      <c r="J243" s="179"/>
      <c r="K243" s="179"/>
      <c r="L243" s="179"/>
      <c r="M243" s="179"/>
      <c r="N243" s="652"/>
      <c r="O243" s="652"/>
      <c r="P243" s="652"/>
    </row>
    <row r="245" spans="4:18" x14ac:dyDescent="0.25">
      <c r="I245" s="179"/>
      <c r="J245" s="179"/>
      <c r="K245" s="179"/>
      <c r="L245" s="179"/>
      <c r="M245" s="179"/>
      <c r="N245" s="652"/>
      <c r="O245" s="652"/>
      <c r="P245" s="652"/>
      <c r="Q245" s="179"/>
      <c r="R245" s="179"/>
    </row>
    <row r="246" spans="4:18" x14ac:dyDescent="0.25">
      <c r="I246" s="179"/>
      <c r="J246" s="179"/>
      <c r="K246" s="179"/>
      <c r="L246" s="179"/>
      <c r="M246" s="179"/>
      <c r="N246" s="652"/>
      <c r="O246" s="652"/>
      <c r="P246" s="652"/>
      <c r="Q246" s="179"/>
      <c r="R246" s="179"/>
    </row>
    <row r="248" spans="4:18" x14ac:dyDescent="0.25">
      <c r="J248" s="180"/>
      <c r="K248" s="180"/>
      <c r="L248" s="180"/>
      <c r="M248" s="180"/>
      <c r="N248" s="180"/>
      <c r="O248" s="180"/>
      <c r="P248" s="180"/>
      <c r="Q248" s="180"/>
      <c r="R248" s="180"/>
    </row>
    <row r="249" spans="4:18" x14ac:dyDescent="0.25">
      <c r="J249" s="180"/>
      <c r="K249" s="180"/>
      <c r="L249" s="180"/>
      <c r="M249" s="180"/>
      <c r="N249" s="180"/>
      <c r="O249" s="180"/>
      <c r="P249" s="180"/>
      <c r="Q249" s="180"/>
      <c r="R249" s="180"/>
    </row>
    <row r="250" spans="4:18" x14ac:dyDescent="0.25">
      <c r="J250" s="180"/>
      <c r="K250" s="180"/>
      <c r="L250" s="180"/>
      <c r="M250" s="180"/>
      <c r="N250" s="180"/>
      <c r="O250" s="180"/>
      <c r="P250" s="180"/>
      <c r="Q250" s="180"/>
      <c r="R250" s="180"/>
    </row>
  </sheetData>
  <mergeCells count="24">
    <mergeCell ref="AO6:AW7"/>
    <mergeCell ref="Q6:AN6"/>
    <mergeCell ref="Q7:U9"/>
    <mergeCell ref="V7:Y9"/>
    <mergeCell ref="AB7:AB10"/>
    <mergeCell ref="AC7:AE9"/>
    <mergeCell ref="AP8:AT9"/>
    <mergeCell ref="AU8:AU10"/>
    <mergeCell ref="AV8:AW9"/>
    <mergeCell ref="AG8:AH9"/>
    <mergeCell ref="AI8:AI9"/>
    <mergeCell ref="AJ8:AK9"/>
    <mergeCell ref="AL8:AN9"/>
    <mergeCell ref="AO8:AO10"/>
    <mergeCell ref="AF7:AF10"/>
    <mergeCell ref="AG7:AN7"/>
    <mergeCell ref="Z7:Z10"/>
    <mergeCell ref="AA7:AA10"/>
    <mergeCell ref="I6:P7"/>
    <mergeCell ref="A3:E3"/>
    <mergeCell ref="I8:I10"/>
    <mergeCell ref="J8:M9"/>
    <mergeCell ref="N8:N10"/>
    <mergeCell ref="O8:P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Y202"/>
  <sheetViews>
    <sheetView workbookViewId="0">
      <pane xSplit="8" ySplit="11" topLeftCell="AL12" activePane="bottomRight" state="frozen"/>
      <selection activeCell="AU1" sqref="AU1:AW1048576"/>
      <selection pane="topRight" activeCell="AU1" sqref="AU1:AW1048576"/>
      <selection pane="bottomLeft" activeCell="AU1" sqref="AU1:AW1048576"/>
      <selection pane="bottomRight" activeCell="AO6" sqref="AO6:AW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9.42578125" customWidth="1"/>
    <col min="8" max="8" width="8" customWidth="1"/>
    <col min="9" max="13" width="10.7109375" style="16" customWidth="1"/>
    <col min="14" max="14" width="11.7109375" style="15" customWidth="1"/>
    <col min="15" max="16" width="10.7109375" style="15" customWidth="1"/>
    <col min="17" max="17" width="10.7109375" style="16" customWidth="1"/>
    <col min="18" max="32" width="10.7109375" customWidth="1"/>
    <col min="33" max="40" width="10.7109375" style="15" customWidth="1"/>
    <col min="41" max="46" width="10.7109375" customWidth="1"/>
    <col min="47" max="47" width="11.7109375" style="15" customWidth="1"/>
    <col min="48" max="49" width="10.7109375" style="15" customWidth="1"/>
    <col min="51" max="51" width="11.7109375" style="16" customWidth="1"/>
    <col min="218" max="218" width="6.85546875" customWidth="1"/>
    <col min="219" max="219" width="35" customWidth="1"/>
    <col min="220" max="220" width="8" customWidth="1"/>
    <col min="221" max="221" width="31.85546875" customWidth="1"/>
    <col min="222" max="222" width="12" customWidth="1"/>
    <col min="223" max="223" width="11.5703125" customWidth="1"/>
    <col min="224" max="224" width="12" customWidth="1"/>
    <col min="225" max="225" width="11.140625" customWidth="1"/>
    <col min="226" max="227" width="10" customWidth="1"/>
    <col min="230" max="230" width="10.7109375" customWidth="1"/>
    <col min="474" max="474" width="6.85546875" customWidth="1"/>
    <col min="475" max="475" width="35" customWidth="1"/>
    <col min="476" max="476" width="8" customWidth="1"/>
    <col min="477" max="477" width="31.85546875" customWidth="1"/>
    <col min="478" max="478" width="12" customWidth="1"/>
    <col min="479" max="479" width="11.5703125" customWidth="1"/>
    <col min="480" max="480" width="12" customWidth="1"/>
    <col min="481" max="481" width="11.140625" customWidth="1"/>
    <col min="482" max="483" width="10" customWidth="1"/>
    <col min="486" max="486" width="10.7109375" customWidth="1"/>
    <col min="730" max="730" width="6.85546875" customWidth="1"/>
    <col min="731" max="731" width="35" customWidth="1"/>
    <col min="732" max="732" width="8" customWidth="1"/>
    <col min="733" max="733" width="31.85546875" customWidth="1"/>
    <col min="734" max="734" width="12" customWidth="1"/>
    <col min="735" max="735" width="11.5703125" customWidth="1"/>
    <col min="736" max="736" width="12" customWidth="1"/>
    <col min="737" max="737" width="11.140625" customWidth="1"/>
    <col min="738" max="739" width="10" customWidth="1"/>
    <col min="742" max="742" width="10.7109375" customWidth="1"/>
    <col min="986" max="986" width="6.85546875" customWidth="1"/>
    <col min="987" max="987" width="35" customWidth="1"/>
    <col min="988" max="988" width="8" customWidth="1"/>
    <col min="989" max="989" width="31.85546875" customWidth="1"/>
    <col min="990" max="990" width="12" customWidth="1"/>
    <col min="991" max="991" width="11.5703125" customWidth="1"/>
    <col min="992" max="992" width="12" customWidth="1"/>
    <col min="993" max="993" width="11.140625" customWidth="1"/>
    <col min="994" max="995" width="10" customWidth="1"/>
    <col min="998" max="998" width="10.7109375" customWidth="1"/>
    <col min="1242" max="1242" width="6.85546875" customWidth="1"/>
    <col min="1243" max="1243" width="35" customWidth="1"/>
    <col min="1244" max="1244" width="8" customWidth="1"/>
    <col min="1245" max="1245" width="31.85546875" customWidth="1"/>
    <col min="1246" max="1246" width="12" customWidth="1"/>
    <col min="1247" max="1247" width="11.5703125" customWidth="1"/>
    <col min="1248" max="1248" width="12" customWidth="1"/>
    <col min="1249" max="1249" width="11.140625" customWidth="1"/>
    <col min="1250" max="1251" width="10" customWidth="1"/>
    <col min="1254" max="1254" width="10.7109375" customWidth="1"/>
    <col min="1498" max="1498" width="6.85546875" customWidth="1"/>
    <col min="1499" max="1499" width="35" customWidth="1"/>
    <col min="1500" max="1500" width="8" customWidth="1"/>
    <col min="1501" max="1501" width="31.85546875" customWidth="1"/>
    <col min="1502" max="1502" width="12" customWidth="1"/>
    <col min="1503" max="1503" width="11.5703125" customWidth="1"/>
    <col min="1504" max="1504" width="12" customWidth="1"/>
    <col min="1505" max="1505" width="11.140625" customWidth="1"/>
    <col min="1506" max="1507" width="10" customWidth="1"/>
    <col min="1510" max="1510" width="10.7109375" customWidth="1"/>
    <col min="1754" max="1754" width="6.85546875" customWidth="1"/>
    <col min="1755" max="1755" width="35" customWidth="1"/>
    <col min="1756" max="1756" width="8" customWidth="1"/>
    <col min="1757" max="1757" width="31.85546875" customWidth="1"/>
    <col min="1758" max="1758" width="12" customWidth="1"/>
    <col min="1759" max="1759" width="11.5703125" customWidth="1"/>
    <col min="1760" max="1760" width="12" customWidth="1"/>
    <col min="1761" max="1761" width="11.140625" customWidth="1"/>
    <col min="1762" max="1763" width="10" customWidth="1"/>
    <col min="1766" max="1766" width="10.7109375" customWidth="1"/>
    <col min="2010" max="2010" width="6.85546875" customWidth="1"/>
    <col min="2011" max="2011" width="35" customWidth="1"/>
    <col min="2012" max="2012" width="8" customWidth="1"/>
    <col min="2013" max="2013" width="31.85546875" customWidth="1"/>
    <col min="2014" max="2014" width="12" customWidth="1"/>
    <col min="2015" max="2015" width="11.5703125" customWidth="1"/>
    <col min="2016" max="2016" width="12" customWidth="1"/>
    <col min="2017" max="2017" width="11.140625" customWidth="1"/>
    <col min="2018" max="2019" width="10" customWidth="1"/>
    <col min="2022" max="2022" width="10.7109375" customWidth="1"/>
    <col min="2266" max="2266" width="6.85546875" customWidth="1"/>
    <col min="2267" max="2267" width="35" customWidth="1"/>
    <col min="2268" max="2268" width="8" customWidth="1"/>
    <col min="2269" max="2269" width="31.85546875" customWidth="1"/>
    <col min="2270" max="2270" width="12" customWidth="1"/>
    <col min="2271" max="2271" width="11.5703125" customWidth="1"/>
    <col min="2272" max="2272" width="12" customWidth="1"/>
    <col min="2273" max="2273" width="11.140625" customWidth="1"/>
    <col min="2274" max="2275" width="10" customWidth="1"/>
    <col min="2278" max="2278" width="10.7109375" customWidth="1"/>
    <col min="2522" max="2522" width="6.85546875" customWidth="1"/>
    <col min="2523" max="2523" width="35" customWidth="1"/>
    <col min="2524" max="2524" width="8" customWidth="1"/>
    <col min="2525" max="2525" width="31.85546875" customWidth="1"/>
    <col min="2526" max="2526" width="12" customWidth="1"/>
    <col min="2527" max="2527" width="11.5703125" customWidth="1"/>
    <col min="2528" max="2528" width="12" customWidth="1"/>
    <col min="2529" max="2529" width="11.140625" customWidth="1"/>
    <col min="2530" max="2531" width="10" customWidth="1"/>
    <col min="2534" max="2534" width="10.7109375" customWidth="1"/>
    <col min="2778" max="2778" width="6.85546875" customWidth="1"/>
    <col min="2779" max="2779" width="35" customWidth="1"/>
    <col min="2780" max="2780" width="8" customWidth="1"/>
    <col min="2781" max="2781" width="31.85546875" customWidth="1"/>
    <col min="2782" max="2782" width="12" customWidth="1"/>
    <col min="2783" max="2783" width="11.5703125" customWidth="1"/>
    <col min="2784" max="2784" width="12" customWidth="1"/>
    <col min="2785" max="2785" width="11.140625" customWidth="1"/>
    <col min="2786" max="2787" width="10" customWidth="1"/>
    <col min="2790" max="2790" width="10.7109375" customWidth="1"/>
    <col min="3034" max="3034" width="6.85546875" customWidth="1"/>
    <col min="3035" max="3035" width="35" customWidth="1"/>
    <col min="3036" max="3036" width="8" customWidth="1"/>
    <col min="3037" max="3037" width="31.85546875" customWidth="1"/>
    <col min="3038" max="3038" width="12" customWidth="1"/>
    <col min="3039" max="3039" width="11.5703125" customWidth="1"/>
    <col min="3040" max="3040" width="12" customWidth="1"/>
    <col min="3041" max="3041" width="11.140625" customWidth="1"/>
    <col min="3042" max="3043" width="10" customWidth="1"/>
    <col min="3046" max="3046" width="10.7109375" customWidth="1"/>
    <col min="3290" max="3290" width="6.85546875" customWidth="1"/>
    <col min="3291" max="3291" width="35" customWidth="1"/>
    <col min="3292" max="3292" width="8" customWidth="1"/>
    <col min="3293" max="3293" width="31.85546875" customWidth="1"/>
    <col min="3294" max="3294" width="12" customWidth="1"/>
    <col min="3295" max="3295" width="11.5703125" customWidth="1"/>
    <col min="3296" max="3296" width="12" customWidth="1"/>
    <col min="3297" max="3297" width="11.140625" customWidth="1"/>
    <col min="3298" max="3299" width="10" customWidth="1"/>
    <col min="3302" max="3302" width="10.7109375" customWidth="1"/>
    <col min="3546" max="3546" width="6.85546875" customWidth="1"/>
    <col min="3547" max="3547" width="35" customWidth="1"/>
    <col min="3548" max="3548" width="8" customWidth="1"/>
    <col min="3549" max="3549" width="31.85546875" customWidth="1"/>
    <col min="3550" max="3550" width="12" customWidth="1"/>
    <col min="3551" max="3551" width="11.5703125" customWidth="1"/>
    <col min="3552" max="3552" width="12" customWidth="1"/>
    <col min="3553" max="3553" width="11.140625" customWidth="1"/>
    <col min="3554" max="3555" width="10" customWidth="1"/>
    <col min="3558" max="3558" width="10.7109375" customWidth="1"/>
    <col min="3802" max="3802" width="6.85546875" customWidth="1"/>
    <col min="3803" max="3803" width="35" customWidth="1"/>
    <col min="3804" max="3804" width="8" customWidth="1"/>
    <col min="3805" max="3805" width="31.85546875" customWidth="1"/>
    <col min="3806" max="3806" width="12" customWidth="1"/>
    <col min="3807" max="3807" width="11.5703125" customWidth="1"/>
    <col min="3808" max="3808" width="12" customWidth="1"/>
    <col min="3809" max="3809" width="11.140625" customWidth="1"/>
    <col min="3810" max="3811" width="10" customWidth="1"/>
    <col min="3814" max="3814" width="10.7109375" customWidth="1"/>
    <col min="4058" max="4058" width="6.85546875" customWidth="1"/>
    <col min="4059" max="4059" width="35" customWidth="1"/>
    <col min="4060" max="4060" width="8" customWidth="1"/>
    <col min="4061" max="4061" width="31.85546875" customWidth="1"/>
    <col min="4062" max="4062" width="12" customWidth="1"/>
    <col min="4063" max="4063" width="11.5703125" customWidth="1"/>
    <col min="4064" max="4064" width="12" customWidth="1"/>
    <col min="4065" max="4065" width="11.140625" customWidth="1"/>
    <col min="4066" max="4067" width="10" customWidth="1"/>
    <col min="4070" max="4070" width="10.7109375" customWidth="1"/>
    <col min="4314" max="4314" width="6.85546875" customWidth="1"/>
    <col min="4315" max="4315" width="35" customWidth="1"/>
    <col min="4316" max="4316" width="8" customWidth="1"/>
    <col min="4317" max="4317" width="31.85546875" customWidth="1"/>
    <col min="4318" max="4318" width="12" customWidth="1"/>
    <col min="4319" max="4319" width="11.5703125" customWidth="1"/>
    <col min="4320" max="4320" width="12" customWidth="1"/>
    <col min="4321" max="4321" width="11.140625" customWidth="1"/>
    <col min="4322" max="4323" width="10" customWidth="1"/>
    <col min="4326" max="4326" width="10.7109375" customWidth="1"/>
    <col min="4570" max="4570" width="6.85546875" customWidth="1"/>
    <col min="4571" max="4571" width="35" customWidth="1"/>
    <col min="4572" max="4572" width="8" customWidth="1"/>
    <col min="4573" max="4573" width="31.85546875" customWidth="1"/>
    <col min="4574" max="4574" width="12" customWidth="1"/>
    <col min="4575" max="4575" width="11.5703125" customWidth="1"/>
    <col min="4576" max="4576" width="12" customWidth="1"/>
    <col min="4577" max="4577" width="11.140625" customWidth="1"/>
    <col min="4578" max="4579" width="10" customWidth="1"/>
    <col min="4582" max="4582" width="10.7109375" customWidth="1"/>
    <col min="4826" max="4826" width="6.85546875" customWidth="1"/>
    <col min="4827" max="4827" width="35" customWidth="1"/>
    <col min="4828" max="4828" width="8" customWidth="1"/>
    <col min="4829" max="4829" width="31.85546875" customWidth="1"/>
    <col min="4830" max="4830" width="12" customWidth="1"/>
    <col min="4831" max="4831" width="11.5703125" customWidth="1"/>
    <col min="4832" max="4832" width="12" customWidth="1"/>
    <col min="4833" max="4833" width="11.140625" customWidth="1"/>
    <col min="4834" max="4835" width="10" customWidth="1"/>
    <col min="4838" max="4838" width="10.7109375" customWidth="1"/>
    <col min="5082" max="5082" width="6.85546875" customWidth="1"/>
    <col min="5083" max="5083" width="35" customWidth="1"/>
    <col min="5084" max="5084" width="8" customWidth="1"/>
    <col min="5085" max="5085" width="31.85546875" customWidth="1"/>
    <col min="5086" max="5086" width="12" customWidth="1"/>
    <col min="5087" max="5087" width="11.5703125" customWidth="1"/>
    <col min="5088" max="5088" width="12" customWidth="1"/>
    <col min="5089" max="5089" width="11.140625" customWidth="1"/>
    <col min="5090" max="5091" width="10" customWidth="1"/>
    <col min="5094" max="5094" width="10.7109375" customWidth="1"/>
    <col min="5338" max="5338" width="6.85546875" customWidth="1"/>
    <col min="5339" max="5339" width="35" customWidth="1"/>
    <col min="5340" max="5340" width="8" customWidth="1"/>
    <col min="5341" max="5341" width="31.85546875" customWidth="1"/>
    <col min="5342" max="5342" width="12" customWidth="1"/>
    <col min="5343" max="5343" width="11.5703125" customWidth="1"/>
    <col min="5344" max="5344" width="12" customWidth="1"/>
    <col min="5345" max="5345" width="11.140625" customWidth="1"/>
    <col min="5346" max="5347" width="10" customWidth="1"/>
    <col min="5350" max="5350" width="10.7109375" customWidth="1"/>
    <col min="5594" max="5594" width="6.85546875" customWidth="1"/>
    <col min="5595" max="5595" width="35" customWidth="1"/>
    <col min="5596" max="5596" width="8" customWidth="1"/>
    <col min="5597" max="5597" width="31.85546875" customWidth="1"/>
    <col min="5598" max="5598" width="12" customWidth="1"/>
    <col min="5599" max="5599" width="11.5703125" customWidth="1"/>
    <col min="5600" max="5600" width="12" customWidth="1"/>
    <col min="5601" max="5601" width="11.140625" customWidth="1"/>
    <col min="5602" max="5603" width="10" customWidth="1"/>
    <col min="5606" max="5606" width="10.7109375" customWidth="1"/>
    <col min="5850" max="5850" width="6.85546875" customWidth="1"/>
    <col min="5851" max="5851" width="35" customWidth="1"/>
    <col min="5852" max="5852" width="8" customWidth="1"/>
    <col min="5853" max="5853" width="31.85546875" customWidth="1"/>
    <col min="5854" max="5854" width="12" customWidth="1"/>
    <col min="5855" max="5855" width="11.5703125" customWidth="1"/>
    <col min="5856" max="5856" width="12" customWidth="1"/>
    <col min="5857" max="5857" width="11.140625" customWidth="1"/>
    <col min="5858" max="5859" width="10" customWidth="1"/>
    <col min="5862" max="5862" width="10.7109375" customWidth="1"/>
    <col min="6106" max="6106" width="6.85546875" customWidth="1"/>
    <col min="6107" max="6107" width="35" customWidth="1"/>
    <col min="6108" max="6108" width="8" customWidth="1"/>
    <col min="6109" max="6109" width="31.85546875" customWidth="1"/>
    <col min="6110" max="6110" width="12" customWidth="1"/>
    <col min="6111" max="6111" width="11.5703125" customWidth="1"/>
    <col min="6112" max="6112" width="12" customWidth="1"/>
    <col min="6113" max="6113" width="11.140625" customWidth="1"/>
    <col min="6114" max="6115" width="10" customWidth="1"/>
    <col min="6118" max="6118" width="10.7109375" customWidth="1"/>
    <col min="6362" max="6362" width="6.85546875" customWidth="1"/>
    <col min="6363" max="6363" width="35" customWidth="1"/>
    <col min="6364" max="6364" width="8" customWidth="1"/>
    <col min="6365" max="6365" width="31.85546875" customWidth="1"/>
    <col min="6366" max="6366" width="12" customWidth="1"/>
    <col min="6367" max="6367" width="11.5703125" customWidth="1"/>
    <col min="6368" max="6368" width="12" customWidth="1"/>
    <col min="6369" max="6369" width="11.140625" customWidth="1"/>
    <col min="6370" max="6371" width="10" customWidth="1"/>
    <col min="6374" max="6374" width="10.7109375" customWidth="1"/>
    <col min="6618" max="6618" width="6.85546875" customWidth="1"/>
    <col min="6619" max="6619" width="35" customWidth="1"/>
    <col min="6620" max="6620" width="8" customWidth="1"/>
    <col min="6621" max="6621" width="31.85546875" customWidth="1"/>
    <col min="6622" max="6622" width="12" customWidth="1"/>
    <col min="6623" max="6623" width="11.5703125" customWidth="1"/>
    <col min="6624" max="6624" width="12" customWidth="1"/>
    <col min="6625" max="6625" width="11.140625" customWidth="1"/>
    <col min="6626" max="6627" width="10" customWidth="1"/>
    <col min="6630" max="6630" width="10.7109375" customWidth="1"/>
    <col min="6874" max="6874" width="6.85546875" customWidth="1"/>
    <col min="6875" max="6875" width="35" customWidth="1"/>
    <col min="6876" max="6876" width="8" customWidth="1"/>
    <col min="6877" max="6877" width="31.85546875" customWidth="1"/>
    <col min="6878" max="6878" width="12" customWidth="1"/>
    <col min="6879" max="6879" width="11.5703125" customWidth="1"/>
    <col min="6880" max="6880" width="12" customWidth="1"/>
    <col min="6881" max="6881" width="11.140625" customWidth="1"/>
    <col min="6882" max="6883" width="10" customWidth="1"/>
    <col min="6886" max="6886" width="10.7109375" customWidth="1"/>
    <col min="7130" max="7130" width="6.85546875" customWidth="1"/>
    <col min="7131" max="7131" width="35" customWidth="1"/>
    <col min="7132" max="7132" width="8" customWidth="1"/>
    <col min="7133" max="7133" width="31.85546875" customWidth="1"/>
    <col min="7134" max="7134" width="12" customWidth="1"/>
    <col min="7135" max="7135" width="11.5703125" customWidth="1"/>
    <col min="7136" max="7136" width="12" customWidth="1"/>
    <col min="7137" max="7137" width="11.140625" customWidth="1"/>
    <col min="7138" max="7139" width="10" customWidth="1"/>
    <col min="7142" max="7142" width="10.7109375" customWidth="1"/>
    <col min="7386" max="7386" width="6.85546875" customWidth="1"/>
    <col min="7387" max="7387" width="35" customWidth="1"/>
    <col min="7388" max="7388" width="8" customWidth="1"/>
    <col min="7389" max="7389" width="31.85546875" customWidth="1"/>
    <col min="7390" max="7390" width="12" customWidth="1"/>
    <col min="7391" max="7391" width="11.5703125" customWidth="1"/>
    <col min="7392" max="7392" width="12" customWidth="1"/>
    <col min="7393" max="7393" width="11.140625" customWidth="1"/>
    <col min="7394" max="7395" width="10" customWidth="1"/>
    <col min="7398" max="7398" width="10.7109375" customWidth="1"/>
    <col min="7642" max="7642" width="6.85546875" customWidth="1"/>
    <col min="7643" max="7643" width="35" customWidth="1"/>
    <col min="7644" max="7644" width="8" customWidth="1"/>
    <col min="7645" max="7645" width="31.85546875" customWidth="1"/>
    <col min="7646" max="7646" width="12" customWidth="1"/>
    <col min="7647" max="7647" width="11.5703125" customWidth="1"/>
    <col min="7648" max="7648" width="12" customWidth="1"/>
    <col min="7649" max="7649" width="11.140625" customWidth="1"/>
    <col min="7650" max="7651" width="10" customWidth="1"/>
    <col min="7654" max="7654" width="10.7109375" customWidth="1"/>
    <col min="7898" max="7898" width="6.85546875" customWidth="1"/>
    <col min="7899" max="7899" width="35" customWidth="1"/>
    <col min="7900" max="7900" width="8" customWidth="1"/>
    <col min="7901" max="7901" width="31.85546875" customWidth="1"/>
    <col min="7902" max="7902" width="12" customWidth="1"/>
    <col min="7903" max="7903" width="11.5703125" customWidth="1"/>
    <col min="7904" max="7904" width="12" customWidth="1"/>
    <col min="7905" max="7905" width="11.140625" customWidth="1"/>
    <col min="7906" max="7907" width="10" customWidth="1"/>
    <col min="7910" max="7910" width="10.7109375" customWidth="1"/>
    <col min="8154" max="8154" width="6.85546875" customWidth="1"/>
    <col min="8155" max="8155" width="35" customWidth="1"/>
    <col min="8156" max="8156" width="8" customWidth="1"/>
    <col min="8157" max="8157" width="31.85546875" customWidth="1"/>
    <col min="8158" max="8158" width="12" customWidth="1"/>
    <col min="8159" max="8159" width="11.5703125" customWidth="1"/>
    <col min="8160" max="8160" width="12" customWidth="1"/>
    <col min="8161" max="8161" width="11.140625" customWidth="1"/>
    <col min="8162" max="8163" width="10" customWidth="1"/>
    <col min="8166" max="8166" width="10.7109375" customWidth="1"/>
    <col min="8410" max="8410" width="6.85546875" customWidth="1"/>
    <col min="8411" max="8411" width="35" customWidth="1"/>
    <col min="8412" max="8412" width="8" customWidth="1"/>
    <col min="8413" max="8413" width="31.85546875" customWidth="1"/>
    <col min="8414" max="8414" width="12" customWidth="1"/>
    <col min="8415" max="8415" width="11.5703125" customWidth="1"/>
    <col min="8416" max="8416" width="12" customWidth="1"/>
    <col min="8417" max="8417" width="11.140625" customWidth="1"/>
    <col min="8418" max="8419" width="10" customWidth="1"/>
    <col min="8422" max="8422" width="10.7109375" customWidth="1"/>
    <col min="8666" max="8666" width="6.85546875" customWidth="1"/>
    <col min="8667" max="8667" width="35" customWidth="1"/>
    <col min="8668" max="8668" width="8" customWidth="1"/>
    <col min="8669" max="8669" width="31.85546875" customWidth="1"/>
    <col min="8670" max="8670" width="12" customWidth="1"/>
    <col min="8671" max="8671" width="11.5703125" customWidth="1"/>
    <col min="8672" max="8672" width="12" customWidth="1"/>
    <col min="8673" max="8673" width="11.140625" customWidth="1"/>
    <col min="8674" max="8675" width="10" customWidth="1"/>
    <col min="8678" max="8678" width="10.7109375" customWidth="1"/>
    <col min="8922" max="8922" width="6.85546875" customWidth="1"/>
    <col min="8923" max="8923" width="35" customWidth="1"/>
    <col min="8924" max="8924" width="8" customWidth="1"/>
    <col min="8925" max="8925" width="31.85546875" customWidth="1"/>
    <col min="8926" max="8926" width="12" customWidth="1"/>
    <col min="8927" max="8927" width="11.5703125" customWidth="1"/>
    <col min="8928" max="8928" width="12" customWidth="1"/>
    <col min="8929" max="8929" width="11.140625" customWidth="1"/>
    <col min="8930" max="8931" width="10" customWidth="1"/>
    <col min="8934" max="8934" width="10.7109375" customWidth="1"/>
    <col min="9178" max="9178" width="6.85546875" customWidth="1"/>
    <col min="9179" max="9179" width="35" customWidth="1"/>
    <col min="9180" max="9180" width="8" customWidth="1"/>
    <col min="9181" max="9181" width="31.85546875" customWidth="1"/>
    <col min="9182" max="9182" width="12" customWidth="1"/>
    <col min="9183" max="9183" width="11.5703125" customWidth="1"/>
    <col min="9184" max="9184" width="12" customWidth="1"/>
    <col min="9185" max="9185" width="11.140625" customWidth="1"/>
    <col min="9186" max="9187" width="10" customWidth="1"/>
    <col min="9190" max="9190" width="10.7109375" customWidth="1"/>
    <col min="9434" max="9434" width="6.85546875" customWidth="1"/>
    <col min="9435" max="9435" width="35" customWidth="1"/>
    <col min="9436" max="9436" width="8" customWidth="1"/>
    <col min="9437" max="9437" width="31.85546875" customWidth="1"/>
    <col min="9438" max="9438" width="12" customWidth="1"/>
    <col min="9439" max="9439" width="11.5703125" customWidth="1"/>
    <col min="9440" max="9440" width="12" customWidth="1"/>
    <col min="9441" max="9441" width="11.140625" customWidth="1"/>
    <col min="9442" max="9443" width="10" customWidth="1"/>
    <col min="9446" max="9446" width="10.7109375" customWidth="1"/>
    <col min="9690" max="9690" width="6.85546875" customWidth="1"/>
    <col min="9691" max="9691" width="35" customWidth="1"/>
    <col min="9692" max="9692" width="8" customWidth="1"/>
    <col min="9693" max="9693" width="31.85546875" customWidth="1"/>
    <col min="9694" max="9694" width="12" customWidth="1"/>
    <col min="9695" max="9695" width="11.5703125" customWidth="1"/>
    <col min="9696" max="9696" width="12" customWidth="1"/>
    <col min="9697" max="9697" width="11.140625" customWidth="1"/>
    <col min="9698" max="9699" width="10" customWidth="1"/>
    <col min="9702" max="9702" width="10.7109375" customWidth="1"/>
    <col min="9946" max="9946" width="6.85546875" customWidth="1"/>
    <col min="9947" max="9947" width="35" customWidth="1"/>
    <col min="9948" max="9948" width="8" customWidth="1"/>
    <col min="9949" max="9949" width="31.85546875" customWidth="1"/>
    <col min="9950" max="9950" width="12" customWidth="1"/>
    <col min="9951" max="9951" width="11.5703125" customWidth="1"/>
    <col min="9952" max="9952" width="12" customWidth="1"/>
    <col min="9953" max="9953" width="11.140625" customWidth="1"/>
    <col min="9954" max="9955" width="10" customWidth="1"/>
    <col min="9958" max="9958" width="10.7109375" customWidth="1"/>
    <col min="10202" max="10202" width="6.85546875" customWidth="1"/>
    <col min="10203" max="10203" width="35" customWidth="1"/>
    <col min="10204" max="10204" width="8" customWidth="1"/>
    <col min="10205" max="10205" width="31.85546875" customWidth="1"/>
    <col min="10206" max="10206" width="12" customWidth="1"/>
    <col min="10207" max="10207" width="11.5703125" customWidth="1"/>
    <col min="10208" max="10208" width="12" customWidth="1"/>
    <col min="10209" max="10209" width="11.140625" customWidth="1"/>
    <col min="10210" max="10211" width="10" customWidth="1"/>
    <col min="10214" max="10214" width="10.7109375" customWidth="1"/>
    <col min="10458" max="10458" width="6.85546875" customWidth="1"/>
    <col min="10459" max="10459" width="35" customWidth="1"/>
    <col min="10460" max="10460" width="8" customWidth="1"/>
    <col min="10461" max="10461" width="31.85546875" customWidth="1"/>
    <col min="10462" max="10462" width="12" customWidth="1"/>
    <col min="10463" max="10463" width="11.5703125" customWidth="1"/>
    <col min="10464" max="10464" width="12" customWidth="1"/>
    <col min="10465" max="10465" width="11.140625" customWidth="1"/>
    <col min="10466" max="10467" width="10" customWidth="1"/>
    <col min="10470" max="10470" width="10.7109375" customWidth="1"/>
    <col min="10714" max="10714" width="6.85546875" customWidth="1"/>
    <col min="10715" max="10715" width="35" customWidth="1"/>
    <col min="10716" max="10716" width="8" customWidth="1"/>
    <col min="10717" max="10717" width="31.85546875" customWidth="1"/>
    <col min="10718" max="10718" width="12" customWidth="1"/>
    <col min="10719" max="10719" width="11.5703125" customWidth="1"/>
    <col min="10720" max="10720" width="12" customWidth="1"/>
    <col min="10721" max="10721" width="11.140625" customWidth="1"/>
    <col min="10722" max="10723" width="10" customWidth="1"/>
    <col min="10726" max="10726" width="10.7109375" customWidth="1"/>
    <col min="10970" max="10970" width="6.85546875" customWidth="1"/>
    <col min="10971" max="10971" width="35" customWidth="1"/>
    <col min="10972" max="10972" width="8" customWidth="1"/>
    <col min="10973" max="10973" width="31.85546875" customWidth="1"/>
    <col min="10974" max="10974" width="12" customWidth="1"/>
    <col min="10975" max="10975" width="11.5703125" customWidth="1"/>
    <col min="10976" max="10976" width="12" customWidth="1"/>
    <col min="10977" max="10977" width="11.140625" customWidth="1"/>
    <col min="10978" max="10979" width="10" customWidth="1"/>
    <col min="10982" max="10982" width="10.7109375" customWidth="1"/>
    <col min="11226" max="11226" width="6.85546875" customWidth="1"/>
    <col min="11227" max="11227" width="35" customWidth="1"/>
    <col min="11228" max="11228" width="8" customWidth="1"/>
    <col min="11229" max="11229" width="31.85546875" customWidth="1"/>
    <col min="11230" max="11230" width="12" customWidth="1"/>
    <col min="11231" max="11231" width="11.5703125" customWidth="1"/>
    <col min="11232" max="11232" width="12" customWidth="1"/>
    <col min="11233" max="11233" width="11.140625" customWidth="1"/>
    <col min="11234" max="11235" width="10" customWidth="1"/>
    <col min="11238" max="11238" width="10.7109375" customWidth="1"/>
    <col min="11482" max="11482" width="6.85546875" customWidth="1"/>
    <col min="11483" max="11483" width="35" customWidth="1"/>
    <col min="11484" max="11484" width="8" customWidth="1"/>
    <col min="11485" max="11485" width="31.85546875" customWidth="1"/>
    <col min="11486" max="11486" width="12" customWidth="1"/>
    <col min="11487" max="11487" width="11.5703125" customWidth="1"/>
    <col min="11488" max="11488" width="12" customWidth="1"/>
    <col min="11489" max="11489" width="11.140625" customWidth="1"/>
    <col min="11490" max="11491" width="10" customWidth="1"/>
    <col min="11494" max="11494" width="10.7109375" customWidth="1"/>
    <col min="11738" max="11738" width="6.85546875" customWidth="1"/>
    <col min="11739" max="11739" width="35" customWidth="1"/>
    <col min="11740" max="11740" width="8" customWidth="1"/>
    <col min="11741" max="11741" width="31.85546875" customWidth="1"/>
    <col min="11742" max="11742" width="12" customWidth="1"/>
    <col min="11743" max="11743" width="11.5703125" customWidth="1"/>
    <col min="11744" max="11744" width="12" customWidth="1"/>
    <col min="11745" max="11745" width="11.140625" customWidth="1"/>
    <col min="11746" max="11747" width="10" customWidth="1"/>
    <col min="11750" max="11750" width="10.7109375" customWidth="1"/>
    <col min="11994" max="11994" width="6.85546875" customWidth="1"/>
    <col min="11995" max="11995" width="35" customWidth="1"/>
    <col min="11996" max="11996" width="8" customWidth="1"/>
    <col min="11997" max="11997" width="31.85546875" customWidth="1"/>
    <col min="11998" max="11998" width="12" customWidth="1"/>
    <col min="11999" max="11999" width="11.5703125" customWidth="1"/>
    <col min="12000" max="12000" width="12" customWidth="1"/>
    <col min="12001" max="12001" width="11.140625" customWidth="1"/>
    <col min="12002" max="12003" width="10" customWidth="1"/>
    <col min="12006" max="12006" width="10.7109375" customWidth="1"/>
    <col min="12250" max="12250" width="6.85546875" customWidth="1"/>
    <col min="12251" max="12251" width="35" customWidth="1"/>
    <col min="12252" max="12252" width="8" customWidth="1"/>
    <col min="12253" max="12253" width="31.85546875" customWidth="1"/>
    <col min="12254" max="12254" width="12" customWidth="1"/>
    <col min="12255" max="12255" width="11.5703125" customWidth="1"/>
    <col min="12256" max="12256" width="12" customWidth="1"/>
    <col min="12257" max="12257" width="11.140625" customWidth="1"/>
    <col min="12258" max="12259" width="10" customWidth="1"/>
    <col min="12262" max="12262" width="10.7109375" customWidth="1"/>
    <col min="12506" max="12506" width="6.85546875" customWidth="1"/>
    <col min="12507" max="12507" width="35" customWidth="1"/>
    <col min="12508" max="12508" width="8" customWidth="1"/>
    <col min="12509" max="12509" width="31.85546875" customWidth="1"/>
    <col min="12510" max="12510" width="12" customWidth="1"/>
    <col min="12511" max="12511" width="11.5703125" customWidth="1"/>
    <col min="12512" max="12512" width="12" customWidth="1"/>
    <col min="12513" max="12513" width="11.140625" customWidth="1"/>
    <col min="12514" max="12515" width="10" customWidth="1"/>
    <col min="12518" max="12518" width="10.7109375" customWidth="1"/>
    <col min="12762" max="12762" width="6.85546875" customWidth="1"/>
    <col min="12763" max="12763" width="35" customWidth="1"/>
    <col min="12764" max="12764" width="8" customWidth="1"/>
    <col min="12765" max="12765" width="31.85546875" customWidth="1"/>
    <col min="12766" max="12766" width="12" customWidth="1"/>
    <col min="12767" max="12767" width="11.5703125" customWidth="1"/>
    <col min="12768" max="12768" width="12" customWidth="1"/>
    <col min="12769" max="12769" width="11.140625" customWidth="1"/>
    <col min="12770" max="12771" width="10" customWidth="1"/>
    <col min="12774" max="12774" width="10.7109375" customWidth="1"/>
    <col min="13018" max="13018" width="6.85546875" customWidth="1"/>
    <col min="13019" max="13019" width="35" customWidth="1"/>
    <col min="13020" max="13020" width="8" customWidth="1"/>
    <col min="13021" max="13021" width="31.85546875" customWidth="1"/>
    <col min="13022" max="13022" width="12" customWidth="1"/>
    <col min="13023" max="13023" width="11.5703125" customWidth="1"/>
    <col min="13024" max="13024" width="12" customWidth="1"/>
    <col min="13025" max="13025" width="11.140625" customWidth="1"/>
    <col min="13026" max="13027" width="10" customWidth="1"/>
    <col min="13030" max="13030" width="10.7109375" customWidth="1"/>
    <col min="13274" max="13274" width="6.85546875" customWidth="1"/>
    <col min="13275" max="13275" width="35" customWidth="1"/>
    <col min="13276" max="13276" width="8" customWidth="1"/>
    <col min="13277" max="13277" width="31.85546875" customWidth="1"/>
    <col min="13278" max="13278" width="12" customWidth="1"/>
    <col min="13279" max="13279" width="11.5703125" customWidth="1"/>
    <col min="13280" max="13280" width="12" customWidth="1"/>
    <col min="13281" max="13281" width="11.140625" customWidth="1"/>
    <col min="13282" max="13283" width="10" customWidth="1"/>
    <col min="13286" max="13286" width="10.7109375" customWidth="1"/>
    <col min="13530" max="13530" width="6.85546875" customWidth="1"/>
    <col min="13531" max="13531" width="35" customWidth="1"/>
    <col min="13532" max="13532" width="8" customWidth="1"/>
    <col min="13533" max="13533" width="31.85546875" customWidth="1"/>
    <col min="13534" max="13534" width="12" customWidth="1"/>
    <col min="13535" max="13535" width="11.5703125" customWidth="1"/>
    <col min="13536" max="13536" width="12" customWidth="1"/>
    <col min="13537" max="13537" width="11.140625" customWidth="1"/>
    <col min="13538" max="13539" width="10" customWidth="1"/>
    <col min="13542" max="13542" width="10.7109375" customWidth="1"/>
    <col min="13786" max="13786" width="6.85546875" customWidth="1"/>
    <col min="13787" max="13787" width="35" customWidth="1"/>
    <col min="13788" max="13788" width="8" customWidth="1"/>
    <col min="13789" max="13789" width="31.85546875" customWidth="1"/>
    <col min="13790" max="13790" width="12" customWidth="1"/>
    <col min="13791" max="13791" width="11.5703125" customWidth="1"/>
    <col min="13792" max="13792" width="12" customWidth="1"/>
    <col min="13793" max="13793" width="11.140625" customWidth="1"/>
    <col min="13794" max="13795" width="10" customWidth="1"/>
    <col min="13798" max="13798" width="10.7109375" customWidth="1"/>
    <col min="14042" max="14042" width="6.85546875" customWidth="1"/>
    <col min="14043" max="14043" width="35" customWidth="1"/>
    <col min="14044" max="14044" width="8" customWidth="1"/>
    <col min="14045" max="14045" width="31.85546875" customWidth="1"/>
    <col min="14046" max="14046" width="12" customWidth="1"/>
    <col min="14047" max="14047" width="11.5703125" customWidth="1"/>
    <col min="14048" max="14048" width="12" customWidth="1"/>
    <col min="14049" max="14049" width="11.140625" customWidth="1"/>
    <col min="14050" max="14051" width="10" customWidth="1"/>
    <col min="14054" max="14054" width="10.7109375" customWidth="1"/>
    <col min="14298" max="14298" width="6.85546875" customWidth="1"/>
    <col min="14299" max="14299" width="35" customWidth="1"/>
    <col min="14300" max="14300" width="8" customWidth="1"/>
    <col min="14301" max="14301" width="31.85546875" customWidth="1"/>
    <col min="14302" max="14302" width="12" customWidth="1"/>
    <col min="14303" max="14303" width="11.5703125" customWidth="1"/>
    <col min="14304" max="14304" width="12" customWidth="1"/>
    <col min="14305" max="14305" width="11.140625" customWidth="1"/>
    <col min="14306" max="14307" width="10" customWidth="1"/>
    <col min="14310" max="14310" width="10.7109375" customWidth="1"/>
    <col min="14554" max="14554" width="6.85546875" customWidth="1"/>
    <col min="14555" max="14555" width="35" customWidth="1"/>
    <col min="14556" max="14556" width="8" customWidth="1"/>
    <col min="14557" max="14557" width="31.85546875" customWidth="1"/>
    <col min="14558" max="14558" width="12" customWidth="1"/>
    <col min="14559" max="14559" width="11.5703125" customWidth="1"/>
    <col min="14560" max="14560" width="12" customWidth="1"/>
    <col min="14561" max="14561" width="11.140625" customWidth="1"/>
    <col min="14562" max="14563" width="10" customWidth="1"/>
    <col min="14566" max="14566" width="10.7109375" customWidth="1"/>
    <col min="14810" max="14810" width="6.85546875" customWidth="1"/>
    <col min="14811" max="14811" width="35" customWidth="1"/>
    <col min="14812" max="14812" width="8" customWidth="1"/>
    <col min="14813" max="14813" width="31.85546875" customWidth="1"/>
    <col min="14814" max="14814" width="12" customWidth="1"/>
    <col min="14815" max="14815" width="11.5703125" customWidth="1"/>
    <col min="14816" max="14816" width="12" customWidth="1"/>
    <col min="14817" max="14817" width="11.140625" customWidth="1"/>
    <col min="14818" max="14819" width="10" customWidth="1"/>
    <col min="14822" max="14822" width="10.7109375" customWidth="1"/>
    <col min="15066" max="15066" width="6.85546875" customWidth="1"/>
    <col min="15067" max="15067" width="35" customWidth="1"/>
    <col min="15068" max="15068" width="8" customWidth="1"/>
    <col min="15069" max="15069" width="31.85546875" customWidth="1"/>
    <col min="15070" max="15070" width="12" customWidth="1"/>
    <col min="15071" max="15071" width="11.5703125" customWidth="1"/>
    <col min="15072" max="15072" width="12" customWidth="1"/>
    <col min="15073" max="15073" width="11.140625" customWidth="1"/>
    <col min="15074" max="15075" width="10" customWidth="1"/>
    <col min="15078" max="15078" width="10.7109375" customWidth="1"/>
    <col min="15322" max="15322" width="6.85546875" customWidth="1"/>
    <col min="15323" max="15323" width="35" customWidth="1"/>
    <col min="15324" max="15324" width="8" customWidth="1"/>
    <col min="15325" max="15325" width="31.85546875" customWidth="1"/>
    <col min="15326" max="15326" width="12" customWidth="1"/>
    <col min="15327" max="15327" width="11.5703125" customWidth="1"/>
    <col min="15328" max="15328" width="12" customWidth="1"/>
    <col min="15329" max="15329" width="11.140625" customWidth="1"/>
    <col min="15330" max="15331" width="10" customWidth="1"/>
    <col min="15334" max="15334" width="10.7109375" customWidth="1"/>
    <col min="15578" max="15578" width="6.85546875" customWidth="1"/>
    <col min="15579" max="15579" width="35" customWidth="1"/>
    <col min="15580" max="15580" width="8" customWidth="1"/>
    <col min="15581" max="15581" width="31.85546875" customWidth="1"/>
    <col min="15582" max="15582" width="12" customWidth="1"/>
    <col min="15583" max="15583" width="11.5703125" customWidth="1"/>
    <col min="15584" max="15584" width="12" customWidth="1"/>
    <col min="15585" max="15585" width="11.140625" customWidth="1"/>
    <col min="15586" max="15587" width="10" customWidth="1"/>
    <col min="15590" max="15590" width="10.7109375" customWidth="1"/>
    <col min="15834" max="15834" width="6.85546875" customWidth="1"/>
    <col min="15835" max="15835" width="35" customWidth="1"/>
    <col min="15836" max="15836" width="8" customWidth="1"/>
    <col min="15837" max="15837" width="31.85546875" customWidth="1"/>
    <col min="15838" max="15838" width="12" customWidth="1"/>
    <col min="15839" max="15839" width="11.5703125" customWidth="1"/>
    <col min="15840" max="15840" width="12" customWidth="1"/>
    <col min="15841" max="15841" width="11.140625" customWidth="1"/>
    <col min="15842" max="15843" width="10" customWidth="1"/>
    <col min="15846" max="15846" width="10.7109375" customWidth="1"/>
    <col min="16090" max="16090" width="6.85546875" customWidth="1"/>
    <col min="16091" max="16091" width="35" customWidth="1"/>
    <col min="16092" max="16092" width="8" customWidth="1"/>
    <col min="16093" max="16093" width="31.85546875" customWidth="1"/>
    <col min="16094" max="16094" width="12" customWidth="1"/>
    <col min="16095" max="16095" width="11.5703125" customWidth="1"/>
    <col min="16096" max="16096" width="12" customWidth="1"/>
    <col min="16097" max="16097" width="11.140625" customWidth="1"/>
    <col min="16098" max="16099" width="10" customWidth="1"/>
    <col min="16102" max="16102" width="10.7109375" customWidth="1"/>
  </cols>
  <sheetData>
    <row r="1" spans="1:51" ht="15" x14ac:dyDescent="0.25">
      <c r="A1" s="708" t="s">
        <v>2</v>
      </c>
      <c r="B1" s="708"/>
      <c r="C1" s="97"/>
      <c r="D1" s="708"/>
      <c r="E1" s="708"/>
      <c r="F1" s="179"/>
      <c r="G1" s="183"/>
      <c r="H1" s="179"/>
      <c r="I1" s="709"/>
      <c r="J1" s="181"/>
      <c r="K1" s="181"/>
      <c r="L1" s="181"/>
      <c r="M1" s="181"/>
      <c r="N1" s="710"/>
      <c r="O1" s="182"/>
      <c r="P1" s="182"/>
      <c r="Q1" s="182"/>
      <c r="R1" s="112"/>
      <c r="S1" s="112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2"/>
      <c r="AH1" s="542"/>
      <c r="AI1" s="542"/>
      <c r="AJ1" s="113"/>
      <c r="AK1" s="113"/>
      <c r="AL1" s="113"/>
      <c r="AM1" s="113"/>
      <c r="AN1" s="113"/>
      <c r="AO1" s="112"/>
      <c r="AP1" s="112"/>
      <c r="AQ1" s="112"/>
      <c r="AR1" s="112"/>
      <c r="AS1" s="112"/>
      <c r="AT1" s="113"/>
      <c r="AU1" s="113"/>
      <c r="AV1" s="113"/>
      <c r="AW1" s="113"/>
    </row>
    <row r="2" spans="1:51" ht="15" customHeight="1" x14ac:dyDescent="0.25">
      <c r="A2" s="708" t="s">
        <v>3</v>
      </c>
      <c r="B2" s="708"/>
      <c r="C2" s="97"/>
      <c r="D2" s="708"/>
      <c r="E2" s="708"/>
      <c r="F2" s="179"/>
      <c r="G2" s="183"/>
      <c r="H2" s="179"/>
      <c r="I2" s="543"/>
      <c r="J2" s="543"/>
      <c r="K2" s="543"/>
      <c r="L2" s="543"/>
      <c r="M2" s="543"/>
      <c r="N2" s="544"/>
      <c r="O2" s="544"/>
      <c r="P2" s="544"/>
      <c r="Q2" s="543"/>
      <c r="R2" s="543"/>
      <c r="S2" s="543"/>
      <c r="T2" s="543"/>
      <c r="U2" s="543"/>
      <c r="V2" s="543"/>
      <c r="W2" s="543"/>
      <c r="X2" s="543"/>
      <c r="Y2" s="543"/>
      <c r="Z2" s="543"/>
      <c r="AA2" s="543"/>
      <c r="AB2" s="543"/>
      <c r="AC2" s="543"/>
      <c r="AD2" s="543"/>
      <c r="AE2" s="543"/>
      <c r="AF2" s="544"/>
      <c r="AG2" s="544"/>
      <c r="AH2" s="544"/>
      <c r="AI2" s="544"/>
      <c r="AJ2" s="544"/>
      <c r="AK2" s="544"/>
      <c r="AL2" s="544"/>
      <c r="AM2" s="544"/>
      <c r="AN2" s="544"/>
      <c r="AO2" s="543"/>
      <c r="AP2" s="543"/>
      <c r="AQ2" s="543"/>
      <c r="AR2" s="543"/>
      <c r="AS2" s="543"/>
      <c r="AT2" s="544"/>
      <c r="AU2" s="544"/>
      <c r="AV2" s="544"/>
      <c r="AW2" s="113"/>
      <c r="AY2"/>
    </row>
    <row r="3" spans="1:51" ht="12.75" customHeight="1" x14ac:dyDescent="0.25">
      <c r="A3" s="1164" t="s">
        <v>4</v>
      </c>
      <c r="B3" s="1164"/>
      <c r="C3" s="1164"/>
      <c r="D3" s="1164"/>
      <c r="E3" s="1164"/>
      <c r="F3" s="179"/>
      <c r="G3" s="183"/>
      <c r="H3" s="179"/>
      <c r="I3" s="543"/>
      <c r="J3" s="543"/>
      <c r="K3" s="543"/>
      <c r="L3" s="543"/>
      <c r="M3" s="543"/>
      <c r="N3" s="544"/>
      <c r="O3" s="544"/>
      <c r="P3" s="544"/>
      <c r="Q3" s="545"/>
      <c r="R3" s="545"/>
      <c r="S3" s="545"/>
      <c r="T3" s="545"/>
      <c r="U3" s="545"/>
      <c r="V3" s="545"/>
      <c r="W3" s="545"/>
      <c r="X3" s="545"/>
      <c r="Y3" s="546"/>
      <c r="Z3" s="546"/>
      <c r="AA3" s="546"/>
      <c r="AB3" s="547"/>
      <c r="AC3" s="547"/>
      <c r="AD3" s="547"/>
      <c r="AE3" s="546"/>
      <c r="AF3" s="548"/>
      <c r="AG3" s="548"/>
      <c r="AH3" s="548"/>
      <c r="AI3" s="548"/>
      <c r="AJ3" s="548"/>
      <c r="AK3" s="548"/>
      <c r="AL3" s="548"/>
      <c r="AM3" s="548"/>
      <c r="AN3" s="544"/>
      <c r="AO3" s="543"/>
      <c r="AP3" s="543"/>
      <c r="AQ3" s="543"/>
      <c r="AR3" s="543"/>
      <c r="AS3" s="543"/>
      <c r="AT3" s="544"/>
      <c r="AU3" s="544"/>
      <c r="AV3" s="544"/>
      <c r="AW3" s="113"/>
      <c r="AY3"/>
    </row>
    <row r="4" spans="1:51" ht="12.75" customHeight="1" x14ac:dyDescent="0.25">
      <c r="A4" s="183"/>
      <c r="B4" s="708"/>
      <c r="C4" s="708"/>
      <c r="D4" s="708"/>
      <c r="E4" s="708"/>
      <c r="F4" s="179"/>
      <c r="G4" s="183"/>
      <c r="H4" s="179"/>
      <c r="I4" s="543"/>
      <c r="J4" s="543"/>
      <c r="K4" s="543"/>
      <c r="L4" s="543"/>
      <c r="M4" s="543"/>
      <c r="N4" s="544"/>
      <c r="O4" s="544"/>
      <c r="P4" s="544"/>
      <c r="Q4" s="545"/>
      <c r="R4" s="545"/>
      <c r="S4" s="545"/>
      <c r="T4" s="545"/>
      <c r="U4" s="545"/>
      <c r="V4" s="545"/>
      <c r="W4" s="545"/>
      <c r="X4" s="545"/>
      <c r="Y4" s="546"/>
      <c r="Z4" s="546"/>
      <c r="AA4" s="546"/>
      <c r="AB4" s="547"/>
      <c r="AC4" s="547"/>
      <c r="AD4" s="547"/>
      <c r="AE4" s="546"/>
      <c r="AF4" s="548"/>
      <c r="AG4" s="548"/>
      <c r="AH4" s="548"/>
      <c r="AI4" s="548"/>
      <c r="AJ4" s="548"/>
      <c r="AK4" s="548"/>
      <c r="AL4" s="548"/>
      <c r="AM4" s="548"/>
      <c r="AN4" s="544"/>
      <c r="AO4" s="543"/>
      <c r="AP4" s="543"/>
      <c r="AQ4" s="543"/>
      <c r="AR4" s="543"/>
      <c r="AS4" s="543"/>
      <c r="AT4" s="544"/>
      <c r="AU4" s="544"/>
      <c r="AV4" s="544"/>
      <c r="AW4" s="113"/>
      <c r="AY4"/>
    </row>
    <row r="5" spans="1:51" ht="16.5" customHeight="1" thickBot="1" x14ac:dyDescent="0.3">
      <c r="A5" s="400" t="s">
        <v>838</v>
      </c>
      <c r="B5" s="163"/>
      <c r="C5" s="163"/>
      <c r="D5" s="163"/>
      <c r="E5" s="177"/>
      <c r="F5" s="177"/>
      <c r="G5" s="114"/>
      <c r="H5" s="177"/>
      <c r="I5" s="549"/>
      <c r="J5" s="549"/>
      <c r="K5" s="549"/>
      <c r="L5" s="549"/>
      <c r="M5" s="549"/>
      <c r="N5" s="550"/>
      <c r="O5" s="550"/>
      <c r="P5" s="550"/>
      <c r="Q5" s="545"/>
      <c r="R5" s="545"/>
      <c r="S5" s="545"/>
      <c r="T5" s="545"/>
      <c r="U5" s="112"/>
      <c r="V5" s="545"/>
      <c r="W5" s="545"/>
      <c r="X5" s="545"/>
      <c r="Y5" s="546"/>
      <c r="Z5" s="546"/>
      <c r="AA5" s="546"/>
      <c r="AB5" s="547"/>
      <c r="AC5" s="547"/>
      <c r="AD5" s="547"/>
      <c r="AE5" s="546"/>
      <c r="AF5" s="113"/>
      <c r="AG5" s="113"/>
      <c r="AH5" s="551"/>
      <c r="AI5" s="551"/>
      <c r="AJ5" s="551"/>
      <c r="AK5" s="551"/>
      <c r="AL5" s="551"/>
      <c r="AM5" s="551"/>
      <c r="AN5" s="550"/>
      <c r="AO5" s="549"/>
      <c r="AP5" s="549"/>
      <c r="AQ5" s="549"/>
      <c r="AR5" s="549"/>
      <c r="AS5" s="549"/>
      <c r="AT5" s="550"/>
      <c r="AU5" s="550"/>
      <c r="AV5" s="550"/>
      <c r="AW5" s="113"/>
      <c r="AY5"/>
    </row>
    <row r="6" spans="1:51" ht="15" customHeight="1" x14ac:dyDescent="0.25">
      <c r="A6" s="179"/>
      <c r="B6" s="183"/>
      <c r="C6" s="183"/>
      <c r="D6" s="183"/>
      <c r="E6" s="179"/>
      <c r="F6" s="179"/>
      <c r="G6" s="183"/>
      <c r="H6" s="179"/>
      <c r="I6" s="1158" t="s">
        <v>837</v>
      </c>
      <c r="J6" s="1159"/>
      <c r="K6" s="1159"/>
      <c r="L6" s="1159"/>
      <c r="M6" s="1159"/>
      <c r="N6" s="1159"/>
      <c r="O6" s="1159"/>
      <c r="P6" s="1160"/>
      <c r="Q6" s="1182" t="s">
        <v>839</v>
      </c>
      <c r="R6" s="1183"/>
      <c r="S6" s="1183"/>
      <c r="T6" s="1183"/>
      <c r="U6" s="1183"/>
      <c r="V6" s="1183"/>
      <c r="W6" s="1183"/>
      <c r="X6" s="1183"/>
      <c r="Y6" s="1183"/>
      <c r="Z6" s="1183"/>
      <c r="AA6" s="1183"/>
      <c r="AB6" s="1183"/>
      <c r="AC6" s="1183"/>
      <c r="AD6" s="1183"/>
      <c r="AE6" s="1183"/>
      <c r="AF6" s="1183"/>
      <c r="AG6" s="1183"/>
      <c r="AH6" s="1183"/>
      <c r="AI6" s="1183"/>
      <c r="AJ6" s="1183"/>
      <c r="AK6" s="1183"/>
      <c r="AL6" s="1183"/>
      <c r="AM6" s="1183"/>
      <c r="AN6" s="1184"/>
      <c r="AO6" s="1185" t="s">
        <v>868</v>
      </c>
      <c r="AP6" s="1186"/>
      <c r="AQ6" s="1186"/>
      <c r="AR6" s="1186"/>
      <c r="AS6" s="1186"/>
      <c r="AT6" s="1186"/>
      <c r="AU6" s="1186"/>
      <c r="AV6" s="1186"/>
      <c r="AW6" s="1187"/>
      <c r="AY6"/>
    </row>
    <row r="7" spans="1:51" ht="16.5" customHeight="1" thickBot="1" x14ac:dyDescent="0.3">
      <c r="A7" s="183"/>
      <c r="B7" s="552"/>
      <c r="D7" s="553"/>
      <c r="E7" s="552"/>
      <c r="F7" s="179"/>
      <c r="G7" s="183"/>
      <c r="H7" s="179"/>
      <c r="I7" s="1161"/>
      <c r="J7" s="1162"/>
      <c r="K7" s="1162"/>
      <c r="L7" s="1162"/>
      <c r="M7" s="1162"/>
      <c r="N7" s="1162"/>
      <c r="O7" s="1162"/>
      <c r="P7" s="1163"/>
      <c r="Q7" s="1191" t="s">
        <v>289</v>
      </c>
      <c r="R7" s="1192"/>
      <c r="S7" s="1192"/>
      <c r="T7" s="1192"/>
      <c r="U7" s="1193"/>
      <c r="V7" s="1200" t="s">
        <v>290</v>
      </c>
      <c r="W7" s="1192"/>
      <c r="X7" s="1192"/>
      <c r="Y7" s="1193"/>
      <c r="Z7" s="1165" t="s">
        <v>291</v>
      </c>
      <c r="AA7" s="1165" t="s">
        <v>5</v>
      </c>
      <c r="AB7" s="1165" t="s">
        <v>292</v>
      </c>
      <c r="AC7" s="1203" t="s">
        <v>293</v>
      </c>
      <c r="AD7" s="1204"/>
      <c r="AE7" s="1205"/>
      <c r="AF7" s="1165" t="s">
        <v>315</v>
      </c>
      <c r="AG7" s="1212" t="s">
        <v>294</v>
      </c>
      <c r="AH7" s="1213"/>
      <c r="AI7" s="1213"/>
      <c r="AJ7" s="1213"/>
      <c r="AK7" s="1213"/>
      <c r="AL7" s="1213"/>
      <c r="AM7" s="1213"/>
      <c r="AN7" s="1214"/>
      <c r="AO7" s="1188"/>
      <c r="AP7" s="1189"/>
      <c r="AQ7" s="1189"/>
      <c r="AR7" s="1189"/>
      <c r="AS7" s="1189"/>
      <c r="AT7" s="1189"/>
      <c r="AU7" s="1189"/>
      <c r="AV7" s="1189"/>
      <c r="AW7" s="1190"/>
      <c r="AY7"/>
    </row>
    <row r="8" spans="1:51" ht="12.75" customHeight="1" x14ac:dyDescent="0.25">
      <c r="A8" s="240"/>
      <c r="B8" s="185"/>
      <c r="C8" s="185"/>
      <c r="D8" s="185"/>
      <c r="E8" s="185"/>
      <c r="F8" s="185"/>
      <c r="G8" s="185"/>
      <c r="H8" s="185"/>
      <c r="I8" s="1168" t="s">
        <v>6</v>
      </c>
      <c r="J8" s="1234" t="s">
        <v>827</v>
      </c>
      <c r="K8" s="1235"/>
      <c r="L8" s="1235"/>
      <c r="M8" s="1236"/>
      <c r="N8" s="1177" t="s">
        <v>286</v>
      </c>
      <c r="O8" s="1234" t="s">
        <v>828</v>
      </c>
      <c r="P8" s="1240"/>
      <c r="Q8" s="1194"/>
      <c r="R8" s="1233"/>
      <c r="S8" s="1233"/>
      <c r="T8" s="1233"/>
      <c r="U8" s="1196"/>
      <c r="V8" s="1201"/>
      <c r="W8" s="1233"/>
      <c r="X8" s="1233"/>
      <c r="Y8" s="1196"/>
      <c r="Z8" s="1166"/>
      <c r="AA8" s="1166"/>
      <c r="AB8" s="1166"/>
      <c r="AC8" s="1206"/>
      <c r="AD8" s="1242"/>
      <c r="AE8" s="1208"/>
      <c r="AF8" s="1166"/>
      <c r="AG8" s="1215" t="s">
        <v>295</v>
      </c>
      <c r="AH8" s="1216"/>
      <c r="AI8" s="1231" t="s">
        <v>296</v>
      </c>
      <c r="AJ8" s="1215" t="s">
        <v>297</v>
      </c>
      <c r="AK8" s="1216"/>
      <c r="AL8" s="1219" t="s">
        <v>298</v>
      </c>
      <c r="AM8" s="1220"/>
      <c r="AN8" s="1221"/>
      <c r="AO8" s="1168" t="s">
        <v>6</v>
      </c>
      <c r="AP8" s="1243" t="s">
        <v>827</v>
      </c>
      <c r="AQ8" s="1244"/>
      <c r="AR8" s="1244"/>
      <c r="AS8" s="1244"/>
      <c r="AT8" s="1245"/>
      <c r="AU8" s="1177" t="s">
        <v>286</v>
      </c>
      <c r="AV8" s="1234" t="s">
        <v>829</v>
      </c>
      <c r="AW8" s="1240"/>
      <c r="AY8"/>
    </row>
    <row r="9" spans="1:51" ht="11.25" customHeight="1" thickBot="1" x14ac:dyDescent="0.25">
      <c r="A9" s="554" t="s">
        <v>818</v>
      </c>
      <c r="D9" s="554"/>
      <c r="F9" s="186"/>
      <c r="G9" s="555"/>
      <c r="H9" s="555"/>
      <c r="I9" s="1169"/>
      <c r="J9" s="1237"/>
      <c r="K9" s="1238"/>
      <c r="L9" s="1238"/>
      <c r="M9" s="1239"/>
      <c r="N9" s="1178"/>
      <c r="O9" s="1237"/>
      <c r="P9" s="1241"/>
      <c r="Q9" s="1197"/>
      <c r="R9" s="1198"/>
      <c r="S9" s="1198"/>
      <c r="T9" s="1198"/>
      <c r="U9" s="1199"/>
      <c r="V9" s="1202"/>
      <c r="W9" s="1198"/>
      <c r="X9" s="1198"/>
      <c r="Y9" s="1199"/>
      <c r="Z9" s="1166"/>
      <c r="AA9" s="1166"/>
      <c r="AB9" s="1166"/>
      <c r="AC9" s="1209"/>
      <c r="AD9" s="1210"/>
      <c r="AE9" s="1211"/>
      <c r="AF9" s="1166"/>
      <c r="AG9" s="1217"/>
      <c r="AH9" s="1218"/>
      <c r="AI9" s="1232"/>
      <c r="AJ9" s="1217"/>
      <c r="AK9" s="1218"/>
      <c r="AL9" s="1222"/>
      <c r="AM9" s="1223"/>
      <c r="AN9" s="1224"/>
      <c r="AO9" s="1169"/>
      <c r="AP9" s="1246"/>
      <c r="AQ9" s="1247"/>
      <c r="AR9" s="1247"/>
      <c r="AS9" s="1247"/>
      <c r="AT9" s="1248"/>
      <c r="AU9" s="1178"/>
      <c r="AV9" s="1237"/>
      <c r="AW9" s="1241"/>
      <c r="AY9"/>
    </row>
    <row r="10" spans="1:51" ht="36" customHeight="1" thickBot="1" x14ac:dyDescent="0.25">
      <c r="A10" s="189" t="s">
        <v>800</v>
      </c>
      <c r="B10" s="190" t="s">
        <v>566</v>
      </c>
      <c r="C10" s="190" t="s">
        <v>567</v>
      </c>
      <c r="D10" s="190" t="s">
        <v>270</v>
      </c>
      <c r="E10" s="310" t="s">
        <v>802</v>
      </c>
      <c r="F10" s="190" t="s">
        <v>0</v>
      </c>
      <c r="G10" s="556" t="s">
        <v>271</v>
      </c>
      <c r="H10" s="74" t="s">
        <v>282</v>
      </c>
      <c r="I10" s="1170"/>
      <c r="J10" s="75" t="s">
        <v>280</v>
      </c>
      <c r="K10" s="76" t="s">
        <v>5</v>
      </c>
      <c r="L10" s="76" t="s">
        <v>1</v>
      </c>
      <c r="M10" s="76" t="s">
        <v>7</v>
      </c>
      <c r="N10" s="1179"/>
      <c r="O10" s="711" t="s">
        <v>287</v>
      </c>
      <c r="P10" s="712" t="s">
        <v>288</v>
      </c>
      <c r="Q10" s="483" t="s">
        <v>299</v>
      </c>
      <c r="R10" s="81" t="s">
        <v>296</v>
      </c>
      <c r="S10" s="81" t="s">
        <v>815</v>
      </c>
      <c r="T10" s="81" t="s">
        <v>297</v>
      </c>
      <c r="U10" s="81" t="s">
        <v>791</v>
      </c>
      <c r="V10" s="85" t="s">
        <v>300</v>
      </c>
      <c r="W10" s="81" t="s">
        <v>826</v>
      </c>
      <c r="X10" s="85" t="s">
        <v>301</v>
      </c>
      <c r="Y10" s="81" t="s">
        <v>792</v>
      </c>
      <c r="Z10" s="1167"/>
      <c r="AA10" s="1167"/>
      <c r="AB10" s="1167"/>
      <c r="AC10" s="81" t="s">
        <v>296</v>
      </c>
      <c r="AD10" s="81" t="s">
        <v>302</v>
      </c>
      <c r="AE10" s="81" t="s">
        <v>793</v>
      </c>
      <c r="AF10" s="1167"/>
      <c r="AG10" s="713" t="s">
        <v>287</v>
      </c>
      <c r="AH10" s="714" t="s">
        <v>288</v>
      </c>
      <c r="AI10" s="713" t="s">
        <v>287</v>
      </c>
      <c r="AJ10" s="713" t="s">
        <v>287</v>
      </c>
      <c r="AK10" s="714" t="s">
        <v>288</v>
      </c>
      <c r="AL10" s="713" t="s">
        <v>287</v>
      </c>
      <c r="AM10" s="714" t="s">
        <v>288</v>
      </c>
      <c r="AN10" s="715" t="s">
        <v>311</v>
      </c>
      <c r="AO10" s="1170"/>
      <c r="AP10" s="79" t="s">
        <v>280</v>
      </c>
      <c r="AQ10" s="80" t="s">
        <v>290</v>
      </c>
      <c r="AR10" s="76" t="s">
        <v>5</v>
      </c>
      <c r="AS10" s="76" t="s">
        <v>1</v>
      </c>
      <c r="AT10" s="76" t="s">
        <v>7</v>
      </c>
      <c r="AU10" s="1179"/>
      <c r="AV10" s="711" t="s">
        <v>287</v>
      </c>
      <c r="AW10" s="712" t="s">
        <v>288</v>
      </c>
      <c r="AY10"/>
    </row>
    <row r="11" spans="1:51" s="247" customFormat="1" ht="11.25" customHeight="1" thickBot="1" x14ac:dyDescent="0.25">
      <c r="A11" s="263" t="s">
        <v>568</v>
      </c>
      <c r="B11" s="264" t="s">
        <v>569</v>
      </c>
      <c r="C11" s="264" t="s">
        <v>272</v>
      </c>
      <c r="D11" s="264" t="s">
        <v>273</v>
      </c>
      <c r="E11" s="264" t="s">
        <v>570</v>
      </c>
      <c r="F11" s="264" t="s">
        <v>0</v>
      </c>
      <c r="G11" s="557" t="s">
        <v>571</v>
      </c>
      <c r="H11" s="733" t="s">
        <v>796</v>
      </c>
      <c r="I11" s="266" t="s">
        <v>274</v>
      </c>
      <c r="J11" s="267" t="s">
        <v>275</v>
      </c>
      <c r="K11" s="267" t="s">
        <v>276</v>
      </c>
      <c r="L11" s="267" t="s">
        <v>277</v>
      </c>
      <c r="M11" s="267" t="s">
        <v>278</v>
      </c>
      <c r="N11" s="489" t="s">
        <v>279</v>
      </c>
      <c r="O11" s="481" t="s">
        <v>572</v>
      </c>
      <c r="P11" s="482" t="s">
        <v>573</v>
      </c>
      <c r="Q11" s="272" t="s">
        <v>303</v>
      </c>
      <c r="R11" s="484" t="s">
        <v>303</v>
      </c>
      <c r="S11" s="273" t="s">
        <v>303</v>
      </c>
      <c r="T11" s="273" t="s">
        <v>303</v>
      </c>
      <c r="U11" s="273" t="s">
        <v>303</v>
      </c>
      <c r="V11" s="273" t="s">
        <v>304</v>
      </c>
      <c r="W11" s="273" t="s">
        <v>304</v>
      </c>
      <c r="X11" s="273" t="s">
        <v>305</v>
      </c>
      <c r="Y11" s="273" t="s">
        <v>304</v>
      </c>
      <c r="Z11" s="273" t="s">
        <v>306</v>
      </c>
      <c r="AA11" s="273" t="s">
        <v>307</v>
      </c>
      <c r="AB11" s="273" t="s">
        <v>308</v>
      </c>
      <c r="AC11" s="273" t="s">
        <v>310</v>
      </c>
      <c r="AD11" s="273" t="s">
        <v>309</v>
      </c>
      <c r="AE11" s="273" t="s">
        <v>309</v>
      </c>
      <c r="AF11" s="273" t="s">
        <v>316</v>
      </c>
      <c r="AG11" s="274" t="s">
        <v>312</v>
      </c>
      <c r="AH11" s="274" t="s">
        <v>313</v>
      </c>
      <c r="AI11" s="274" t="s">
        <v>312</v>
      </c>
      <c r="AJ11" s="274" t="s">
        <v>312</v>
      </c>
      <c r="AK11" s="274" t="s">
        <v>313</v>
      </c>
      <c r="AL11" s="274" t="s">
        <v>312</v>
      </c>
      <c r="AM11" s="274" t="s">
        <v>313</v>
      </c>
      <c r="AN11" s="275" t="s">
        <v>314</v>
      </c>
      <c r="AO11" s="266" t="s">
        <v>274</v>
      </c>
      <c r="AP11" s="267" t="s">
        <v>275</v>
      </c>
      <c r="AQ11" s="267" t="s">
        <v>281</v>
      </c>
      <c r="AR11" s="267" t="s">
        <v>276</v>
      </c>
      <c r="AS11" s="267" t="s">
        <v>277</v>
      </c>
      <c r="AT11" s="267" t="s">
        <v>278</v>
      </c>
      <c r="AU11" s="481" t="s">
        <v>279</v>
      </c>
      <c r="AV11" s="481" t="s">
        <v>572</v>
      </c>
      <c r="AW11" s="482" t="s">
        <v>573</v>
      </c>
    </row>
    <row r="12" spans="1:51" s="569" customFormat="1" ht="12.75" customHeight="1" x14ac:dyDescent="0.2">
      <c r="A12" s="558">
        <v>1</v>
      </c>
      <c r="B12" s="559">
        <v>3454</v>
      </c>
      <c r="C12" s="559">
        <v>600029085</v>
      </c>
      <c r="D12" s="559">
        <v>75122294</v>
      </c>
      <c r="E12" s="560" t="s">
        <v>8</v>
      </c>
      <c r="F12" s="559">
        <v>3233</v>
      </c>
      <c r="G12" s="560" t="s">
        <v>324</v>
      </c>
      <c r="H12" s="734" t="s">
        <v>284</v>
      </c>
      <c r="I12" s="731">
        <f>SUM(J12:M12)</f>
        <v>6259411</v>
      </c>
      <c r="J12" s="495">
        <v>4555254</v>
      </c>
      <c r="K12" s="316">
        <f>ROUND((J12)*33.8%,0)</f>
        <v>1539676</v>
      </c>
      <c r="L12" s="316">
        <f>ROUND(J12*2%,0)</f>
        <v>91105</v>
      </c>
      <c r="M12" s="495">
        <v>73376</v>
      </c>
      <c r="N12" s="618">
        <f>SUM(O12:P12)</f>
        <v>10.91</v>
      </c>
      <c r="O12" s="619">
        <v>6.36</v>
      </c>
      <c r="P12" s="732">
        <v>4.55</v>
      </c>
      <c r="Q12" s="564">
        <f>V12*-1</f>
        <v>-92000</v>
      </c>
      <c r="R12" s="565">
        <v>0</v>
      </c>
      <c r="S12" s="565">
        <v>0</v>
      </c>
      <c r="T12" s="565">
        <v>0</v>
      </c>
      <c r="U12" s="565">
        <f>SUM(Q12:T12)</f>
        <v>-92000</v>
      </c>
      <c r="V12" s="565">
        <v>92000</v>
      </c>
      <c r="W12" s="565">
        <v>0</v>
      </c>
      <c r="X12" s="565">
        <v>0</v>
      </c>
      <c r="Y12" s="565">
        <f>SUM(V12:X12)</f>
        <v>92000</v>
      </c>
      <c r="Z12" s="565">
        <f>U12+Y12</f>
        <v>0</v>
      </c>
      <c r="AA12" s="280">
        <f>ROUND((U12+V12+W12)*33.8%,0)</f>
        <v>0</v>
      </c>
      <c r="AB12" s="280">
        <f>ROUND(U12*2%,0)</f>
        <v>-1840</v>
      </c>
      <c r="AC12" s="565">
        <v>0</v>
      </c>
      <c r="AD12" s="565">
        <v>0</v>
      </c>
      <c r="AE12" s="565">
        <f>SUM(AC12:AD12)</f>
        <v>0</v>
      </c>
      <c r="AF12" s="565">
        <f>Z12+AA12+AB12+AE12</f>
        <v>-1840</v>
      </c>
      <c r="AG12" s="566">
        <v>-0.14000000000000001</v>
      </c>
      <c r="AH12" s="566">
        <v>-7.0000000000000007E-2</v>
      </c>
      <c r="AI12" s="566">
        <v>0</v>
      </c>
      <c r="AJ12" s="566">
        <v>0</v>
      </c>
      <c r="AK12" s="566">
        <v>0</v>
      </c>
      <c r="AL12" s="566">
        <f>AG12+AI12+AJ12</f>
        <v>-0.14000000000000001</v>
      </c>
      <c r="AM12" s="566">
        <f>AH12+AK12</f>
        <v>-7.0000000000000007E-2</v>
      </c>
      <c r="AN12" s="567">
        <f>SUM(AL12:AM12)</f>
        <v>-0.21000000000000002</v>
      </c>
      <c r="AO12" s="564">
        <f>I12+AF12</f>
        <v>6257571</v>
      </c>
      <c r="AP12" s="565">
        <f>J12+U12</f>
        <v>4463254</v>
      </c>
      <c r="AQ12" s="565">
        <f>Y12</f>
        <v>92000</v>
      </c>
      <c r="AR12" s="565">
        <f>K12+AA12</f>
        <v>1539676</v>
      </c>
      <c r="AS12" s="565">
        <f>L12+AB12</f>
        <v>89265</v>
      </c>
      <c r="AT12" s="565">
        <f>M12+AE12</f>
        <v>73376</v>
      </c>
      <c r="AU12" s="566">
        <f>N12+AN12</f>
        <v>10.7</v>
      </c>
      <c r="AV12" s="566">
        <f>O12+AL12</f>
        <v>6.2200000000000006</v>
      </c>
      <c r="AW12" s="568">
        <f>P12+AM12</f>
        <v>4.4799999999999995</v>
      </c>
      <c r="AX12" s="580"/>
    </row>
    <row r="13" spans="1:51" s="569" customFormat="1" ht="12.75" customHeight="1" x14ac:dyDescent="0.2">
      <c r="A13" s="299">
        <v>1</v>
      </c>
      <c r="B13" s="23">
        <v>3454</v>
      </c>
      <c r="C13" s="298">
        <v>600029085</v>
      </c>
      <c r="D13" s="298">
        <v>75122294</v>
      </c>
      <c r="E13" s="570" t="s">
        <v>9</v>
      </c>
      <c r="F13" s="23"/>
      <c r="G13" s="570"/>
      <c r="H13" s="735"/>
      <c r="I13" s="35">
        <f t="shared" ref="I13:AW13" si="0">SUM(I12)</f>
        <v>6259411</v>
      </c>
      <c r="J13" s="24">
        <f t="shared" si="0"/>
        <v>4555254</v>
      </c>
      <c r="K13" s="24">
        <f t="shared" si="0"/>
        <v>1539676</v>
      </c>
      <c r="L13" s="24">
        <f t="shared" si="0"/>
        <v>91105</v>
      </c>
      <c r="M13" s="24">
        <f t="shared" si="0"/>
        <v>73376</v>
      </c>
      <c r="N13" s="25">
        <f t="shared" si="0"/>
        <v>10.91</v>
      </c>
      <c r="O13" s="391">
        <f t="shared" si="0"/>
        <v>6.36</v>
      </c>
      <c r="P13" s="456">
        <f t="shared" si="0"/>
        <v>4.55</v>
      </c>
      <c r="Q13" s="35">
        <f t="shared" si="0"/>
        <v>-92000</v>
      </c>
      <c r="R13" s="24">
        <f t="shared" si="0"/>
        <v>0</v>
      </c>
      <c r="S13" s="24">
        <f t="shared" si="0"/>
        <v>0</v>
      </c>
      <c r="T13" s="24">
        <f t="shared" si="0"/>
        <v>0</v>
      </c>
      <c r="U13" s="24">
        <f t="shared" si="0"/>
        <v>-92000</v>
      </c>
      <c r="V13" s="24">
        <f t="shared" si="0"/>
        <v>92000</v>
      </c>
      <c r="W13" s="24">
        <f t="shared" si="0"/>
        <v>0</v>
      </c>
      <c r="X13" s="24">
        <f t="shared" si="0"/>
        <v>0</v>
      </c>
      <c r="Y13" s="24">
        <f t="shared" si="0"/>
        <v>92000</v>
      </c>
      <c r="Z13" s="24">
        <f t="shared" si="0"/>
        <v>0</v>
      </c>
      <c r="AA13" s="24">
        <f t="shared" si="0"/>
        <v>0</v>
      </c>
      <c r="AB13" s="24">
        <f t="shared" si="0"/>
        <v>-1840</v>
      </c>
      <c r="AC13" s="24">
        <f t="shared" si="0"/>
        <v>0</v>
      </c>
      <c r="AD13" s="24">
        <f t="shared" si="0"/>
        <v>0</v>
      </c>
      <c r="AE13" s="24">
        <f t="shared" si="0"/>
        <v>0</v>
      </c>
      <c r="AF13" s="24">
        <f t="shared" si="0"/>
        <v>-1840</v>
      </c>
      <c r="AG13" s="25">
        <f t="shared" si="0"/>
        <v>-0.14000000000000001</v>
      </c>
      <c r="AH13" s="25">
        <f t="shared" si="0"/>
        <v>-7.0000000000000007E-2</v>
      </c>
      <c r="AI13" s="25">
        <f t="shared" si="0"/>
        <v>0</v>
      </c>
      <c r="AJ13" s="25">
        <f t="shared" si="0"/>
        <v>0</v>
      </c>
      <c r="AK13" s="25">
        <f t="shared" si="0"/>
        <v>0</v>
      </c>
      <c r="AL13" s="25">
        <f t="shared" si="0"/>
        <v>-0.14000000000000001</v>
      </c>
      <c r="AM13" s="25">
        <f t="shared" si="0"/>
        <v>-7.0000000000000007E-2</v>
      </c>
      <c r="AN13" s="392">
        <f t="shared" si="0"/>
        <v>-0.21000000000000002</v>
      </c>
      <c r="AO13" s="35">
        <f t="shared" si="0"/>
        <v>6257571</v>
      </c>
      <c r="AP13" s="24">
        <f t="shared" si="0"/>
        <v>4463254</v>
      </c>
      <c r="AQ13" s="24">
        <f t="shared" si="0"/>
        <v>92000</v>
      </c>
      <c r="AR13" s="24">
        <f t="shared" si="0"/>
        <v>1539676</v>
      </c>
      <c r="AS13" s="24">
        <f t="shared" si="0"/>
        <v>89265</v>
      </c>
      <c r="AT13" s="24">
        <f t="shared" si="0"/>
        <v>73376</v>
      </c>
      <c r="AU13" s="25">
        <f t="shared" si="0"/>
        <v>10.7</v>
      </c>
      <c r="AV13" s="25">
        <f t="shared" si="0"/>
        <v>6.2200000000000006</v>
      </c>
      <c r="AW13" s="72">
        <f t="shared" si="0"/>
        <v>4.4799999999999995</v>
      </c>
      <c r="AX13" s="580"/>
    </row>
    <row r="14" spans="1:51" s="569" customFormat="1" ht="12.75" customHeight="1" x14ac:dyDescent="0.2">
      <c r="A14" s="571">
        <v>2</v>
      </c>
      <c r="B14" s="572">
        <v>3470</v>
      </c>
      <c r="C14" s="572">
        <v>691003572</v>
      </c>
      <c r="D14" s="572">
        <v>72550341</v>
      </c>
      <c r="E14" s="573" t="s">
        <v>10</v>
      </c>
      <c r="F14" s="572">
        <v>3111</v>
      </c>
      <c r="G14" s="573" t="s">
        <v>317</v>
      </c>
      <c r="H14" s="736" t="s">
        <v>283</v>
      </c>
      <c r="I14" s="575">
        <f t="shared" ref="I14:I15" si="1">SUM(J14:M14)</f>
        <v>4832388</v>
      </c>
      <c r="J14" s="496">
        <v>3535264</v>
      </c>
      <c r="K14" s="131">
        <f>ROUND((J14)*33.8%,0)</f>
        <v>1194919</v>
      </c>
      <c r="L14" s="131">
        <f>ROUND(J14*2%,0)</f>
        <v>70705</v>
      </c>
      <c r="M14" s="496">
        <v>31500</v>
      </c>
      <c r="N14" s="576">
        <f t="shared" ref="N14:N15" si="2">SUM(O14:P14)</f>
        <v>8.1341999999999999</v>
      </c>
      <c r="O14" s="577">
        <v>6</v>
      </c>
      <c r="P14" s="578">
        <v>2.1341999999999999</v>
      </c>
      <c r="Q14" s="579">
        <f>V14*-1</f>
        <v>-48000</v>
      </c>
      <c r="R14" s="498">
        <v>0</v>
      </c>
      <c r="S14" s="498">
        <v>0</v>
      </c>
      <c r="T14" s="498">
        <v>0</v>
      </c>
      <c r="U14" s="498">
        <f t="shared" ref="U14:U77" si="3">SUM(Q14:T14)</f>
        <v>-48000</v>
      </c>
      <c r="V14" s="498">
        <v>48000</v>
      </c>
      <c r="W14" s="498">
        <v>0</v>
      </c>
      <c r="X14" s="498">
        <v>0</v>
      </c>
      <c r="Y14" s="498">
        <f t="shared" ref="Y14:Y77" si="4">SUM(V14:X14)</f>
        <v>48000</v>
      </c>
      <c r="Z14" s="498">
        <f t="shared" ref="Z14:Z78" si="5">U14+Y14</f>
        <v>0</v>
      </c>
      <c r="AA14" s="131">
        <f>ROUND((U14+V14+W12)*33.8%,0)</f>
        <v>0</v>
      </c>
      <c r="AB14" s="131">
        <f t="shared" ref="AB14:AB78" si="6">ROUND(U14*2%,0)</f>
        <v>-960</v>
      </c>
      <c r="AC14" s="498">
        <v>0</v>
      </c>
      <c r="AD14" s="498">
        <v>0</v>
      </c>
      <c r="AE14" s="498">
        <f t="shared" ref="AE14:AE78" si="7">SUM(AC14:AD14)</f>
        <v>0</v>
      </c>
      <c r="AF14" s="498">
        <f t="shared" ref="AF14:AF78" si="8">Z14+AA14+AB14+AE14</f>
        <v>-960</v>
      </c>
      <c r="AG14" s="499">
        <v>0</v>
      </c>
      <c r="AH14" s="499">
        <v>-0.13</v>
      </c>
      <c r="AI14" s="499">
        <v>0</v>
      </c>
      <c r="AJ14" s="499">
        <v>0</v>
      </c>
      <c r="AK14" s="499">
        <v>0</v>
      </c>
      <c r="AL14" s="499">
        <f t="shared" ref="AL14:AL78" si="9">AG14+AI14+AJ14</f>
        <v>0</v>
      </c>
      <c r="AM14" s="499">
        <f t="shared" ref="AM14:AM78" si="10">AH14+AK14</f>
        <v>-0.13</v>
      </c>
      <c r="AN14" s="529">
        <f t="shared" ref="AN14:AN78" si="11">SUM(AL14:AM14)</f>
        <v>-0.13</v>
      </c>
      <c r="AO14" s="579">
        <f>I14+AF14</f>
        <v>4831428</v>
      </c>
      <c r="AP14" s="498">
        <f>J14+U14</f>
        <v>3487264</v>
      </c>
      <c r="AQ14" s="498">
        <f>Y14</f>
        <v>48000</v>
      </c>
      <c r="AR14" s="498">
        <f>K14+AA14</f>
        <v>1194919</v>
      </c>
      <c r="AS14" s="498">
        <f>L14+AB14</f>
        <v>69745</v>
      </c>
      <c r="AT14" s="498">
        <f>M14+AE14</f>
        <v>31500</v>
      </c>
      <c r="AU14" s="499">
        <f>N14+AN14</f>
        <v>8.0041999999999991</v>
      </c>
      <c r="AV14" s="499">
        <f>O14+AL14</f>
        <v>6</v>
      </c>
      <c r="AW14" s="500">
        <f>P14+AM14</f>
        <v>2.0042</v>
      </c>
      <c r="AX14" s="580"/>
    </row>
    <row r="15" spans="1:51" s="569" customFormat="1" ht="12.75" customHeight="1" x14ac:dyDescent="0.2">
      <c r="A15" s="571">
        <v>2</v>
      </c>
      <c r="B15" s="572">
        <v>3470</v>
      </c>
      <c r="C15" s="572">
        <v>691003572</v>
      </c>
      <c r="D15" s="572">
        <v>72550341</v>
      </c>
      <c r="E15" s="573" t="s">
        <v>10</v>
      </c>
      <c r="F15" s="572">
        <v>3141</v>
      </c>
      <c r="G15" s="573" t="s">
        <v>321</v>
      </c>
      <c r="H15" s="736" t="s">
        <v>284</v>
      </c>
      <c r="I15" s="575">
        <f t="shared" si="1"/>
        <v>799844</v>
      </c>
      <c r="J15" s="496">
        <v>585997</v>
      </c>
      <c r="K15" s="131">
        <f t="shared" ref="K15" si="12">ROUND((J15)*33.8%,0)</f>
        <v>198067</v>
      </c>
      <c r="L15" s="131">
        <f t="shared" ref="L15" si="13">ROUND(J15*2%,0)</f>
        <v>11720</v>
      </c>
      <c r="M15" s="496">
        <v>4060</v>
      </c>
      <c r="N15" s="576">
        <f t="shared" si="2"/>
        <v>1.99</v>
      </c>
      <c r="O15" s="577">
        <v>0</v>
      </c>
      <c r="P15" s="578">
        <v>1.99</v>
      </c>
      <c r="Q15" s="579">
        <f>V15*-1</f>
        <v>-20000</v>
      </c>
      <c r="R15" s="498">
        <v>0</v>
      </c>
      <c r="S15" s="498">
        <v>0</v>
      </c>
      <c r="T15" s="498">
        <v>0</v>
      </c>
      <c r="U15" s="498">
        <f t="shared" si="3"/>
        <v>-20000</v>
      </c>
      <c r="V15" s="498">
        <v>20000</v>
      </c>
      <c r="W15" s="498">
        <v>0</v>
      </c>
      <c r="X15" s="498">
        <v>0</v>
      </c>
      <c r="Y15" s="498">
        <f t="shared" si="4"/>
        <v>20000</v>
      </c>
      <c r="Z15" s="498">
        <f t="shared" si="5"/>
        <v>0</v>
      </c>
      <c r="AA15" s="131">
        <f>ROUND((U15+V15+W13)*33.8%,0)</f>
        <v>0</v>
      </c>
      <c r="AB15" s="131">
        <f t="shared" si="6"/>
        <v>-400</v>
      </c>
      <c r="AC15" s="498">
        <v>0</v>
      </c>
      <c r="AD15" s="498">
        <v>0</v>
      </c>
      <c r="AE15" s="498">
        <f t="shared" si="7"/>
        <v>0</v>
      </c>
      <c r="AF15" s="498">
        <f t="shared" si="8"/>
        <v>-400</v>
      </c>
      <c r="AG15" s="499">
        <v>0</v>
      </c>
      <c r="AH15" s="499">
        <v>0</v>
      </c>
      <c r="AI15" s="499">
        <v>0</v>
      </c>
      <c r="AJ15" s="499">
        <v>0</v>
      </c>
      <c r="AK15" s="499">
        <v>0</v>
      </c>
      <c r="AL15" s="499">
        <f t="shared" si="9"/>
        <v>0</v>
      </c>
      <c r="AM15" s="499">
        <f t="shared" si="10"/>
        <v>0</v>
      </c>
      <c r="AN15" s="529">
        <f t="shared" si="11"/>
        <v>0</v>
      </c>
      <c r="AO15" s="579">
        <f>I15+AF15</f>
        <v>799444</v>
      </c>
      <c r="AP15" s="498">
        <f>J15+U15</f>
        <v>565997</v>
      </c>
      <c r="AQ15" s="498">
        <f>Y15</f>
        <v>20000</v>
      </c>
      <c r="AR15" s="498">
        <f>K15+AA15</f>
        <v>198067</v>
      </c>
      <c r="AS15" s="498">
        <f>L15+AB15</f>
        <v>11320</v>
      </c>
      <c r="AT15" s="498">
        <f>M15+AE15</f>
        <v>4060</v>
      </c>
      <c r="AU15" s="499">
        <f>N15+AN15</f>
        <v>1.99</v>
      </c>
      <c r="AV15" s="499">
        <f>O15+AL15</f>
        <v>0</v>
      </c>
      <c r="AW15" s="500">
        <f>P15+AM15</f>
        <v>1.99</v>
      </c>
      <c r="AX15" s="580"/>
      <c r="AY15" s="580"/>
    </row>
    <row r="16" spans="1:51" s="569" customFormat="1" ht="12.75" customHeight="1" x14ac:dyDescent="0.2">
      <c r="A16" s="299">
        <v>2</v>
      </c>
      <c r="B16" s="23">
        <v>3470</v>
      </c>
      <c r="C16" s="298">
        <v>691003572</v>
      </c>
      <c r="D16" s="298">
        <v>72550341</v>
      </c>
      <c r="E16" s="570" t="s">
        <v>11</v>
      </c>
      <c r="F16" s="23"/>
      <c r="G16" s="570"/>
      <c r="H16" s="735"/>
      <c r="I16" s="35">
        <f t="shared" ref="I16:P16" si="14">SUM(I14:I15)</f>
        <v>5632232</v>
      </c>
      <c r="J16" s="24">
        <f t="shared" si="14"/>
        <v>4121261</v>
      </c>
      <c r="K16" s="24">
        <f t="shared" si="14"/>
        <v>1392986</v>
      </c>
      <c r="L16" s="24">
        <f t="shared" si="14"/>
        <v>82425</v>
      </c>
      <c r="M16" s="24">
        <f t="shared" si="14"/>
        <v>35560</v>
      </c>
      <c r="N16" s="25">
        <f t="shared" si="14"/>
        <v>10.1242</v>
      </c>
      <c r="O16" s="391">
        <f t="shared" si="14"/>
        <v>6</v>
      </c>
      <c r="P16" s="456">
        <f t="shared" si="14"/>
        <v>4.1242000000000001</v>
      </c>
      <c r="Q16" s="35">
        <f t="shared" ref="Q16:AW16" si="15">SUM(Q14:Q15)</f>
        <v>-68000</v>
      </c>
      <c r="R16" s="24">
        <f t="shared" si="15"/>
        <v>0</v>
      </c>
      <c r="S16" s="24">
        <f t="shared" si="15"/>
        <v>0</v>
      </c>
      <c r="T16" s="24">
        <f t="shared" si="15"/>
        <v>0</v>
      </c>
      <c r="U16" s="24">
        <f t="shared" si="15"/>
        <v>-68000</v>
      </c>
      <c r="V16" s="24">
        <f t="shared" si="15"/>
        <v>68000</v>
      </c>
      <c r="W16" s="24">
        <f t="shared" si="15"/>
        <v>0</v>
      </c>
      <c r="X16" s="24">
        <f t="shared" si="15"/>
        <v>0</v>
      </c>
      <c r="Y16" s="24">
        <f t="shared" si="15"/>
        <v>68000</v>
      </c>
      <c r="Z16" s="24">
        <f t="shared" si="15"/>
        <v>0</v>
      </c>
      <c r="AA16" s="24">
        <f t="shared" si="15"/>
        <v>0</v>
      </c>
      <c r="AB16" s="24">
        <f t="shared" si="15"/>
        <v>-1360</v>
      </c>
      <c r="AC16" s="24">
        <f t="shared" si="15"/>
        <v>0</v>
      </c>
      <c r="AD16" s="24">
        <f t="shared" si="15"/>
        <v>0</v>
      </c>
      <c r="AE16" s="24">
        <f t="shared" si="15"/>
        <v>0</v>
      </c>
      <c r="AF16" s="24">
        <f t="shared" si="15"/>
        <v>-1360</v>
      </c>
      <c r="AG16" s="25">
        <f t="shared" si="15"/>
        <v>0</v>
      </c>
      <c r="AH16" s="25">
        <f t="shared" si="15"/>
        <v>-0.13</v>
      </c>
      <c r="AI16" s="25">
        <f t="shared" si="15"/>
        <v>0</v>
      </c>
      <c r="AJ16" s="25">
        <f t="shared" si="15"/>
        <v>0</v>
      </c>
      <c r="AK16" s="25">
        <f t="shared" si="15"/>
        <v>0</v>
      </c>
      <c r="AL16" s="25">
        <f t="shared" si="15"/>
        <v>0</v>
      </c>
      <c r="AM16" s="25">
        <f t="shared" si="15"/>
        <v>-0.13</v>
      </c>
      <c r="AN16" s="392">
        <f t="shared" si="15"/>
        <v>-0.13</v>
      </c>
      <c r="AO16" s="35">
        <f t="shared" si="15"/>
        <v>5630872</v>
      </c>
      <c r="AP16" s="24">
        <f t="shared" si="15"/>
        <v>4053261</v>
      </c>
      <c r="AQ16" s="24">
        <f t="shared" si="15"/>
        <v>68000</v>
      </c>
      <c r="AR16" s="24">
        <f t="shared" si="15"/>
        <v>1392986</v>
      </c>
      <c r="AS16" s="24">
        <f t="shared" si="15"/>
        <v>81065</v>
      </c>
      <c r="AT16" s="24">
        <f t="shared" si="15"/>
        <v>35560</v>
      </c>
      <c r="AU16" s="25">
        <f t="shared" si="15"/>
        <v>9.9941999999999993</v>
      </c>
      <c r="AV16" s="25">
        <f t="shared" si="15"/>
        <v>6</v>
      </c>
      <c r="AW16" s="72">
        <f t="shared" si="15"/>
        <v>3.9942000000000002</v>
      </c>
      <c r="AX16" s="580"/>
    </row>
    <row r="17" spans="1:51" s="569" customFormat="1" ht="12.75" customHeight="1" x14ac:dyDescent="0.2">
      <c r="A17" s="571">
        <v>3</v>
      </c>
      <c r="B17" s="572">
        <v>3469</v>
      </c>
      <c r="C17" s="572">
        <v>691003548</v>
      </c>
      <c r="D17" s="572">
        <v>72550384</v>
      </c>
      <c r="E17" s="573" t="s">
        <v>12</v>
      </c>
      <c r="F17" s="572">
        <v>3111</v>
      </c>
      <c r="G17" s="573" t="s">
        <v>317</v>
      </c>
      <c r="H17" s="736" t="s">
        <v>283</v>
      </c>
      <c r="I17" s="575">
        <f t="shared" ref="I17:I18" si="16">SUM(J17:M17)</f>
        <v>6405604</v>
      </c>
      <c r="J17" s="496">
        <v>4688442</v>
      </c>
      <c r="K17" s="131">
        <f>ROUND((J17)*33.8%,0)</f>
        <v>1584693</v>
      </c>
      <c r="L17" s="131">
        <f>ROUND(J17*2%,0)</f>
        <v>93769</v>
      </c>
      <c r="M17" s="496">
        <v>38700</v>
      </c>
      <c r="N17" s="576">
        <f t="shared" ref="N17:N18" si="17">SUM(O17:P17)</f>
        <v>10.8682</v>
      </c>
      <c r="O17" s="577">
        <v>8</v>
      </c>
      <c r="P17" s="578">
        <v>2.8681999999999999</v>
      </c>
      <c r="Q17" s="579">
        <f t="shared" ref="Q17:Q18" si="18">V17*-1</f>
        <v>0</v>
      </c>
      <c r="R17" s="498">
        <v>0</v>
      </c>
      <c r="S17" s="498">
        <v>0</v>
      </c>
      <c r="T17" s="498">
        <v>0</v>
      </c>
      <c r="U17" s="498">
        <f t="shared" si="3"/>
        <v>0</v>
      </c>
      <c r="V17" s="498">
        <v>0</v>
      </c>
      <c r="W17" s="498">
        <v>0</v>
      </c>
      <c r="X17" s="498">
        <v>0</v>
      </c>
      <c r="Y17" s="498">
        <f t="shared" si="4"/>
        <v>0</v>
      </c>
      <c r="Z17" s="498">
        <f t="shared" si="5"/>
        <v>0</v>
      </c>
      <c r="AA17" s="131">
        <f t="shared" ref="AA17:AA18" si="19">ROUND((U17+V17+W15)*33.8%,0)</f>
        <v>0</v>
      </c>
      <c r="AB17" s="131">
        <f t="shared" si="6"/>
        <v>0</v>
      </c>
      <c r="AC17" s="498">
        <v>0</v>
      </c>
      <c r="AD17" s="498">
        <v>0</v>
      </c>
      <c r="AE17" s="498">
        <f t="shared" si="7"/>
        <v>0</v>
      </c>
      <c r="AF17" s="498">
        <f t="shared" si="8"/>
        <v>0</v>
      </c>
      <c r="AG17" s="499">
        <v>0</v>
      </c>
      <c r="AH17" s="499">
        <v>0</v>
      </c>
      <c r="AI17" s="499">
        <v>0</v>
      </c>
      <c r="AJ17" s="499">
        <v>0</v>
      </c>
      <c r="AK17" s="499">
        <v>0</v>
      </c>
      <c r="AL17" s="499">
        <f t="shared" si="9"/>
        <v>0</v>
      </c>
      <c r="AM17" s="499">
        <f t="shared" si="10"/>
        <v>0</v>
      </c>
      <c r="AN17" s="529">
        <f t="shared" si="11"/>
        <v>0</v>
      </c>
      <c r="AO17" s="579">
        <f>I17+AF17</f>
        <v>6405604</v>
      </c>
      <c r="AP17" s="498">
        <f>J17+U17</f>
        <v>4688442</v>
      </c>
      <c r="AQ17" s="498">
        <f t="shared" ref="AQ17:AQ18" si="20">Y17</f>
        <v>0</v>
      </c>
      <c r="AR17" s="498">
        <f>K17+AA17</f>
        <v>1584693</v>
      </c>
      <c r="AS17" s="498">
        <f>L17+AB17</f>
        <v>93769</v>
      </c>
      <c r="AT17" s="498">
        <f>M17+AE17</f>
        <v>38700</v>
      </c>
      <c r="AU17" s="499">
        <f>N17+AN17</f>
        <v>10.8682</v>
      </c>
      <c r="AV17" s="499">
        <f>O17+AL17</f>
        <v>8</v>
      </c>
      <c r="AW17" s="500">
        <f>P17+AM17</f>
        <v>2.8681999999999999</v>
      </c>
      <c r="AX17" s="580"/>
    </row>
    <row r="18" spans="1:51" s="569" customFormat="1" ht="12.75" customHeight="1" x14ac:dyDescent="0.2">
      <c r="A18" s="571">
        <v>3</v>
      </c>
      <c r="B18" s="572">
        <v>3469</v>
      </c>
      <c r="C18" s="572">
        <v>691003548</v>
      </c>
      <c r="D18" s="572">
        <v>72550384</v>
      </c>
      <c r="E18" s="573" t="s">
        <v>12</v>
      </c>
      <c r="F18" s="572">
        <v>3141</v>
      </c>
      <c r="G18" s="573" t="s">
        <v>321</v>
      </c>
      <c r="H18" s="736" t="s">
        <v>284</v>
      </c>
      <c r="I18" s="575">
        <f t="shared" si="16"/>
        <v>905712</v>
      </c>
      <c r="J18" s="496">
        <v>663358</v>
      </c>
      <c r="K18" s="131">
        <f t="shared" ref="K18" si="21">ROUND((J18)*33.8%,0)</f>
        <v>224215</v>
      </c>
      <c r="L18" s="131">
        <f t="shared" ref="L18" si="22">ROUND(J18*2%,0)</f>
        <v>13267</v>
      </c>
      <c r="M18" s="496">
        <v>4872</v>
      </c>
      <c r="N18" s="576">
        <f t="shared" si="17"/>
        <v>2.2599999999999998</v>
      </c>
      <c r="O18" s="577">
        <v>0</v>
      </c>
      <c r="P18" s="578">
        <v>2.2599999999999998</v>
      </c>
      <c r="Q18" s="579">
        <f t="shared" si="18"/>
        <v>-45600</v>
      </c>
      <c r="R18" s="498">
        <v>0</v>
      </c>
      <c r="S18" s="498">
        <v>0</v>
      </c>
      <c r="T18" s="498">
        <v>0</v>
      </c>
      <c r="U18" s="498">
        <f t="shared" si="3"/>
        <v>-45600</v>
      </c>
      <c r="V18" s="498">
        <v>45600</v>
      </c>
      <c r="W18" s="498">
        <v>0</v>
      </c>
      <c r="X18" s="498">
        <v>0</v>
      </c>
      <c r="Y18" s="498">
        <f t="shared" si="4"/>
        <v>45600</v>
      </c>
      <c r="Z18" s="498">
        <f t="shared" si="5"/>
        <v>0</v>
      </c>
      <c r="AA18" s="131">
        <f t="shared" si="19"/>
        <v>0</v>
      </c>
      <c r="AB18" s="131">
        <f t="shared" si="6"/>
        <v>-912</v>
      </c>
      <c r="AC18" s="498">
        <v>0</v>
      </c>
      <c r="AD18" s="498">
        <v>0</v>
      </c>
      <c r="AE18" s="498">
        <f t="shared" si="7"/>
        <v>0</v>
      </c>
      <c r="AF18" s="498">
        <f t="shared" si="8"/>
        <v>-912</v>
      </c>
      <c r="AG18" s="499">
        <v>0</v>
      </c>
      <c r="AH18" s="499">
        <v>-0.1</v>
      </c>
      <c r="AI18" s="499">
        <v>0</v>
      </c>
      <c r="AJ18" s="499">
        <v>0</v>
      </c>
      <c r="AK18" s="499">
        <v>0</v>
      </c>
      <c r="AL18" s="499">
        <f t="shared" si="9"/>
        <v>0</v>
      </c>
      <c r="AM18" s="499">
        <f t="shared" si="10"/>
        <v>-0.1</v>
      </c>
      <c r="AN18" s="529">
        <f t="shared" si="11"/>
        <v>-0.1</v>
      </c>
      <c r="AO18" s="579">
        <f>I18+AF18</f>
        <v>904800</v>
      </c>
      <c r="AP18" s="498">
        <f>J18+U18</f>
        <v>617758</v>
      </c>
      <c r="AQ18" s="498">
        <f t="shared" si="20"/>
        <v>45600</v>
      </c>
      <c r="AR18" s="498">
        <f>K18+AA18</f>
        <v>224215</v>
      </c>
      <c r="AS18" s="498">
        <f>L18+AB18</f>
        <v>12355</v>
      </c>
      <c r="AT18" s="498">
        <f>M18+AE18</f>
        <v>4872</v>
      </c>
      <c r="AU18" s="499">
        <f>N18+AN18</f>
        <v>2.1599999999999997</v>
      </c>
      <c r="AV18" s="499">
        <f>O18+AL18</f>
        <v>0</v>
      </c>
      <c r="AW18" s="500">
        <f>P18+AM18</f>
        <v>2.1599999999999997</v>
      </c>
      <c r="AX18" s="580"/>
      <c r="AY18" s="580"/>
    </row>
    <row r="19" spans="1:51" s="569" customFormat="1" ht="12.75" customHeight="1" x14ac:dyDescent="0.2">
      <c r="A19" s="299">
        <v>3</v>
      </c>
      <c r="B19" s="23">
        <v>3469</v>
      </c>
      <c r="C19" s="298">
        <v>691003548</v>
      </c>
      <c r="D19" s="298">
        <v>72550384</v>
      </c>
      <c r="E19" s="570" t="s">
        <v>13</v>
      </c>
      <c r="F19" s="23"/>
      <c r="G19" s="570"/>
      <c r="H19" s="735"/>
      <c r="I19" s="35">
        <f t="shared" ref="I19:P19" si="23">SUM(I17:I18)</f>
        <v>7311316</v>
      </c>
      <c r="J19" s="24">
        <f t="shared" si="23"/>
        <v>5351800</v>
      </c>
      <c r="K19" s="24">
        <f t="shared" si="23"/>
        <v>1808908</v>
      </c>
      <c r="L19" s="24">
        <f t="shared" si="23"/>
        <v>107036</v>
      </c>
      <c r="M19" s="24">
        <f t="shared" si="23"/>
        <v>43572</v>
      </c>
      <c r="N19" s="25">
        <f t="shared" si="23"/>
        <v>13.1282</v>
      </c>
      <c r="O19" s="391">
        <f t="shared" si="23"/>
        <v>8</v>
      </c>
      <c r="P19" s="456">
        <f t="shared" si="23"/>
        <v>5.1281999999999996</v>
      </c>
      <c r="Q19" s="35">
        <f t="shared" ref="Q19:AW19" si="24">SUM(Q17:Q18)</f>
        <v>-45600</v>
      </c>
      <c r="R19" s="24">
        <f t="shared" si="24"/>
        <v>0</v>
      </c>
      <c r="S19" s="24">
        <f t="shared" si="24"/>
        <v>0</v>
      </c>
      <c r="T19" s="24">
        <f t="shared" si="24"/>
        <v>0</v>
      </c>
      <c r="U19" s="24">
        <f t="shared" si="24"/>
        <v>-45600</v>
      </c>
      <c r="V19" s="24">
        <f t="shared" si="24"/>
        <v>45600</v>
      </c>
      <c r="W19" s="24">
        <f t="shared" si="24"/>
        <v>0</v>
      </c>
      <c r="X19" s="24">
        <f t="shared" si="24"/>
        <v>0</v>
      </c>
      <c r="Y19" s="24">
        <f t="shared" si="24"/>
        <v>45600</v>
      </c>
      <c r="Z19" s="24">
        <f t="shared" si="24"/>
        <v>0</v>
      </c>
      <c r="AA19" s="24">
        <f t="shared" si="24"/>
        <v>0</v>
      </c>
      <c r="AB19" s="24">
        <f t="shared" si="24"/>
        <v>-912</v>
      </c>
      <c r="AC19" s="24">
        <f t="shared" si="24"/>
        <v>0</v>
      </c>
      <c r="AD19" s="24">
        <f t="shared" si="24"/>
        <v>0</v>
      </c>
      <c r="AE19" s="24">
        <f t="shared" si="24"/>
        <v>0</v>
      </c>
      <c r="AF19" s="24">
        <f t="shared" si="24"/>
        <v>-912</v>
      </c>
      <c r="AG19" s="25">
        <f t="shared" si="24"/>
        <v>0</v>
      </c>
      <c r="AH19" s="25">
        <f t="shared" si="24"/>
        <v>-0.1</v>
      </c>
      <c r="AI19" s="25">
        <f t="shared" si="24"/>
        <v>0</v>
      </c>
      <c r="AJ19" s="25">
        <f t="shared" si="24"/>
        <v>0</v>
      </c>
      <c r="AK19" s="25">
        <f t="shared" si="24"/>
        <v>0</v>
      </c>
      <c r="AL19" s="25">
        <f t="shared" si="24"/>
        <v>0</v>
      </c>
      <c r="AM19" s="25">
        <f t="shared" si="24"/>
        <v>-0.1</v>
      </c>
      <c r="AN19" s="392">
        <f t="shared" si="24"/>
        <v>-0.1</v>
      </c>
      <c r="AO19" s="35">
        <f t="shared" si="24"/>
        <v>7310404</v>
      </c>
      <c r="AP19" s="24">
        <f t="shared" si="24"/>
        <v>5306200</v>
      </c>
      <c r="AQ19" s="24">
        <f t="shared" si="24"/>
        <v>45600</v>
      </c>
      <c r="AR19" s="24">
        <f t="shared" si="24"/>
        <v>1808908</v>
      </c>
      <c r="AS19" s="24">
        <f t="shared" si="24"/>
        <v>106124</v>
      </c>
      <c r="AT19" s="24">
        <f t="shared" si="24"/>
        <v>43572</v>
      </c>
      <c r="AU19" s="25">
        <f t="shared" si="24"/>
        <v>13.0282</v>
      </c>
      <c r="AV19" s="25">
        <f t="shared" si="24"/>
        <v>8</v>
      </c>
      <c r="AW19" s="72">
        <f t="shared" si="24"/>
        <v>5.0282</v>
      </c>
      <c r="AX19" s="580"/>
    </row>
    <row r="20" spans="1:51" s="569" customFormat="1" ht="12.75" customHeight="1" x14ac:dyDescent="0.2">
      <c r="A20" s="571">
        <v>4</v>
      </c>
      <c r="B20" s="572">
        <v>3462</v>
      </c>
      <c r="C20" s="572">
        <v>691001294</v>
      </c>
      <c r="D20" s="572">
        <v>72048115</v>
      </c>
      <c r="E20" s="573" t="s">
        <v>14</v>
      </c>
      <c r="F20" s="572">
        <v>3111</v>
      </c>
      <c r="G20" s="573" t="s">
        <v>317</v>
      </c>
      <c r="H20" s="736" t="s">
        <v>283</v>
      </c>
      <c r="I20" s="575">
        <f t="shared" ref="I20:I21" si="25">SUM(J20:M20)</f>
        <v>4779308</v>
      </c>
      <c r="J20" s="496">
        <v>3497171</v>
      </c>
      <c r="K20" s="131">
        <f>ROUND((J20)*33.8%,0)</f>
        <v>1182044</v>
      </c>
      <c r="L20" s="131">
        <f>ROUND(J20*2%,0)</f>
        <v>69943</v>
      </c>
      <c r="M20" s="496">
        <v>30150</v>
      </c>
      <c r="N20" s="576">
        <f t="shared" ref="N20:N21" si="26">SUM(O20:P20)</f>
        <v>8.1341999999999999</v>
      </c>
      <c r="O20" s="577">
        <v>6</v>
      </c>
      <c r="P20" s="578">
        <v>2.1341999999999999</v>
      </c>
      <c r="Q20" s="579">
        <f t="shared" ref="Q20:Q21" si="27">V20*-1</f>
        <v>-77856</v>
      </c>
      <c r="R20" s="498">
        <v>0</v>
      </c>
      <c r="S20" s="498">
        <v>0</v>
      </c>
      <c r="T20" s="498">
        <v>0</v>
      </c>
      <c r="U20" s="498">
        <f t="shared" si="3"/>
        <v>-77856</v>
      </c>
      <c r="V20" s="498">
        <v>77856</v>
      </c>
      <c r="W20" s="498">
        <v>0</v>
      </c>
      <c r="X20" s="498">
        <v>0</v>
      </c>
      <c r="Y20" s="498">
        <f t="shared" si="4"/>
        <v>77856</v>
      </c>
      <c r="Z20" s="498">
        <f t="shared" si="5"/>
        <v>0</v>
      </c>
      <c r="AA20" s="131">
        <f t="shared" ref="AA20:AA21" si="28">ROUND((U20+V20+W18)*33.8%,0)</f>
        <v>0</v>
      </c>
      <c r="AB20" s="131">
        <f t="shared" si="6"/>
        <v>-1557</v>
      </c>
      <c r="AC20" s="498">
        <v>0</v>
      </c>
      <c r="AD20" s="498">
        <v>0</v>
      </c>
      <c r="AE20" s="498">
        <f t="shared" si="7"/>
        <v>0</v>
      </c>
      <c r="AF20" s="498">
        <f t="shared" si="8"/>
        <v>-1557</v>
      </c>
      <c r="AG20" s="499">
        <v>0</v>
      </c>
      <c r="AH20" s="499">
        <v>-0.42</v>
      </c>
      <c r="AI20" s="499">
        <v>0</v>
      </c>
      <c r="AJ20" s="499">
        <v>0</v>
      </c>
      <c r="AK20" s="499">
        <v>0</v>
      </c>
      <c r="AL20" s="499">
        <f t="shared" si="9"/>
        <v>0</v>
      </c>
      <c r="AM20" s="499">
        <f t="shared" si="10"/>
        <v>-0.42</v>
      </c>
      <c r="AN20" s="529">
        <f t="shared" si="11"/>
        <v>-0.42</v>
      </c>
      <c r="AO20" s="579">
        <f>I20+AF20</f>
        <v>4777751</v>
      </c>
      <c r="AP20" s="498">
        <f>J20+U20</f>
        <v>3419315</v>
      </c>
      <c r="AQ20" s="498">
        <f t="shared" ref="AQ20:AQ21" si="29">Y20</f>
        <v>77856</v>
      </c>
      <c r="AR20" s="498">
        <f>K20+AA20</f>
        <v>1182044</v>
      </c>
      <c r="AS20" s="498">
        <f>L20+AB20</f>
        <v>68386</v>
      </c>
      <c r="AT20" s="498">
        <f>M20+AE20</f>
        <v>30150</v>
      </c>
      <c r="AU20" s="499">
        <f>N20+AN20</f>
        <v>7.7141999999999999</v>
      </c>
      <c r="AV20" s="499">
        <f>O20+AL20</f>
        <v>6</v>
      </c>
      <c r="AW20" s="500">
        <f>P20+AM20</f>
        <v>1.7141999999999999</v>
      </c>
      <c r="AX20" s="580"/>
    </row>
    <row r="21" spans="1:51" s="569" customFormat="1" ht="12.75" customHeight="1" x14ac:dyDescent="0.2">
      <c r="A21" s="571">
        <v>4</v>
      </c>
      <c r="B21" s="572">
        <v>3462</v>
      </c>
      <c r="C21" s="572">
        <v>691001294</v>
      </c>
      <c r="D21" s="572">
        <v>72048115</v>
      </c>
      <c r="E21" s="573" t="s">
        <v>14</v>
      </c>
      <c r="F21" s="572">
        <v>3141</v>
      </c>
      <c r="G21" s="573" t="s">
        <v>321</v>
      </c>
      <c r="H21" s="736" t="s">
        <v>284</v>
      </c>
      <c r="I21" s="575">
        <f t="shared" si="25"/>
        <v>776539</v>
      </c>
      <c r="J21" s="496">
        <v>568964</v>
      </c>
      <c r="K21" s="131">
        <f t="shared" ref="K21" si="30">ROUND((J21)*33.8%,0)</f>
        <v>192310</v>
      </c>
      <c r="L21" s="131">
        <f t="shared" ref="L21" si="31">ROUND(J21*2%,0)</f>
        <v>11379</v>
      </c>
      <c r="M21" s="496">
        <v>3886</v>
      </c>
      <c r="N21" s="576">
        <f t="shared" si="26"/>
        <v>1.94</v>
      </c>
      <c r="O21" s="577">
        <v>0</v>
      </c>
      <c r="P21" s="578">
        <v>1.94</v>
      </c>
      <c r="Q21" s="579">
        <f t="shared" si="27"/>
        <v>0</v>
      </c>
      <c r="R21" s="498">
        <v>0</v>
      </c>
      <c r="S21" s="498">
        <v>0</v>
      </c>
      <c r="T21" s="498">
        <v>0</v>
      </c>
      <c r="U21" s="498">
        <f t="shared" si="3"/>
        <v>0</v>
      </c>
      <c r="V21" s="498">
        <v>0</v>
      </c>
      <c r="W21" s="498">
        <v>0</v>
      </c>
      <c r="X21" s="498">
        <v>0</v>
      </c>
      <c r="Y21" s="498">
        <f t="shared" si="4"/>
        <v>0</v>
      </c>
      <c r="Z21" s="498">
        <f t="shared" si="5"/>
        <v>0</v>
      </c>
      <c r="AA21" s="131">
        <f t="shared" si="28"/>
        <v>0</v>
      </c>
      <c r="AB21" s="131">
        <f t="shared" si="6"/>
        <v>0</v>
      </c>
      <c r="AC21" s="498">
        <v>0</v>
      </c>
      <c r="AD21" s="498">
        <v>0</v>
      </c>
      <c r="AE21" s="498">
        <f t="shared" si="7"/>
        <v>0</v>
      </c>
      <c r="AF21" s="498">
        <f t="shared" si="8"/>
        <v>0</v>
      </c>
      <c r="AG21" s="499">
        <v>0</v>
      </c>
      <c r="AH21" s="499">
        <v>0</v>
      </c>
      <c r="AI21" s="499">
        <v>0</v>
      </c>
      <c r="AJ21" s="499">
        <v>0</v>
      </c>
      <c r="AK21" s="499">
        <v>0</v>
      </c>
      <c r="AL21" s="499">
        <f t="shared" si="9"/>
        <v>0</v>
      </c>
      <c r="AM21" s="499">
        <f t="shared" si="10"/>
        <v>0</v>
      </c>
      <c r="AN21" s="529">
        <f t="shared" si="11"/>
        <v>0</v>
      </c>
      <c r="AO21" s="579">
        <f>I21+AF21</f>
        <v>776539</v>
      </c>
      <c r="AP21" s="498">
        <f>J21+U21</f>
        <v>568964</v>
      </c>
      <c r="AQ21" s="498">
        <f t="shared" si="29"/>
        <v>0</v>
      </c>
      <c r="AR21" s="498">
        <f>K21+AA21</f>
        <v>192310</v>
      </c>
      <c r="AS21" s="498">
        <f>L21+AB21</f>
        <v>11379</v>
      </c>
      <c r="AT21" s="498">
        <f>M21+AE21</f>
        <v>3886</v>
      </c>
      <c r="AU21" s="499">
        <f>N21+AN21</f>
        <v>1.94</v>
      </c>
      <c r="AV21" s="499">
        <f>O21+AL21</f>
        <v>0</v>
      </c>
      <c r="AW21" s="500">
        <f>P21+AM21</f>
        <v>1.94</v>
      </c>
      <c r="AX21" s="580"/>
      <c r="AY21" s="580"/>
    </row>
    <row r="22" spans="1:51" s="569" customFormat="1" ht="12.75" customHeight="1" x14ac:dyDescent="0.2">
      <c r="A22" s="299">
        <v>4</v>
      </c>
      <c r="B22" s="23">
        <v>3462</v>
      </c>
      <c r="C22" s="298">
        <v>691001294</v>
      </c>
      <c r="D22" s="298">
        <v>72048115</v>
      </c>
      <c r="E22" s="570" t="s">
        <v>15</v>
      </c>
      <c r="F22" s="23"/>
      <c r="G22" s="570"/>
      <c r="H22" s="735"/>
      <c r="I22" s="35">
        <f t="shared" ref="I22:P22" si="32">SUM(I20:I21)</f>
        <v>5555847</v>
      </c>
      <c r="J22" s="24">
        <f t="shared" si="32"/>
        <v>4066135</v>
      </c>
      <c r="K22" s="24">
        <f t="shared" si="32"/>
        <v>1374354</v>
      </c>
      <c r="L22" s="24">
        <f t="shared" si="32"/>
        <v>81322</v>
      </c>
      <c r="M22" s="24">
        <f t="shared" si="32"/>
        <v>34036</v>
      </c>
      <c r="N22" s="25">
        <f t="shared" si="32"/>
        <v>10.074199999999999</v>
      </c>
      <c r="O22" s="391">
        <f t="shared" si="32"/>
        <v>6</v>
      </c>
      <c r="P22" s="456">
        <f t="shared" si="32"/>
        <v>4.0741999999999994</v>
      </c>
      <c r="Q22" s="35">
        <f t="shared" ref="Q22:AW22" si="33">SUM(Q20:Q21)</f>
        <v>-77856</v>
      </c>
      <c r="R22" s="24">
        <f t="shared" si="33"/>
        <v>0</v>
      </c>
      <c r="S22" s="24">
        <f t="shared" si="33"/>
        <v>0</v>
      </c>
      <c r="T22" s="24">
        <f t="shared" si="33"/>
        <v>0</v>
      </c>
      <c r="U22" s="24">
        <f t="shared" si="33"/>
        <v>-77856</v>
      </c>
      <c r="V22" s="24">
        <f t="shared" si="33"/>
        <v>77856</v>
      </c>
      <c r="W22" s="24">
        <f t="shared" si="33"/>
        <v>0</v>
      </c>
      <c r="X22" s="24">
        <f t="shared" si="33"/>
        <v>0</v>
      </c>
      <c r="Y22" s="24">
        <f t="shared" si="33"/>
        <v>77856</v>
      </c>
      <c r="Z22" s="24">
        <f t="shared" si="33"/>
        <v>0</v>
      </c>
      <c r="AA22" s="24">
        <f t="shared" si="33"/>
        <v>0</v>
      </c>
      <c r="AB22" s="24">
        <f t="shared" si="33"/>
        <v>-1557</v>
      </c>
      <c r="AC22" s="24">
        <f t="shared" si="33"/>
        <v>0</v>
      </c>
      <c r="AD22" s="24">
        <f t="shared" si="33"/>
        <v>0</v>
      </c>
      <c r="AE22" s="24">
        <f t="shared" si="33"/>
        <v>0</v>
      </c>
      <c r="AF22" s="24">
        <f t="shared" si="33"/>
        <v>-1557</v>
      </c>
      <c r="AG22" s="25">
        <f t="shared" si="33"/>
        <v>0</v>
      </c>
      <c r="AH22" s="25">
        <f t="shared" si="33"/>
        <v>-0.42</v>
      </c>
      <c r="AI22" s="25">
        <f t="shared" si="33"/>
        <v>0</v>
      </c>
      <c r="AJ22" s="25">
        <f t="shared" si="33"/>
        <v>0</v>
      </c>
      <c r="AK22" s="25">
        <f t="shared" si="33"/>
        <v>0</v>
      </c>
      <c r="AL22" s="25">
        <f t="shared" si="33"/>
        <v>0</v>
      </c>
      <c r="AM22" s="25">
        <f t="shared" si="33"/>
        <v>-0.42</v>
      </c>
      <c r="AN22" s="392">
        <f t="shared" si="33"/>
        <v>-0.42</v>
      </c>
      <c r="AO22" s="35">
        <f t="shared" si="33"/>
        <v>5554290</v>
      </c>
      <c r="AP22" s="24">
        <f t="shared" si="33"/>
        <v>3988279</v>
      </c>
      <c r="AQ22" s="24">
        <f t="shared" si="33"/>
        <v>77856</v>
      </c>
      <c r="AR22" s="24">
        <f t="shared" si="33"/>
        <v>1374354</v>
      </c>
      <c r="AS22" s="24">
        <f t="shared" si="33"/>
        <v>79765</v>
      </c>
      <c r="AT22" s="24">
        <f t="shared" si="33"/>
        <v>34036</v>
      </c>
      <c r="AU22" s="25">
        <f t="shared" si="33"/>
        <v>9.6541999999999994</v>
      </c>
      <c r="AV22" s="25">
        <f t="shared" si="33"/>
        <v>6</v>
      </c>
      <c r="AW22" s="72">
        <f t="shared" si="33"/>
        <v>3.6541999999999999</v>
      </c>
      <c r="AX22" s="580"/>
    </row>
    <row r="23" spans="1:51" s="569" customFormat="1" ht="12.75" customHeight="1" x14ac:dyDescent="0.2">
      <c r="A23" s="571">
        <v>5</v>
      </c>
      <c r="B23" s="572">
        <v>3464</v>
      </c>
      <c r="C23" s="572">
        <v>691001316</v>
      </c>
      <c r="D23" s="572">
        <v>72048140</v>
      </c>
      <c r="E23" s="573" t="s">
        <v>16</v>
      </c>
      <c r="F23" s="572">
        <v>3111</v>
      </c>
      <c r="G23" s="573" t="s">
        <v>317</v>
      </c>
      <c r="H23" s="736" t="s">
        <v>283</v>
      </c>
      <c r="I23" s="575">
        <f t="shared" ref="I23:I24" si="34">SUM(J23:M23)</f>
        <v>6394360</v>
      </c>
      <c r="J23" s="496">
        <v>4680162</v>
      </c>
      <c r="K23" s="131">
        <f>ROUND((J23)*33.8%,0)</f>
        <v>1581895</v>
      </c>
      <c r="L23" s="131">
        <f>ROUND(J23*2%,0)</f>
        <v>93603</v>
      </c>
      <c r="M23" s="496">
        <v>38700</v>
      </c>
      <c r="N23" s="576">
        <f t="shared" ref="N23:N24" si="35">SUM(O23:P23)</f>
        <v>10.8682</v>
      </c>
      <c r="O23" s="577">
        <v>8</v>
      </c>
      <c r="P23" s="578">
        <v>2.8681999999999999</v>
      </c>
      <c r="Q23" s="579">
        <f t="shared" ref="Q23:Q24" si="36">V23*-1</f>
        <v>-21120</v>
      </c>
      <c r="R23" s="498">
        <v>0</v>
      </c>
      <c r="S23" s="498">
        <v>0</v>
      </c>
      <c r="T23" s="498">
        <v>0</v>
      </c>
      <c r="U23" s="498">
        <f t="shared" si="3"/>
        <v>-21120</v>
      </c>
      <c r="V23" s="498">
        <v>21120</v>
      </c>
      <c r="W23" s="498">
        <v>0</v>
      </c>
      <c r="X23" s="498">
        <v>0</v>
      </c>
      <c r="Y23" s="498">
        <f t="shared" si="4"/>
        <v>21120</v>
      </c>
      <c r="Z23" s="498">
        <f t="shared" si="5"/>
        <v>0</v>
      </c>
      <c r="AA23" s="131">
        <f t="shared" ref="AA23:AA24" si="37">ROUND((U23+V23+W21)*33.8%,0)</f>
        <v>0</v>
      </c>
      <c r="AB23" s="131">
        <f t="shared" si="6"/>
        <v>-422</v>
      </c>
      <c r="AC23" s="498">
        <v>0</v>
      </c>
      <c r="AD23" s="498">
        <v>0</v>
      </c>
      <c r="AE23" s="498">
        <f t="shared" si="7"/>
        <v>0</v>
      </c>
      <c r="AF23" s="498">
        <f t="shared" si="8"/>
        <v>-422</v>
      </c>
      <c r="AG23" s="499">
        <v>0</v>
      </c>
      <c r="AH23" s="499">
        <v>-0.11</v>
      </c>
      <c r="AI23" s="499">
        <v>0</v>
      </c>
      <c r="AJ23" s="499">
        <v>0</v>
      </c>
      <c r="AK23" s="499">
        <v>0</v>
      </c>
      <c r="AL23" s="499">
        <f t="shared" si="9"/>
        <v>0</v>
      </c>
      <c r="AM23" s="499">
        <f t="shared" si="10"/>
        <v>-0.11</v>
      </c>
      <c r="AN23" s="529">
        <f t="shared" si="11"/>
        <v>-0.11</v>
      </c>
      <c r="AO23" s="579">
        <f>I23+AF23</f>
        <v>6393938</v>
      </c>
      <c r="AP23" s="498">
        <f>J23+U23</f>
        <v>4659042</v>
      </c>
      <c r="AQ23" s="498">
        <f t="shared" ref="AQ23:AQ24" si="38">Y23</f>
        <v>21120</v>
      </c>
      <c r="AR23" s="498">
        <f>K23+AA23</f>
        <v>1581895</v>
      </c>
      <c r="AS23" s="498">
        <f>L23+AB23</f>
        <v>93181</v>
      </c>
      <c r="AT23" s="498">
        <f>M23+AE23</f>
        <v>38700</v>
      </c>
      <c r="AU23" s="499">
        <f>N23+AN23</f>
        <v>10.7582</v>
      </c>
      <c r="AV23" s="499">
        <f>O23+AL23</f>
        <v>8</v>
      </c>
      <c r="AW23" s="500">
        <f>P23+AM23</f>
        <v>2.7582</v>
      </c>
      <c r="AX23" s="580"/>
    </row>
    <row r="24" spans="1:51" s="569" customFormat="1" ht="12.75" customHeight="1" x14ac:dyDescent="0.2">
      <c r="A24" s="571">
        <v>5</v>
      </c>
      <c r="B24" s="572">
        <v>3464</v>
      </c>
      <c r="C24" s="572">
        <v>691001316</v>
      </c>
      <c r="D24" s="572">
        <v>72048140</v>
      </c>
      <c r="E24" s="573" t="s">
        <v>16</v>
      </c>
      <c r="F24" s="572">
        <v>3141</v>
      </c>
      <c r="G24" s="573" t="s">
        <v>321</v>
      </c>
      <c r="H24" s="736" t="s">
        <v>284</v>
      </c>
      <c r="I24" s="575">
        <f t="shared" si="34"/>
        <v>920590</v>
      </c>
      <c r="J24" s="496">
        <v>674228</v>
      </c>
      <c r="K24" s="131">
        <f t="shared" ref="K24" si="39">ROUND((J24)*33.8%,0)</f>
        <v>227889</v>
      </c>
      <c r="L24" s="131">
        <f t="shared" ref="L24" si="40">ROUND(J24*2%,0)</f>
        <v>13485</v>
      </c>
      <c r="M24" s="496">
        <v>4988</v>
      </c>
      <c r="N24" s="576">
        <f t="shared" si="35"/>
        <v>2.29</v>
      </c>
      <c r="O24" s="577">
        <v>0</v>
      </c>
      <c r="P24" s="578">
        <v>2.29</v>
      </c>
      <c r="Q24" s="579">
        <f t="shared" si="36"/>
        <v>0</v>
      </c>
      <c r="R24" s="498">
        <v>0</v>
      </c>
      <c r="S24" s="498">
        <v>0</v>
      </c>
      <c r="T24" s="498">
        <v>0</v>
      </c>
      <c r="U24" s="498">
        <f t="shared" si="3"/>
        <v>0</v>
      </c>
      <c r="V24" s="498">
        <v>0</v>
      </c>
      <c r="W24" s="498">
        <v>0</v>
      </c>
      <c r="X24" s="498">
        <v>0</v>
      </c>
      <c r="Y24" s="498">
        <f t="shared" si="4"/>
        <v>0</v>
      </c>
      <c r="Z24" s="498">
        <f t="shared" si="5"/>
        <v>0</v>
      </c>
      <c r="AA24" s="131">
        <f t="shared" si="37"/>
        <v>0</v>
      </c>
      <c r="AB24" s="131">
        <f t="shared" si="6"/>
        <v>0</v>
      </c>
      <c r="AC24" s="498">
        <v>0</v>
      </c>
      <c r="AD24" s="498">
        <v>0</v>
      </c>
      <c r="AE24" s="498">
        <f t="shared" si="7"/>
        <v>0</v>
      </c>
      <c r="AF24" s="498">
        <f t="shared" si="8"/>
        <v>0</v>
      </c>
      <c r="AG24" s="499">
        <v>0</v>
      </c>
      <c r="AH24" s="499">
        <v>0</v>
      </c>
      <c r="AI24" s="499">
        <v>0</v>
      </c>
      <c r="AJ24" s="499">
        <v>0</v>
      </c>
      <c r="AK24" s="499">
        <v>0</v>
      </c>
      <c r="AL24" s="499">
        <f t="shared" si="9"/>
        <v>0</v>
      </c>
      <c r="AM24" s="499">
        <f t="shared" si="10"/>
        <v>0</v>
      </c>
      <c r="AN24" s="529">
        <f t="shared" si="11"/>
        <v>0</v>
      </c>
      <c r="AO24" s="579">
        <f>I24+AF24</f>
        <v>920590</v>
      </c>
      <c r="AP24" s="498">
        <f>J24+U24</f>
        <v>674228</v>
      </c>
      <c r="AQ24" s="498">
        <f t="shared" si="38"/>
        <v>0</v>
      </c>
      <c r="AR24" s="498">
        <f>K24+AA24</f>
        <v>227889</v>
      </c>
      <c r="AS24" s="498">
        <f>L24+AB24</f>
        <v>13485</v>
      </c>
      <c r="AT24" s="498">
        <f>M24+AE24</f>
        <v>4988</v>
      </c>
      <c r="AU24" s="499">
        <f>N24+AN24</f>
        <v>2.29</v>
      </c>
      <c r="AV24" s="499">
        <f>O24+AL24</f>
        <v>0</v>
      </c>
      <c r="AW24" s="500">
        <f>P24+AM24</f>
        <v>2.29</v>
      </c>
      <c r="AX24" s="580"/>
      <c r="AY24" s="580"/>
    </row>
    <row r="25" spans="1:51" s="569" customFormat="1" ht="12.75" customHeight="1" x14ac:dyDescent="0.2">
      <c r="A25" s="299">
        <v>5</v>
      </c>
      <c r="B25" s="23">
        <v>3464</v>
      </c>
      <c r="C25" s="298">
        <v>691001316</v>
      </c>
      <c r="D25" s="298">
        <v>72048140</v>
      </c>
      <c r="E25" s="570" t="s">
        <v>17</v>
      </c>
      <c r="F25" s="23"/>
      <c r="G25" s="570"/>
      <c r="H25" s="735"/>
      <c r="I25" s="35">
        <f t="shared" ref="I25:P25" si="41">SUM(I23:I24)</f>
        <v>7314950</v>
      </c>
      <c r="J25" s="24">
        <f t="shared" si="41"/>
        <v>5354390</v>
      </c>
      <c r="K25" s="24">
        <f t="shared" si="41"/>
        <v>1809784</v>
      </c>
      <c r="L25" s="24">
        <f t="shared" si="41"/>
        <v>107088</v>
      </c>
      <c r="M25" s="24">
        <f t="shared" si="41"/>
        <v>43688</v>
      </c>
      <c r="N25" s="25">
        <f t="shared" si="41"/>
        <v>13.158200000000001</v>
      </c>
      <c r="O25" s="391">
        <f t="shared" si="41"/>
        <v>8</v>
      </c>
      <c r="P25" s="456">
        <f t="shared" si="41"/>
        <v>5.1581999999999999</v>
      </c>
      <c r="Q25" s="35">
        <f t="shared" ref="Q25:AW25" si="42">SUM(Q23:Q24)</f>
        <v>-21120</v>
      </c>
      <c r="R25" s="24">
        <f t="shared" si="42"/>
        <v>0</v>
      </c>
      <c r="S25" s="24">
        <f t="shared" si="42"/>
        <v>0</v>
      </c>
      <c r="T25" s="24">
        <f t="shared" si="42"/>
        <v>0</v>
      </c>
      <c r="U25" s="24">
        <f t="shared" si="42"/>
        <v>-21120</v>
      </c>
      <c r="V25" s="24">
        <f t="shared" si="42"/>
        <v>21120</v>
      </c>
      <c r="W25" s="24">
        <f t="shared" si="42"/>
        <v>0</v>
      </c>
      <c r="X25" s="24">
        <f t="shared" si="42"/>
        <v>0</v>
      </c>
      <c r="Y25" s="24">
        <f t="shared" si="42"/>
        <v>21120</v>
      </c>
      <c r="Z25" s="24">
        <f t="shared" si="42"/>
        <v>0</v>
      </c>
      <c r="AA25" s="24">
        <f t="shared" si="42"/>
        <v>0</v>
      </c>
      <c r="AB25" s="24">
        <f t="shared" si="42"/>
        <v>-422</v>
      </c>
      <c r="AC25" s="24">
        <f t="shared" si="42"/>
        <v>0</v>
      </c>
      <c r="AD25" s="24">
        <f t="shared" si="42"/>
        <v>0</v>
      </c>
      <c r="AE25" s="24">
        <f t="shared" si="42"/>
        <v>0</v>
      </c>
      <c r="AF25" s="24">
        <f t="shared" si="42"/>
        <v>-422</v>
      </c>
      <c r="AG25" s="25">
        <f t="shared" si="42"/>
        <v>0</v>
      </c>
      <c r="AH25" s="25">
        <f t="shared" si="42"/>
        <v>-0.11</v>
      </c>
      <c r="AI25" s="25">
        <f t="shared" si="42"/>
        <v>0</v>
      </c>
      <c r="AJ25" s="25">
        <f t="shared" si="42"/>
        <v>0</v>
      </c>
      <c r="AK25" s="25">
        <f t="shared" si="42"/>
        <v>0</v>
      </c>
      <c r="AL25" s="25">
        <f t="shared" si="42"/>
        <v>0</v>
      </c>
      <c r="AM25" s="25">
        <f t="shared" si="42"/>
        <v>-0.11</v>
      </c>
      <c r="AN25" s="392">
        <f t="shared" si="42"/>
        <v>-0.11</v>
      </c>
      <c r="AO25" s="35">
        <f t="shared" si="42"/>
        <v>7314528</v>
      </c>
      <c r="AP25" s="24">
        <f t="shared" si="42"/>
        <v>5333270</v>
      </c>
      <c r="AQ25" s="24">
        <f t="shared" si="42"/>
        <v>21120</v>
      </c>
      <c r="AR25" s="24">
        <f t="shared" si="42"/>
        <v>1809784</v>
      </c>
      <c r="AS25" s="24">
        <f t="shared" si="42"/>
        <v>106666</v>
      </c>
      <c r="AT25" s="24">
        <f t="shared" si="42"/>
        <v>43688</v>
      </c>
      <c r="AU25" s="25">
        <f t="shared" si="42"/>
        <v>13.048200000000001</v>
      </c>
      <c r="AV25" s="25">
        <f t="shared" si="42"/>
        <v>8</v>
      </c>
      <c r="AW25" s="72">
        <f t="shared" si="42"/>
        <v>5.0481999999999996</v>
      </c>
      <c r="AX25" s="580"/>
    </row>
    <row r="26" spans="1:51" s="569" customFormat="1" ht="12.75" customHeight="1" x14ac:dyDescent="0.2">
      <c r="A26" s="571">
        <v>6</v>
      </c>
      <c r="B26" s="572">
        <v>3453</v>
      </c>
      <c r="C26" s="572">
        <v>667101411</v>
      </c>
      <c r="D26" s="572">
        <v>75109522</v>
      </c>
      <c r="E26" s="573" t="s">
        <v>18</v>
      </c>
      <c r="F26" s="572">
        <v>3111</v>
      </c>
      <c r="G26" s="573" t="s">
        <v>317</v>
      </c>
      <c r="H26" s="736" t="s">
        <v>283</v>
      </c>
      <c r="I26" s="575">
        <f t="shared" ref="I26:I27" si="43">SUM(J26:M26)</f>
        <v>6168032</v>
      </c>
      <c r="J26" s="496">
        <v>4513499</v>
      </c>
      <c r="K26" s="131">
        <f>ROUND((J26)*33.8%,0)</f>
        <v>1525563</v>
      </c>
      <c r="L26" s="131">
        <f>ROUND(J26*2%,0)</f>
        <v>90270</v>
      </c>
      <c r="M26" s="496">
        <v>38700</v>
      </c>
      <c r="N26" s="576">
        <f t="shared" ref="N26:N27" si="44">SUM(O26:P26)</f>
        <v>10.7682</v>
      </c>
      <c r="O26" s="577">
        <v>7.5</v>
      </c>
      <c r="P26" s="578">
        <v>3.2681999999999998</v>
      </c>
      <c r="Q26" s="579">
        <f t="shared" ref="Q26:Q27" si="45">V26*-1</f>
        <v>-24000</v>
      </c>
      <c r="R26" s="498">
        <v>0</v>
      </c>
      <c r="S26" s="498">
        <v>0</v>
      </c>
      <c r="T26" s="498">
        <v>0</v>
      </c>
      <c r="U26" s="498">
        <f t="shared" si="3"/>
        <v>-24000</v>
      </c>
      <c r="V26" s="498">
        <v>24000</v>
      </c>
      <c r="W26" s="498">
        <v>0</v>
      </c>
      <c r="X26" s="498">
        <v>0</v>
      </c>
      <c r="Y26" s="498">
        <f t="shared" si="4"/>
        <v>24000</v>
      </c>
      <c r="Z26" s="498">
        <f t="shared" si="5"/>
        <v>0</v>
      </c>
      <c r="AA26" s="131">
        <f t="shared" ref="AA26:AA27" si="46">ROUND((U26+V26+W24)*33.8%,0)</f>
        <v>0</v>
      </c>
      <c r="AB26" s="131">
        <f t="shared" si="6"/>
        <v>-480</v>
      </c>
      <c r="AC26" s="498">
        <v>0</v>
      </c>
      <c r="AD26" s="498">
        <v>0</v>
      </c>
      <c r="AE26" s="498">
        <f t="shared" si="7"/>
        <v>0</v>
      </c>
      <c r="AF26" s="498">
        <f t="shared" si="8"/>
        <v>-480</v>
      </c>
      <c r="AG26" s="499">
        <v>0</v>
      </c>
      <c r="AH26" s="499">
        <v>-0.13</v>
      </c>
      <c r="AI26" s="499">
        <v>0</v>
      </c>
      <c r="AJ26" s="499">
        <v>0</v>
      </c>
      <c r="AK26" s="499">
        <v>0</v>
      </c>
      <c r="AL26" s="499">
        <f t="shared" si="9"/>
        <v>0</v>
      </c>
      <c r="AM26" s="499">
        <f t="shared" si="10"/>
        <v>-0.13</v>
      </c>
      <c r="AN26" s="529">
        <f t="shared" si="11"/>
        <v>-0.13</v>
      </c>
      <c r="AO26" s="579">
        <f>I26+AF26</f>
        <v>6167552</v>
      </c>
      <c r="AP26" s="498">
        <f>J26+U26</f>
        <v>4489499</v>
      </c>
      <c r="AQ26" s="498">
        <f t="shared" ref="AQ26:AQ27" si="47">Y26</f>
        <v>24000</v>
      </c>
      <c r="AR26" s="498">
        <f>K26+AA26</f>
        <v>1525563</v>
      </c>
      <c r="AS26" s="498">
        <f>L26+AB26</f>
        <v>89790</v>
      </c>
      <c r="AT26" s="498">
        <f>M26+AE26</f>
        <v>38700</v>
      </c>
      <c r="AU26" s="499">
        <f>N26+AN26</f>
        <v>10.638199999999999</v>
      </c>
      <c r="AV26" s="499">
        <f>O26+AL26</f>
        <v>7.5</v>
      </c>
      <c r="AW26" s="500">
        <f>P26+AM26</f>
        <v>3.1381999999999999</v>
      </c>
      <c r="AX26" s="580"/>
    </row>
    <row r="27" spans="1:51" s="569" customFormat="1" ht="12.75" customHeight="1" x14ac:dyDescent="0.2">
      <c r="A27" s="571">
        <v>6</v>
      </c>
      <c r="B27" s="572">
        <v>3453</v>
      </c>
      <c r="C27" s="572">
        <v>667101411</v>
      </c>
      <c r="D27" s="572">
        <v>75109522</v>
      </c>
      <c r="E27" s="573" t="s">
        <v>18</v>
      </c>
      <c r="F27" s="572">
        <v>3141</v>
      </c>
      <c r="G27" s="573" t="s">
        <v>321</v>
      </c>
      <c r="H27" s="736" t="s">
        <v>284</v>
      </c>
      <c r="I27" s="575">
        <f t="shared" si="43"/>
        <v>768703</v>
      </c>
      <c r="J27" s="496">
        <v>563236</v>
      </c>
      <c r="K27" s="131">
        <f t="shared" ref="K27" si="48">ROUND((J27)*33.8%,0)</f>
        <v>190374</v>
      </c>
      <c r="L27" s="131">
        <f t="shared" ref="L27" si="49">ROUND(J27*2%,0)</f>
        <v>11265</v>
      </c>
      <c r="M27" s="496">
        <v>3828</v>
      </c>
      <c r="N27" s="576">
        <f t="shared" si="44"/>
        <v>1.92</v>
      </c>
      <c r="O27" s="577">
        <v>0</v>
      </c>
      <c r="P27" s="578">
        <v>1.92</v>
      </c>
      <c r="Q27" s="579">
        <f t="shared" si="45"/>
        <v>0</v>
      </c>
      <c r="R27" s="498">
        <v>0</v>
      </c>
      <c r="S27" s="498">
        <v>0</v>
      </c>
      <c r="T27" s="498">
        <v>0</v>
      </c>
      <c r="U27" s="498">
        <f t="shared" si="3"/>
        <v>0</v>
      </c>
      <c r="V27" s="498">
        <v>0</v>
      </c>
      <c r="W27" s="498">
        <v>0</v>
      </c>
      <c r="X27" s="498">
        <v>0</v>
      </c>
      <c r="Y27" s="498">
        <f t="shared" si="4"/>
        <v>0</v>
      </c>
      <c r="Z27" s="498">
        <f t="shared" si="5"/>
        <v>0</v>
      </c>
      <c r="AA27" s="131">
        <f t="shared" si="46"/>
        <v>0</v>
      </c>
      <c r="AB27" s="131">
        <f t="shared" si="6"/>
        <v>0</v>
      </c>
      <c r="AC27" s="498">
        <v>0</v>
      </c>
      <c r="AD27" s="498">
        <v>0</v>
      </c>
      <c r="AE27" s="498">
        <f t="shared" si="7"/>
        <v>0</v>
      </c>
      <c r="AF27" s="498">
        <f t="shared" si="8"/>
        <v>0</v>
      </c>
      <c r="AG27" s="499">
        <v>0</v>
      </c>
      <c r="AH27" s="499">
        <v>0</v>
      </c>
      <c r="AI27" s="499">
        <v>0</v>
      </c>
      <c r="AJ27" s="499">
        <v>0</v>
      </c>
      <c r="AK27" s="499">
        <v>0</v>
      </c>
      <c r="AL27" s="499">
        <f t="shared" si="9"/>
        <v>0</v>
      </c>
      <c r="AM27" s="499">
        <f t="shared" si="10"/>
        <v>0</v>
      </c>
      <c r="AN27" s="529">
        <f t="shared" si="11"/>
        <v>0</v>
      </c>
      <c r="AO27" s="579">
        <f>I27+AF27</f>
        <v>768703</v>
      </c>
      <c r="AP27" s="498">
        <f>J27+U27</f>
        <v>563236</v>
      </c>
      <c r="AQ27" s="498">
        <f t="shared" si="47"/>
        <v>0</v>
      </c>
      <c r="AR27" s="498">
        <f>K27+AA27</f>
        <v>190374</v>
      </c>
      <c r="AS27" s="498">
        <f>L27+AB27</f>
        <v>11265</v>
      </c>
      <c r="AT27" s="498">
        <f>M27+AE27</f>
        <v>3828</v>
      </c>
      <c r="AU27" s="499">
        <f>N27+AN27</f>
        <v>1.92</v>
      </c>
      <c r="AV27" s="499">
        <f>O27+AL27</f>
        <v>0</v>
      </c>
      <c r="AW27" s="500">
        <f>P27+AM27</f>
        <v>1.92</v>
      </c>
      <c r="AX27" s="580"/>
      <c r="AY27" s="580"/>
    </row>
    <row r="28" spans="1:51" s="569" customFormat="1" ht="12.75" customHeight="1" x14ac:dyDescent="0.2">
      <c r="A28" s="299">
        <v>6</v>
      </c>
      <c r="B28" s="23">
        <v>3453</v>
      </c>
      <c r="C28" s="298">
        <v>667101411</v>
      </c>
      <c r="D28" s="298">
        <v>75109522</v>
      </c>
      <c r="E28" s="570" t="s">
        <v>19</v>
      </c>
      <c r="F28" s="23"/>
      <c r="G28" s="570"/>
      <c r="H28" s="735"/>
      <c r="I28" s="35">
        <f t="shared" ref="I28:P28" si="50">SUM(I26:I27)</f>
        <v>6936735</v>
      </c>
      <c r="J28" s="24">
        <f t="shared" si="50"/>
        <v>5076735</v>
      </c>
      <c r="K28" s="24">
        <f t="shared" si="50"/>
        <v>1715937</v>
      </c>
      <c r="L28" s="24">
        <f t="shared" si="50"/>
        <v>101535</v>
      </c>
      <c r="M28" s="24">
        <f t="shared" si="50"/>
        <v>42528</v>
      </c>
      <c r="N28" s="25">
        <f t="shared" si="50"/>
        <v>12.6882</v>
      </c>
      <c r="O28" s="391">
        <f t="shared" si="50"/>
        <v>7.5</v>
      </c>
      <c r="P28" s="456">
        <f t="shared" si="50"/>
        <v>5.1882000000000001</v>
      </c>
      <c r="Q28" s="35">
        <f t="shared" ref="Q28:AW28" si="51">SUM(Q26:Q27)</f>
        <v>-24000</v>
      </c>
      <c r="R28" s="24">
        <f t="shared" si="51"/>
        <v>0</v>
      </c>
      <c r="S28" s="24">
        <f t="shared" si="51"/>
        <v>0</v>
      </c>
      <c r="T28" s="24">
        <f t="shared" si="51"/>
        <v>0</v>
      </c>
      <c r="U28" s="24">
        <f t="shared" si="51"/>
        <v>-24000</v>
      </c>
      <c r="V28" s="24">
        <f t="shared" si="51"/>
        <v>24000</v>
      </c>
      <c r="W28" s="24">
        <f t="shared" si="51"/>
        <v>0</v>
      </c>
      <c r="X28" s="24">
        <f t="shared" si="51"/>
        <v>0</v>
      </c>
      <c r="Y28" s="24">
        <f t="shared" si="51"/>
        <v>24000</v>
      </c>
      <c r="Z28" s="24">
        <f t="shared" si="51"/>
        <v>0</v>
      </c>
      <c r="AA28" s="24">
        <f t="shared" si="51"/>
        <v>0</v>
      </c>
      <c r="AB28" s="24">
        <f t="shared" si="51"/>
        <v>-480</v>
      </c>
      <c r="AC28" s="24">
        <f t="shared" si="51"/>
        <v>0</v>
      </c>
      <c r="AD28" s="24">
        <f t="shared" si="51"/>
        <v>0</v>
      </c>
      <c r="AE28" s="24">
        <f t="shared" si="51"/>
        <v>0</v>
      </c>
      <c r="AF28" s="24">
        <f t="shared" si="51"/>
        <v>-480</v>
      </c>
      <c r="AG28" s="25">
        <f t="shared" si="51"/>
        <v>0</v>
      </c>
      <c r="AH28" s="25">
        <f t="shared" si="51"/>
        <v>-0.13</v>
      </c>
      <c r="AI28" s="25">
        <f t="shared" si="51"/>
        <v>0</v>
      </c>
      <c r="AJ28" s="25">
        <f t="shared" si="51"/>
        <v>0</v>
      </c>
      <c r="AK28" s="25">
        <f t="shared" si="51"/>
        <v>0</v>
      </c>
      <c r="AL28" s="25">
        <f t="shared" si="51"/>
        <v>0</v>
      </c>
      <c r="AM28" s="25">
        <f t="shared" si="51"/>
        <v>-0.13</v>
      </c>
      <c r="AN28" s="392">
        <f t="shared" si="51"/>
        <v>-0.13</v>
      </c>
      <c r="AO28" s="35">
        <f t="shared" si="51"/>
        <v>6936255</v>
      </c>
      <c r="AP28" s="24">
        <f t="shared" si="51"/>
        <v>5052735</v>
      </c>
      <c r="AQ28" s="24">
        <f t="shared" si="51"/>
        <v>24000</v>
      </c>
      <c r="AR28" s="24">
        <f t="shared" si="51"/>
        <v>1715937</v>
      </c>
      <c r="AS28" s="24">
        <f t="shared" si="51"/>
        <v>101055</v>
      </c>
      <c r="AT28" s="24">
        <f t="shared" si="51"/>
        <v>42528</v>
      </c>
      <c r="AU28" s="25">
        <f t="shared" si="51"/>
        <v>12.558199999999999</v>
      </c>
      <c r="AV28" s="25">
        <f t="shared" si="51"/>
        <v>7.5</v>
      </c>
      <c r="AW28" s="72">
        <f t="shared" si="51"/>
        <v>5.0581999999999994</v>
      </c>
      <c r="AX28" s="580"/>
    </row>
    <row r="29" spans="1:51" s="569" customFormat="1" ht="12.75" customHeight="1" x14ac:dyDescent="0.2">
      <c r="A29" s="571">
        <v>7</v>
      </c>
      <c r="B29" s="572">
        <v>3471</v>
      </c>
      <c r="C29" s="572">
        <v>691003491</v>
      </c>
      <c r="D29" s="572">
        <v>72550376</v>
      </c>
      <c r="E29" s="573" t="s">
        <v>20</v>
      </c>
      <c r="F29" s="572">
        <v>3111</v>
      </c>
      <c r="G29" s="573" t="s">
        <v>317</v>
      </c>
      <c r="H29" s="736" t="s">
        <v>283</v>
      </c>
      <c r="I29" s="575">
        <f t="shared" ref="I29:I30" si="52">SUM(J29:M29)</f>
        <v>6520612</v>
      </c>
      <c r="J29" s="496">
        <v>4769818</v>
      </c>
      <c r="K29" s="131">
        <f>ROUND((J29)*33.8%,0)</f>
        <v>1612198</v>
      </c>
      <c r="L29" s="131">
        <f>ROUND(J29*2%,0)</f>
        <v>95396</v>
      </c>
      <c r="M29" s="496">
        <v>43200</v>
      </c>
      <c r="N29" s="576">
        <f t="shared" ref="N29:N30" si="53">SUM(O29:P29)</f>
        <v>10.8682</v>
      </c>
      <c r="O29" s="577">
        <v>8</v>
      </c>
      <c r="P29" s="578">
        <v>2.8681999999999999</v>
      </c>
      <c r="Q29" s="579">
        <f t="shared" ref="Q29:Q30" si="54">V29*-1</f>
        <v>0</v>
      </c>
      <c r="R29" s="498">
        <v>0</v>
      </c>
      <c r="S29" s="498">
        <v>0</v>
      </c>
      <c r="T29" s="498">
        <v>0</v>
      </c>
      <c r="U29" s="498">
        <f t="shared" si="3"/>
        <v>0</v>
      </c>
      <c r="V29" s="498">
        <v>0</v>
      </c>
      <c r="W29" s="498">
        <v>0</v>
      </c>
      <c r="X29" s="498">
        <v>0</v>
      </c>
      <c r="Y29" s="498">
        <f t="shared" si="4"/>
        <v>0</v>
      </c>
      <c r="Z29" s="498">
        <f t="shared" si="5"/>
        <v>0</v>
      </c>
      <c r="AA29" s="131">
        <f t="shared" ref="AA29:AA30" si="55">ROUND((U29+V29+W27)*33.8%,0)</f>
        <v>0</v>
      </c>
      <c r="AB29" s="131">
        <f t="shared" si="6"/>
        <v>0</v>
      </c>
      <c r="AC29" s="498">
        <v>0</v>
      </c>
      <c r="AD29" s="498">
        <v>0</v>
      </c>
      <c r="AE29" s="498">
        <f t="shared" si="7"/>
        <v>0</v>
      </c>
      <c r="AF29" s="498">
        <f t="shared" si="8"/>
        <v>0</v>
      </c>
      <c r="AG29" s="499">
        <v>0</v>
      </c>
      <c r="AH29" s="499">
        <v>0</v>
      </c>
      <c r="AI29" s="499">
        <v>0</v>
      </c>
      <c r="AJ29" s="499">
        <v>0</v>
      </c>
      <c r="AK29" s="499">
        <v>0</v>
      </c>
      <c r="AL29" s="499">
        <f t="shared" si="9"/>
        <v>0</v>
      </c>
      <c r="AM29" s="499">
        <f t="shared" si="10"/>
        <v>0</v>
      </c>
      <c r="AN29" s="529">
        <f t="shared" si="11"/>
        <v>0</v>
      </c>
      <c r="AO29" s="579">
        <f>I29+AF29</f>
        <v>6520612</v>
      </c>
      <c r="AP29" s="498">
        <f>J29+U29</f>
        <v>4769818</v>
      </c>
      <c r="AQ29" s="498">
        <f t="shared" ref="AQ29:AQ30" si="56">Y29</f>
        <v>0</v>
      </c>
      <c r="AR29" s="498">
        <f>K29+AA29</f>
        <v>1612198</v>
      </c>
      <c r="AS29" s="498">
        <f>L29+AB29</f>
        <v>95396</v>
      </c>
      <c r="AT29" s="498">
        <f>M29+AE29</f>
        <v>43200</v>
      </c>
      <c r="AU29" s="499">
        <f>N29+AN29</f>
        <v>10.8682</v>
      </c>
      <c r="AV29" s="499">
        <f>O29+AL29</f>
        <v>8</v>
      </c>
      <c r="AW29" s="500">
        <f>P29+AM29</f>
        <v>2.8681999999999999</v>
      </c>
      <c r="AX29" s="580"/>
    </row>
    <row r="30" spans="1:51" s="569" customFormat="1" ht="12.75" customHeight="1" x14ac:dyDescent="0.2">
      <c r="A30" s="571">
        <v>7</v>
      </c>
      <c r="B30" s="572">
        <v>3471</v>
      </c>
      <c r="C30" s="572">
        <v>691003491</v>
      </c>
      <c r="D30" s="572">
        <v>72550376</v>
      </c>
      <c r="E30" s="573" t="s">
        <v>20</v>
      </c>
      <c r="F30" s="572">
        <v>3141</v>
      </c>
      <c r="G30" s="573" t="s">
        <v>321</v>
      </c>
      <c r="H30" s="736" t="s">
        <v>284</v>
      </c>
      <c r="I30" s="575">
        <f t="shared" si="52"/>
        <v>994677</v>
      </c>
      <c r="J30" s="496">
        <v>728357</v>
      </c>
      <c r="K30" s="131">
        <f t="shared" ref="K30" si="57">ROUND((J30)*33.8%,0)</f>
        <v>246185</v>
      </c>
      <c r="L30" s="131">
        <f t="shared" ref="L30" si="58">ROUND(J30*2%,0)</f>
        <v>14567</v>
      </c>
      <c r="M30" s="496">
        <v>5568</v>
      </c>
      <c r="N30" s="576">
        <f t="shared" si="53"/>
        <v>2.48</v>
      </c>
      <c r="O30" s="577">
        <v>0</v>
      </c>
      <c r="P30" s="578">
        <v>2.48</v>
      </c>
      <c r="Q30" s="579">
        <f t="shared" si="54"/>
        <v>0</v>
      </c>
      <c r="R30" s="498">
        <v>0</v>
      </c>
      <c r="S30" s="498">
        <v>0</v>
      </c>
      <c r="T30" s="498">
        <v>0</v>
      </c>
      <c r="U30" s="498">
        <f t="shared" si="3"/>
        <v>0</v>
      </c>
      <c r="V30" s="498">
        <v>0</v>
      </c>
      <c r="W30" s="498">
        <v>0</v>
      </c>
      <c r="X30" s="498">
        <v>0</v>
      </c>
      <c r="Y30" s="498">
        <f t="shared" si="4"/>
        <v>0</v>
      </c>
      <c r="Z30" s="498">
        <f t="shared" si="5"/>
        <v>0</v>
      </c>
      <c r="AA30" s="131">
        <f t="shared" si="55"/>
        <v>0</v>
      </c>
      <c r="AB30" s="131">
        <f t="shared" si="6"/>
        <v>0</v>
      </c>
      <c r="AC30" s="498">
        <v>0</v>
      </c>
      <c r="AD30" s="498">
        <v>0</v>
      </c>
      <c r="AE30" s="498">
        <f t="shared" si="7"/>
        <v>0</v>
      </c>
      <c r="AF30" s="498">
        <f t="shared" si="8"/>
        <v>0</v>
      </c>
      <c r="AG30" s="499">
        <v>0</v>
      </c>
      <c r="AH30" s="499">
        <v>0</v>
      </c>
      <c r="AI30" s="499">
        <v>0</v>
      </c>
      <c r="AJ30" s="499">
        <v>0</v>
      </c>
      <c r="AK30" s="499">
        <v>0</v>
      </c>
      <c r="AL30" s="499">
        <f t="shared" si="9"/>
        <v>0</v>
      </c>
      <c r="AM30" s="499">
        <f t="shared" si="10"/>
        <v>0</v>
      </c>
      <c r="AN30" s="529">
        <f t="shared" si="11"/>
        <v>0</v>
      </c>
      <c r="AO30" s="579">
        <f>I30+AF30</f>
        <v>994677</v>
      </c>
      <c r="AP30" s="498">
        <f>J30+U30</f>
        <v>728357</v>
      </c>
      <c r="AQ30" s="498">
        <f t="shared" si="56"/>
        <v>0</v>
      </c>
      <c r="AR30" s="498">
        <f>K30+AA30</f>
        <v>246185</v>
      </c>
      <c r="AS30" s="498">
        <f>L30+AB30</f>
        <v>14567</v>
      </c>
      <c r="AT30" s="498">
        <f>M30+AE30</f>
        <v>5568</v>
      </c>
      <c r="AU30" s="499">
        <f>N30+AN30</f>
        <v>2.48</v>
      </c>
      <c r="AV30" s="499">
        <f>O30+AL30</f>
        <v>0</v>
      </c>
      <c r="AW30" s="500">
        <f>P30+AM30</f>
        <v>2.48</v>
      </c>
      <c r="AX30" s="580"/>
      <c r="AY30" s="580"/>
    </row>
    <row r="31" spans="1:51" s="569" customFormat="1" ht="12.75" customHeight="1" x14ac:dyDescent="0.2">
      <c r="A31" s="299">
        <v>7</v>
      </c>
      <c r="B31" s="23">
        <v>3471</v>
      </c>
      <c r="C31" s="298">
        <v>691003491</v>
      </c>
      <c r="D31" s="298">
        <v>72550376</v>
      </c>
      <c r="E31" s="570" t="s">
        <v>21</v>
      </c>
      <c r="F31" s="23"/>
      <c r="G31" s="570"/>
      <c r="H31" s="735"/>
      <c r="I31" s="35">
        <f t="shared" ref="I31:P31" si="59">SUM(I29:I30)</f>
        <v>7515289</v>
      </c>
      <c r="J31" s="24">
        <f t="shared" si="59"/>
        <v>5498175</v>
      </c>
      <c r="K31" s="24">
        <f t="shared" si="59"/>
        <v>1858383</v>
      </c>
      <c r="L31" s="24">
        <f t="shared" si="59"/>
        <v>109963</v>
      </c>
      <c r="M31" s="24">
        <f t="shared" si="59"/>
        <v>48768</v>
      </c>
      <c r="N31" s="25">
        <f t="shared" si="59"/>
        <v>13.3482</v>
      </c>
      <c r="O31" s="391">
        <f t="shared" si="59"/>
        <v>8</v>
      </c>
      <c r="P31" s="456">
        <f t="shared" si="59"/>
        <v>5.3482000000000003</v>
      </c>
      <c r="Q31" s="35">
        <f t="shared" ref="Q31:AW31" si="60">SUM(Q29:Q30)</f>
        <v>0</v>
      </c>
      <c r="R31" s="24">
        <f t="shared" si="60"/>
        <v>0</v>
      </c>
      <c r="S31" s="24">
        <f t="shared" si="60"/>
        <v>0</v>
      </c>
      <c r="T31" s="24">
        <f t="shared" si="60"/>
        <v>0</v>
      </c>
      <c r="U31" s="24">
        <f t="shared" si="60"/>
        <v>0</v>
      </c>
      <c r="V31" s="24">
        <f t="shared" si="60"/>
        <v>0</v>
      </c>
      <c r="W31" s="24">
        <f t="shared" si="60"/>
        <v>0</v>
      </c>
      <c r="X31" s="24">
        <f t="shared" si="60"/>
        <v>0</v>
      </c>
      <c r="Y31" s="24">
        <f t="shared" si="60"/>
        <v>0</v>
      </c>
      <c r="Z31" s="24">
        <f t="shared" si="60"/>
        <v>0</v>
      </c>
      <c r="AA31" s="24">
        <f t="shared" si="60"/>
        <v>0</v>
      </c>
      <c r="AB31" s="24">
        <f t="shared" si="60"/>
        <v>0</v>
      </c>
      <c r="AC31" s="24">
        <f t="shared" si="60"/>
        <v>0</v>
      </c>
      <c r="AD31" s="24">
        <f t="shared" si="60"/>
        <v>0</v>
      </c>
      <c r="AE31" s="24">
        <f t="shared" si="60"/>
        <v>0</v>
      </c>
      <c r="AF31" s="24">
        <f t="shared" si="60"/>
        <v>0</v>
      </c>
      <c r="AG31" s="25">
        <f t="shared" si="60"/>
        <v>0</v>
      </c>
      <c r="AH31" s="25">
        <f t="shared" si="60"/>
        <v>0</v>
      </c>
      <c r="AI31" s="25">
        <f t="shared" si="60"/>
        <v>0</v>
      </c>
      <c r="AJ31" s="25">
        <f t="shared" si="60"/>
        <v>0</v>
      </c>
      <c r="AK31" s="25">
        <f t="shared" si="60"/>
        <v>0</v>
      </c>
      <c r="AL31" s="25">
        <f t="shared" si="60"/>
        <v>0</v>
      </c>
      <c r="AM31" s="25">
        <f t="shared" si="60"/>
        <v>0</v>
      </c>
      <c r="AN31" s="392">
        <f t="shared" si="60"/>
        <v>0</v>
      </c>
      <c r="AO31" s="35">
        <f t="shared" si="60"/>
        <v>7515289</v>
      </c>
      <c r="AP31" s="24">
        <f t="shared" si="60"/>
        <v>5498175</v>
      </c>
      <c r="AQ31" s="24">
        <f t="shared" si="60"/>
        <v>0</v>
      </c>
      <c r="AR31" s="24">
        <f t="shared" si="60"/>
        <v>1858383</v>
      </c>
      <c r="AS31" s="24">
        <f t="shared" si="60"/>
        <v>109963</v>
      </c>
      <c r="AT31" s="24">
        <f t="shared" si="60"/>
        <v>48768</v>
      </c>
      <c r="AU31" s="25">
        <f t="shared" si="60"/>
        <v>13.3482</v>
      </c>
      <c r="AV31" s="25">
        <f t="shared" si="60"/>
        <v>8</v>
      </c>
      <c r="AW31" s="72">
        <f t="shared" si="60"/>
        <v>5.3482000000000003</v>
      </c>
      <c r="AX31" s="580"/>
    </row>
    <row r="32" spans="1:51" s="569" customFormat="1" ht="12.75" customHeight="1" x14ac:dyDescent="0.2">
      <c r="A32" s="571">
        <v>8</v>
      </c>
      <c r="B32" s="572">
        <v>3472</v>
      </c>
      <c r="C32" s="572">
        <v>691003564</v>
      </c>
      <c r="D32" s="572">
        <v>72550368</v>
      </c>
      <c r="E32" s="573" t="s">
        <v>22</v>
      </c>
      <c r="F32" s="572">
        <v>3111</v>
      </c>
      <c r="G32" s="573" t="s">
        <v>317</v>
      </c>
      <c r="H32" s="736" t="s">
        <v>283</v>
      </c>
      <c r="I32" s="575">
        <f t="shared" ref="I32:I33" si="61">SUM(J32:M32)</f>
        <v>4613847</v>
      </c>
      <c r="J32" s="496">
        <v>3379306</v>
      </c>
      <c r="K32" s="131">
        <f>ROUND((J32)*33.8%,0)</f>
        <v>1142205</v>
      </c>
      <c r="L32" s="131">
        <f>ROUND(J32*2%,0)</f>
        <v>67586</v>
      </c>
      <c r="M32" s="496">
        <v>24750</v>
      </c>
      <c r="N32" s="576">
        <f t="shared" ref="N32:N33" si="62">SUM(O32:P32)</f>
        <v>7.9841999999999995</v>
      </c>
      <c r="O32" s="577">
        <v>6</v>
      </c>
      <c r="P32" s="578">
        <v>1.9842</v>
      </c>
      <c r="Q32" s="579">
        <f t="shared" ref="Q32:Q33" si="63">V32*-1</f>
        <v>-24000</v>
      </c>
      <c r="R32" s="498">
        <v>0</v>
      </c>
      <c r="S32" s="498">
        <v>0</v>
      </c>
      <c r="T32" s="498">
        <v>0</v>
      </c>
      <c r="U32" s="498">
        <f t="shared" si="3"/>
        <v>-24000</v>
      </c>
      <c r="V32" s="498">
        <v>24000</v>
      </c>
      <c r="W32" s="498">
        <v>0</v>
      </c>
      <c r="X32" s="498">
        <v>0</v>
      </c>
      <c r="Y32" s="498">
        <f t="shared" si="4"/>
        <v>24000</v>
      </c>
      <c r="Z32" s="498">
        <f t="shared" si="5"/>
        <v>0</v>
      </c>
      <c r="AA32" s="131">
        <f t="shared" ref="AA32:AA33" si="64">ROUND((U32+V32+W30)*33.8%,0)</f>
        <v>0</v>
      </c>
      <c r="AB32" s="131">
        <f t="shared" si="6"/>
        <v>-480</v>
      </c>
      <c r="AC32" s="498">
        <v>0</v>
      </c>
      <c r="AD32" s="498">
        <v>0</v>
      </c>
      <c r="AE32" s="498">
        <f t="shared" si="7"/>
        <v>0</v>
      </c>
      <c r="AF32" s="498">
        <f t="shared" si="8"/>
        <v>-480</v>
      </c>
      <c r="AG32" s="499">
        <v>0</v>
      </c>
      <c r="AH32" s="499">
        <v>-0.13</v>
      </c>
      <c r="AI32" s="499">
        <v>0</v>
      </c>
      <c r="AJ32" s="499">
        <v>0</v>
      </c>
      <c r="AK32" s="499">
        <v>0</v>
      </c>
      <c r="AL32" s="499">
        <f t="shared" si="9"/>
        <v>0</v>
      </c>
      <c r="AM32" s="499">
        <f t="shared" si="10"/>
        <v>-0.13</v>
      </c>
      <c r="AN32" s="529">
        <f t="shared" si="11"/>
        <v>-0.13</v>
      </c>
      <c r="AO32" s="579">
        <f>I32+AF32</f>
        <v>4613367</v>
      </c>
      <c r="AP32" s="498">
        <f>J32+U32</f>
        <v>3355306</v>
      </c>
      <c r="AQ32" s="498">
        <f t="shared" ref="AQ32:AQ33" si="65">Y32</f>
        <v>24000</v>
      </c>
      <c r="AR32" s="498">
        <f>K32+AA32</f>
        <v>1142205</v>
      </c>
      <c r="AS32" s="498">
        <f>L32+AB32</f>
        <v>67106</v>
      </c>
      <c r="AT32" s="498">
        <f>M32+AE32</f>
        <v>24750</v>
      </c>
      <c r="AU32" s="499">
        <f>N32+AN32</f>
        <v>7.8541999999999996</v>
      </c>
      <c r="AV32" s="499">
        <f>O32+AL32</f>
        <v>6</v>
      </c>
      <c r="AW32" s="500">
        <f>P32+AM32</f>
        <v>1.8542000000000001</v>
      </c>
      <c r="AX32" s="580"/>
    </row>
    <row r="33" spans="1:51" s="569" customFormat="1" ht="12.75" customHeight="1" x14ac:dyDescent="0.2">
      <c r="A33" s="571">
        <v>8</v>
      </c>
      <c r="B33" s="572">
        <v>3472</v>
      </c>
      <c r="C33" s="572">
        <v>691003564</v>
      </c>
      <c r="D33" s="572">
        <v>72550368</v>
      </c>
      <c r="E33" s="573" t="s">
        <v>22</v>
      </c>
      <c r="F33" s="572">
        <v>3141</v>
      </c>
      <c r="G33" s="573" t="s">
        <v>321</v>
      </c>
      <c r="H33" s="736" t="s">
        <v>284</v>
      </c>
      <c r="I33" s="575">
        <f t="shared" si="61"/>
        <v>679670</v>
      </c>
      <c r="J33" s="496">
        <v>498144</v>
      </c>
      <c r="K33" s="131">
        <f t="shared" ref="K33" si="66">ROUND((J33)*33.8%,0)</f>
        <v>168373</v>
      </c>
      <c r="L33" s="131">
        <f t="shared" ref="L33" si="67">ROUND(J33*2%,0)</f>
        <v>9963</v>
      </c>
      <c r="M33" s="496">
        <v>3190</v>
      </c>
      <c r="N33" s="576">
        <f t="shared" si="62"/>
        <v>1.69</v>
      </c>
      <c r="O33" s="577">
        <v>0</v>
      </c>
      <c r="P33" s="578">
        <v>1.69</v>
      </c>
      <c r="Q33" s="579">
        <f t="shared" si="63"/>
        <v>0</v>
      </c>
      <c r="R33" s="498">
        <v>0</v>
      </c>
      <c r="S33" s="498">
        <v>0</v>
      </c>
      <c r="T33" s="498">
        <v>0</v>
      </c>
      <c r="U33" s="498">
        <f t="shared" si="3"/>
        <v>0</v>
      </c>
      <c r="V33" s="498">
        <v>0</v>
      </c>
      <c r="W33" s="498">
        <v>0</v>
      </c>
      <c r="X33" s="498">
        <v>0</v>
      </c>
      <c r="Y33" s="498">
        <f t="shared" si="4"/>
        <v>0</v>
      </c>
      <c r="Z33" s="498">
        <f t="shared" si="5"/>
        <v>0</v>
      </c>
      <c r="AA33" s="131">
        <f t="shared" si="64"/>
        <v>0</v>
      </c>
      <c r="AB33" s="131">
        <f t="shared" si="6"/>
        <v>0</v>
      </c>
      <c r="AC33" s="498">
        <v>0</v>
      </c>
      <c r="AD33" s="498">
        <v>0</v>
      </c>
      <c r="AE33" s="498">
        <f t="shared" si="7"/>
        <v>0</v>
      </c>
      <c r="AF33" s="498">
        <f t="shared" si="8"/>
        <v>0</v>
      </c>
      <c r="AG33" s="499">
        <v>0</v>
      </c>
      <c r="AH33" s="499">
        <v>0</v>
      </c>
      <c r="AI33" s="499">
        <v>0</v>
      </c>
      <c r="AJ33" s="499">
        <v>0</v>
      </c>
      <c r="AK33" s="499">
        <v>0</v>
      </c>
      <c r="AL33" s="499">
        <f t="shared" si="9"/>
        <v>0</v>
      </c>
      <c r="AM33" s="499">
        <f t="shared" si="10"/>
        <v>0</v>
      </c>
      <c r="AN33" s="529">
        <f t="shared" si="11"/>
        <v>0</v>
      </c>
      <c r="AO33" s="579">
        <f>I33+AF33</f>
        <v>679670</v>
      </c>
      <c r="AP33" s="498">
        <f>J33+U33</f>
        <v>498144</v>
      </c>
      <c r="AQ33" s="498">
        <f t="shared" si="65"/>
        <v>0</v>
      </c>
      <c r="AR33" s="498">
        <f>K33+AA33</f>
        <v>168373</v>
      </c>
      <c r="AS33" s="498">
        <f>L33+AB33</f>
        <v>9963</v>
      </c>
      <c r="AT33" s="498">
        <f>M33+AE33</f>
        <v>3190</v>
      </c>
      <c r="AU33" s="499">
        <f>N33+AN33</f>
        <v>1.69</v>
      </c>
      <c r="AV33" s="499">
        <f>O33+AL33</f>
        <v>0</v>
      </c>
      <c r="AW33" s="500">
        <f>P33+AM33</f>
        <v>1.69</v>
      </c>
      <c r="AX33" s="580"/>
      <c r="AY33" s="580"/>
    </row>
    <row r="34" spans="1:51" s="569" customFormat="1" ht="12.75" customHeight="1" x14ac:dyDescent="0.2">
      <c r="A34" s="299">
        <v>8</v>
      </c>
      <c r="B34" s="23">
        <v>3472</v>
      </c>
      <c r="C34" s="298">
        <v>691003564</v>
      </c>
      <c r="D34" s="298">
        <v>72550368</v>
      </c>
      <c r="E34" s="570" t="s">
        <v>23</v>
      </c>
      <c r="F34" s="23"/>
      <c r="G34" s="570"/>
      <c r="H34" s="735"/>
      <c r="I34" s="35">
        <f t="shared" ref="I34:P34" si="68">SUM(I32:I33)</f>
        <v>5293517</v>
      </c>
      <c r="J34" s="24">
        <f t="shared" si="68"/>
        <v>3877450</v>
      </c>
      <c r="K34" s="24">
        <f t="shared" si="68"/>
        <v>1310578</v>
      </c>
      <c r="L34" s="24">
        <f t="shared" si="68"/>
        <v>77549</v>
      </c>
      <c r="M34" s="24">
        <f t="shared" si="68"/>
        <v>27940</v>
      </c>
      <c r="N34" s="25">
        <f t="shared" si="68"/>
        <v>9.674199999999999</v>
      </c>
      <c r="O34" s="391">
        <f t="shared" si="68"/>
        <v>6</v>
      </c>
      <c r="P34" s="456">
        <f t="shared" si="68"/>
        <v>3.6741999999999999</v>
      </c>
      <c r="Q34" s="35">
        <f t="shared" ref="Q34:AW34" si="69">SUM(Q32:Q33)</f>
        <v>-24000</v>
      </c>
      <c r="R34" s="24">
        <f t="shared" si="69"/>
        <v>0</v>
      </c>
      <c r="S34" s="24">
        <f t="shared" si="69"/>
        <v>0</v>
      </c>
      <c r="T34" s="24">
        <f t="shared" si="69"/>
        <v>0</v>
      </c>
      <c r="U34" s="24">
        <f t="shared" si="69"/>
        <v>-24000</v>
      </c>
      <c r="V34" s="24">
        <f t="shared" si="69"/>
        <v>24000</v>
      </c>
      <c r="W34" s="24">
        <f t="shared" si="69"/>
        <v>0</v>
      </c>
      <c r="X34" s="24">
        <f t="shared" si="69"/>
        <v>0</v>
      </c>
      <c r="Y34" s="24">
        <f t="shared" si="69"/>
        <v>24000</v>
      </c>
      <c r="Z34" s="24">
        <f t="shared" si="69"/>
        <v>0</v>
      </c>
      <c r="AA34" s="24">
        <f t="shared" si="69"/>
        <v>0</v>
      </c>
      <c r="AB34" s="24">
        <f t="shared" si="69"/>
        <v>-480</v>
      </c>
      <c r="AC34" s="24">
        <f t="shared" si="69"/>
        <v>0</v>
      </c>
      <c r="AD34" s="24">
        <f t="shared" si="69"/>
        <v>0</v>
      </c>
      <c r="AE34" s="24">
        <f t="shared" si="69"/>
        <v>0</v>
      </c>
      <c r="AF34" s="24">
        <f t="shared" si="69"/>
        <v>-480</v>
      </c>
      <c r="AG34" s="25">
        <f t="shared" si="69"/>
        <v>0</v>
      </c>
      <c r="AH34" s="25">
        <f t="shared" si="69"/>
        <v>-0.13</v>
      </c>
      <c r="AI34" s="25">
        <f t="shared" si="69"/>
        <v>0</v>
      </c>
      <c r="AJ34" s="25">
        <f t="shared" si="69"/>
        <v>0</v>
      </c>
      <c r="AK34" s="25">
        <f t="shared" si="69"/>
        <v>0</v>
      </c>
      <c r="AL34" s="25">
        <f t="shared" si="69"/>
        <v>0</v>
      </c>
      <c r="AM34" s="25">
        <f t="shared" si="69"/>
        <v>-0.13</v>
      </c>
      <c r="AN34" s="392">
        <f t="shared" si="69"/>
        <v>-0.13</v>
      </c>
      <c r="AO34" s="35">
        <f t="shared" si="69"/>
        <v>5293037</v>
      </c>
      <c r="AP34" s="24">
        <f t="shared" si="69"/>
        <v>3853450</v>
      </c>
      <c r="AQ34" s="24">
        <f t="shared" si="69"/>
        <v>24000</v>
      </c>
      <c r="AR34" s="24">
        <f t="shared" si="69"/>
        <v>1310578</v>
      </c>
      <c r="AS34" s="24">
        <f t="shared" si="69"/>
        <v>77069</v>
      </c>
      <c r="AT34" s="24">
        <f t="shared" si="69"/>
        <v>27940</v>
      </c>
      <c r="AU34" s="25">
        <f t="shared" si="69"/>
        <v>9.5442</v>
      </c>
      <c r="AV34" s="25">
        <f t="shared" si="69"/>
        <v>6</v>
      </c>
      <c r="AW34" s="72">
        <f t="shared" si="69"/>
        <v>3.5442</v>
      </c>
      <c r="AX34" s="580"/>
    </row>
    <row r="35" spans="1:51" s="569" customFormat="1" ht="12.75" customHeight="1" x14ac:dyDescent="0.2">
      <c r="A35" s="571">
        <v>9</v>
      </c>
      <c r="B35" s="572">
        <v>3467</v>
      </c>
      <c r="C35" s="572">
        <v>691001243</v>
      </c>
      <c r="D35" s="572">
        <v>72048174</v>
      </c>
      <c r="E35" s="573" t="s">
        <v>24</v>
      </c>
      <c r="F35" s="572">
        <v>3111</v>
      </c>
      <c r="G35" s="573" t="s">
        <v>317</v>
      </c>
      <c r="H35" s="736" t="s">
        <v>283</v>
      </c>
      <c r="I35" s="575">
        <f t="shared" ref="I35:I37" si="70">SUM(J35:M35)</f>
        <v>8404169</v>
      </c>
      <c r="J35" s="496">
        <v>6150529</v>
      </c>
      <c r="K35" s="131">
        <f t="shared" ref="K35:K37" si="71">ROUND((J35)*33.8%,0)</f>
        <v>2078879</v>
      </c>
      <c r="L35" s="131">
        <f t="shared" ref="L35:L37" si="72">ROUND(J35*2%,0)</f>
        <v>123011</v>
      </c>
      <c r="M35" s="496">
        <v>51750</v>
      </c>
      <c r="N35" s="576">
        <f t="shared" ref="N35:N37" si="73">SUM(O35:P35)</f>
        <v>14.5167</v>
      </c>
      <c r="O35" s="577">
        <v>10.564500000000001</v>
      </c>
      <c r="P35" s="578">
        <v>3.9522000000000004</v>
      </c>
      <c r="Q35" s="579">
        <f t="shared" ref="Q35:Q37" si="74">V35*-1</f>
        <v>0</v>
      </c>
      <c r="R35" s="498">
        <v>0</v>
      </c>
      <c r="S35" s="498">
        <v>0</v>
      </c>
      <c r="T35" s="498">
        <v>0</v>
      </c>
      <c r="U35" s="498">
        <f t="shared" si="3"/>
        <v>0</v>
      </c>
      <c r="V35" s="498">
        <v>0</v>
      </c>
      <c r="W35" s="498">
        <v>0</v>
      </c>
      <c r="X35" s="498">
        <v>0</v>
      </c>
      <c r="Y35" s="498">
        <f t="shared" si="4"/>
        <v>0</v>
      </c>
      <c r="Z35" s="498">
        <f t="shared" si="5"/>
        <v>0</v>
      </c>
      <c r="AA35" s="131">
        <f t="shared" ref="AA35:AA37" si="75">ROUND((U35+V35+W33)*33.8%,0)</f>
        <v>0</v>
      </c>
      <c r="AB35" s="131">
        <f t="shared" si="6"/>
        <v>0</v>
      </c>
      <c r="AC35" s="498">
        <v>0</v>
      </c>
      <c r="AD35" s="498">
        <v>0</v>
      </c>
      <c r="AE35" s="498">
        <f t="shared" si="7"/>
        <v>0</v>
      </c>
      <c r="AF35" s="498">
        <f t="shared" si="8"/>
        <v>0</v>
      </c>
      <c r="AG35" s="499">
        <v>0</v>
      </c>
      <c r="AH35" s="499">
        <v>0</v>
      </c>
      <c r="AI35" s="499">
        <v>0</v>
      </c>
      <c r="AJ35" s="499">
        <v>0</v>
      </c>
      <c r="AK35" s="499">
        <v>0</v>
      </c>
      <c r="AL35" s="499">
        <f t="shared" si="9"/>
        <v>0</v>
      </c>
      <c r="AM35" s="499">
        <f t="shared" si="10"/>
        <v>0</v>
      </c>
      <c r="AN35" s="529">
        <f t="shared" si="11"/>
        <v>0</v>
      </c>
      <c r="AO35" s="579">
        <f>I35+AF35</f>
        <v>8404169</v>
      </c>
      <c r="AP35" s="498">
        <f>J35+U35</f>
        <v>6150529</v>
      </c>
      <c r="AQ35" s="498">
        <f t="shared" ref="AQ35:AQ37" si="76">Y35</f>
        <v>0</v>
      </c>
      <c r="AR35" s="498">
        <f t="shared" ref="AR35:AS37" si="77">K35+AA35</f>
        <v>2078879</v>
      </c>
      <c r="AS35" s="498">
        <f t="shared" si="77"/>
        <v>123011</v>
      </c>
      <c r="AT35" s="498">
        <f>M35+AE35</f>
        <v>51750</v>
      </c>
      <c r="AU35" s="499">
        <f>N35+AN35</f>
        <v>14.5167</v>
      </c>
      <c r="AV35" s="499">
        <f t="shared" ref="AV35:AW37" si="78">O35+AL35</f>
        <v>10.564500000000001</v>
      </c>
      <c r="AW35" s="500">
        <f t="shared" si="78"/>
        <v>3.9522000000000004</v>
      </c>
      <c r="AX35" s="580"/>
    </row>
    <row r="36" spans="1:51" s="569" customFormat="1" x14ac:dyDescent="0.2">
      <c r="A36" s="571">
        <v>9</v>
      </c>
      <c r="B36" s="572">
        <v>3467</v>
      </c>
      <c r="C36" s="572">
        <v>691001243</v>
      </c>
      <c r="D36" s="572">
        <v>72048174</v>
      </c>
      <c r="E36" s="573" t="s">
        <v>24</v>
      </c>
      <c r="F36" s="572">
        <v>3111</v>
      </c>
      <c r="G36" s="573" t="s">
        <v>318</v>
      </c>
      <c r="H36" s="736" t="s">
        <v>284</v>
      </c>
      <c r="I36" s="575">
        <f t="shared" si="70"/>
        <v>0</v>
      </c>
      <c r="J36" s="496">
        <v>0</v>
      </c>
      <c r="K36" s="131">
        <f t="shared" si="71"/>
        <v>0</v>
      </c>
      <c r="L36" s="131">
        <f t="shared" si="72"/>
        <v>0</v>
      </c>
      <c r="M36" s="496">
        <v>0</v>
      </c>
      <c r="N36" s="576">
        <f t="shared" si="73"/>
        <v>0</v>
      </c>
      <c r="O36" s="577">
        <v>0</v>
      </c>
      <c r="P36" s="578">
        <v>0</v>
      </c>
      <c r="Q36" s="579">
        <f t="shared" si="74"/>
        <v>0</v>
      </c>
      <c r="R36" s="496">
        <v>259833</v>
      </c>
      <c r="S36" s="498">
        <v>0</v>
      </c>
      <c r="T36" s="498">
        <v>0</v>
      </c>
      <c r="U36" s="498">
        <f t="shared" si="3"/>
        <v>259833</v>
      </c>
      <c r="V36" s="498">
        <v>0</v>
      </c>
      <c r="W36" s="498">
        <v>0</v>
      </c>
      <c r="X36" s="498">
        <v>0</v>
      </c>
      <c r="Y36" s="498">
        <f t="shared" si="4"/>
        <v>0</v>
      </c>
      <c r="Z36" s="498">
        <f t="shared" si="5"/>
        <v>259833</v>
      </c>
      <c r="AA36" s="131">
        <f t="shared" si="75"/>
        <v>87824</v>
      </c>
      <c r="AB36" s="131">
        <f t="shared" si="6"/>
        <v>5197</v>
      </c>
      <c r="AC36" s="498">
        <v>0</v>
      </c>
      <c r="AD36" s="498">
        <v>0</v>
      </c>
      <c r="AE36" s="498">
        <f t="shared" si="7"/>
        <v>0</v>
      </c>
      <c r="AF36" s="498">
        <f t="shared" si="8"/>
        <v>352854</v>
      </c>
      <c r="AG36" s="499">
        <v>0</v>
      </c>
      <c r="AH36" s="499">
        <v>0</v>
      </c>
      <c r="AI36" s="499">
        <v>0.75</v>
      </c>
      <c r="AJ36" s="499">
        <v>0</v>
      </c>
      <c r="AK36" s="499">
        <v>0</v>
      </c>
      <c r="AL36" s="499">
        <f t="shared" si="9"/>
        <v>0.75</v>
      </c>
      <c r="AM36" s="499">
        <f t="shared" si="10"/>
        <v>0</v>
      </c>
      <c r="AN36" s="529">
        <f t="shared" si="11"/>
        <v>0.75</v>
      </c>
      <c r="AO36" s="579">
        <f>I36+AF36</f>
        <v>352854</v>
      </c>
      <c r="AP36" s="498">
        <f>J36+U36</f>
        <v>259833</v>
      </c>
      <c r="AQ36" s="498">
        <f t="shared" si="76"/>
        <v>0</v>
      </c>
      <c r="AR36" s="498">
        <f t="shared" si="77"/>
        <v>87824</v>
      </c>
      <c r="AS36" s="498">
        <f t="shared" si="77"/>
        <v>5197</v>
      </c>
      <c r="AT36" s="498">
        <f>M36+AE36</f>
        <v>0</v>
      </c>
      <c r="AU36" s="499">
        <f>N36+AN36</f>
        <v>0.75</v>
      </c>
      <c r="AV36" s="499">
        <f t="shared" si="78"/>
        <v>0.75</v>
      </c>
      <c r="AW36" s="500">
        <f t="shared" si="78"/>
        <v>0</v>
      </c>
      <c r="AX36" s="580"/>
    </row>
    <row r="37" spans="1:51" s="569" customFormat="1" ht="12.75" customHeight="1" x14ac:dyDescent="0.2">
      <c r="A37" s="571">
        <v>9</v>
      </c>
      <c r="B37" s="572">
        <v>3467</v>
      </c>
      <c r="C37" s="572">
        <v>691001243</v>
      </c>
      <c r="D37" s="572">
        <v>72048174</v>
      </c>
      <c r="E37" s="573" t="s">
        <v>24</v>
      </c>
      <c r="F37" s="572">
        <v>3141</v>
      </c>
      <c r="G37" s="573" t="s">
        <v>321</v>
      </c>
      <c r="H37" s="736" t="s">
        <v>284</v>
      </c>
      <c r="I37" s="575">
        <f t="shared" si="70"/>
        <v>1332969</v>
      </c>
      <c r="J37" s="496">
        <v>976338</v>
      </c>
      <c r="K37" s="131">
        <f t="shared" si="71"/>
        <v>330002</v>
      </c>
      <c r="L37" s="131">
        <f t="shared" si="72"/>
        <v>19527</v>
      </c>
      <c r="M37" s="496">
        <v>7102</v>
      </c>
      <c r="N37" s="576">
        <f t="shared" si="73"/>
        <v>3.32</v>
      </c>
      <c r="O37" s="577">
        <v>0</v>
      </c>
      <c r="P37" s="578">
        <v>3.32</v>
      </c>
      <c r="Q37" s="579">
        <f t="shared" si="74"/>
        <v>0</v>
      </c>
      <c r="R37" s="498">
        <v>0</v>
      </c>
      <c r="S37" s="498">
        <v>0</v>
      </c>
      <c r="T37" s="498">
        <v>0</v>
      </c>
      <c r="U37" s="498">
        <f t="shared" si="3"/>
        <v>0</v>
      </c>
      <c r="V37" s="498">
        <v>0</v>
      </c>
      <c r="W37" s="498">
        <v>0</v>
      </c>
      <c r="X37" s="498">
        <v>0</v>
      </c>
      <c r="Y37" s="498">
        <f t="shared" si="4"/>
        <v>0</v>
      </c>
      <c r="Z37" s="498">
        <f t="shared" si="5"/>
        <v>0</v>
      </c>
      <c r="AA37" s="131">
        <f t="shared" si="75"/>
        <v>0</v>
      </c>
      <c r="AB37" s="131">
        <f t="shared" si="6"/>
        <v>0</v>
      </c>
      <c r="AC37" s="498">
        <v>0</v>
      </c>
      <c r="AD37" s="498">
        <v>0</v>
      </c>
      <c r="AE37" s="498">
        <f t="shared" si="7"/>
        <v>0</v>
      </c>
      <c r="AF37" s="498">
        <f t="shared" si="8"/>
        <v>0</v>
      </c>
      <c r="AG37" s="499">
        <v>0</v>
      </c>
      <c r="AH37" s="499">
        <v>0</v>
      </c>
      <c r="AI37" s="499">
        <v>0</v>
      </c>
      <c r="AJ37" s="499">
        <v>0</v>
      </c>
      <c r="AK37" s="499">
        <v>0</v>
      </c>
      <c r="AL37" s="499">
        <f t="shared" si="9"/>
        <v>0</v>
      </c>
      <c r="AM37" s="499">
        <f t="shared" si="10"/>
        <v>0</v>
      </c>
      <c r="AN37" s="529">
        <f t="shared" si="11"/>
        <v>0</v>
      </c>
      <c r="AO37" s="579">
        <f>I37+AF37</f>
        <v>1332969</v>
      </c>
      <c r="AP37" s="498">
        <f>J37+U37</f>
        <v>976338</v>
      </c>
      <c r="AQ37" s="498">
        <f t="shared" si="76"/>
        <v>0</v>
      </c>
      <c r="AR37" s="498">
        <f t="shared" si="77"/>
        <v>330002</v>
      </c>
      <c r="AS37" s="498">
        <f t="shared" si="77"/>
        <v>19527</v>
      </c>
      <c r="AT37" s="498">
        <f>M37+AE37</f>
        <v>7102</v>
      </c>
      <c r="AU37" s="499">
        <f>N37+AN37</f>
        <v>3.32</v>
      </c>
      <c r="AV37" s="499">
        <f t="shared" si="78"/>
        <v>0</v>
      </c>
      <c r="AW37" s="500">
        <f t="shared" si="78"/>
        <v>3.32</v>
      </c>
      <c r="AX37" s="580"/>
      <c r="AY37" s="580"/>
    </row>
    <row r="38" spans="1:51" s="569" customFormat="1" ht="12.75" customHeight="1" x14ac:dyDescent="0.2">
      <c r="A38" s="299">
        <v>9</v>
      </c>
      <c r="B38" s="23">
        <v>3467</v>
      </c>
      <c r="C38" s="298">
        <v>691001243</v>
      </c>
      <c r="D38" s="298">
        <v>72048174</v>
      </c>
      <c r="E38" s="570" t="s">
        <v>25</v>
      </c>
      <c r="F38" s="23"/>
      <c r="G38" s="570"/>
      <c r="H38" s="735"/>
      <c r="I38" s="35">
        <f t="shared" ref="I38:P38" si="79">SUM(I35:I37)</f>
        <v>9737138</v>
      </c>
      <c r="J38" s="24">
        <f t="shared" si="79"/>
        <v>7126867</v>
      </c>
      <c r="K38" s="24">
        <f t="shared" si="79"/>
        <v>2408881</v>
      </c>
      <c r="L38" s="24">
        <f t="shared" si="79"/>
        <v>142538</v>
      </c>
      <c r="M38" s="24">
        <f t="shared" si="79"/>
        <v>58852</v>
      </c>
      <c r="N38" s="25">
        <f t="shared" si="79"/>
        <v>17.8367</v>
      </c>
      <c r="O38" s="391">
        <f t="shared" si="79"/>
        <v>10.564500000000001</v>
      </c>
      <c r="P38" s="456">
        <f t="shared" si="79"/>
        <v>7.2721999999999998</v>
      </c>
      <c r="Q38" s="35">
        <f t="shared" ref="Q38:AW38" si="80">SUM(Q35:Q37)</f>
        <v>0</v>
      </c>
      <c r="R38" s="24">
        <f t="shared" si="80"/>
        <v>259833</v>
      </c>
      <c r="S38" s="24">
        <f t="shared" si="80"/>
        <v>0</v>
      </c>
      <c r="T38" s="24">
        <f t="shared" si="80"/>
        <v>0</v>
      </c>
      <c r="U38" s="24">
        <f t="shared" si="80"/>
        <v>259833</v>
      </c>
      <c r="V38" s="24">
        <f t="shared" si="80"/>
        <v>0</v>
      </c>
      <c r="W38" s="24">
        <f t="shared" si="80"/>
        <v>0</v>
      </c>
      <c r="X38" s="24">
        <f t="shared" si="80"/>
        <v>0</v>
      </c>
      <c r="Y38" s="24">
        <f t="shared" si="80"/>
        <v>0</v>
      </c>
      <c r="Z38" s="24">
        <f t="shared" si="80"/>
        <v>259833</v>
      </c>
      <c r="AA38" s="24">
        <f t="shared" si="80"/>
        <v>87824</v>
      </c>
      <c r="AB38" s="24">
        <f t="shared" si="80"/>
        <v>5197</v>
      </c>
      <c r="AC38" s="24">
        <f t="shared" si="80"/>
        <v>0</v>
      </c>
      <c r="AD38" s="24">
        <f t="shared" si="80"/>
        <v>0</v>
      </c>
      <c r="AE38" s="24">
        <f t="shared" si="80"/>
        <v>0</v>
      </c>
      <c r="AF38" s="24">
        <f t="shared" si="80"/>
        <v>352854</v>
      </c>
      <c r="AG38" s="25">
        <f t="shared" si="80"/>
        <v>0</v>
      </c>
      <c r="AH38" s="25">
        <f t="shared" si="80"/>
        <v>0</v>
      </c>
      <c r="AI38" s="25">
        <f t="shared" si="80"/>
        <v>0.75</v>
      </c>
      <c r="AJ38" s="25">
        <f t="shared" si="80"/>
        <v>0</v>
      </c>
      <c r="AK38" s="25">
        <f t="shared" si="80"/>
        <v>0</v>
      </c>
      <c r="AL38" s="25">
        <f t="shared" si="80"/>
        <v>0.75</v>
      </c>
      <c r="AM38" s="25">
        <f t="shared" si="80"/>
        <v>0</v>
      </c>
      <c r="AN38" s="392">
        <f t="shared" si="80"/>
        <v>0.75</v>
      </c>
      <c r="AO38" s="35">
        <f t="shared" si="80"/>
        <v>10089992</v>
      </c>
      <c r="AP38" s="24">
        <f t="shared" si="80"/>
        <v>7386700</v>
      </c>
      <c r="AQ38" s="24">
        <f t="shared" si="80"/>
        <v>0</v>
      </c>
      <c r="AR38" s="24">
        <f t="shared" si="80"/>
        <v>2496705</v>
      </c>
      <c r="AS38" s="24">
        <f t="shared" si="80"/>
        <v>147735</v>
      </c>
      <c r="AT38" s="24">
        <f t="shared" si="80"/>
        <v>58852</v>
      </c>
      <c r="AU38" s="25">
        <f t="shared" si="80"/>
        <v>18.5867</v>
      </c>
      <c r="AV38" s="25">
        <f t="shared" si="80"/>
        <v>11.314500000000001</v>
      </c>
      <c r="AW38" s="72">
        <f t="shared" si="80"/>
        <v>7.2721999999999998</v>
      </c>
      <c r="AX38" s="580"/>
    </row>
    <row r="39" spans="1:51" s="569" customFormat="1" ht="12.75" customHeight="1" x14ac:dyDescent="0.2">
      <c r="A39" s="571">
        <v>10</v>
      </c>
      <c r="B39" s="572">
        <v>3461</v>
      </c>
      <c r="C39" s="572">
        <v>691001286</v>
      </c>
      <c r="D39" s="572">
        <v>72048107</v>
      </c>
      <c r="E39" s="573" t="s">
        <v>26</v>
      </c>
      <c r="F39" s="572">
        <v>3111</v>
      </c>
      <c r="G39" s="573" t="s">
        <v>317</v>
      </c>
      <c r="H39" s="736" t="s">
        <v>283</v>
      </c>
      <c r="I39" s="575">
        <f t="shared" ref="I39:I41" si="81">SUM(J39:M39)</f>
        <v>8215319</v>
      </c>
      <c r="J39" s="496">
        <v>6016435</v>
      </c>
      <c r="K39" s="131">
        <f t="shared" ref="K39:K41" si="82">ROUND((J39)*33.8%,0)</f>
        <v>2033555</v>
      </c>
      <c r="L39" s="131">
        <f t="shared" ref="L39:L41" si="83">ROUND(J39*2%,0)</f>
        <v>120329</v>
      </c>
      <c r="M39" s="496">
        <v>45000</v>
      </c>
      <c r="N39" s="576">
        <f t="shared" ref="N39:N41" si="84">SUM(O39:P39)</f>
        <v>14.402200000000001</v>
      </c>
      <c r="O39" s="577">
        <v>10.7</v>
      </c>
      <c r="P39" s="578">
        <v>3.7022000000000004</v>
      </c>
      <c r="Q39" s="579">
        <f t="shared" ref="Q39:Q41" si="85">V39*-1</f>
        <v>-23040</v>
      </c>
      <c r="R39" s="498">
        <v>0</v>
      </c>
      <c r="S39" s="498">
        <v>0</v>
      </c>
      <c r="T39" s="498">
        <v>0</v>
      </c>
      <c r="U39" s="498">
        <f t="shared" si="3"/>
        <v>-23040</v>
      </c>
      <c r="V39" s="498">
        <v>23040</v>
      </c>
      <c r="W39" s="498">
        <v>0</v>
      </c>
      <c r="X39" s="498">
        <v>0</v>
      </c>
      <c r="Y39" s="498">
        <f t="shared" si="4"/>
        <v>23040</v>
      </c>
      <c r="Z39" s="498">
        <f t="shared" si="5"/>
        <v>0</v>
      </c>
      <c r="AA39" s="131">
        <f t="shared" ref="AA39:AA41" si="86">ROUND((U39+V39+W37)*33.8%,0)</f>
        <v>0</v>
      </c>
      <c r="AB39" s="131">
        <f t="shared" si="6"/>
        <v>-461</v>
      </c>
      <c r="AC39" s="498">
        <v>0</v>
      </c>
      <c r="AD39" s="498">
        <v>0</v>
      </c>
      <c r="AE39" s="498">
        <f t="shared" si="7"/>
        <v>0</v>
      </c>
      <c r="AF39" s="498">
        <f t="shared" si="8"/>
        <v>-461</v>
      </c>
      <c r="AG39" s="499">
        <v>0</v>
      </c>
      <c r="AH39" s="499">
        <v>-0.12</v>
      </c>
      <c r="AI39" s="499">
        <v>0</v>
      </c>
      <c r="AJ39" s="499">
        <v>0</v>
      </c>
      <c r="AK39" s="499">
        <v>0</v>
      </c>
      <c r="AL39" s="499">
        <f t="shared" si="9"/>
        <v>0</v>
      </c>
      <c r="AM39" s="499">
        <f t="shared" si="10"/>
        <v>-0.12</v>
      </c>
      <c r="AN39" s="529">
        <f t="shared" si="11"/>
        <v>-0.12</v>
      </c>
      <c r="AO39" s="579">
        <f>I39+AF39</f>
        <v>8214858</v>
      </c>
      <c r="AP39" s="498">
        <f>J39+U39</f>
        <v>5993395</v>
      </c>
      <c r="AQ39" s="498">
        <f t="shared" ref="AQ39:AQ41" si="87">Y39</f>
        <v>23040</v>
      </c>
      <c r="AR39" s="498">
        <f t="shared" ref="AR39:AS41" si="88">K39+AA39</f>
        <v>2033555</v>
      </c>
      <c r="AS39" s="498">
        <f t="shared" si="88"/>
        <v>119868</v>
      </c>
      <c r="AT39" s="498">
        <f>M39+AE39</f>
        <v>45000</v>
      </c>
      <c r="AU39" s="499">
        <f>N39+AN39</f>
        <v>14.282200000000001</v>
      </c>
      <c r="AV39" s="499">
        <f t="shared" ref="AV39:AW41" si="89">O39+AL39</f>
        <v>10.7</v>
      </c>
      <c r="AW39" s="500">
        <f t="shared" si="89"/>
        <v>3.5822000000000003</v>
      </c>
      <c r="AX39" s="580"/>
    </row>
    <row r="40" spans="1:51" s="569" customFormat="1" x14ac:dyDescent="0.2">
      <c r="A40" s="571">
        <v>10</v>
      </c>
      <c r="B40" s="572">
        <v>3461</v>
      </c>
      <c r="C40" s="572">
        <v>691001286</v>
      </c>
      <c r="D40" s="572">
        <v>72048107</v>
      </c>
      <c r="E40" s="573" t="s">
        <v>26</v>
      </c>
      <c r="F40" s="572">
        <v>3111</v>
      </c>
      <c r="G40" s="573" t="s">
        <v>318</v>
      </c>
      <c r="H40" s="736" t="s">
        <v>284</v>
      </c>
      <c r="I40" s="575">
        <f t="shared" si="81"/>
        <v>0</v>
      </c>
      <c r="J40" s="496">
        <v>0</v>
      </c>
      <c r="K40" s="131">
        <f t="shared" si="82"/>
        <v>0</v>
      </c>
      <c r="L40" s="131">
        <f t="shared" si="83"/>
        <v>0</v>
      </c>
      <c r="M40" s="496">
        <v>0</v>
      </c>
      <c r="N40" s="576">
        <f t="shared" si="84"/>
        <v>0</v>
      </c>
      <c r="O40" s="577">
        <v>0</v>
      </c>
      <c r="P40" s="578">
        <v>0</v>
      </c>
      <c r="Q40" s="579">
        <f t="shared" si="85"/>
        <v>0</v>
      </c>
      <c r="R40" s="496">
        <v>450365</v>
      </c>
      <c r="S40" s="498">
        <v>0</v>
      </c>
      <c r="T40" s="498">
        <v>0</v>
      </c>
      <c r="U40" s="498">
        <f t="shared" si="3"/>
        <v>450365</v>
      </c>
      <c r="V40" s="498">
        <v>0</v>
      </c>
      <c r="W40" s="498">
        <v>0</v>
      </c>
      <c r="X40" s="498">
        <v>0</v>
      </c>
      <c r="Y40" s="498">
        <f t="shared" si="4"/>
        <v>0</v>
      </c>
      <c r="Z40" s="498">
        <f t="shared" si="5"/>
        <v>450365</v>
      </c>
      <c r="AA40" s="131">
        <f t="shared" si="86"/>
        <v>152223</v>
      </c>
      <c r="AB40" s="131">
        <f t="shared" si="6"/>
        <v>9007</v>
      </c>
      <c r="AC40" s="498">
        <v>0</v>
      </c>
      <c r="AD40" s="498">
        <v>0</v>
      </c>
      <c r="AE40" s="498">
        <f t="shared" si="7"/>
        <v>0</v>
      </c>
      <c r="AF40" s="498">
        <f t="shared" si="8"/>
        <v>611595</v>
      </c>
      <c r="AG40" s="499">
        <v>0</v>
      </c>
      <c r="AH40" s="499">
        <v>0</v>
      </c>
      <c r="AI40" s="499">
        <v>1.5</v>
      </c>
      <c r="AJ40" s="499">
        <v>0</v>
      </c>
      <c r="AK40" s="499">
        <v>0</v>
      </c>
      <c r="AL40" s="499">
        <f t="shared" si="9"/>
        <v>1.5</v>
      </c>
      <c r="AM40" s="499">
        <f t="shared" si="10"/>
        <v>0</v>
      </c>
      <c r="AN40" s="529">
        <f t="shared" si="11"/>
        <v>1.5</v>
      </c>
      <c r="AO40" s="579">
        <f>I40+AF40</f>
        <v>611595</v>
      </c>
      <c r="AP40" s="498">
        <f>J40+U40</f>
        <v>450365</v>
      </c>
      <c r="AQ40" s="498">
        <f t="shared" si="87"/>
        <v>0</v>
      </c>
      <c r="AR40" s="498">
        <f t="shared" si="88"/>
        <v>152223</v>
      </c>
      <c r="AS40" s="498">
        <f t="shared" si="88"/>
        <v>9007</v>
      </c>
      <c r="AT40" s="498">
        <f>M40+AE40</f>
        <v>0</v>
      </c>
      <c r="AU40" s="499">
        <f>N40+AN40</f>
        <v>1.5</v>
      </c>
      <c r="AV40" s="499">
        <f t="shared" si="89"/>
        <v>1.5</v>
      </c>
      <c r="AW40" s="500">
        <f t="shared" si="89"/>
        <v>0</v>
      </c>
      <c r="AX40" s="580"/>
    </row>
    <row r="41" spans="1:51" s="569" customFormat="1" ht="12.75" customHeight="1" x14ac:dyDescent="0.2">
      <c r="A41" s="571">
        <v>10</v>
      </c>
      <c r="B41" s="572">
        <v>3461</v>
      </c>
      <c r="C41" s="572">
        <v>691001286</v>
      </c>
      <c r="D41" s="572">
        <v>72048107</v>
      </c>
      <c r="E41" s="573" t="s">
        <v>26</v>
      </c>
      <c r="F41" s="572">
        <v>3141</v>
      </c>
      <c r="G41" s="573" t="s">
        <v>321</v>
      </c>
      <c r="H41" s="736" t="s">
        <v>284</v>
      </c>
      <c r="I41" s="575">
        <f t="shared" si="81"/>
        <v>1259340</v>
      </c>
      <c r="J41" s="496">
        <v>923078</v>
      </c>
      <c r="K41" s="131">
        <f t="shared" si="82"/>
        <v>312000</v>
      </c>
      <c r="L41" s="131">
        <f t="shared" si="83"/>
        <v>18462</v>
      </c>
      <c r="M41" s="496">
        <v>5800</v>
      </c>
      <c r="N41" s="576">
        <f t="shared" si="84"/>
        <v>3.14</v>
      </c>
      <c r="O41" s="577">
        <v>0</v>
      </c>
      <c r="P41" s="578">
        <v>3.14</v>
      </c>
      <c r="Q41" s="579">
        <f t="shared" si="85"/>
        <v>0</v>
      </c>
      <c r="R41" s="498">
        <v>0</v>
      </c>
      <c r="S41" s="498">
        <v>0</v>
      </c>
      <c r="T41" s="498">
        <v>0</v>
      </c>
      <c r="U41" s="498">
        <f t="shared" si="3"/>
        <v>0</v>
      </c>
      <c r="V41" s="498">
        <v>0</v>
      </c>
      <c r="W41" s="498">
        <v>0</v>
      </c>
      <c r="X41" s="498">
        <v>0</v>
      </c>
      <c r="Y41" s="498">
        <f t="shared" si="4"/>
        <v>0</v>
      </c>
      <c r="Z41" s="498">
        <f t="shared" si="5"/>
        <v>0</v>
      </c>
      <c r="AA41" s="131">
        <f t="shared" si="86"/>
        <v>0</v>
      </c>
      <c r="AB41" s="131">
        <f t="shared" si="6"/>
        <v>0</v>
      </c>
      <c r="AC41" s="498">
        <v>0</v>
      </c>
      <c r="AD41" s="498">
        <v>0</v>
      </c>
      <c r="AE41" s="498">
        <f t="shared" si="7"/>
        <v>0</v>
      </c>
      <c r="AF41" s="498">
        <f t="shared" si="8"/>
        <v>0</v>
      </c>
      <c r="AG41" s="499">
        <v>0</v>
      </c>
      <c r="AH41" s="499">
        <v>0</v>
      </c>
      <c r="AI41" s="499">
        <v>0</v>
      </c>
      <c r="AJ41" s="499">
        <v>0</v>
      </c>
      <c r="AK41" s="499">
        <v>0</v>
      </c>
      <c r="AL41" s="499">
        <f t="shared" si="9"/>
        <v>0</v>
      </c>
      <c r="AM41" s="499">
        <f t="shared" si="10"/>
        <v>0</v>
      </c>
      <c r="AN41" s="529">
        <f t="shared" si="11"/>
        <v>0</v>
      </c>
      <c r="AO41" s="579">
        <f>I41+AF41</f>
        <v>1259340</v>
      </c>
      <c r="AP41" s="498">
        <f>J41+U41</f>
        <v>923078</v>
      </c>
      <c r="AQ41" s="498">
        <f t="shared" si="87"/>
        <v>0</v>
      </c>
      <c r="AR41" s="498">
        <f t="shared" si="88"/>
        <v>312000</v>
      </c>
      <c r="AS41" s="498">
        <f t="shared" si="88"/>
        <v>18462</v>
      </c>
      <c r="AT41" s="498">
        <f>M41+AE41</f>
        <v>5800</v>
      </c>
      <c r="AU41" s="499">
        <f>N41+AN41</f>
        <v>3.14</v>
      </c>
      <c r="AV41" s="499">
        <f t="shared" si="89"/>
        <v>0</v>
      </c>
      <c r="AW41" s="500">
        <f t="shared" si="89"/>
        <v>3.14</v>
      </c>
      <c r="AX41" s="580"/>
      <c r="AY41" s="580"/>
    </row>
    <row r="42" spans="1:51" s="569" customFormat="1" ht="12.75" customHeight="1" x14ac:dyDescent="0.2">
      <c r="A42" s="299">
        <v>10</v>
      </c>
      <c r="B42" s="23">
        <v>3461</v>
      </c>
      <c r="C42" s="298">
        <v>691001286</v>
      </c>
      <c r="D42" s="298">
        <v>72048107</v>
      </c>
      <c r="E42" s="570" t="s">
        <v>27</v>
      </c>
      <c r="F42" s="23"/>
      <c r="G42" s="570"/>
      <c r="H42" s="735"/>
      <c r="I42" s="35">
        <f t="shared" ref="I42:P42" si="90">SUM(I39:I41)</f>
        <v>9474659</v>
      </c>
      <c r="J42" s="24">
        <f t="shared" si="90"/>
        <v>6939513</v>
      </c>
      <c r="K42" s="24">
        <f t="shared" si="90"/>
        <v>2345555</v>
      </c>
      <c r="L42" s="24">
        <f t="shared" si="90"/>
        <v>138791</v>
      </c>
      <c r="M42" s="24">
        <f t="shared" si="90"/>
        <v>50800</v>
      </c>
      <c r="N42" s="25">
        <f t="shared" si="90"/>
        <v>17.542200000000001</v>
      </c>
      <c r="O42" s="391">
        <f t="shared" si="90"/>
        <v>10.7</v>
      </c>
      <c r="P42" s="456">
        <f t="shared" si="90"/>
        <v>6.8422000000000001</v>
      </c>
      <c r="Q42" s="35">
        <f t="shared" ref="Q42:AW42" si="91">SUM(Q39:Q41)</f>
        <v>-23040</v>
      </c>
      <c r="R42" s="24">
        <f t="shared" si="91"/>
        <v>450365</v>
      </c>
      <c r="S42" s="24">
        <f t="shared" si="91"/>
        <v>0</v>
      </c>
      <c r="T42" s="24">
        <f t="shared" si="91"/>
        <v>0</v>
      </c>
      <c r="U42" s="24">
        <f t="shared" si="91"/>
        <v>427325</v>
      </c>
      <c r="V42" s="24">
        <f t="shared" si="91"/>
        <v>23040</v>
      </c>
      <c r="W42" s="24">
        <f t="shared" si="91"/>
        <v>0</v>
      </c>
      <c r="X42" s="24">
        <f t="shared" si="91"/>
        <v>0</v>
      </c>
      <c r="Y42" s="24">
        <f t="shared" si="91"/>
        <v>23040</v>
      </c>
      <c r="Z42" s="24">
        <f t="shared" si="91"/>
        <v>450365</v>
      </c>
      <c r="AA42" s="24">
        <f t="shared" si="91"/>
        <v>152223</v>
      </c>
      <c r="AB42" s="24">
        <f t="shared" si="91"/>
        <v>8546</v>
      </c>
      <c r="AC42" s="24">
        <f t="shared" si="91"/>
        <v>0</v>
      </c>
      <c r="AD42" s="24">
        <f t="shared" si="91"/>
        <v>0</v>
      </c>
      <c r="AE42" s="24">
        <f t="shared" si="91"/>
        <v>0</v>
      </c>
      <c r="AF42" s="24">
        <f t="shared" si="91"/>
        <v>611134</v>
      </c>
      <c r="AG42" s="25">
        <f t="shared" si="91"/>
        <v>0</v>
      </c>
      <c r="AH42" s="25">
        <f t="shared" si="91"/>
        <v>-0.12</v>
      </c>
      <c r="AI42" s="25">
        <f t="shared" si="91"/>
        <v>1.5</v>
      </c>
      <c r="AJ42" s="25">
        <f t="shared" si="91"/>
        <v>0</v>
      </c>
      <c r="AK42" s="25">
        <f t="shared" si="91"/>
        <v>0</v>
      </c>
      <c r="AL42" s="25">
        <f t="shared" si="91"/>
        <v>1.5</v>
      </c>
      <c r="AM42" s="25">
        <f t="shared" si="91"/>
        <v>-0.12</v>
      </c>
      <c r="AN42" s="392">
        <f t="shared" si="91"/>
        <v>1.38</v>
      </c>
      <c r="AO42" s="35">
        <f t="shared" si="91"/>
        <v>10085793</v>
      </c>
      <c r="AP42" s="24">
        <f t="shared" si="91"/>
        <v>7366838</v>
      </c>
      <c r="AQ42" s="24">
        <f t="shared" si="91"/>
        <v>23040</v>
      </c>
      <c r="AR42" s="24">
        <f t="shared" si="91"/>
        <v>2497778</v>
      </c>
      <c r="AS42" s="24">
        <f t="shared" si="91"/>
        <v>147337</v>
      </c>
      <c r="AT42" s="24">
        <f t="shared" si="91"/>
        <v>50800</v>
      </c>
      <c r="AU42" s="25">
        <f t="shared" si="91"/>
        <v>18.9222</v>
      </c>
      <c r="AV42" s="25">
        <f t="shared" si="91"/>
        <v>12.2</v>
      </c>
      <c r="AW42" s="72">
        <f t="shared" si="91"/>
        <v>6.7222000000000008</v>
      </c>
      <c r="AX42" s="580"/>
    </row>
    <row r="43" spans="1:51" s="569" customFormat="1" ht="12.75" customHeight="1" x14ac:dyDescent="0.2">
      <c r="A43" s="571">
        <v>11</v>
      </c>
      <c r="B43" s="572">
        <v>3468</v>
      </c>
      <c r="C43" s="572">
        <v>691000891</v>
      </c>
      <c r="D43" s="572">
        <v>72048069</v>
      </c>
      <c r="E43" s="573" t="s">
        <v>28</v>
      </c>
      <c r="F43" s="572">
        <v>3111</v>
      </c>
      <c r="G43" s="573" t="s">
        <v>317</v>
      </c>
      <c r="H43" s="736" t="s">
        <v>283</v>
      </c>
      <c r="I43" s="575">
        <f t="shared" ref="I43:I45" si="92">SUM(J43:M43)</f>
        <v>8967653</v>
      </c>
      <c r="J43" s="496">
        <v>6567123</v>
      </c>
      <c r="K43" s="131">
        <f t="shared" ref="K43:K45" si="93">ROUND((J43)*33.8%,0)</f>
        <v>2219688</v>
      </c>
      <c r="L43" s="131">
        <f t="shared" ref="L43:L45" si="94">ROUND(J43*2%,0)</f>
        <v>131342</v>
      </c>
      <c r="M43" s="496">
        <v>49500</v>
      </c>
      <c r="N43" s="576">
        <f t="shared" ref="N43:N45" si="95">SUM(O43:P43)</f>
        <v>15.804500000000001</v>
      </c>
      <c r="O43" s="577">
        <v>11.5</v>
      </c>
      <c r="P43" s="578">
        <v>4.3045</v>
      </c>
      <c r="Q43" s="579">
        <f t="shared" ref="Q43:Q45" si="96">V43*-1</f>
        <v>-24000</v>
      </c>
      <c r="R43" s="498">
        <v>0</v>
      </c>
      <c r="S43" s="498">
        <v>0</v>
      </c>
      <c r="T43" s="498">
        <v>0</v>
      </c>
      <c r="U43" s="498">
        <f t="shared" si="3"/>
        <v>-24000</v>
      </c>
      <c r="V43" s="498">
        <v>24000</v>
      </c>
      <c r="W43" s="498">
        <v>0</v>
      </c>
      <c r="X43" s="498">
        <v>0</v>
      </c>
      <c r="Y43" s="498">
        <f t="shared" si="4"/>
        <v>24000</v>
      </c>
      <c r="Z43" s="498">
        <f t="shared" si="5"/>
        <v>0</v>
      </c>
      <c r="AA43" s="131">
        <f t="shared" ref="AA43:AA45" si="97">ROUND((U43+V43+W41)*33.8%,0)</f>
        <v>0</v>
      </c>
      <c r="AB43" s="131">
        <f t="shared" si="6"/>
        <v>-480</v>
      </c>
      <c r="AC43" s="498">
        <v>0</v>
      </c>
      <c r="AD43" s="498">
        <v>0</v>
      </c>
      <c r="AE43" s="498">
        <f t="shared" si="7"/>
        <v>0</v>
      </c>
      <c r="AF43" s="498">
        <f t="shared" si="8"/>
        <v>-480</v>
      </c>
      <c r="AG43" s="499">
        <v>0</v>
      </c>
      <c r="AH43" s="499">
        <v>-0.13</v>
      </c>
      <c r="AI43" s="499">
        <v>0</v>
      </c>
      <c r="AJ43" s="499">
        <v>0</v>
      </c>
      <c r="AK43" s="499">
        <v>0</v>
      </c>
      <c r="AL43" s="499">
        <f t="shared" si="9"/>
        <v>0</v>
      </c>
      <c r="AM43" s="499">
        <f t="shared" si="10"/>
        <v>-0.13</v>
      </c>
      <c r="AN43" s="529">
        <f t="shared" si="11"/>
        <v>-0.13</v>
      </c>
      <c r="AO43" s="579">
        <f>I43+AF43</f>
        <v>8967173</v>
      </c>
      <c r="AP43" s="498">
        <f>J43+U43</f>
        <v>6543123</v>
      </c>
      <c r="AQ43" s="498">
        <f t="shared" ref="AQ43:AQ45" si="98">Y43</f>
        <v>24000</v>
      </c>
      <c r="AR43" s="498">
        <f t="shared" ref="AR43:AS45" si="99">K43+AA43</f>
        <v>2219688</v>
      </c>
      <c r="AS43" s="498">
        <f t="shared" si="99"/>
        <v>130862</v>
      </c>
      <c r="AT43" s="498">
        <f>M43+AE43</f>
        <v>49500</v>
      </c>
      <c r="AU43" s="499">
        <f>N43+AN43</f>
        <v>15.6745</v>
      </c>
      <c r="AV43" s="499">
        <f t="shared" ref="AV43:AW45" si="100">O43+AL43</f>
        <v>11.5</v>
      </c>
      <c r="AW43" s="500">
        <f t="shared" si="100"/>
        <v>4.1745000000000001</v>
      </c>
      <c r="AX43" s="580"/>
    </row>
    <row r="44" spans="1:51" s="569" customFormat="1" x14ac:dyDescent="0.2">
      <c r="A44" s="571">
        <v>11</v>
      </c>
      <c r="B44" s="572">
        <v>3468</v>
      </c>
      <c r="C44" s="572">
        <v>691000891</v>
      </c>
      <c r="D44" s="572">
        <v>72048069</v>
      </c>
      <c r="E44" s="573" t="s">
        <v>28</v>
      </c>
      <c r="F44" s="572">
        <v>3111</v>
      </c>
      <c r="G44" s="573" t="s">
        <v>318</v>
      </c>
      <c r="H44" s="736" t="s">
        <v>284</v>
      </c>
      <c r="I44" s="575">
        <f t="shared" si="92"/>
        <v>0</v>
      </c>
      <c r="J44" s="496">
        <v>0</v>
      </c>
      <c r="K44" s="131">
        <f t="shared" si="93"/>
        <v>0</v>
      </c>
      <c r="L44" s="131">
        <f t="shared" si="94"/>
        <v>0</v>
      </c>
      <c r="M44" s="496">
        <v>0</v>
      </c>
      <c r="N44" s="576">
        <f t="shared" si="95"/>
        <v>0</v>
      </c>
      <c r="O44" s="577">
        <v>0</v>
      </c>
      <c r="P44" s="578">
        <v>0</v>
      </c>
      <c r="Q44" s="579">
        <f t="shared" si="96"/>
        <v>0</v>
      </c>
      <c r="R44" s="496">
        <v>173222</v>
      </c>
      <c r="S44" s="498">
        <v>0</v>
      </c>
      <c r="T44" s="498">
        <v>0</v>
      </c>
      <c r="U44" s="498">
        <f t="shared" si="3"/>
        <v>173222</v>
      </c>
      <c r="V44" s="498">
        <v>0</v>
      </c>
      <c r="W44" s="498">
        <v>0</v>
      </c>
      <c r="X44" s="498">
        <v>0</v>
      </c>
      <c r="Y44" s="498">
        <f t="shared" si="4"/>
        <v>0</v>
      </c>
      <c r="Z44" s="498">
        <f t="shared" si="5"/>
        <v>173222</v>
      </c>
      <c r="AA44" s="131">
        <f t="shared" si="97"/>
        <v>58549</v>
      </c>
      <c r="AB44" s="131">
        <f t="shared" si="6"/>
        <v>3464</v>
      </c>
      <c r="AC44" s="498">
        <v>0</v>
      </c>
      <c r="AD44" s="498">
        <v>0</v>
      </c>
      <c r="AE44" s="498">
        <f t="shared" si="7"/>
        <v>0</v>
      </c>
      <c r="AF44" s="498">
        <f t="shared" si="8"/>
        <v>235235</v>
      </c>
      <c r="AG44" s="499">
        <v>0</v>
      </c>
      <c r="AH44" s="499">
        <v>0</v>
      </c>
      <c r="AI44" s="499">
        <v>0.5</v>
      </c>
      <c r="AJ44" s="499">
        <v>0</v>
      </c>
      <c r="AK44" s="499">
        <v>0</v>
      </c>
      <c r="AL44" s="499">
        <f t="shared" si="9"/>
        <v>0.5</v>
      </c>
      <c r="AM44" s="499">
        <f t="shared" si="10"/>
        <v>0</v>
      </c>
      <c r="AN44" s="529">
        <f t="shared" si="11"/>
        <v>0.5</v>
      </c>
      <c r="AO44" s="579">
        <f>I44+AF44</f>
        <v>235235</v>
      </c>
      <c r="AP44" s="498">
        <f>J44+U44</f>
        <v>173222</v>
      </c>
      <c r="AQ44" s="498">
        <f t="shared" si="98"/>
        <v>0</v>
      </c>
      <c r="AR44" s="498">
        <f t="shared" si="99"/>
        <v>58549</v>
      </c>
      <c r="AS44" s="498">
        <f t="shared" si="99"/>
        <v>3464</v>
      </c>
      <c r="AT44" s="498">
        <f>M44+AE44</f>
        <v>0</v>
      </c>
      <c r="AU44" s="499">
        <f>N44+AN44</f>
        <v>0.5</v>
      </c>
      <c r="AV44" s="499">
        <f t="shared" si="100"/>
        <v>0.5</v>
      </c>
      <c r="AW44" s="500">
        <f t="shared" si="100"/>
        <v>0</v>
      </c>
      <c r="AX44" s="580"/>
    </row>
    <row r="45" spans="1:51" s="569" customFormat="1" ht="12.75" customHeight="1" x14ac:dyDescent="0.2">
      <c r="A45" s="571">
        <v>11</v>
      </c>
      <c r="B45" s="572">
        <v>3468</v>
      </c>
      <c r="C45" s="572">
        <v>691000891</v>
      </c>
      <c r="D45" s="572">
        <v>72048069</v>
      </c>
      <c r="E45" s="573" t="s">
        <v>28</v>
      </c>
      <c r="F45" s="572">
        <v>3141</v>
      </c>
      <c r="G45" s="573" t="s">
        <v>321</v>
      </c>
      <c r="H45" s="736" t="s">
        <v>284</v>
      </c>
      <c r="I45" s="575">
        <f t="shared" si="92"/>
        <v>875825</v>
      </c>
      <c r="J45" s="496">
        <v>641521</v>
      </c>
      <c r="K45" s="131">
        <f t="shared" si="93"/>
        <v>216834</v>
      </c>
      <c r="L45" s="131">
        <f t="shared" si="94"/>
        <v>12830</v>
      </c>
      <c r="M45" s="496">
        <v>4640</v>
      </c>
      <c r="N45" s="576">
        <f t="shared" si="95"/>
        <v>2.1800000000000002</v>
      </c>
      <c r="O45" s="577">
        <v>0</v>
      </c>
      <c r="P45" s="578">
        <v>2.1800000000000002</v>
      </c>
      <c r="Q45" s="579">
        <f t="shared" si="96"/>
        <v>0</v>
      </c>
      <c r="R45" s="498">
        <v>0</v>
      </c>
      <c r="S45" s="498">
        <v>0</v>
      </c>
      <c r="T45" s="498">
        <v>0</v>
      </c>
      <c r="U45" s="498">
        <f t="shared" si="3"/>
        <v>0</v>
      </c>
      <c r="V45" s="498">
        <v>0</v>
      </c>
      <c r="W45" s="498">
        <v>0</v>
      </c>
      <c r="X45" s="498">
        <v>0</v>
      </c>
      <c r="Y45" s="498">
        <f t="shared" si="4"/>
        <v>0</v>
      </c>
      <c r="Z45" s="498">
        <f t="shared" si="5"/>
        <v>0</v>
      </c>
      <c r="AA45" s="131">
        <f t="shared" si="97"/>
        <v>0</v>
      </c>
      <c r="AB45" s="131">
        <f t="shared" si="6"/>
        <v>0</v>
      </c>
      <c r="AC45" s="498">
        <v>0</v>
      </c>
      <c r="AD45" s="498">
        <v>0</v>
      </c>
      <c r="AE45" s="498">
        <f t="shared" si="7"/>
        <v>0</v>
      </c>
      <c r="AF45" s="498">
        <f t="shared" si="8"/>
        <v>0</v>
      </c>
      <c r="AG45" s="499">
        <v>0</v>
      </c>
      <c r="AH45" s="499">
        <v>0</v>
      </c>
      <c r="AI45" s="499">
        <v>0</v>
      </c>
      <c r="AJ45" s="499">
        <v>0</v>
      </c>
      <c r="AK45" s="499">
        <v>0</v>
      </c>
      <c r="AL45" s="499">
        <f t="shared" si="9"/>
        <v>0</v>
      </c>
      <c r="AM45" s="499">
        <f t="shared" si="10"/>
        <v>0</v>
      </c>
      <c r="AN45" s="529">
        <f t="shared" si="11"/>
        <v>0</v>
      </c>
      <c r="AO45" s="579">
        <f>I45+AF45</f>
        <v>875825</v>
      </c>
      <c r="AP45" s="498">
        <f>J45+U45</f>
        <v>641521</v>
      </c>
      <c r="AQ45" s="498">
        <f t="shared" si="98"/>
        <v>0</v>
      </c>
      <c r="AR45" s="498">
        <f t="shared" si="99"/>
        <v>216834</v>
      </c>
      <c r="AS45" s="498">
        <f t="shared" si="99"/>
        <v>12830</v>
      </c>
      <c r="AT45" s="498">
        <f>M45+AE45</f>
        <v>4640</v>
      </c>
      <c r="AU45" s="499">
        <f>N45+AN45</f>
        <v>2.1800000000000002</v>
      </c>
      <c r="AV45" s="499">
        <f t="shared" si="100"/>
        <v>0</v>
      </c>
      <c r="AW45" s="500">
        <f t="shared" si="100"/>
        <v>2.1800000000000002</v>
      </c>
      <c r="AX45" s="580"/>
      <c r="AY45" s="580"/>
    </row>
    <row r="46" spans="1:51" s="569" customFormat="1" ht="12.75" customHeight="1" x14ac:dyDescent="0.2">
      <c r="A46" s="299">
        <v>11</v>
      </c>
      <c r="B46" s="23">
        <v>3468</v>
      </c>
      <c r="C46" s="298">
        <v>691000891</v>
      </c>
      <c r="D46" s="298">
        <v>72048069</v>
      </c>
      <c r="E46" s="570" t="s">
        <v>29</v>
      </c>
      <c r="F46" s="23"/>
      <c r="G46" s="570"/>
      <c r="H46" s="735"/>
      <c r="I46" s="35">
        <f t="shared" ref="I46:P46" si="101">SUM(I43:I45)</f>
        <v>9843478</v>
      </c>
      <c r="J46" s="24">
        <f t="shared" si="101"/>
        <v>7208644</v>
      </c>
      <c r="K46" s="24">
        <f t="shared" si="101"/>
        <v>2436522</v>
      </c>
      <c r="L46" s="24">
        <f t="shared" si="101"/>
        <v>144172</v>
      </c>
      <c r="M46" s="24">
        <f t="shared" si="101"/>
        <v>54140</v>
      </c>
      <c r="N46" s="25">
        <f t="shared" si="101"/>
        <v>17.984500000000001</v>
      </c>
      <c r="O46" s="391">
        <f t="shared" si="101"/>
        <v>11.5</v>
      </c>
      <c r="P46" s="456">
        <f t="shared" si="101"/>
        <v>6.4845000000000006</v>
      </c>
      <c r="Q46" s="35">
        <f t="shared" ref="Q46:AW46" si="102">SUM(Q43:Q45)</f>
        <v>-24000</v>
      </c>
      <c r="R46" s="24">
        <f t="shared" si="102"/>
        <v>173222</v>
      </c>
      <c r="S46" s="24">
        <f t="shared" si="102"/>
        <v>0</v>
      </c>
      <c r="T46" s="24">
        <f t="shared" si="102"/>
        <v>0</v>
      </c>
      <c r="U46" s="24">
        <f t="shared" si="102"/>
        <v>149222</v>
      </c>
      <c r="V46" s="24">
        <f t="shared" si="102"/>
        <v>24000</v>
      </c>
      <c r="W46" s="24">
        <f t="shared" si="102"/>
        <v>0</v>
      </c>
      <c r="X46" s="24">
        <f t="shared" si="102"/>
        <v>0</v>
      </c>
      <c r="Y46" s="24">
        <f t="shared" si="102"/>
        <v>24000</v>
      </c>
      <c r="Z46" s="24">
        <f t="shared" si="102"/>
        <v>173222</v>
      </c>
      <c r="AA46" s="24">
        <f t="shared" si="102"/>
        <v>58549</v>
      </c>
      <c r="AB46" s="24">
        <f t="shared" si="102"/>
        <v>2984</v>
      </c>
      <c r="AC46" s="24">
        <f t="shared" si="102"/>
        <v>0</v>
      </c>
      <c r="AD46" s="24">
        <f t="shared" si="102"/>
        <v>0</v>
      </c>
      <c r="AE46" s="24">
        <f t="shared" si="102"/>
        <v>0</v>
      </c>
      <c r="AF46" s="24">
        <f t="shared" si="102"/>
        <v>234755</v>
      </c>
      <c r="AG46" s="25">
        <f t="shared" si="102"/>
        <v>0</v>
      </c>
      <c r="AH46" s="25">
        <f t="shared" si="102"/>
        <v>-0.13</v>
      </c>
      <c r="AI46" s="25">
        <f t="shared" si="102"/>
        <v>0.5</v>
      </c>
      <c r="AJ46" s="25">
        <f t="shared" si="102"/>
        <v>0</v>
      </c>
      <c r="AK46" s="25">
        <f t="shared" si="102"/>
        <v>0</v>
      </c>
      <c r="AL46" s="25">
        <f t="shared" si="102"/>
        <v>0.5</v>
      </c>
      <c r="AM46" s="25">
        <f t="shared" si="102"/>
        <v>-0.13</v>
      </c>
      <c r="AN46" s="392">
        <f t="shared" si="102"/>
        <v>0.37</v>
      </c>
      <c r="AO46" s="35">
        <f t="shared" si="102"/>
        <v>10078233</v>
      </c>
      <c r="AP46" s="24">
        <f t="shared" si="102"/>
        <v>7357866</v>
      </c>
      <c r="AQ46" s="24">
        <f t="shared" si="102"/>
        <v>24000</v>
      </c>
      <c r="AR46" s="24">
        <f t="shared" si="102"/>
        <v>2495071</v>
      </c>
      <c r="AS46" s="24">
        <f t="shared" si="102"/>
        <v>147156</v>
      </c>
      <c r="AT46" s="24">
        <f t="shared" si="102"/>
        <v>54140</v>
      </c>
      <c r="AU46" s="25">
        <f t="shared" si="102"/>
        <v>18.354500000000002</v>
      </c>
      <c r="AV46" s="25">
        <f t="shared" si="102"/>
        <v>12</v>
      </c>
      <c r="AW46" s="72">
        <f t="shared" si="102"/>
        <v>6.3544999999999998</v>
      </c>
      <c r="AX46" s="580"/>
    </row>
    <row r="47" spans="1:51" s="569" customFormat="1" ht="12.75" customHeight="1" x14ac:dyDescent="0.2">
      <c r="A47" s="571">
        <v>12</v>
      </c>
      <c r="B47" s="572">
        <v>3465</v>
      </c>
      <c r="C47" s="572">
        <v>691001278</v>
      </c>
      <c r="D47" s="572">
        <v>72048131</v>
      </c>
      <c r="E47" s="573" t="s">
        <v>30</v>
      </c>
      <c r="F47" s="572">
        <v>3111</v>
      </c>
      <c r="G47" s="573" t="s">
        <v>317</v>
      </c>
      <c r="H47" s="736" t="s">
        <v>283</v>
      </c>
      <c r="I47" s="575">
        <f t="shared" ref="I47:I49" si="103">SUM(J47:M47)</f>
        <v>6532812</v>
      </c>
      <c r="J47" s="496">
        <v>4779132</v>
      </c>
      <c r="K47" s="131">
        <f t="shared" ref="K47:K49" si="104">ROUND((J47)*33.8%,0)</f>
        <v>1615347</v>
      </c>
      <c r="L47" s="131">
        <f t="shared" ref="L47:L49" si="105">ROUND(J47*2%,0)</f>
        <v>95583</v>
      </c>
      <c r="M47" s="496">
        <v>42750</v>
      </c>
      <c r="N47" s="576">
        <f t="shared" ref="N47:N49" si="106">SUM(O47:P47)</f>
        <v>10.8682</v>
      </c>
      <c r="O47" s="577">
        <v>8</v>
      </c>
      <c r="P47" s="578">
        <v>2.8681999999999999</v>
      </c>
      <c r="Q47" s="579">
        <f t="shared" ref="Q47:Q49" si="107">V47*-1</f>
        <v>0</v>
      </c>
      <c r="R47" s="498">
        <v>0</v>
      </c>
      <c r="S47" s="498">
        <v>0</v>
      </c>
      <c r="T47" s="498">
        <v>0</v>
      </c>
      <c r="U47" s="498">
        <f t="shared" si="3"/>
        <v>0</v>
      </c>
      <c r="V47" s="498">
        <v>0</v>
      </c>
      <c r="W47" s="498">
        <v>0</v>
      </c>
      <c r="X47" s="498">
        <v>0</v>
      </c>
      <c r="Y47" s="498">
        <f t="shared" si="4"/>
        <v>0</v>
      </c>
      <c r="Z47" s="498">
        <f t="shared" si="5"/>
        <v>0</v>
      </c>
      <c r="AA47" s="131">
        <f t="shared" ref="AA47:AA49" si="108">ROUND((U47+V47+W45)*33.8%,0)</f>
        <v>0</v>
      </c>
      <c r="AB47" s="131">
        <f t="shared" si="6"/>
        <v>0</v>
      </c>
      <c r="AC47" s="498">
        <v>0</v>
      </c>
      <c r="AD47" s="498">
        <v>0</v>
      </c>
      <c r="AE47" s="498">
        <f t="shared" si="7"/>
        <v>0</v>
      </c>
      <c r="AF47" s="498">
        <f t="shared" si="8"/>
        <v>0</v>
      </c>
      <c r="AG47" s="499">
        <v>0</v>
      </c>
      <c r="AH47" s="499">
        <v>0</v>
      </c>
      <c r="AI47" s="499">
        <v>0</v>
      </c>
      <c r="AJ47" s="499">
        <v>0</v>
      </c>
      <c r="AK47" s="499">
        <v>0</v>
      </c>
      <c r="AL47" s="499">
        <f t="shared" si="9"/>
        <v>0</v>
      </c>
      <c r="AM47" s="499">
        <f t="shared" si="10"/>
        <v>0</v>
      </c>
      <c r="AN47" s="529">
        <f t="shared" si="11"/>
        <v>0</v>
      </c>
      <c r="AO47" s="579">
        <f>I47+AF47</f>
        <v>6532812</v>
      </c>
      <c r="AP47" s="498">
        <f>J47+U47</f>
        <v>4779132</v>
      </c>
      <c r="AQ47" s="498">
        <f t="shared" ref="AQ47:AQ49" si="109">Y47</f>
        <v>0</v>
      </c>
      <c r="AR47" s="498">
        <f t="shared" ref="AR47:AS49" si="110">K47+AA47</f>
        <v>1615347</v>
      </c>
      <c r="AS47" s="498">
        <f t="shared" si="110"/>
        <v>95583</v>
      </c>
      <c r="AT47" s="498">
        <f>M47+AE47</f>
        <v>42750</v>
      </c>
      <c r="AU47" s="499">
        <f>N47+AN47</f>
        <v>10.8682</v>
      </c>
      <c r="AV47" s="499">
        <f t="shared" ref="AV47:AW49" si="111">O47+AL47</f>
        <v>8</v>
      </c>
      <c r="AW47" s="500">
        <f t="shared" si="111"/>
        <v>2.8681999999999999</v>
      </c>
      <c r="AX47" s="580"/>
    </row>
    <row r="48" spans="1:51" s="569" customFormat="1" x14ac:dyDescent="0.2">
      <c r="A48" s="571">
        <v>12</v>
      </c>
      <c r="B48" s="572">
        <v>3465</v>
      </c>
      <c r="C48" s="572">
        <v>691001278</v>
      </c>
      <c r="D48" s="572">
        <v>72048131</v>
      </c>
      <c r="E48" s="573" t="s">
        <v>30</v>
      </c>
      <c r="F48" s="572">
        <v>3111</v>
      </c>
      <c r="G48" s="573" t="s">
        <v>318</v>
      </c>
      <c r="H48" s="736" t="s">
        <v>284</v>
      </c>
      <c r="I48" s="575">
        <f t="shared" si="103"/>
        <v>0</v>
      </c>
      <c r="J48" s="496">
        <v>0</v>
      </c>
      <c r="K48" s="131">
        <f t="shared" si="104"/>
        <v>0</v>
      </c>
      <c r="L48" s="131">
        <f t="shared" si="105"/>
        <v>0</v>
      </c>
      <c r="M48" s="496">
        <v>0</v>
      </c>
      <c r="N48" s="576">
        <f t="shared" si="106"/>
        <v>0</v>
      </c>
      <c r="O48" s="577">
        <v>0</v>
      </c>
      <c r="P48" s="578">
        <v>0</v>
      </c>
      <c r="Q48" s="579">
        <f t="shared" si="107"/>
        <v>0</v>
      </c>
      <c r="R48" s="496">
        <v>127021</v>
      </c>
      <c r="S48" s="498">
        <v>0</v>
      </c>
      <c r="T48" s="498">
        <v>0</v>
      </c>
      <c r="U48" s="498">
        <f t="shared" si="3"/>
        <v>127021</v>
      </c>
      <c r="V48" s="498">
        <v>0</v>
      </c>
      <c r="W48" s="498">
        <v>0</v>
      </c>
      <c r="X48" s="498">
        <v>0</v>
      </c>
      <c r="Y48" s="498">
        <f t="shared" si="4"/>
        <v>0</v>
      </c>
      <c r="Z48" s="498">
        <f t="shared" si="5"/>
        <v>127021</v>
      </c>
      <c r="AA48" s="131">
        <f t="shared" si="108"/>
        <v>42933</v>
      </c>
      <c r="AB48" s="131">
        <f t="shared" si="6"/>
        <v>2540</v>
      </c>
      <c r="AC48" s="498">
        <v>0</v>
      </c>
      <c r="AD48" s="498">
        <v>0</v>
      </c>
      <c r="AE48" s="498">
        <f t="shared" si="7"/>
        <v>0</v>
      </c>
      <c r="AF48" s="498">
        <f t="shared" si="8"/>
        <v>172494</v>
      </c>
      <c r="AG48" s="499">
        <v>0</v>
      </c>
      <c r="AH48" s="499">
        <v>0</v>
      </c>
      <c r="AI48" s="499">
        <v>0.5</v>
      </c>
      <c r="AJ48" s="499">
        <v>0</v>
      </c>
      <c r="AK48" s="499">
        <v>0</v>
      </c>
      <c r="AL48" s="499">
        <f t="shared" si="9"/>
        <v>0.5</v>
      </c>
      <c r="AM48" s="499">
        <f t="shared" si="10"/>
        <v>0</v>
      </c>
      <c r="AN48" s="529">
        <f t="shared" si="11"/>
        <v>0.5</v>
      </c>
      <c r="AO48" s="579">
        <f>I48+AF48</f>
        <v>172494</v>
      </c>
      <c r="AP48" s="498">
        <f>J48+U48</f>
        <v>127021</v>
      </c>
      <c r="AQ48" s="498">
        <f t="shared" si="109"/>
        <v>0</v>
      </c>
      <c r="AR48" s="498">
        <f t="shared" si="110"/>
        <v>42933</v>
      </c>
      <c r="AS48" s="498">
        <f t="shared" si="110"/>
        <v>2540</v>
      </c>
      <c r="AT48" s="498">
        <f>M48+AE48</f>
        <v>0</v>
      </c>
      <c r="AU48" s="499">
        <f>N48+AN48</f>
        <v>0.5</v>
      </c>
      <c r="AV48" s="499">
        <f t="shared" si="111"/>
        <v>0.5</v>
      </c>
      <c r="AW48" s="500">
        <f t="shared" si="111"/>
        <v>0</v>
      </c>
      <c r="AX48" s="580"/>
    </row>
    <row r="49" spans="1:51" s="569" customFormat="1" ht="12.75" customHeight="1" x14ac:dyDescent="0.2">
      <c r="A49" s="571">
        <v>12</v>
      </c>
      <c r="B49" s="572">
        <v>3465</v>
      </c>
      <c r="C49" s="572">
        <v>691001278</v>
      </c>
      <c r="D49" s="572">
        <v>72048131</v>
      </c>
      <c r="E49" s="573" t="s">
        <v>30</v>
      </c>
      <c r="F49" s="572">
        <v>3141</v>
      </c>
      <c r="G49" s="573" t="s">
        <v>321</v>
      </c>
      <c r="H49" s="736" t="s">
        <v>284</v>
      </c>
      <c r="I49" s="575">
        <f t="shared" si="103"/>
        <v>987272</v>
      </c>
      <c r="J49" s="496">
        <v>722947</v>
      </c>
      <c r="K49" s="131">
        <f t="shared" si="104"/>
        <v>244356</v>
      </c>
      <c r="L49" s="131">
        <f t="shared" si="105"/>
        <v>14459</v>
      </c>
      <c r="M49" s="496">
        <v>5510</v>
      </c>
      <c r="N49" s="576">
        <f t="shared" si="106"/>
        <v>2.46</v>
      </c>
      <c r="O49" s="577">
        <v>0</v>
      </c>
      <c r="P49" s="578">
        <v>2.46</v>
      </c>
      <c r="Q49" s="579">
        <f t="shared" si="107"/>
        <v>0</v>
      </c>
      <c r="R49" s="498">
        <v>0</v>
      </c>
      <c r="S49" s="498">
        <v>0</v>
      </c>
      <c r="T49" s="498">
        <v>0</v>
      </c>
      <c r="U49" s="498">
        <f t="shared" si="3"/>
        <v>0</v>
      </c>
      <c r="V49" s="498">
        <v>0</v>
      </c>
      <c r="W49" s="498">
        <v>0</v>
      </c>
      <c r="X49" s="498">
        <v>0</v>
      </c>
      <c r="Y49" s="498">
        <f t="shared" si="4"/>
        <v>0</v>
      </c>
      <c r="Z49" s="498">
        <f t="shared" si="5"/>
        <v>0</v>
      </c>
      <c r="AA49" s="131">
        <f t="shared" si="108"/>
        <v>0</v>
      </c>
      <c r="AB49" s="131">
        <f t="shared" si="6"/>
        <v>0</v>
      </c>
      <c r="AC49" s="498">
        <v>0</v>
      </c>
      <c r="AD49" s="498">
        <v>0</v>
      </c>
      <c r="AE49" s="498">
        <f t="shared" si="7"/>
        <v>0</v>
      </c>
      <c r="AF49" s="498">
        <f t="shared" si="8"/>
        <v>0</v>
      </c>
      <c r="AG49" s="499">
        <v>0</v>
      </c>
      <c r="AH49" s="499">
        <v>0</v>
      </c>
      <c r="AI49" s="499">
        <v>0</v>
      </c>
      <c r="AJ49" s="499">
        <v>0</v>
      </c>
      <c r="AK49" s="499">
        <v>0</v>
      </c>
      <c r="AL49" s="499">
        <f t="shared" si="9"/>
        <v>0</v>
      </c>
      <c r="AM49" s="499">
        <f t="shared" si="10"/>
        <v>0</v>
      </c>
      <c r="AN49" s="529">
        <f t="shared" si="11"/>
        <v>0</v>
      </c>
      <c r="AO49" s="579">
        <f>I49+AF49</f>
        <v>987272</v>
      </c>
      <c r="AP49" s="498">
        <f>J49+U49</f>
        <v>722947</v>
      </c>
      <c r="AQ49" s="498">
        <f t="shared" si="109"/>
        <v>0</v>
      </c>
      <c r="AR49" s="498">
        <f t="shared" si="110"/>
        <v>244356</v>
      </c>
      <c r="AS49" s="498">
        <f t="shared" si="110"/>
        <v>14459</v>
      </c>
      <c r="AT49" s="498">
        <f>M49+AE49</f>
        <v>5510</v>
      </c>
      <c r="AU49" s="499">
        <f>N49+AN49</f>
        <v>2.46</v>
      </c>
      <c r="AV49" s="499">
        <f t="shared" si="111"/>
        <v>0</v>
      </c>
      <c r="AW49" s="500">
        <f t="shared" si="111"/>
        <v>2.46</v>
      </c>
      <c r="AX49" s="580"/>
      <c r="AY49" s="580"/>
    </row>
    <row r="50" spans="1:51" s="569" customFormat="1" ht="12.75" customHeight="1" x14ac:dyDescent="0.2">
      <c r="A50" s="299">
        <v>12</v>
      </c>
      <c r="B50" s="23">
        <v>3465</v>
      </c>
      <c r="C50" s="298">
        <v>691001278</v>
      </c>
      <c r="D50" s="298">
        <v>72048131</v>
      </c>
      <c r="E50" s="570" t="s">
        <v>31</v>
      </c>
      <c r="F50" s="23"/>
      <c r="G50" s="570"/>
      <c r="H50" s="735"/>
      <c r="I50" s="35">
        <f t="shared" ref="I50:P50" si="112">SUM(I47:I49)</f>
        <v>7520084</v>
      </c>
      <c r="J50" s="24">
        <f t="shared" si="112"/>
        <v>5502079</v>
      </c>
      <c r="K50" s="24">
        <f t="shared" si="112"/>
        <v>1859703</v>
      </c>
      <c r="L50" s="24">
        <f t="shared" si="112"/>
        <v>110042</v>
      </c>
      <c r="M50" s="24">
        <f t="shared" si="112"/>
        <v>48260</v>
      </c>
      <c r="N50" s="25">
        <f t="shared" si="112"/>
        <v>13.328199999999999</v>
      </c>
      <c r="O50" s="391">
        <f t="shared" si="112"/>
        <v>8</v>
      </c>
      <c r="P50" s="456">
        <f t="shared" si="112"/>
        <v>5.3281999999999998</v>
      </c>
      <c r="Q50" s="35">
        <f t="shared" ref="Q50:AW50" si="113">SUM(Q47:Q49)</f>
        <v>0</v>
      </c>
      <c r="R50" s="24">
        <f t="shared" si="113"/>
        <v>127021</v>
      </c>
      <c r="S50" s="24">
        <f t="shared" si="113"/>
        <v>0</v>
      </c>
      <c r="T50" s="24">
        <f t="shared" si="113"/>
        <v>0</v>
      </c>
      <c r="U50" s="24">
        <f t="shared" si="113"/>
        <v>127021</v>
      </c>
      <c r="V50" s="24">
        <f t="shared" si="113"/>
        <v>0</v>
      </c>
      <c r="W50" s="24">
        <f t="shared" si="113"/>
        <v>0</v>
      </c>
      <c r="X50" s="24">
        <f t="shared" si="113"/>
        <v>0</v>
      </c>
      <c r="Y50" s="24">
        <f t="shared" si="113"/>
        <v>0</v>
      </c>
      <c r="Z50" s="24">
        <f t="shared" si="113"/>
        <v>127021</v>
      </c>
      <c r="AA50" s="24">
        <f t="shared" si="113"/>
        <v>42933</v>
      </c>
      <c r="AB50" s="24">
        <f t="shared" si="113"/>
        <v>2540</v>
      </c>
      <c r="AC50" s="24">
        <f t="shared" si="113"/>
        <v>0</v>
      </c>
      <c r="AD50" s="24">
        <f t="shared" si="113"/>
        <v>0</v>
      </c>
      <c r="AE50" s="24">
        <f t="shared" si="113"/>
        <v>0</v>
      </c>
      <c r="AF50" s="24">
        <f t="shared" si="113"/>
        <v>172494</v>
      </c>
      <c r="AG50" s="25">
        <f t="shared" si="113"/>
        <v>0</v>
      </c>
      <c r="AH50" s="25">
        <f t="shared" si="113"/>
        <v>0</v>
      </c>
      <c r="AI50" s="25">
        <f t="shared" si="113"/>
        <v>0.5</v>
      </c>
      <c r="AJ50" s="25">
        <f t="shared" si="113"/>
        <v>0</v>
      </c>
      <c r="AK50" s="25">
        <f t="shared" si="113"/>
        <v>0</v>
      </c>
      <c r="AL50" s="25">
        <f t="shared" si="113"/>
        <v>0.5</v>
      </c>
      <c r="AM50" s="25">
        <f t="shared" si="113"/>
        <v>0</v>
      </c>
      <c r="AN50" s="392">
        <f t="shared" si="113"/>
        <v>0.5</v>
      </c>
      <c r="AO50" s="35">
        <f t="shared" si="113"/>
        <v>7692578</v>
      </c>
      <c r="AP50" s="24">
        <f t="shared" si="113"/>
        <v>5629100</v>
      </c>
      <c r="AQ50" s="24">
        <f t="shared" si="113"/>
        <v>0</v>
      </c>
      <c r="AR50" s="24">
        <f t="shared" si="113"/>
        <v>1902636</v>
      </c>
      <c r="AS50" s="24">
        <f t="shared" si="113"/>
        <v>112582</v>
      </c>
      <c r="AT50" s="24">
        <f t="shared" si="113"/>
        <v>48260</v>
      </c>
      <c r="AU50" s="25">
        <f t="shared" si="113"/>
        <v>13.828199999999999</v>
      </c>
      <c r="AV50" s="25">
        <f t="shared" si="113"/>
        <v>8.5</v>
      </c>
      <c r="AW50" s="72">
        <f t="shared" si="113"/>
        <v>5.3281999999999998</v>
      </c>
      <c r="AX50" s="580"/>
    </row>
    <row r="51" spans="1:51" s="569" customFormat="1" ht="12.75" customHeight="1" x14ac:dyDescent="0.2">
      <c r="A51" s="571">
        <v>13</v>
      </c>
      <c r="B51" s="572">
        <v>3473</v>
      </c>
      <c r="C51" s="572">
        <v>691003530</v>
      </c>
      <c r="D51" s="572">
        <v>72550392</v>
      </c>
      <c r="E51" s="573" t="s">
        <v>32</v>
      </c>
      <c r="F51" s="572">
        <v>3111</v>
      </c>
      <c r="G51" s="573" t="s">
        <v>317</v>
      </c>
      <c r="H51" s="736" t="s">
        <v>283</v>
      </c>
      <c r="I51" s="575">
        <f t="shared" ref="I51:I52" si="114">SUM(J51:M51)</f>
        <v>8004334</v>
      </c>
      <c r="J51" s="496">
        <v>5858751</v>
      </c>
      <c r="K51" s="131">
        <f>ROUND((J51)*33.8%,0)</f>
        <v>1980258</v>
      </c>
      <c r="L51" s="131">
        <f>ROUND(J51*2%,0)</f>
        <v>117175</v>
      </c>
      <c r="M51" s="496">
        <v>48150</v>
      </c>
      <c r="N51" s="576">
        <f t="shared" ref="N51:N52" si="115">SUM(O51:P51)</f>
        <v>13.552199999999999</v>
      </c>
      <c r="O51" s="577">
        <v>10</v>
      </c>
      <c r="P51" s="578">
        <v>3.5522</v>
      </c>
      <c r="Q51" s="579">
        <f t="shared" ref="Q51:Q52" si="116">V51*-1</f>
        <v>-32000</v>
      </c>
      <c r="R51" s="498">
        <v>0</v>
      </c>
      <c r="S51" s="498">
        <v>0</v>
      </c>
      <c r="T51" s="498">
        <v>0</v>
      </c>
      <c r="U51" s="498">
        <f t="shared" si="3"/>
        <v>-32000</v>
      </c>
      <c r="V51" s="498">
        <v>32000</v>
      </c>
      <c r="W51" s="498">
        <v>0</v>
      </c>
      <c r="X51" s="498">
        <v>0</v>
      </c>
      <c r="Y51" s="498">
        <f t="shared" si="4"/>
        <v>32000</v>
      </c>
      <c r="Z51" s="498">
        <f t="shared" si="5"/>
        <v>0</v>
      </c>
      <c r="AA51" s="131">
        <f t="shared" ref="AA51:AA52" si="117">ROUND((U51+V51+W49)*33.8%,0)</f>
        <v>0</v>
      </c>
      <c r="AB51" s="131">
        <f t="shared" si="6"/>
        <v>-640</v>
      </c>
      <c r="AC51" s="498">
        <v>0</v>
      </c>
      <c r="AD51" s="498">
        <v>0</v>
      </c>
      <c r="AE51" s="498">
        <f t="shared" si="7"/>
        <v>0</v>
      </c>
      <c r="AF51" s="498">
        <f t="shared" si="8"/>
        <v>-640</v>
      </c>
      <c r="AG51" s="499">
        <v>0</v>
      </c>
      <c r="AH51" s="499">
        <v>-0.13</v>
      </c>
      <c r="AI51" s="499">
        <v>0</v>
      </c>
      <c r="AJ51" s="499">
        <v>0</v>
      </c>
      <c r="AK51" s="499">
        <v>0</v>
      </c>
      <c r="AL51" s="499">
        <f t="shared" si="9"/>
        <v>0</v>
      </c>
      <c r="AM51" s="499">
        <f t="shared" si="10"/>
        <v>-0.13</v>
      </c>
      <c r="AN51" s="529">
        <f t="shared" si="11"/>
        <v>-0.13</v>
      </c>
      <c r="AO51" s="579">
        <f>I51+AF51</f>
        <v>8003694</v>
      </c>
      <c r="AP51" s="498">
        <f>J51+U51</f>
        <v>5826751</v>
      </c>
      <c r="AQ51" s="498">
        <f t="shared" ref="AQ51:AQ52" si="118">Y51</f>
        <v>32000</v>
      </c>
      <c r="AR51" s="498">
        <f>K51+AA51</f>
        <v>1980258</v>
      </c>
      <c r="AS51" s="498">
        <f>L51+AB51</f>
        <v>116535</v>
      </c>
      <c r="AT51" s="498">
        <f>M51+AE51</f>
        <v>48150</v>
      </c>
      <c r="AU51" s="499">
        <f>N51+AN51</f>
        <v>13.422199999999998</v>
      </c>
      <c r="AV51" s="499">
        <f>O51+AL51</f>
        <v>10</v>
      </c>
      <c r="AW51" s="500">
        <f>P51+AM51</f>
        <v>3.4222000000000001</v>
      </c>
      <c r="AX51" s="580"/>
    </row>
    <row r="52" spans="1:51" s="569" customFormat="1" ht="12.75" customHeight="1" x14ac:dyDescent="0.2">
      <c r="A52" s="571">
        <v>13</v>
      </c>
      <c r="B52" s="572">
        <v>3473</v>
      </c>
      <c r="C52" s="572">
        <v>691003530</v>
      </c>
      <c r="D52" s="572">
        <v>72550392</v>
      </c>
      <c r="E52" s="573" t="s">
        <v>33</v>
      </c>
      <c r="F52" s="572">
        <v>3141</v>
      </c>
      <c r="G52" s="573" t="s">
        <v>321</v>
      </c>
      <c r="H52" s="736" t="s">
        <v>284</v>
      </c>
      <c r="I52" s="575">
        <f t="shared" si="114"/>
        <v>1069052</v>
      </c>
      <c r="J52" s="496">
        <v>782698</v>
      </c>
      <c r="K52" s="131">
        <f t="shared" ref="K52" si="119">ROUND((J52)*33.8%,0)</f>
        <v>264552</v>
      </c>
      <c r="L52" s="131">
        <f t="shared" ref="L52" si="120">ROUND(J52*2%,0)</f>
        <v>15654</v>
      </c>
      <c r="M52" s="496">
        <v>6148</v>
      </c>
      <c r="N52" s="576">
        <f t="shared" si="115"/>
        <v>2.66</v>
      </c>
      <c r="O52" s="577">
        <v>0</v>
      </c>
      <c r="P52" s="578">
        <v>2.66</v>
      </c>
      <c r="Q52" s="579">
        <f t="shared" si="116"/>
        <v>0</v>
      </c>
      <c r="R52" s="498">
        <v>0</v>
      </c>
      <c r="S52" s="498">
        <v>0</v>
      </c>
      <c r="T52" s="498">
        <v>0</v>
      </c>
      <c r="U52" s="498">
        <f t="shared" si="3"/>
        <v>0</v>
      </c>
      <c r="V52" s="498">
        <v>0</v>
      </c>
      <c r="W52" s="498">
        <v>0</v>
      </c>
      <c r="X52" s="498">
        <v>0</v>
      </c>
      <c r="Y52" s="498">
        <f t="shared" si="4"/>
        <v>0</v>
      </c>
      <c r="Z52" s="498">
        <f t="shared" si="5"/>
        <v>0</v>
      </c>
      <c r="AA52" s="131">
        <f t="shared" si="117"/>
        <v>0</v>
      </c>
      <c r="AB52" s="131">
        <f t="shared" si="6"/>
        <v>0</v>
      </c>
      <c r="AC52" s="498">
        <v>0</v>
      </c>
      <c r="AD52" s="498">
        <v>0</v>
      </c>
      <c r="AE52" s="498">
        <f t="shared" si="7"/>
        <v>0</v>
      </c>
      <c r="AF52" s="498">
        <f t="shared" si="8"/>
        <v>0</v>
      </c>
      <c r="AG52" s="499">
        <v>0</v>
      </c>
      <c r="AH52" s="499">
        <v>0</v>
      </c>
      <c r="AI52" s="499">
        <v>0</v>
      </c>
      <c r="AJ52" s="499">
        <v>0</v>
      </c>
      <c r="AK52" s="499">
        <v>0</v>
      </c>
      <c r="AL52" s="499">
        <f t="shared" si="9"/>
        <v>0</v>
      </c>
      <c r="AM52" s="499">
        <f t="shared" si="10"/>
        <v>0</v>
      </c>
      <c r="AN52" s="529">
        <f t="shared" si="11"/>
        <v>0</v>
      </c>
      <c r="AO52" s="579">
        <f>I52+AF52</f>
        <v>1069052</v>
      </c>
      <c r="AP52" s="498">
        <f>J52+U52</f>
        <v>782698</v>
      </c>
      <c r="AQ52" s="498">
        <f t="shared" si="118"/>
        <v>0</v>
      </c>
      <c r="AR52" s="498">
        <f>K52+AA52</f>
        <v>264552</v>
      </c>
      <c r="AS52" s="498">
        <f>L52+AB52</f>
        <v>15654</v>
      </c>
      <c r="AT52" s="498">
        <f>M52+AE52</f>
        <v>6148</v>
      </c>
      <c r="AU52" s="499">
        <f>N52+AN52</f>
        <v>2.66</v>
      </c>
      <c r="AV52" s="499">
        <f>O52+AL52</f>
        <v>0</v>
      </c>
      <c r="AW52" s="500">
        <f>P52+AM52</f>
        <v>2.66</v>
      </c>
      <c r="AX52" s="580"/>
      <c r="AY52" s="580"/>
    </row>
    <row r="53" spans="1:51" s="569" customFormat="1" ht="12.75" customHeight="1" x14ac:dyDescent="0.2">
      <c r="A53" s="299">
        <v>13</v>
      </c>
      <c r="B53" s="23">
        <v>3473</v>
      </c>
      <c r="C53" s="298">
        <v>691003530</v>
      </c>
      <c r="D53" s="298">
        <v>72550392</v>
      </c>
      <c r="E53" s="570" t="s">
        <v>34</v>
      </c>
      <c r="F53" s="23"/>
      <c r="G53" s="570"/>
      <c r="H53" s="735"/>
      <c r="I53" s="35">
        <f t="shared" ref="I53:P53" si="121">SUM(I51:I52)</f>
        <v>9073386</v>
      </c>
      <c r="J53" s="24">
        <f t="shared" si="121"/>
        <v>6641449</v>
      </c>
      <c r="K53" s="24">
        <f t="shared" si="121"/>
        <v>2244810</v>
      </c>
      <c r="L53" s="24">
        <f t="shared" si="121"/>
        <v>132829</v>
      </c>
      <c r="M53" s="24">
        <f t="shared" si="121"/>
        <v>54298</v>
      </c>
      <c r="N53" s="25">
        <f t="shared" si="121"/>
        <v>16.212199999999999</v>
      </c>
      <c r="O53" s="391">
        <f t="shared" si="121"/>
        <v>10</v>
      </c>
      <c r="P53" s="456">
        <f t="shared" si="121"/>
        <v>6.2122000000000002</v>
      </c>
      <c r="Q53" s="35">
        <f t="shared" ref="Q53:AW53" si="122">SUM(Q51:Q52)</f>
        <v>-32000</v>
      </c>
      <c r="R53" s="24">
        <f t="shared" si="122"/>
        <v>0</v>
      </c>
      <c r="S53" s="24">
        <f t="shared" si="122"/>
        <v>0</v>
      </c>
      <c r="T53" s="24">
        <f t="shared" si="122"/>
        <v>0</v>
      </c>
      <c r="U53" s="24">
        <f t="shared" si="122"/>
        <v>-32000</v>
      </c>
      <c r="V53" s="24">
        <f t="shared" si="122"/>
        <v>32000</v>
      </c>
      <c r="W53" s="24">
        <f t="shared" si="122"/>
        <v>0</v>
      </c>
      <c r="X53" s="24">
        <f t="shared" si="122"/>
        <v>0</v>
      </c>
      <c r="Y53" s="24">
        <f t="shared" si="122"/>
        <v>32000</v>
      </c>
      <c r="Z53" s="24">
        <f t="shared" si="122"/>
        <v>0</v>
      </c>
      <c r="AA53" s="24">
        <f t="shared" si="122"/>
        <v>0</v>
      </c>
      <c r="AB53" s="24">
        <f t="shared" si="122"/>
        <v>-640</v>
      </c>
      <c r="AC53" s="24">
        <f t="shared" si="122"/>
        <v>0</v>
      </c>
      <c r="AD53" s="24">
        <f t="shared" si="122"/>
        <v>0</v>
      </c>
      <c r="AE53" s="24">
        <f t="shared" si="122"/>
        <v>0</v>
      </c>
      <c r="AF53" s="24">
        <f t="shared" si="122"/>
        <v>-640</v>
      </c>
      <c r="AG53" s="25">
        <f t="shared" si="122"/>
        <v>0</v>
      </c>
      <c r="AH53" s="25">
        <f t="shared" si="122"/>
        <v>-0.13</v>
      </c>
      <c r="AI53" s="25">
        <f t="shared" si="122"/>
        <v>0</v>
      </c>
      <c r="AJ53" s="25">
        <f t="shared" si="122"/>
        <v>0</v>
      </c>
      <c r="AK53" s="25">
        <f t="shared" si="122"/>
        <v>0</v>
      </c>
      <c r="AL53" s="25">
        <f t="shared" si="122"/>
        <v>0</v>
      </c>
      <c r="AM53" s="25">
        <f t="shared" si="122"/>
        <v>-0.13</v>
      </c>
      <c r="AN53" s="392">
        <f t="shared" si="122"/>
        <v>-0.13</v>
      </c>
      <c r="AO53" s="35">
        <f t="shared" si="122"/>
        <v>9072746</v>
      </c>
      <c r="AP53" s="24">
        <f t="shared" si="122"/>
        <v>6609449</v>
      </c>
      <c r="AQ53" s="24">
        <f t="shared" si="122"/>
        <v>32000</v>
      </c>
      <c r="AR53" s="24">
        <f t="shared" si="122"/>
        <v>2244810</v>
      </c>
      <c r="AS53" s="24">
        <f t="shared" si="122"/>
        <v>132189</v>
      </c>
      <c r="AT53" s="24">
        <f t="shared" si="122"/>
        <v>54298</v>
      </c>
      <c r="AU53" s="25">
        <f t="shared" si="122"/>
        <v>16.0822</v>
      </c>
      <c r="AV53" s="25">
        <f t="shared" si="122"/>
        <v>10</v>
      </c>
      <c r="AW53" s="72">
        <f t="shared" si="122"/>
        <v>6.0822000000000003</v>
      </c>
      <c r="AX53" s="580"/>
    </row>
    <row r="54" spans="1:51" s="569" customFormat="1" ht="12.75" customHeight="1" x14ac:dyDescent="0.2">
      <c r="A54" s="571">
        <v>14</v>
      </c>
      <c r="B54" s="572">
        <v>3474</v>
      </c>
      <c r="C54" s="572">
        <v>691003505</v>
      </c>
      <c r="D54" s="572">
        <v>72550406</v>
      </c>
      <c r="E54" s="573" t="s">
        <v>35</v>
      </c>
      <c r="F54" s="572">
        <v>3111</v>
      </c>
      <c r="G54" s="573" t="s">
        <v>317</v>
      </c>
      <c r="H54" s="736" t="s">
        <v>283</v>
      </c>
      <c r="I54" s="575">
        <f t="shared" ref="I54:I56" si="123">SUM(J54:M54)</f>
        <v>4611753</v>
      </c>
      <c r="J54" s="496">
        <v>3374450</v>
      </c>
      <c r="K54" s="131">
        <f t="shared" ref="K54:K56" si="124">ROUND((J54)*33.8%,0)</f>
        <v>1140564</v>
      </c>
      <c r="L54" s="131">
        <f t="shared" ref="L54:L56" si="125">ROUND(J54*2%,0)</f>
        <v>67489</v>
      </c>
      <c r="M54" s="496">
        <v>29250</v>
      </c>
      <c r="N54" s="576">
        <f t="shared" ref="N54:N56" si="126">SUM(O54:P54)</f>
        <v>8.1341999999999999</v>
      </c>
      <c r="O54" s="577">
        <v>6</v>
      </c>
      <c r="P54" s="578">
        <v>2.1341999999999999</v>
      </c>
      <c r="Q54" s="579">
        <f t="shared" ref="Q54:Q56" si="127">V54*-1</f>
        <v>-24000</v>
      </c>
      <c r="R54" s="498">
        <v>0</v>
      </c>
      <c r="S54" s="498">
        <v>0</v>
      </c>
      <c r="T54" s="498">
        <v>112945</v>
      </c>
      <c r="U54" s="498">
        <f t="shared" si="3"/>
        <v>88945</v>
      </c>
      <c r="V54" s="498">
        <v>24000</v>
      </c>
      <c r="W54" s="498">
        <v>0</v>
      </c>
      <c r="X54" s="498">
        <v>0</v>
      </c>
      <c r="Y54" s="498">
        <f t="shared" si="4"/>
        <v>24000</v>
      </c>
      <c r="Z54" s="498">
        <f t="shared" si="5"/>
        <v>112945</v>
      </c>
      <c r="AA54" s="131">
        <f t="shared" ref="AA54:AA55" si="128">ROUND((U54+V54+W52)*33.8%,0)</f>
        <v>38175</v>
      </c>
      <c r="AB54" s="131">
        <f t="shared" si="6"/>
        <v>1779</v>
      </c>
      <c r="AC54" s="498">
        <v>0</v>
      </c>
      <c r="AD54" s="498">
        <v>0</v>
      </c>
      <c r="AE54" s="498">
        <f t="shared" si="7"/>
        <v>0</v>
      </c>
      <c r="AF54" s="498">
        <f t="shared" si="8"/>
        <v>152899</v>
      </c>
      <c r="AG54" s="499">
        <v>0</v>
      </c>
      <c r="AH54" s="499">
        <v>-7.0000000000000007E-2</v>
      </c>
      <c r="AI54" s="499">
        <v>0</v>
      </c>
      <c r="AJ54" s="499">
        <v>0.24</v>
      </c>
      <c r="AK54" s="499">
        <v>0</v>
      </c>
      <c r="AL54" s="499">
        <f t="shared" si="9"/>
        <v>0.24</v>
      </c>
      <c r="AM54" s="499">
        <f t="shared" si="10"/>
        <v>-7.0000000000000007E-2</v>
      </c>
      <c r="AN54" s="529">
        <f t="shared" si="11"/>
        <v>0.16999999999999998</v>
      </c>
      <c r="AO54" s="579">
        <f>I54+AF54</f>
        <v>4764652</v>
      </c>
      <c r="AP54" s="498">
        <f>J54+U54</f>
        <v>3463395</v>
      </c>
      <c r="AQ54" s="498">
        <f t="shared" ref="AQ54:AQ56" si="129">Y54</f>
        <v>24000</v>
      </c>
      <c r="AR54" s="498">
        <f t="shared" ref="AR54:AS56" si="130">K54+AA54</f>
        <v>1178739</v>
      </c>
      <c r="AS54" s="498">
        <f t="shared" si="130"/>
        <v>69268</v>
      </c>
      <c r="AT54" s="498">
        <f>M54+AE54</f>
        <v>29250</v>
      </c>
      <c r="AU54" s="499">
        <f>N54+AN54</f>
        <v>8.3041999999999998</v>
      </c>
      <c r="AV54" s="499">
        <f t="shared" ref="AV54:AW56" si="131">O54+AL54</f>
        <v>6.24</v>
      </c>
      <c r="AW54" s="500">
        <f t="shared" si="131"/>
        <v>2.0642</v>
      </c>
      <c r="AX54" s="580"/>
    </row>
    <row r="55" spans="1:51" s="569" customFormat="1" ht="12.75" customHeight="1" x14ac:dyDescent="0.2">
      <c r="A55" s="571">
        <v>14</v>
      </c>
      <c r="B55" s="572">
        <v>3474</v>
      </c>
      <c r="C55" s="572">
        <v>691003505</v>
      </c>
      <c r="D55" s="572">
        <v>72550406</v>
      </c>
      <c r="E55" s="573" t="s">
        <v>35</v>
      </c>
      <c r="F55" s="572">
        <v>3111</v>
      </c>
      <c r="G55" s="573" t="s">
        <v>318</v>
      </c>
      <c r="H55" s="736" t="s">
        <v>284</v>
      </c>
      <c r="I55" s="575">
        <f t="shared" si="123"/>
        <v>0</v>
      </c>
      <c r="J55" s="496">
        <v>0</v>
      </c>
      <c r="K55" s="131">
        <f t="shared" si="124"/>
        <v>0</v>
      </c>
      <c r="L55" s="131">
        <f t="shared" si="125"/>
        <v>0</v>
      </c>
      <c r="M55" s="496">
        <v>0</v>
      </c>
      <c r="N55" s="576">
        <f t="shared" si="126"/>
        <v>0</v>
      </c>
      <c r="O55" s="577">
        <v>0</v>
      </c>
      <c r="P55" s="578">
        <v>0</v>
      </c>
      <c r="Q55" s="579">
        <f t="shared" si="127"/>
        <v>0</v>
      </c>
      <c r="R55" s="496">
        <v>433055</v>
      </c>
      <c r="S55" s="498">
        <v>0</v>
      </c>
      <c r="T55" s="498">
        <v>0</v>
      </c>
      <c r="U55" s="498">
        <f t="shared" ref="U55" si="132">SUM(Q55:T55)</f>
        <v>433055</v>
      </c>
      <c r="V55" s="498">
        <v>0</v>
      </c>
      <c r="W55" s="498">
        <v>0</v>
      </c>
      <c r="X55" s="498">
        <v>0</v>
      </c>
      <c r="Y55" s="498">
        <f t="shared" ref="Y55" si="133">SUM(V55:X55)</f>
        <v>0</v>
      </c>
      <c r="Z55" s="498">
        <f t="shared" si="5"/>
        <v>433055</v>
      </c>
      <c r="AA55" s="131">
        <f t="shared" si="128"/>
        <v>146373</v>
      </c>
      <c r="AB55" s="131">
        <f t="shared" si="6"/>
        <v>8661</v>
      </c>
      <c r="AC55" s="498">
        <v>0</v>
      </c>
      <c r="AD55" s="498">
        <v>0</v>
      </c>
      <c r="AE55" s="498">
        <f t="shared" si="7"/>
        <v>0</v>
      </c>
      <c r="AF55" s="498">
        <f t="shared" si="8"/>
        <v>588089</v>
      </c>
      <c r="AG55" s="499">
        <v>0</v>
      </c>
      <c r="AH55" s="499">
        <v>0</v>
      </c>
      <c r="AI55" s="499">
        <v>1.25</v>
      </c>
      <c r="AJ55" s="499">
        <v>0</v>
      </c>
      <c r="AK55" s="499">
        <v>0</v>
      </c>
      <c r="AL55" s="499">
        <f t="shared" si="9"/>
        <v>1.25</v>
      </c>
      <c r="AM55" s="499">
        <f t="shared" si="10"/>
        <v>0</v>
      </c>
      <c r="AN55" s="529">
        <f t="shared" si="11"/>
        <v>1.25</v>
      </c>
      <c r="AO55" s="579">
        <f>I55+AF55</f>
        <v>588089</v>
      </c>
      <c r="AP55" s="498">
        <f>J55+U55</f>
        <v>433055</v>
      </c>
      <c r="AQ55" s="498">
        <f t="shared" si="129"/>
        <v>0</v>
      </c>
      <c r="AR55" s="498">
        <f t="shared" si="130"/>
        <v>146373</v>
      </c>
      <c r="AS55" s="498">
        <f t="shared" si="130"/>
        <v>8661</v>
      </c>
      <c r="AT55" s="498">
        <f>M55+AE55</f>
        <v>0</v>
      </c>
      <c r="AU55" s="499">
        <f>N55+AN55</f>
        <v>1.25</v>
      </c>
      <c r="AV55" s="499">
        <f t="shared" si="131"/>
        <v>1.25</v>
      </c>
      <c r="AW55" s="500">
        <f t="shared" si="131"/>
        <v>0</v>
      </c>
      <c r="AX55" s="580"/>
    </row>
    <row r="56" spans="1:51" s="569" customFormat="1" ht="12.75" customHeight="1" x14ac:dyDescent="0.2">
      <c r="A56" s="571">
        <v>14</v>
      </c>
      <c r="B56" s="572">
        <v>3474</v>
      </c>
      <c r="C56" s="572">
        <v>691003505</v>
      </c>
      <c r="D56" s="572">
        <v>72550406</v>
      </c>
      <c r="E56" s="573" t="s">
        <v>36</v>
      </c>
      <c r="F56" s="572">
        <v>3141</v>
      </c>
      <c r="G56" s="573" t="s">
        <v>321</v>
      </c>
      <c r="H56" s="736" t="s">
        <v>284</v>
      </c>
      <c r="I56" s="575">
        <f t="shared" si="123"/>
        <v>760831</v>
      </c>
      <c r="J56" s="496">
        <v>557482</v>
      </c>
      <c r="K56" s="131">
        <f t="shared" si="124"/>
        <v>188429</v>
      </c>
      <c r="L56" s="131">
        <f t="shared" si="125"/>
        <v>11150</v>
      </c>
      <c r="M56" s="496">
        <v>3770</v>
      </c>
      <c r="N56" s="576">
        <f t="shared" si="126"/>
        <v>1.9</v>
      </c>
      <c r="O56" s="577">
        <v>0</v>
      </c>
      <c r="P56" s="578">
        <v>1.9</v>
      </c>
      <c r="Q56" s="579">
        <f t="shared" si="127"/>
        <v>0</v>
      </c>
      <c r="R56" s="498">
        <v>0</v>
      </c>
      <c r="S56" s="498">
        <v>0</v>
      </c>
      <c r="T56" s="498">
        <v>0</v>
      </c>
      <c r="U56" s="498">
        <f t="shared" si="3"/>
        <v>0</v>
      </c>
      <c r="V56" s="498">
        <v>0</v>
      </c>
      <c r="W56" s="498">
        <v>0</v>
      </c>
      <c r="X56" s="498">
        <v>0</v>
      </c>
      <c r="Y56" s="498">
        <f t="shared" si="4"/>
        <v>0</v>
      </c>
      <c r="Z56" s="498">
        <f t="shared" si="5"/>
        <v>0</v>
      </c>
      <c r="AA56" s="131">
        <f>ROUND((U56+V56+W53)*33.8%,0)</f>
        <v>0</v>
      </c>
      <c r="AB56" s="131">
        <f t="shared" si="6"/>
        <v>0</v>
      </c>
      <c r="AC56" s="498">
        <v>0</v>
      </c>
      <c r="AD56" s="498">
        <v>0</v>
      </c>
      <c r="AE56" s="498">
        <f t="shared" si="7"/>
        <v>0</v>
      </c>
      <c r="AF56" s="498">
        <f t="shared" si="8"/>
        <v>0</v>
      </c>
      <c r="AG56" s="499">
        <v>0</v>
      </c>
      <c r="AH56" s="499">
        <v>0</v>
      </c>
      <c r="AI56" s="499">
        <v>0</v>
      </c>
      <c r="AJ56" s="499">
        <v>0</v>
      </c>
      <c r="AK56" s="499">
        <v>0</v>
      </c>
      <c r="AL56" s="499">
        <f t="shared" si="9"/>
        <v>0</v>
      </c>
      <c r="AM56" s="499">
        <f t="shared" si="10"/>
        <v>0</v>
      </c>
      <c r="AN56" s="529">
        <f t="shared" si="11"/>
        <v>0</v>
      </c>
      <c r="AO56" s="579">
        <f>I56+AF56</f>
        <v>760831</v>
      </c>
      <c r="AP56" s="498">
        <f>J56+U56</f>
        <v>557482</v>
      </c>
      <c r="AQ56" s="498">
        <f t="shared" si="129"/>
        <v>0</v>
      </c>
      <c r="AR56" s="498">
        <f t="shared" si="130"/>
        <v>188429</v>
      </c>
      <c r="AS56" s="498">
        <f t="shared" si="130"/>
        <v>11150</v>
      </c>
      <c r="AT56" s="498">
        <f>M56+AE56</f>
        <v>3770</v>
      </c>
      <c r="AU56" s="499">
        <f>N56+AN56</f>
        <v>1.9</v>
      </c>
      <c r="AV56" s="499">
        <f t="shared" si="131"/>
        <v>0</v>
      </c>
      <c r="AW56" s="500">
        <f t="shared" si="131"/>
        <v>1.9</v>
      </c>
      <c r="AX56" s="580"/>
      <c r="AY56" s="580"/>
    </row>
    <row r="57" spans="1:51" s="569" customFormat="1" ht="12.75" customHeight="1" x14ac:dyDescent="0.2">
      <c r="A57" s="299">
        <v>14</v>
      </c>
      <c r="B57" s="23">
        <v>3474</v>
      </c>
      <c r="C57" s="298">
        <v>691003505</v>
      </c>
      <c r="D57" s="298">
        <v>72550406</v>
      </c>
      <c r="E57" s="570" t="s">
        <v>37</v>
      </c>
      <c r="F57" s="23"/>
      <c r="G57" s="570"/>
      <c r="H57" s="735"/>
      <c r="I57" s="35">
        <f t="shared" ref="I57:P57" si="134">SUM(I54:I56)</f>
        <v>5372584</v>
      </c>
      <c r="J57" s="24">
        <f t="shared" si="134"/>
        <v>3931932</v>
      </c>
      <c r="K57" s="24">
        <f t="shared" si="134"/>
        <v>1328993</v>
      </c>
      <c r="L57" s="24">
        <f t="shared" si="134"/>
        <v>78639</v>
      </c>
      <c r="M57" s="24">
        <f t="shared" si="134"/>
        <v>33020</v>
      </c>
      <c r="N57" s="25">
        <f t="shared" si="134"/>
        <v>10.0342</v>
      </c>
      <c r="O57" s="391">
        <f t="shared" si="134"/>
        <v>6</v>
      </c>
      <c r="P57" s="456">
        <f t="shared" si="134"/>
        <v>4.0342000000000002</v>
      </c>
      <c r="Q57" s="35">
        <f t="shared" ref="Q57:AW57" si="135">SUM(Q54:Q56)</f>
        <v>-24000</v>
      </c>
      <c r="R57" s="24">
        <f t="shared" si="135"/>
        <v>433055</v>
      </c>
      <c r="S57" s="24">
        <f t="shared" si="135"/>
        <v>0</v>
      </c>
      <c r="T57" s="24">
        <f t="shared" si="135"/>
        <v>112945</v>
      </c>
      <c r="U57" s="24">
        <f t="shared" si="135"/>
        <v>522000</v>
      </c>
      <c r="V57" s="24">
        <f t="shared" si="135"/>
        <v>24000</v>
      </c>
      <c r="W57" s="24">
        <f t="shared" si="135"/>
        <v>0</v>
      </c>
      <c r="X57" s="24">
        <f t="shared" si="135"/>
        <v>0</v>
      </c>
      <c r="Y57" s="24">
        <f t="shared" si="135"/>
        <v>24000</v>
      </c>
      <c r="Z57" s="24">
        <f t="shared" si="135"/>
        <v>546000</v>
      </c>
      <c r="AA57" s="24">
        <f t="shared" si="135"/>
        <v>184548</v>
      </c>
      <c r="AB57" s="24">
        <f t="shared" si="135"/>
        <v>10440</v>
      </c>
      <c r="AC57" s="24">
        <f t="shared" si="135"/>
        <v>0</v>
      </c>
      <c r="AD57" s="24">
        <f t="shared" si="135"/>
        <v>0</v>
      </c>
      <c r="AE57" s="24">
        <f t="shared" si="135"/>
        <v>0</v>
      </c>
      <c r="AF57" s="24">
        <f t="shared" si="135"/>
        <v>740988</v>
      </c>
      <c r="AG57" s="25">
        <f t="shared" si="135"/>
        <v>0</v>
      </c>
      <c r="AH57" s="25">
        <f t="shared" si="135"/>
        <v>-7.0000000000000007E-2</v>
      </c>
      <c r="AI57" s="25">
        <f t="shared" si="135"/>
        <v>1.25</v>
      </c>
      <c r="AJ57" s="25">
        <f t="shared" si="135"/>
        <v>0.24</v>
      </c>
      <c r="AK57" s="25">
        <f t="shared" si="135"/>
        <v>0</v>
      </c>
      <c r="AL57" s="25">
        <f t="shared" si="135"/>
        <v>1.49</v>
      </c>
      <c r="AM57" s="25">
        <f t="shared" si="135"/>
        <v>-7.0000000000000007E-2</v>
      </c>
      <c r="AN57" s="392">
        <f t="shared" si="135"/>
        <v>1.42</v>
      </c>
      <c r="AO57" s="35">
        <f t="shared" si="135"/>
        <v>6113572</v>
      </c>
      <c r="AP57" s="24">
        <f t="shared" si="135"/>
        <v>4453932</v>
      </c>
      <c r="AQ57" s="24">
        <f t="shared" si="135"/>
        <v>24000</v>
      </c>
      <c r="AR57" s="24">
        <f t="shared" si="135"/>
        <v>1513541</v>
      </c>
      <c r="AS57" s="24">
        <f t="shared" si="135"/>
        <v>89079</v>
      </c>
      <c r="AT57" s="24">
        <f t="shared" si="135"/>
        <v>33020</v>
      </c>
      <c r="AU57" s="25">
        <f t="shared" si="135"/>
        <v>11.4542</v>
      </c>
      <c r="AV57" s="25">
        <f t="shared" si="135"/>
        <v>7.49</v>
      </c>
      <c r="AW57" s="72">
        <f t="shared" si="135"/>
        <v>3.9641999999999999</v>
      </c>
      <c r="AX57" s="580"/>
    </row>
    <row r="58" spans="1:51" s="569" customFormat="1" ht="12.75" customHeight="1" x14ac:dyDescent="0.2">
      <c r="A58" s="571">
        <v>15</v>
      </c>
      <c r="B58" s="572">
        <v>3466</v>
      </c>
      <c r="C58" s="572">
        <v>691001260</v>
      </c>
      <c r="D58" s="572">
        <v>72048085</v>
      </c>
      <c r="E58" s="573" t="s">
        <v>38</v>
      </c>
      <c r="F58" s="572">
        <v>3111</v>
      </c>
      <c r="G58" s="573" t="s">
        <v>317</v>
      </c>
      <c r="H58" s="736" t="s">
        <v>283</v>
      </c>
      <c r="I58" s="575">
        <f t="shared" ref="I58:I60" si="136">SUM(J58:M58)</f>
        <v>4855487</v>
      </c>
      <c r="J58" s="496">
        <v>3552605</v>
      </c>
      <c r="K58" s="131">
        <f t="shared" ref="K58:K60" si="137">ROUND((J58)*33.8%,0)</f>
        <v>1200780</v>
      </c>
      <c r="L58" s="131">
        <f t="shared" ref="L58:L60" si="138">ROUND(J58*2%,0)</f>
        <v>71052</v>
      </c>
      <c r="M58" s="496">
        <v>31050</v>
      </c>
      <c r="N58" s="576">
        <f t="shared" ref="N58:N60" si="139">SUM(O58:P58)</f>
        <v>8.1341999999999999</v>
      </c>
      <c r="O58" s="577">
        <v>6</v>
      </c>
      <c r="P58" s="578">
        <v>2.1341999999999999</v>
      </c>
      <c r="Q58" s="579">
        <f t="shared" ref="Q58:Q60" si="140">V58*-1</f>
        <v>-68000</v>
      </c>
      <c r="R58" s="498">
        <v>0</v>
      </c>
      <c r="S58" s="498">
        <v>0</v>
      </c>
      <c r="T58" s="498">
        <v>0</v>
      </c>
      <c r="U58" s="498">
        <f t="shared" si="3"/>
        <v>-68000</v>
      </c>
      <c r="V58" s="498">
        <v>68000</v>
      </c>
      <c r="W58" s="498">
        <v>0</v>
      </c>
      <c r="X58" s="498">
        <v>0</v>
      </c>
      <c r="Y58" s="498">
        <f t="shared" si="4"/>
        <v>68000</v>
      </c>
      <c r="Z58" s="498">
        <f t="shared" si="5"/>
        <v>0</v>
      </c>
      <c r="AA58" s="131">
        <f t="shared" ref="AA58:AA60" si="141">ROUND((U58+V58+W56)*33.8%,0)</f>
        <v>0</v>
      </c>
      <c r="AB58" s="131">
        <f t="shared" si="6"/>
        <v>-1360</v>
      </c>
      <c r="AC58" s="498">
        <v>0</v>
      </c>
      <c r="AD58" s="498">
        <v>0</v>
      </c>
      <c r="AE58" s="498">
        <f t="shared" si="7"/>
        <v>0</v>
      </c>
      <c r="AF58" s="498">
        <f t="shared" si="8"/>
        <v>-1360</v>
      </c>
      <c r="AG58" s="499">
        <v>0</v>
      </c>
      <c r="AH58" s="499">
        <v>-0.13</v>
      </c>
      <c r="AI58" s="499">
        <v>0</v>
      </c>
      <c r="AJ58" s="499">
        <v>0</v>
      </c>
      <c r="AK58" s="499">
        <v>0</v>
      </c>
      <c r="AL58" s="499">
        <f t="shared" si="9"/>
        <v>0</v>
      </c>
      <c r="AM58" s="499">
        <f t="shared" si="10"/>
        <v>-0.13</v>
      </c>
      <c r="AN58" s="529">
        <f t="shared" si="11"/>
        <v>-0.13</v>
      </c>
      <c r="AO58" s="579">
        <f>I58+AF58</f>
        <v>4854127</v>
      </c>
      <c r="AP58" s="498">
        <f>J58+U58</f>
        <v>3484605</v>
      </c>
      <c r="AQ58" s="498">
        <f t="shared" ref="AQ58:AQ60" si="142">Y58</f>
        <v>68000</v>
      </c>
      <c r="AR58" s="498">
        <f t="shared" ref="AR58:AS60" si="143">K58+AA58</f>
        <v>1200780</v>
      </c>
      <c r="AS58" s="498">
        <f t="shared" si="143"/>
        <v>69692</v>
      </c>
      <c r="AT58" s="498">
        <f>M58+AE58</f>
        <v>31050</v>
      </c>
      <c r="AU58" s="499">
        <f>N58+AN58</f>
        <v>8.0041999999999991</v>
      </c>
      <c r="AV58" s="499">
        <f t="shared" ref="AV58:AW60" si="144">O58+AL58</f>
        <v>6</v>
      </c>
      <c r="AW58" s="500">
        <f t="shared" si="144"/>
        <v>2.0042</v>
      </c>
      <c r="AX58" s="580"/>
    </row>
    <row r="59" spans="1:51" s="569" customFormat="1" x14ac:dyDescent="0.2">
      <c r="A59" s="571">
        <v>15</v>
      </c>
      <c r="B59" s="572">
        <v>3466</v>
      </c>
      <c r="C59" s="572">
        <v>691001260</v>
      </c>
      <c r="D59" s="572">
        <v>72048085</v>
      </c>
      <c r="E59" s="573" t="s">
        <v>38</v>
      </c>
      <c r="F59" s="572">
        <v>3111</v>
      </c>
      <c r="G59" s="573" t="s">
        <v>318</v>
      </c>
      <c r="H59" s="736" t="s">
        <v>284</v>
      </c>
      <c r="I59" s="575">
        <f t="shared" si="136"/>
        <v>0</v>
      </c>
      <c r="J59" s="496">
        <v>0</v>
      </c>
      <c r="K59" s="131">
        <f t="shared" si="137"/>
        <v>0</v>
      </c>
      <c r="L59" s="131">
        <f t="shared" si="138"/>
        <v>0</v>
      </c>
      <c r="M59" s="496">
        <v>0</v>
      </c>
      <c r="N59" s="576">
        <f t="shared" si="139"/>
        <v>0</v>
      </c>
      <c r="O59" s="577">
        <v>0</v>
      </c>
      <c r="P59" s="578">
        <v>0</v>
      </c>
      <c r="Q59" s="579">
        <f t="shared" si="140"/>
        <v>0</v>
      </c>
      <c r="R59" s="496">
        <v>173222</v>
      </c>
      <c r="S59" s="498">
        <v>0</v>
      </c>
      <c r="T59" s="498">
        <v>0</v>
      </c>
      <c r="U59" s="498">
        <f t="shared" si="3"/>
        <v>173222</v>
      </c>
      <c r="V59" s="498">
        <v>0</v>
      </c>
      <c r="W59" s="498">
        <v>0</v>
      </c>
      <c r="X59" s="498">
        <v>0</v>
      </c>
      <c r="Y59" s="498">
        <f t="shared" si="4"/>
        <v>0</v>
      </c>
      <c r="Z59" s="498">
        <f t="shared" si="5"/>
        <v>173222</v>
      </c>
      <c r="AA59" s="131">
        <f t="shared" si="141"/>
        <v>58549</v>
      </c>
      <c r="AB59" s="131">
        <f t="shared" si="6"/>
        <v>3464</v>
      </c>
      <c r="AC59" s="498">
        <v>0</v>
      </c>
      <c r="AD59" s="498">
        <v>0</v>
      </c>
      <c r="AE59" s="498">
        <f t="shared" si="7"/>
        <v>0</v>
      </c>
      <c r="AF59" s="498">
        <f t="shared" si="8"/>
        <v>235235</v>
      </c>
      <c r="AG59" s="499">
        <v>0</v>
      </c>
      <c r="AH59" s="499">
        <v>0</v>
      </c>
      <c r="AI59" s="499">
        <v>0.5</v>
      </c>
      <c r="AJ59" s="499">
        <v>0</v>
      </c>
      <c r="AK59" s="499">
        <v>0</v>
      </c>
      <c r="AL59" s="499">
        <f t="shared" si="9"/>
        <v>0.5</v>
      </c>
      <c r="AM59" s="499">
        <f t="shared" si="10"/>
        <v>0</v>
      </c>
      <c r="AN59" s="529">
        <f t="shared" si="11"/>
        <v>0.5</v>
      </c>
      <c r="AO59" s="579">
        <f>I59+AF59</f>
        <v>235235</v>
      </c>
      <c r="AP59" s="498">
        <f>J59+U59</f>
        <v>173222</v>
      </c>
      <c r="AQ59" s="498">
        <f t="shared" si="142"/>
        <v>0</v>
      </c>
      <c r="AR59" s="498">
        <f t="shared" si="143"/>
        <v>58549</v>
      </c>
      <c r="AS59" s="498">
        <f t="shared" si="143"/>
        <v>3464</v>
      </c>
      <c r="AT59" s="498">
        <f>M59+AE59</f>
        <v>0</v>
      </c>
      <c r="AU59" s="499">
        <f>N59+AN59</f>
        <v>0.5</v>
      </c>
      <c r="AV59" s="499">
        <f t="shared" si="144"/>
        <v>0.5</v>
      </c>
      <c r="AW59" s="500">
        <f t="shared" si="144"/>
        <v>0</v>
      </c>
      <c r="AX59" s="580"/>
    </row>
    <row r="60" spans="1:51" s="569" customFormat="1" ht="12.75" customHeight="1" x14ac:dyDescent="0.2">
      <c r="A60" s="571">
        <v>15</v>
      </c>
      <c r="B60" s="572">
        <v>3466</v>
      </c>
      <c r="C60" s="572">
        <v>691001260</v>
      </c>
      <c r="D60" s="572">
        <v>72048085</v>
      </c>
      <c r="E60" s="573" t="s">
        <v>38</v>
      </c>
      <c r="F60" s="572">
        <v>3141</v>
      </c>
      <c r="G60" s="573" t="s">
        <v>321</v>
      </c>
      <c r="H60" s="736" t="s">
        <v>284</v>
      </c>
      <c r="I60" s="575">
        <f t="shared" si="136"/>
        <v>792108</v>
      </c>
      <c r="J60" s="496">
        <v>580343</v>
      </c>
      <c r="K60" s="131">
        <f t="shared" si="137"/>
        <v>196156</v>
      </c>
      <c r="L60" s="131">
        <f t="shared" si="138"/>
        <v>11607</v>
      </c>
      <c r="M60" s="496">
        <v>4002</v>
      </c>
      <c r="N60" s="576">
        <f t="shared" si="139"/>
        <v>1.97</v>
      </c>
      <c r="O60" s="577">
        <v>0</v>
      </c>
      <c r="P60" s="578">
        <v>1.97</v>
      </c>
      <c r="Q60" s="579">
        <f t="shared" si="140"/>
        <v>0</v>
      </c>
      <c r="R60" s="498">
        <v>0</v>
      </c>
      <c r="S60" s="498">
        <v>0</v>
      </c>
      <c r="T60" s="498">
        <v>0</v>
      </c>
      <c r="U60" s="498">
        <f t="shared" si="3"/>
        <v>0</v>
      </c>
      <c r="V60" s="498">
        <v>0</v>
      </c>
      <c r="W60" s="498">
        <v>0</v>
      </c>
      <c r="X60" s="498">
        <v>0</v>
      </c>
      <c r="Y60" s="498">
        <f t="shared" si="4"/>
        <v>0</v>
      </c>
      <c r="Z60" s="498">
        <f t="shared" si="5"/>
        <v>0</v>
      </c>
      <c r="AA60" s="131">
        <f t="shared" si="141"/>
        <v>0</v>
      </c>
      <c r="AB60" s="131">
        <f t="shared" si="6"/>
        <v>0</v>
      </c>
      <c r="AC60" s="498">
        <v>0</v>
      </c>
      <c r="AD60" s="498">
        <v>0</v>
      </c>
      <c r="AE60" s="498">
        <f t="shared" si="7"/>
        <v>0</v>
      </c>
      <c r="AF60" s="498">
        <f t="shared" si="8"/>
        <v>0</v>
      </c>
      <c r="AG60" s="499">
        <v>0</v>
      </c>
      <c r="AH60" s="499">
        <v>0</v>
      </c>
      <c r="AI60" s="499">
        <v>0</v>
      </c>
      <c r="AJ60" s="499">
        <v>0</v>
      </c>
      <c r="AK60" s="499">
        <v>0</v>
      </c>
      <c r="AL60" s="499">
        <f t="shared" si="9"/>
        <v>0</v>
      </c>
      <c r="AM60" s="499">
        <f t="shared" si="10"/>
        <v>0</v>
      </c>
      <c r="AN60" s="529">
        <f t="shared" si="11"/>
        <v>0</v>
      </c>
      <c r="AO60" s="579">
        <f>I60+AF60</f>
        <v>792108</v>
      </c>
      <c r="AP60" s="498">
        <f>J60+U60</f>
        <v>580343</v>
      </c>
      <c r="AQ60" s="498">
        <f t="shared" si="142"/>
        <v>0</v>
      </c>
      <c r="AR60" s="498">
        <f t="shared" si="143"/>
        <v>196156</v>
      </c>
      <c r="AS60" s="498">
        <f t="shared" si="143"/>
        <v>11607</v>
      </c>
      <c r="AT60" s="498">
        <f>M60+AE60</f>
        <v>4002</v>
      </c>
      <c r="AU60" s="499">
        <f>N60+AN60</f>
        <v>1.97</v>
      </c>
      <c r="AV60" s="499">
        <f t="shared" si="144"/>
        <v>0</v>
      </c>
      <c r="AW60" s="500">
        <f t="shared" si="144"/>
        <v>1.97</v>
      </c>
      <c r="AX60" s="580"/>
      <c r="AY60" s="580"/>
    </row>
    <row r="61" spans="1:51" s="569" customFormat="1" ht="12.75" customHeight="1" x14ac:dyDescent="0.2">
      <c r="A61" s="299">
        <v>15</v>
      </c>
      <c r="B61" s="23">
        <v>3466</v>
      </c>
      <c r="C61" s="298">
        <v>691001260</v>
      </c>
      <c r="D61" s="298">
        <v>72048085</v>
      </c>
      <c r="E61" s="570" t="s">
        <v>39</v>
      </c>
      <c r="F61" s="23"/>
      <c r="G61" s="570"/>
      <c r="H61" s="735"/>
      <c r="I61" s="35">
        <f t="shared" ref="I61:P61" si="145">SUM(I58:I60)</f>
        <v>5647595</v>
      </c>
      <c r="J61" s="24">
        <f t="shared" si="145"/>
        <v>4132948</v>
      </c>
      <c r="K61" s="24">
        <f t="shared" si="145"/>
        <v>1396936</v>
      </c>
      <c r="L61" s="24">
        <f t="shared" si="145"/>
        <v>82659</v>
      </c>
      <c r="M61" s="24">
        <f t="shared" si="145"/>
        <v>35052</v>
      </c>
      <c r="N61" s="25">
        <f t="shared" si="145"/>
        <v>10.104200000000001</v>
      </c>
      <c r="O61" s="391">
        <f t="shared" si="145"/>
        <v>6</v>
      </c>
      <c r="P61" s="456">
        <f t="shared" si="145"/>
        <v>4.1041999999999996</v>
      </c>
      <c r="Q61" s="35">
        <f t="shared" ref="Q61:AW61" si="146">SUM(Q58:Q60)</f>
        <v>-68000</v>
      </c>
      <c r="R61" s="24">
        <f t="shared" si="146"/>
        <v>173222</v>
      </c>
      <c r="S61" s="24">
        <f t="shared" si="146"/>
        <v>0</v>
      </c>
      <c r="T61" s="24">
        <f t="shared" si="146"/>
        <v>0</v>
      </c>
      <c r="U61" s="24">
        <f t="shared" si="146"/>
        <v>105222</v>
      </c>
      <c r="V61" s="24">
        <f t="shared" si="146"/>
        <v>68000</v>
      </c>
      <c r="W61" s="24">
        <f t="shared" si="146"/>
        <v>0</v>
      </c>
      <c r="X61" s="24">
        <f t="shared" si="146"/>
        <v>0</v>
      </c>
      <c r="Y61" s="24">
        <f t="shared" si="146"/>
        <v>68000</v>
      </c>
      <c r="Z61" s="24">
        <f t="shared" si="146"/>
        <v>173222</v>
      </c>
      <c r="AA61" s="24">
        <f t="shared" si="146"/>
        <v>58549</v>
      </c>
      <c r="AB61" s="24">
        <f t="shared" si="146"/>
        <v>2104</v>
      </c>
      <c r="AC61" s="24">
        <f t="shared" si="146"/>
        <v>0</v>
      </c>
      <c r="AD61" s="24">
        <f t="shared" si="146"/>
        <v>0</v>
      </c>
      <c r="AE61" s="24">
        <f t="shared" si="146"/>
        <v>0</v>
      </c>
      <c r="AF61" s="24">
        <f t="shared" si="146"/>
        <v>233875</v>
      </c>
      <c r="AG61" s="25">
        <f t="shared" si="146"/>
        <v>0</v>
      </c>
      <c r="AH61" s="25">
        <f t="shared" si="146"/>
        <v>-0.13</v>
      </c>
      <c r="AI61" s="25">
        <f t="shared" si="146"/>
        <v>0.5</v>
      </c>
      <c r="AJ61" s="25">
        <f t="shared" si="146"/>
        <v>0</v>
      </c>
      <c r="AK61" s="25">
        <f t="shared" si="146"/>
        <v>0</v>
      </c>
      <c r="AL61" s="25">
        <f t="shared" si="146"/>
        <v>0.5</v>
      </c>
      <c r="AM61" s="25">
        <f t="shared" si="146"/>
        <v>-0.13</v>
      </c>
      <c r="AN61" s="392">
        <f t="shared" si="146"/>
        <v>0.37</v>
      </c>
      <c r="AO61" s="35">
        <f t="shared" si="146"/>
        <v>5881470</v>
      </c>
      <c r="AP61" s="24">
        <f t="shared" si="146"/>
        <v>4238170</v>
      </c>
      <c r="AQ61" s="24">
        <f t="shared" si="146"/>
        <v>68000</v>
      </c>
      <c r="AR61" s="24">
        <f t="shared" si="146"/>
        <v>1455485</v>
      </c>
      <c r="AS61" s="24">
        <f t="shared" si="146"/>
        <v>84763</v>
      </c>
      <c r="AT61" s="24">
        <f t="shared" si="146"/>
        <v>35052</v>
      </c>
      <c r="AU61" s="25">
        <f t="shared" si="146"/>
        <v>10.4742</v>
      </c>
      <c r="AV61" s="25">
        <f t="shared" si="146"/>
        <v>6.5</v>
      </c>
      <c r="AW61" s="72">
        <f t="shared" si="146"/>
        <v>3.9741999999999997</v>
      </c>
      <c r="AX61" s="580"/>
    </row>
    <row r="62" spans="1:51" s="569" customFormat="1" ht="12.75" customHeight="1" x14ac:dyDescent="0.2">
      <c r="A62" s="571">
        <v>16</v>
      </c>
      <c r="B62" s="572">
        <v>3407</v>
      </c>
      <c r="C62" s="572">
        <v>667000089</v>
      </c>
      <c r="D62" s="572">
        <v>72743778</v>
      </c>
      <c r="E62" s="573" t="s">
        <v>40</v>
      </c>
      <c r="F62" s="572">
        <v>3111</v>
      </c>
      <c r="G62" s="573" t="s">
        <v>317</v>
      </c>
      <c r="H62" s="736" t="s">
        <v>283</v>
      </c>
      <c r="I62" s="575">
        <f t="shared" ref="I62:I63" si="147">SUM(J62:M62)</f>
        <v>11020120</v>
      </c>
      <c r="J62" s="496">
        <v>8067246</v>
      </c>
      <c r="K62" s="131">
        <f>ROUND((J62)*33.8%,0)</f>
        <v>2726729</v>
      </c>
      <c r="L62" s="131">
        <f>ROUND(J62*2%,0)</f>
        <v>161345</v>
      </c>
      <c r="M62" s="496">
        <v>64800</v>
      </c>
      <c r="N62" s="576">
        <f t="shared" ref="N62:N63" si="148">SUM(O62:P62)</f>
        <v>18.884999999999998</v>
      </c>
      <c r="O62" s="577">
        <v>14</v>
      </c>
      <c r="P62" s="578">
        <v>4.8849999999999998</v>
      </c>
      <c r="Q62" s="579">
        <f t="shared" ref="Q62:Q63" si="149">V62*-1</f>
        <v>-24000</v>
      </c>
      <c r="R62" s="498">
        <v>0</v>
      </c>
      <c r="S62" s="498">
        <v>0</v>
      </c>
      <c r="T62" s="498">
        <v>0</v>
      </c>
      <c r="U62" s="498">
        <f t="shared" si="3"/>
        <v>-24000</v>
      </c>
      <c r="V62" s="498">
        <v>24000</v>
      </c>
      <c r="W62" s="498">
        <v>0</v>
      </c>
      <c r="X62" s="498">
        <v>0</v>
      </c>
      <c r="Y62" s="498">
        <f t="shared" si="4"/>
        <v>24000</v>
      </c>
      <c r="Z62" s="498">
        <f t="shared" si="5"/>
        <v>0</v>
      </c>
      <c r="AA62" s="131">
        <f t="shared" ref="AA62:AA63" si="150">ROUND((U62+V62+W60)*33.8%,0)</f>
        <v>0</v>
      </c>
      <c r="AB62" s="131">
        <f t="shared" si="6"/>
        <v>-480</v>
      </c>
      <c r="AC62" s="498">
        <v>0</v>
      </c>
      <c r="AD62" s="498">
        <v>0</v>
      </c>
      <c r="AE62" s="498">
        <f t="shared" si="7"/>
        <v>0</v>
      </c>
      <c r="AF62" s="498">
        <f t="shared" si="8"/>
        <v>-480</v>
      </c>
      <c r="AG62" s="499">
        <v>0</v>
      </c>
      <c r="AH62" s="499">
        <v>0</v>
      </c>
      <c r="AI62" s="499">
        <v>0</v>
      </c>
      <c r="AJ62" s="499">
        <v>0</v>
      </c>
      <c r="AK62" s="499">
        <v>0</v>
      </c>
      <c r="AL62" s="499">
        <f t="shared" si="9"/>
        <v>0</v>
      </c>
      <c r="AM62" s="499">
        <f t="shared" si="10"/>
        <v>0</v>
      </c>
      <c r="AN62" s="529">
        <f t="shared" si="11"/>
        <v>0</v>
      </c>
      <c r="AO62" s="579">
        <f>I62+AF62</f>
        <v>11019640</v>
      </c>
      <c r="AP62" s="498">
        <f>J62+U62</f>
        <v>8043246</v>
      </c>
      <c r="AQ62" s="498">
        <f t="shared" ref="AQ62:AQ63" si="151">Y62</f>
        <v>24000</v>
      </c>
      <c r="AR62" s="498">
        <f>K62+AA62</f>
        <v>2726729</v>
      </c>
      <c r="AS62" s="498">
        <f>L62+AB62</f>
        <v>160865</v>
      </c>
      <c r="AT62" s="498">
        <f>M62+AE62</f>
        <v>64800</v>
      </c>
      <c r="AU62" s="499">
        <f>N62+AN62</f>
        <v>18.884999999999998</v>
      </c>
      <c r="AV62" s="499">
        <f>O62+AL62</f>
        <v>14</v>
      </c>
      <c r="AW62" s="500">
        <f>P62+AM62</f>
        <v>4.8849999999999998</v>
      </c>
      <c r="AX62" s="580"/>
    </row>
    <row r="63" spans="1:51" s="569" customFormat="1" ht="12.75" customHeight="1" x14ac:dyDescent="0.2">
      <c r="A63" s="571">
        <v>16</v>
      </c>
      <c r="B63" s="572">
        <v>3407</v>
      </c>
      <c r="C63" s="572">
        <v>667000089</v>
      </c>
      <c r="D63" s="572">
        <v>72743778</v>
      </c>
      <c r="E63" s="573" t="s">
        <v>40</v>
      </c>
      <c r="F63" s="572">
        <v>3141</v>
      </c>
      <c r="G63" s="573" t="s">
        <v>321</v>
      </c>
      <c r="H63" s="736" t="s">
        <v>284</v>
      </c>
      <c r="I63" s="575">
        <f t="shared" si="147"/>
        <v>1635233</v>
      </c>
      <c r="J63" s="496">
        <v>1197955</v>
      </c>
      <c r="K63" s="131">
        <f t="shared" ref="K63" si="152">ROUND((J63)*33.8%,0)</f>
        <v>404909</v>
      </c>
      <c r="L63" s="131">
        <f t="shared" ref="L63" si="153">ROUND(J63*2%,0)</f>
        <v>23959</v>
      </c>
      <c r="M63" s="496">
        <v>8410</v>
      </c>
      <c r="N63" s="576">
        <f t="shared" si="148"/>
        <v>4.08</v>
      </c>
      <c r="O63" s="577">
        <v>0</v>
      </c>
      <c r="P63" s="578">
        <v>4.08</v>
      </c>
      <c r="Q63" s="579">
        <f t="shared" si="149"/>
        <v>0</v>
      </c>
      <c r="R63" s="498">
        <v>0</v>
      </c>
      <c r="S63" s="498">
        <v>0</v>
      </c>
      <c r="T63" s="498">
        <v>0</v>
      </c>
      <c r="U63" s="498">
        <f t="shared" si="3"/>
        <v>0</v>
      </c>
      <c r="V63" s="498">
        <v>0</v>
      </c>
      <c r="W63" s="498">
        <v>0</v>
      </c>
      <c r="X63" s="498">
        <v>0</v>
      </c>
      <c r="Y63" s="498">
        <f t="shared" si="4"/>
        <v>0</v>
      </c>
      <c r="Z63" s="498">
        <f t="shared" si="5"/>
        <v>0</v>
      </c>
      <c r="AA63" s="131">
        <f t="shared" si="150"/>
        <v>0</v>
      </c>
      <c r="AB63" s="131">
        <f t="shared" si="6"/>
        <v>0</v>
      </c>
      <c r="AC63" s="498">
        <v>0</v>
      </c>
      <c r="AD63" s="498">
        <v>0</v>
      </c>
      <c r="AE63" s="498">
        <f t="shared" si="7"/>
        <v>0</v>
      </c>
      <c r="AF63" s="498">
        <f t="shared" si="8"/>
        <v>0</v>
      </c>
      <c r="AG63" s="499">
        <v>0</v>
      </c>
      <c r="AH63" s="499">
        <v>0</v>
      </c>
      <c r="AI63" s="499">
        <v>0</v>
      </c>
      <c r="AJ63" s="499">
        <v>0</v>
      </c>
      <c r="AK63" s="499">
        <v>0</v>
      </c>
      <c r="AL63" s="499">
        <f t="shared" si="9"/>
        <v>0</v>
      </c>
      <c r="AM63" s="499">
        <f t="shared" si="10"/>
        <v>0</v>
      </c>
      <c r="AN63" s="529">
        <f t="shared" si="11"/>
        <v>0</v>
      </c>
      <c r="AO63" s="579">
        <f>I63+AF63</f>
        <v>1635233</v>
      </c>
      <c r="AP63" s="498">
        <f>J63+U63</f>
        <v>1197955</v>
      </c>
      <c r="AQ63" s="498">
        <f t="shared" si="151"/>
        <v>0</v>
      </c>
      <c r="AR63" s="498">
        <f>K63+AA63</f>
        <v>404909</v>
      </c>
      <c r="AS63" s="498">
        <f>L63+AB63</f>
        <v>23959</v>
      </c>
      <c r="AT63" s="498">
        <f>M63+AE63</f>
        <v>8410</v>
      </c>
      <c r="AU63" s="499">
        <f>N63+AN63</f>
        <v>4.08</v>
      </c>
      <c r="AV63" s="499">
        <f>O63+AL63</f>
        <v>0</v>
      </c>
      <c r="AW63" s="500">
        <f>P63+AM63</f>
        <v>4.08</v>
      </c>
      <c r="AX63" s="580"/>
      <c r="AY63" s="580"/>
    </row>
    <row r="64" spans="1:51" s="569" customFormat="1" ht="12.75" customHeight="1" x14ac:dyDescent="0.2">
      <c r="A64" s="299">
        <v>16</v>
      </c>
      <c r="B64" s="23">
        <v>3407</v>
      </c>
      <c r="C64" s="298">
        <v>667000089</v>
      </c>
      <c r="D64" s="298">
        <v>72743778</v>
      </c>
      <c r="E64" s="570" t="s">
        <v>41</v>
      </c>
      <c r="F64" s="23"/>
      <c r="G64" s="570"/>
      <c r="H64" s="735"/>
      <c r="I64" s="35">
        <f t="shared" ref="I64:P64" si="154">SUM(I62:I63)</f>
        <v>12655353</v>
      </c>
      <c r="J64" s="24">
        <f t="shared" si="154"/>
        <v>9265201</v>
      </c>
      <c r="K64" s="24">
        <f t="shared" si="154"/>
        <v>3131638</v>
      </c>
      <c r="L64" s="24">
        <f t="shared" si="154"/>
        <v>185304</v>
      </c>
      <c r="M64" s="24">
        <f t="shared" si="154"/>
        <v>73210</v>
      </c>
      <c r="N64" s="25">
        <f t="shared" si="154"/>
        <v>22.964999999999996</v>
      </c>
      <c r="O64" s="391">
        <f t="shared" si="154"/>
        <v>14</v>
      </c>
      <c r="P64" s="456">
        <f t="shared" si="154"/>
        <v>8.9649999999999999</v>
      </c>
      <c r="Q64" s="35">
        <f t="shared" ref="Q64:AW64" si="155">SUM(Q62:Q63)</f>
        <v>-24000</v>
      </c>
      <c r="R64" s="24">
        <f t="shared" si="155"/>
        <v>0</v>
      </c>
      <c r="S64" s="24">
        <f t="shared" si="155"/>
        <v>0</v>
      </c>
      <c r="T64" s="24">
        <f t="shared" si="155"/>
        <v>0</v>
      </c>
      <c r="U64" s="24">
        <f t="shared" si="155"/>
        <v>-24000</v>
      </c>
      <c r="V64" s="24">
        <f t="shared" si="155"/>
        <v>24000</v>
      </c>
      <c r="W64" s="24">
        <f t="shared" si="155"/>
        <v>0</v>
      </c>
      <c r="X64" s="24">
        <f t="shared" si="155"/>
        <v>0</v>
      </c>
      <c r="Y64" s="24">
        <f t="shared" si="155"/>
        <v>24000</v>
      </c>
      <c r="Z64" s="24">
        <f t="shared" si="155"/>
        <v>0</v>
      </c>
      <c r="AA64" s="24">
        <f t="shared" si="155"/>
        <v>0</v>
      </c>
      <c r="AB64" s="24">
        <f t="shared" si="155"/>
        <v>-480</v>
      </c>
      <c r="AC64" s="24">
        <f t="shared" si="155"/>
        <v>0</v>
      </c>
      <c r="AD64" s="24">
        <f t="shared" si="155"/>
        <v>0</v>
      </c>
      <c r="AE64" s="24">
        <f t="shared" si="155"/>
        <v>0</v>
      </c>
      <c r="AF64" s="24">
        <f t="shared" si="155"/>
        <v>-480</v>
      </c>
      <c r="AG64" s="25">
        <f t="shared" si="155"/>
        <v>0</v>
      </c>
      <c r="AH64" s="25">
        <f t="shared" si="155"/>
        <v>0</v>
      </c>
      <c r="AI64" s="25">
        <f t="shared" si="155"/>
        <v>0</v>
      </c>
      <c r="AJ64" s="25">
        <f t="shared" si="155"/>
        <v>0</v>
      </c>
      <c r="AK64" s="25">
        <f t="shared" si="155"/>
        <v>0</v>
      </c>
      <c r="AL64" s="25">
        <f t="shared" si="155"/>
        <v>0</v>
      </c>
      <c r="AM64" s="25">
        <f t="shared" si="155"/>
        <v>0</v>
      </c>
      <c r="AN64" s="392">
        <f t="shared" si="155"/>
        <v>0</v>
      </c>
      <c r="AO64" s="35">
        <f t="shared" si="155"/>
        <v>12654873</v>
      </c>
      <c r="AP64" s="24">
        <f t="shared" si="155"/>
        <v>9241201</v>
      </c>
      <c r="AQ64" s="24">
        <f t="shared" si="155"/>
        <v>24000</v>
      </c>
      <c r="AR64" s="24">
        <f t="shared" si="155"/>
        <v>3131638</v>
      </c>
      <c r="AS64" s="24">
        <f t="shared" si="155"/>
        <v>184824</v>
      </c>
      <c r="AT64" s="24">
        <f t="shared" si="155"/>
        <v>73210</v>
      </c>
      <c r="AU64" s="25">
        <f t="shared" si="155"/>
        <v>22.964999999999996</v>
      </c>
      <c r="AV64" s="25">
        <f t="shared" si="155"/>
        <v>14</v>
      </c>
      <c r="AW64" s="72">
        <f t="shared" si="155"/>
        <v>8.9649999999999999</v>
      </c>
      <c r="AX64" s="580"/>
    </row>
    <row r="65" spans="1:51" s="569" customFormat="1" ht="12.75" customHeight="1" x14ac:dyDescent="0.2">
      <c r="A65" s="571">
        <v>17</v>
      </c>
      <c r="B65" s="572">
        <v>3463</v>
      </c>
      <c r="C65" s="572">
        <v>691001308</v>
      </c>
      <c r="D65" s="572">
        <v>72048166</v>
      </c>
      <c r="E65" s="573" t="s">
        <v>42</v>
      </c>
      <c r="F65" s="572">
        <v>3111</v>
      </c>
      <c r="G65" s="573" t="s">
        <v>317</v>
      </c>
      <c r="H65" s="736" t="s">
        <v>283</v>
      </c>
      <c r="I65" s="575">
        <f t="shared" ref="I65:I67" si="156">SUM(J65:M65)</f>
        <v>6558995</v>
      </c>
      <c r="J65" s="496">
        <v>4801395</v>
      </c>
      <c r="K65" s="131">
        <f t="shared" ref="K65:K67" si="157">ROUND((J65)*33.8%,0)</f>
        <v>1622872</v>
      </c>
      <c r="L65" s="131">
        <f t="shared" ref="L65:L67" si="158">ROUND(J65*2%,0)</f>
        <v>96028</v>
      </c>
      <c r="M65" s="496">
        <v>38700</v>
      </c>
      <c r="N65" s="576">
        <f t="shared" ref="N65:N67" si="159">SUM(O65:P65)</f>
        <v>11.319699999999999</v>
      </c>
      <c r="O65" s="577">
        <v>8.4514999999999993</v>
      </c>
      <c r="P65" s="578">
        <v>2.8681999999999999</v>
      </c>
      <c r="Q65" s="579">
        <f t="shared" ref="Q65:Q67" si="160">V65*-1</f>
        <v>-88000</v>
      </c>
      <c r="R65" s="498">
        <v>0</v>
      </c>
      <c r="S65" s="498">
        <v>0</v>
      </c>
      <c r="T65" s="498">
        <v>0</v>
      </c>
      <c r="U65" s="498">
        <f t="shared" si="3"/>
        <v>-88000</v>
      </c>
      <c r="V65" s="498">
        <v>88000</v>
      </c>
      <c r="W65" s="498">
        <v>0</v>
      </c>
      <c r="X65" s="498">
        <v>0</v>
      </c>
      <c r="Y65" s="498">
        <f t="shared" si="4"/>
        <v>88000</v>
      </c>
      <c r="Z65" s="498">
        <f t="shared" si="5"/>
        <v>0</v>
      </c>
      <c r="AA65" s="131">
        <f t="shared" ref="AA65:AA67" si="161">ROUND((U65+V65+W63)*33.8%,0)</f>
        <v>0</v>
      </c>
      <c r="AB65" s="131">
        <f t="shared" si="6"/>
        <v>-1760</v>
      </c>
      <c r="AC65" s="498">
        <v>0</v>
      </c>
      <c r="AD65" s="498">
        <v>0</v>
      </c>
      <c r="AE65" s="498">
        <f t="shared" si="7"/>
        <v>0</v>
      </c>
      <c r="AF65" s="498">
        <f t="shared" si="8"/>
        <v>-1760</v>
      </c>
      <c r="AG65" s="499">
        <v>0</v>
      </c>
      <c r="AH65" s="499">
        <v>-0.26</v>
      </c>
      <c r="AI65" s="499">
        <v>0</v>
      </c>
      <c r="AJ65" s="499">
        <v>0</v>
      </c>
      <c r="AK65" s="499">
        <v>0</v>
      </c>
      <c r="AL65" s="499">
        <f t="shared" si="9"/>
        <v>0</v>
      </c>
      <c r="AM65" s="499">
        <f t="shared" si="10"/>
        <v>-0.26</v>
      </c>
      <c r="AN65" s="529">
        <f t="shared" si="11"/>
        <v>-0.26</v>
      </c>
      <c r="AO65" s="579">
        <f>I65+AF65</f>
        <v>6557235</v>
      </c>
      <c r="AP65" s="498">
        <f>J65+U65</f>
        <v>4713395</v>
      </c>
      <c r="AQ65" s="498">
        <f t="shared" ref="AQ65:AQ67" si="162">Y65</f>
        <v>88000</v>
      </c>
      <c r="AR65" s="498">
        <f t="shared" ref="AR65:AS67" si="163">K65+AA65</f>
        <v>1622872</v>
      </c>
      <c r="AS65" s="498">
        <f t="shared" si="163"/>
        <v>94268</v>
      </c>
      <c r="AT65" s="498">
        <f>M65+AE65</f>
        <v>38700</v>
      </c>
      <c r="AU65" s="499">
        <f>N65+AN65</f>
        <v>11.059699999999999</v>
      </c>
      <c r="AV65" s="499">
        <f t="shared" ref="AV65:AW67" si="164">O65+AL65</f>
        <v>8.4514999999999993</v>
      </c>
      <c r="AW65" s="500">
        <f t="shared" si="164"/>
        <v>2.6082000000000001</v>
      </c>
      <c r="AX65" s="580"/>
    </row>
    <row r="66" spans="1:51" s="569" customFormat="1" x14ac:dyDescent="0.2">
      <c r="A66" s="571">
        <v>17</v>
      </c>
      <c r="B66" s="572">
        <v>3463</v>
      </c>
      <c r="C66" s="572">
        <v>691001308</v>
      </c>
      <c r="D66" s="572">
        <v>72048166</v>
      </c>
      <c r="E66" s="573" t="s">
        <v>42</v>
      </c>
      <c r="F66" s="572">
        <v>3111</v>
      </c>
      <c r="G66" s="573" t="s">
        <v>318</v>
      </c>
      <c r="H66" s="736" t="s">
        <v>284</v>
      </c>
      <c r="I66" s="575">
        <f t="shared" si="156"/>
        <v>0</v>
      </c>
      <c r="J66" s="496">
        <v>0</v>
      </c>
      <c r="K66" s="131">
        <f t="shared" si="157"/>
        <v>0</v>
      </c>
      <c r="L66" s="131">
        <f t="shared" si="158"/>
        <v>0</v>
      </c>
      <c r="M66" s="496">
        <v>0</v>
      </c>
      <c r="N66" s="576">
        <f t="shared" si="159"/>
        <v>0</v>
      </c>
      <c r="O66" s="577">
        <v>0</v>
      </c>
      <c r="P66" s="578">
        <v>0</v>
      </c>
      <c r="Q66" s="579">
        <f t="shared" si="160"/>
        <v>0</v>
      </c>
      <c r="R66" s="496">
        <v>519666</v>
      </c>
      <c r="S66" s="498">
        <v>0</v>
      </c>
      <c r="T66" s="498">
        <v>0</v>
      </c>
      <c r="U66" s="498">
        <f t="shared" si="3"/>
        <v>519666</v>
      </c>
      <c r="V66" s="498">
        <v>0</v>
      </c>
      <c r="W66" s="498">
        <v>0</v>
      </c>
      <c r="X66" s="498">
        <v>0</v>
      </c>
      <c r="Y66" s="498">
        <f t="shared" si="4"/>
        <v>0</v>
      </c>
      <c r="Z66" s="498">
        <f t="shared" si="5"/>
        <v>519666</v>
      </c>
      <c r="AA66" s="131">
        <f t="shared" si="161"/>
        <v>175647</v>
      </c>
      <c r="AB66" s="131">
        <f t="shared" si="6"/>
        <v>10393</v>
      </c>
      <c r="AC66" s="498">
        <v>0</v>
      </c>
      <c r="AD66" s="498">
        <v>0</v>
      </c>
      <c r="AE66" s="498">
        <f t="shared" si="7"/>
        <v>0</v>
      </c>
      <c r="AF66" s="498">
        <f t="shared" si="8"/>
        <v>705706</v>
      </c>
      <c r="AG66" s="499">
        <v>0</v>
      </c>
      <c r="AH66" s="499">
        <v>0</v>
      </c>
      <c r="AI66" s="499">
        <v>1.5</v>
      </c>
      <c r="AJ66" s="499">
        <v>0</v>
      </c>
      <c r="AK66" s="499">
        <v>0</v>
      </c>
      <c r="AL66" s="499">
        <f t="shared" si="9"/>
        <v>1.5</v>
      </c>
      <c r="AM66" s="499">
        <f t="shared" si="10"/>
        <v>0</v>
      </c>
      <c r="AN66" s="529">
        <f t="shared" si="11"/>
        <v>1.5</v>
      </c>
      <c r="AO66" s="579">
        <f>I66+AF66</f>
        <v>705706</v>
      </c>
      <c r="AP66" s="498">
        <f>J66+U66</f>
        <v>519666</v>
      </c>
      <c r="AQ66" s="498">
        <f t="shared" si="162"/>
        <v>0</v>
      </c>
      <c r="AR66" s="498">
        <f t="shared" si="163"/>
        <v>175647</v>
      </c>
      <c r="AS66" s="498">
        <f t="shared" si="163"/>
        <v>10393</v>
      </c>
      <c r="AT66" s="498">
        <f>M66+AE66</f>
        <v>0</v>
      </c>
      <c r="AU66" s="499">
        <f>N66+AN66</f>
        <v>1.5</v>
      </c>
      <c r="AV66" s="499">
        <f t="shared" si="164"/>
        <v>1.5</v>
      </c>
      <c r="AW66" s="500">
        <f t="shared" si="164"/>
        <v>0</v>
      </c>
      <c r="AX66" s="580"/>
    </row>
    <row r="67" spans="1:51" s="569" customFormat="1" ht="12.75" customHeight="1" x14ac:dyDescent="0.2">
      <c r="A67" s="571">
        <v>17</v>
      </c>
      <c r="B67" s="572">
        <v>3463</v>
      </c>
      <c r="C67" s="572">
        <v>691001308</v>
      </c>
      <c r="D67" s="572">
        <v>72048166</v>
      </c>
      <c r="E67" s="573" t="s">
        <v>42</v>
      </c>
      <c r="F67" s="572">
        <v>3141</v>
      </c>
      <c r="G67" s="573" t="s">
        <v>321</v>
      </c>
      <c r="H67" s="736" t="s">
        <v>284</v>
      </c>
      <c r="I67" s="575">
        <f t="shared" si="156"/>
        <v>920590</v>
      </c>
      <c r="J67" s="496">
        <v>674228</v>
      </c>
      <c r="K67" s="131">
        <f t="shared" si="157"/>
        <v>227889</v>
      </c>
      <c r="L67" s="131">
        <f t="shared" si="158"/>
        <v>13485</v>
      </c>
      <c r="M67" s="496">
        <v>4988</v>
      </c>
      <c r="N67" s="576">
        <f t="shared" si="159"/>
        <v>2.29</v>
      </c>
      <c r="O67" s="577">
        <v>0</v>
      </c>
      <c r="P67" s="578">
        <v>2.29</v>
      </c>
      <c r="Q67" s="579">
        <f t="shared" si="160"/>
        <v>-8000</v>
      </c>
      <c r="R67" s="498">
        <v>0</v>
      </c>
      <c r="S67" s="498">
        <v>0</v>
      </c>
      <c r="T67" s="498">
        <v>0</v>
      </c>
      <c r="U67" s="498">
        <f t="shared" si="3"/>
        <v>-8000</v>
      </c>
      <c r="V67" s="498">
        <v>8000</v>
      </c>
      <c r="W67" s="498">
        <v>0</v>
      </c>
      <c r="X67" s="498">
        <v>0</v>
      </c>
      <c r="Y67" s="498">
        <f t="shared" si="4"/>
        <v>8000</v>
      </c>
      <c r="Z67" s="498">
        <f t="shared" si="5"/>
        <v>0</v>
      </c>
      <c r="AA67" s="131">
        <f t="shared" si="161"/>
        <v>0</v>
      </c>
      <c r="AB67" s="131">
        <f t="shared" si="6"/>
        <v>-160</v>
      </c>
      <c r="AC67" s="498">
        <v>0</v>
      </c>
      <c r="AD67" s="498">
        <v>0</v>
      </c>
      <c r="AE67" s="498">
        <f t="shared" si="7"/>
        <v>0</v>
      </c>
      <c r="AF67" s="498">
        <f t="shared" si="8"/>
        <v>-160</v>
      </c>
      <c r="AG67" s="499">
        <v>0</v>
      </c>
      <c r="AH67" s="499">
        <v>0</v>
      </c>
      <c r="AI67" s="499">
        <v>0</v>
      </c>
      <c r="AJ67" s="499">
        <v>0</v>
      </c>
      <c r="AK67" s="499">
        <v>0</v>
      </c>
      <c r="AL67" s="499">
        <f t="shared" si="9"/>
        <v>0</v>
      </c>
      <c r="AM67" s="499">
        <f t="shared" si="10"/>
        <v>0</v>
      </c>
      <c r="AN67" s="529">
        <f t="shared" si="11"/>
        <v>0</v>
      </c>
      <c r="AO67" s="579">
        <f>I67+AF67</f>
        <v>920430</v>
      </c>
      <c r="AP67" s="498">
        <f>J67+U67</f>
        <v>666228</v>
      </c>
      <c r="AQ67" s="498">
        <f t="shared" si="162"/>
        <v>8000</v>
      </c>
      <c r="AR67" s="498">
        <f t="shared" si="163"/>
        <v>227889</v>
      </c>
      <c r="AS67" s="498">
        <f t="shared" si="163"/>
        <v>13325</v>
      </c>
      <c r="AT67" s="498">
        <f>M67+AE67</f>
        <v>4988</v>
      </c>
      <c r="AU67" s="499">
        <f>N67+AN67</f>
        <v>2.29</v>
      </c>
      <c r="AV67" s="499">
        <f t="shared" si="164"/>
        <v>0</v>
      </c>
      <c r="AW67" s="500">
        <f t="shared" si="164"/>
        <v>2.29</v>
      </c>
      <c r="AX67" s="580"/>
      <c r="AY67" s="580"/>
    </row>
    <row r="68" spans="1:51" s="569" customFormat="1" ht="12.75" customHeight="1" x14ac:dyDescent="0.2">
      <c r="A68" s="299">
        <v>17</v>
      </c>
      <c r="B68" s="23">
        <v>3463</v>
      </c>
      <c r="C68" s="298">
        <v>691001308</v>
      </c>
      <c r="D68" s="298">
        <v>72048166</v>
      </c>
      <c r="E68" s="570" t="s">
        <v>43</v>
      </c>
      <c r="F68" s="23"/>
      <c r="G68" s="570"/>
      <c r="H68" s="735"/>
      <c r="I68" s="35">
        <f t="shared" ref="I68:P68" si="165">SUM(I65:I67)</f>
        <v>7479585</v>
      </c>
      <c r="J68" s="24">
        <f t="shared" si="165"/>
        <v>5475623</v>
      </c>
      <c r="K68" s="24">
        <f t="shared" si="165"/>
        <v>1850761</v>
      </c>
      <c r="L68" s="24">
        <f t="shared" si="165"/>
        <v>109513</v>
      </c>
      <c r="M68" s="24">
        <f t="shared" si="165"/>
        <v>43688</v>
      </c>
      <c r="N68" s="25">
        <f t="shared" si="165"/>
        <v>13.6097</v>
      </c>
      <c r="O68" s="391">
        <f t="shared" si="165"/>
        <v>8.4514999999999993</v>
      </c>
      <c r="P68" s="456">
        <f t="shared" si="165"/>
        <v>5.1581999999999999</v>
      </c>
      <c r="Q68" s="35">
        <f t="shared" ref="Q68:AW68" si="166">SUM(Q65:Q67)</f>
        <v>-96000</v>
      </c>
      <c r="R68" s="24">
        <f t="shared" si="166"/>
        <v>519666</v>
      </c>
      <c r="S68" s="24">
        <f t="shared" si="166"/>
        <v>0</v>
      </c>
      <c r="T68" s="24">
        <f t="shared" si="166"/>
        <v>0</v>
      </c>
      <c r="U68" s="24">
        <f t="shared" si="166"/>
        <v>423666</v>
      </c>
      <c r="V68" s="24">
        <f t="shared" si="166"/>
        <v>96000</v>
      </c>
      <c r="W68" s="24">
        <f t="shared" si="166"/>
        <v>0</v>
      </c>
      <c r="X68" s="24">
        <f t="shared" si="166"/>
        <v>0</v>
      </c>
      <c r="Y68" s="24">
        <f t="shared" si="166"/>
        <v>96000</v>
      </c>
      <c r="Z68" s="24">
        <f t="shared" si="166"/>
        <v>519666</v>
      </c>
      <c r="AA68" s="24">
        <f t="shared" si="166"/>
        <v>175647</v>
      </c>
      <c r="AB68" s="24">
        <f t="shared" si="166"/>
        <v>8473</v>
      </c>
      <c r="AC68" s="24">
        <f t="shared" si="166"/>
        <v>0</v>
      </c>
      <c r="AD68" s="24">
        <f t="shared" si="166"/>
        <v>0</v>
      </c>
      <c r="AE68" s="24">
        <f t="shared" si="166"/>
        <v>0</v>
      </c>
      <c r="AF68" s="24">
        <f t="shared" si="166"/>
        <v>703786</v>
      </c>
      <c r="AG68" s="25">
        <f t="shared" si="166"/>
        <v>0</v>
      </c>
      <c r="AH68" s="25">
        <f t="shared" si="166"/>
        <v>-0.26</v>
      </c>
      <c r="AI68" s="25">
        <f t="shared" si="166"/>
        <v>1.5</v>
      </c>
      <c r="AJ68" s="25">
        <f t="shared" si="166"/>
        <v>0</v>
      </c>
      <c r="AK68" s="25">
        <f t="shared" si="166"/>
        <v>0</v>
      </c>
      <c r="AL68" s="25">
        <f t="shared" si="166"/>
        <v>1.5</v>
      </c>
      <c r="AM68" s="25">
        <f t="shared" si="166"/>
        <v>-0.26</v>
      </c>
      <c r="AN68" s="392">
        <f t="shared" si="166"/>
        <v>1.24</v>
      </c>
      <c r="AO68" s="35">
        <f t="shared" si="166"/>
        <v>8183371</v>
      </c>
      <c r="AP68" s="24">
        <f t="shared" si="166"/>
        <v>5899289</v>
      </c>
      <c r="AQ68" s="24">
        <f t="shared" si="166"/>
        <v>96000</v>
      </c>
      <c r="AR68" s="24">
        <f t="shared" si="166"/>
        <v>2026408</v>
      </c>
      <c r="AS68" s="24">
        <f t="shared" si="166"/>
        <v>117986</v>
      </c>
      <c r="AT68" s="24">
        <f t="shared" si="166"/>
        <v>43688</v>
      </c>
      <c r="AU68" s="25">
        <f t="shared" si="166"/>
        <v>14.849699999999999</v>
      </c>
      <c r="AV68" s="25">
        <f t="shared" si="166"/>
        <v>9.9514999999999993</v>
      </c>
      <c r="AW68" s="72">
        <f t="shared" si="166"/>
        <v>4.8982000000000001</v>
      </c>
      <c r="AX68" s="580"/>
    </row>
    <row r="69" spans="1:51" s="569" customFormat="1" ht="12.75" customHeight="1" x14ac:dyDescent="0.2">
      <c r="A69" s="571">
        <v>18</v>
      </c>
      <c r="B69" s="572">
        <v>3460</v>
      </c>
      <c r="C69" s="572">
        <v>691000387</v>
      </c>
      <c r="D69" s="572">
        <v>86797034</v>
      </c>
      <c r="E69" s="573" t="s">
        <v>44</v>
      </c>
      <c r="F69" s="572">
        <v>3111</v>
      </c>
      <c r="G69" s="573" t="s">
        <v>317</v>
      </c>
      <c r="H69" s="736" t="s">
        <v>283</v>
      </c>
      <c r="I69" s="575">
        <f t="shared" ref="I69:I70" si="167">SUM(J69:M69)</f>
        <v>5117109</v>
      </c>
      <c r="J69" s="496">
        <v>3742937</v>
      </c>
      <c r="K69" s="131">
        <f>ROUND((J69)*33.8%,0)</f>
        <v>1265113</v>
      </c>
      <c r="L69" s="131">
        <f>ROUND(J69*2%,0)</f>
        <v>74859</v>
      </c>
      <c r="M69" s="496">
        <v>34200</v>
      </c>
      <c r="N69" s="576">
        <f t="shared" ref="N69:N70" si="168">SUM(O69:P69)</f>
        <v>9.2682000000000002</v>
      </c>
      <c r="O69" s="577">
        <v>6.6</v>
      </c>
      <c r="P69" s="578">
        <v>2.6681999999999997</v>
      </c>
      <c r="Q69" s="579">
        <f t="shared" ref="Q69:Q70" si="169">V69*-1</f>
        <v>0</v>
      </c>
      <c r="R69" s="498">
        <v>0</v>
      </c>
      <c r="S69" s="498">
        <v>0</v>
      </c>
      <c r="T69" s="498">
        <v>0</v>
      </c>
      <c r="U69" s="498">
        <f t="shared" si="3"/>
        <v>0</v>
      </c>
      <c r="V69" s="498">
        <v>0</v>
      </c>
      <c r="W69" s="498">
        <v>0</v>
      </c>
      <c r="X69" s="498">
        <v>0</v>
      </c>
      <c r="Y69" s="498">
        <f t="shared" si="4"/>
        <v>0</v>
      </c>
      <c r="Z69" s="498">
        <f t="shared" si="5"/>
        <v>0</v>
      </c>
      <c r="AA69" s="131">
        <f t="shared" ref="AA69:AA70" si="170">ROUND((U69+V69+W67)*33.8%,0)</f>
        <v>0</v>
      </c>
      <c r="AB69" s="131">
        <f t="shared" si="6"/>
        <v>0</v>
      </c>
      <c r="AC69" s="498">
        <v>0</v>
      </c>
      <c r="AD69" s="498">
        <v>0</v>
      </c>
      <c r="AE69" s="498">
        <f t="shared" si="7"/>
        <v>0</v>
      </c>
      <c r="AF69" s="498">
        <f t="shared" si="8"/>
        <v>0</v>
      </c>
      <c r="AG69" s="499">
        <v>0</v>
      </c>
      <c r="AH69" s="499">
        <v>0</v>
      </c>
      <c r="AI69" s="499">
        <v>0</v>
      </c>
      <c r="AJ69" s="499">
        <v>0</v>
      </c>
      <c r="AK69" s="499">
        <v>0</v>
      </c>
      <c r="AL69" s="499">
        <f t="shared" si="9"/>
        <v>0</v>
      </c>
      <c r="AM69" s="499">
        <f t="shared" si="10"/>
        <v>0</v>
      </c>
      <c r="AN69" s="529">
        <f t="shared" si="11"/>
        <v>0</v>
      </c>
      <c r="AO69" s="579">
        <f>I69+AF69</f>
        <v>5117109</v>
      </c>
      <c r="AP69" s="498">
        <f>J69+U69</f>
        <v>3742937</v>
      </c>
      <c r="AQ69" s="498">
        <f t="shared" ref="AQ69:AQ70" si="171">Y69</f>
        <v>0</v>
      </c>
      <c r="AR69" s="498">
        <f>K69+AA69</f>
        <v>1265113</v>
      </c>
      <c r="AS69" s="498">
        <f>L69+AB69</f>
        <v>74859</v>
      </c>
      <c r="AT69" s="498">
        <f>M69+AE69</f>
        <v>34200</v>
      </c>
      <c r="AU69" s="499">
        <f>N69+AN69</f>
        <v>9.2682000000000002</v>
      </c>
      <c r="AV69" s="499">
        <f>O69+AL69</f>
        <v>6.6</v>
      </c>
      <c r="AW69" s="500">
        <f>P69+AM69</f>
        <v>2.6681999999999997</v>
      </c>
      <c r="AX69" s="580"/>
    </row>
    <row r="70" spans="1:51" s="569" customFormat="1" ht="12.75" customHeight="1" x14ac:dyDescent="0.2">
      <c r="A70" s="571">
        <v>18</v>
      </c>
      <c r="B70" s="572">
        <v>3460</v>
      </c>
      <c r="C70" s="572">
        <v>691000387</v>
      </c>
      <c r="D70" s="572">
        <v>86797034</v>
      </c>
      <c r="E70" s="573" t="s">
        <v>44</v>
      </c>
      <c r="F70" s="572">
        <v>3141</v>
      </c>
      <c r="G70" s="573" t="s">
        <v>321</v>
      </c>
      <c r="H70" s="736" t="s">
        <v>284</v>
      </c>
      <c r="I70" s="575">
        <f t="shared" si="167"/>
        <v>845693</v>
      </c>
      <c r="J70" s="496">
        <v>619503</v>
      </c>
      <c r="K70" s="131">
        <f t="shared" ref="K70" si="172">ROUND((J70)*33.8%,0)</f>
        <v>209392</v>
      </c>
      <c r="L70" s="131">
        <f t="shared" ref="L70" si="173">ROUND(J70*2%,0)</f>
        <v>12390</v>
      </c>
      <c r="M70" s="496">
        <v>4408</v>
      </c>
      <c r="N70" s="576">
        <f t="shared" si="168"/>
        <v>2.11</v>
      </c>
      <c r="O70" s="577">
        <v>0</v>
      </c>
      <c r="P70" s="578">
        <v>2.11</v>
      </c>
      <c r="Q70" s="579">
        <f t="shared" si="169"/>
        <v>0</v>
      </c>
      <c r="R70" s="498">
        <v>0</v>
      </c>
      <c r="S70" s="498">
        <v>0</v>
      </c>
      <c r="T70" s="498">
        <v>0</v>
      </c>
      <c r="U70" s="498">
        <f t="shared" si="3"/>
        <v>0</v>
      </c>
      <c r="V70" s="498">
        <v>0</v>
      </c>
      <c r="W70" s="498">
        <v>0</v>
      </c>
      <c r="X70" s="498">
        <v>0</v>
      </c>
      <c r="Y70" s="498">
        <f t="shared" si="4"/>
        <v>0</v>
      </c>
      <c r="Z70" s="498">
        <f t="shared" si="5"/>
        <v>0</v>
      </c>
      <c r="AA70" s="131">
        <f t="shared" si="170"/>
        <v>0</v>
      </c>
      <c r="AB70" s="131">
        <f t="shared" si="6"/>
        <v>0</v>
      </c>
      <c r="AC70" s="498">
        <v>0</v>
      </c>
      <c r="AD70" s="498">
        <v>0</v>
      </c>
      <c r="AE70" s="498">
        <f t="shared" si="7"/>
        <v>0</v>
      </c>
      <c r="AF70" s="498">
        <f t="shared" si="8"/>
        <v>0</v>
      </c>
      <c r="AG70" s="499">
        <v>0</v>
      </c>
      <c r="AH70" s="499">
        <v>0</v>
      </c>
      <c r="AI70" s="499">
        <v>0</v>
      </c>
      <c r="AJ70" s="499">
        <v>0</v>
      </c>
      <c r="AK70" s="499">
        <v>0</v>
      </c>
      <c r="AL70" s="499">
        <f t="shared" si="9"/>
        <v>0</v>
      </c>
      <c r="AM70" s="499">
        <f t="shared" si="10"/>
        <v>0</v>
      </c>
      <c r="AN70" s="529">
        <f t="shared" si="11"/>
        <v>0</v>
      </c>
      <c r="AO70" s="579">
        <f>I70+AF70</f>
        <v>845693</v>
      </c>
      <c r="AP70" s="498">
        <f>J70+U70</f>
        <v>619503</v>
      </c>
      <c r="AQ70" s="498">
        <f t="shared" si="171"/>
        <v>0</v>
      </c>
      <c r="AR70" s="498">
        <f>K70+AA70</f>
        <v>209392</v>
      </c>
      <c r="AS70" s="498">
        <f>L70+AB70</f>
        <v>12390</v>
      </c>
      <c r="AT70" s="498">
        <f>M70+AE70</f>
        <v>4408</v>
      </c>
      <c r="AU70" s="499">
        <f>N70+AN70</f>
        <v>2.11</v>
      </c>
      <c r="AV70" s="499">
        <f>O70+AL70</f>
        <v>0</v>
      </c>
      <c r="AW70" s="500">
        <f>P70+AM70</f>
        <v>2.11</v>
      </c>
      <c r="AX70" s="580"/>
      <c r="AY70" s="580"/>
    </row>
    <row r="71" spans="1:51" s="569" customFormat="1" ht="12.75" customHeight="1" x14ac:dyDescent="0.2">
      <c r="A71" s="299">
        <v>18</v>
      </c>
      <c r="B71" s="23">
        <v>3460</v>
      </c>
      <c r="C71" s="298">
        <v>691000387</v>
      </c>
      <c r="D71" s="298">
        <v>86797034</v>
      </c>
      <c r="E71" s="570" t="s">
        <v>45</v>
      </c>
      <c r="F71" s="23"/>
      <c r="G71" s="570"/>
      <c r="H71" s="735"/>
      <c r="I71" s="35">
        <f t="shared" ref="I71:P71" si="174">SUM(I69:I70)</f>
        <v>5962802</v>
      </c>
      <c r="J71" s="24">
        <f t="shared" si="174"/>
        <v>4362440</v>
      </c>
      <c r="K71" s="24">
        <f t="shared" si="174"/>
        <v>1474505</v>
      </c>
      <c r="L71" s="24">
        <f t="shared" si="174"/>
        <v>87249</v>
      </c>
      <c r="M71" s="24">
        <f t="shared" si="174"/>
        <v>38608</v>
      </c>
      <c r="N71" s="25">
        <f t="shared" si="174"/>
        <v>11.3782</v>
      </c>
      <c r="O71" s="391">
        <f t="shared" si="174"/>
        <v>6.6</v>
      </c>
      <c r="P71" s="456">
        <f t="shared" si="174"/>
        <v>4.7782</v>
      </c>
      <c r="Q71" s="35">
        <f t="shared" ref="Q71:AW71" si="175">SUM(Q69:Q70)</f>
        <v>0</v>
      </c>
      <c r="R71" s="24">
        <f t="shared" si="175"/>
        <v>0</v>
      </c>
      <c r="S71" s="24">
        <f t="shared" si="175"/>
        <v>0</v>
      </c>
      <c r="T71" s="24">
        <f t="shared" si="175"/>
        <v>0</v>
      </c>
      <c r="U71" s="24">
        <f t="shared" si="175"/>
        <v>0</v>
      </c>
      <c r="V71" s="24">
        <f t="shared" si="175"/>
        <v>0</v>
      </c>
      <c r="W71" s="24">
        <f t="shared" si="175"/>
        <v>0</v>
      </c>
      <c r="X71" s="24">
        <f t="shared" si="175"/>
        <v>0</v>
      </c>
      <c r="Y71" s="24">
        <f t="shared" si="175"/>
        <v>0</v>
      </c>
      <c r="Z71" s="24">
        <f t="shared" si="175"/>
        <v>0</v>
      </c>
      <c r="AA71" s="24">
        <f t="shared" si="175"/>
        <v>0</v>
      </c>
      <c r="AB71" s="24">
        <f t="shared" si="175"/>
        <v>0</v>
      </c>
      <c r="AC71" s="24">
        <f t="shared" si="175"/>
        <v>0</v>
      </c>
      <c r="AD71" s="24">
        <f t="shared" si="175"/>
        <v>0</v>
      </c>
      <c r="AE71" s="24">
        <f t="shared" si="175"/>
        <v>0</v>
      </c>
      <c r="AF71" s="24">
        <f t="shared" si="175"/>
        <v>0</v>
      </c>
      <c r="AG71" s="25">
        <f t="shared" si="175"/>
        <v>0</v>
      </c>
      <c r="AH71" s="25">
        <f t="shared" si="175"/>
        <v>0</v>
      </c>
      <c r="AI71" s="25">
        <f t="shared" si="175"/>
        <v>0</v>
      </c>
      <c r="AJ71" s="25">
        <f t="shared" si="175"/>
        <v>0</v>
      </c>
      <c r="AK71" s="25">
        <f t="shared" si="175"/>
        <v>0</v>
      </c>
      <c r="AL71" s="25">
        <f t="shared" si="175"/>
        <v>0</v>
      </c>
      <c r="AM71" s="25">
        <f t="shared" si="175"/>
        <v>0</v>
      </c>
      <c r="AN71" s="392">
        <f t="shared" si="175"/>
        <v>0</v>
      </c>
      <c r="AO71" s="35">
        <f t="shared" si="175"/>
        <v>5962802</v>
      </c>
      <c r="AP71" s="24">
        <f t="shared" si="175"/>
        <v>4362440</v>
      </c>
      <c r="AQ71" s="24">
        <f t="shared" si="175"/>
        <v>0</v>
      </c>
      <c r="AR71" s="24">
        <f t="shared" si="175"/>
        <v>1474505</v>
      </c>
      <c r="AS71" s="24">
        <f t="shared" si="175"/>
        <v>87249</v>
      </c>
      <c r="AT71" s="24">
        <f t="shared" si="175"/>
        <v>38608</v>
      </c>
      <c r="AU71" s="25">
        <f t="shared" si="175"/>
        <v>11.3782</v>
      </c>
      <c r="AV71" s="25">
        <f t="shared" si="175"/>
        <v>6.6</v>
      </c>
      <c r="AW71" s="72">
        <f t="shared" si="175"/>
        <v>4.7782</v>
      </c>
      <c r="AX71" s="580"/>
    </row>
    <row r="72" spans="1:51" s="569" customFormat="1" ht="12.75" customHeight="1" x14ac:dyDescent="0.2">
      <c r="A72" s="571">
        <v>19</v>
      </c>
      <c r="B72" s="572">
        <v>3413</v>
      </c>
      <c r="C72" s="572">
        <v>600077918</v>
      </c>
      <c r="D72" s="572">
        <v>72743433</v>
      </c>
      <c r="E72" s="573" t="s">
        <v>285</v>
      </c>
      <c r="F72" s="572">
        <v>3111</v>
      </c>
      <c r="G72" s="573" t="s">
        <v>317</v>
      </c>
      <c r="H72" s="736" t="s">
        <v>283</v>
      </c>
      <c r="I72" s="575">
        <f t="shared" ref="I72:I75" si="176">SUM(J72:M72)</f>
        <v>10582340</v>
      </c>
      <c r="J72" s="496">
        <v>7738910</v>
      </c>
      <c r="K72" s="131">
        <f t="shared" ref="K72:K75" si="177">ROUND((J72)*33.8%,0)</f>
        <v>2615752</v>
      </c>
      <c r="L72" s="131">
        <f t="shared" ref="L72:L75" si="178">ROUND(J72*2%,0)</f>
        <v>154778</v>
      </c>
      <c r="M72" s="496">
        <v>72900</v>
      </c>
      <c r="N72" s="576">
        <f t="shared" ref="N72:N75" si="179">SUM(O72:P72)</f>
        <v>17.702199999999998</v>
      </c>
      <c r="O72" s="577">
        <v>12.7097</v>
      </c>
      <c r="P72" s="578">
        <v>4.9924999999999997</v>
      </c>
      <c r="Q72" s="579">
        <f t="shared" ref="Q72:Q75" si="180">V72*-1</f>
        <v>0</v>
      </c>
      <c r="R72" s="498">
        <v>0</v>
      </c>
      <c r="S72" s="498">
        <v>0</v>
      </c>
      <c r="T72" s="498">
        <v>0</v>
      </c>
      <c r="U72" s="498">
        <f t="shared" si="3"/>
        <v>0</v>
      </c>
      <c r="V72" s="498">
        <v>0</v>
      </c>
      <c r="W72" s="498">
        <v>0</v>
      </c>
      <c r="X72" s="498">
        <v>0</v>
      </c>
      <c r="Y72" s="498">
        <f t="shared" si="4"/>
        <v>0</v>
      </c>
      <c r="Z72" s="498">
        <f t="shared" si="5"/>
        <v>0</v>
      </c>
      <c r="AA72" s="131">
        <f t="shared" ref="AA72:AA75" si="181">ROUND((U72+V72+W70)*33.8%,0)</f>
        <v>0</v>
      </c>
      <c r="AB72" s="131">
        <f t="shared" si="6"/>
        <v>0</v>
      </c>
      <c r="AC72" s="498">
        <v>0</v>
      </c>
      <c r="AD72" s="498">
        <v>0</v>
      </c>
      <c r="AE72" s="498">
        <f t="shared" si="7"/>
        <v>0</v>
      </c>
      <c r="AF72" s="498">
        <f t="shared" si="8"/>
        <v>0</v>
      </c>
      <c r="AG72" s="499">
        <v>0</v>
      </c>
      <c r="AH72" s="499">
        <v>0</v>
      </c>
      <c r="AI72" s="499">
        <v>0</v>
      </c>
      <c r="AJ72" s="499">
        <v>0</v>
      </c>
      <c r="AK72" s="499">
        <v>0</v>
      </c>
      <c r="AL72" s="499">
        <f t="shared" si="9"/>
        <v>0</v>
      </c>
      <c r="AM72" s="499">
        <f t="shared" si="10"/>
        <v>0</v>
      </c>
      <c r="AN72" s="529">
        <f t="shared" si="11"/>
        <v>0</v>
      </c>
      <c r="AO72" s="579">
        <f>I72+AF72</f>
        <v>10582340</v>
      </c>
      <c r="AP72" s="498">
        <f>J72+U72</f>
        <v>7738910</v>
      </c>
      <c r="AQ72" s="498">
        <f t="shared" ref="AQ72:AQ75" si="182">Y72</f>
        <v>0</v>
      </c>
      <c r="AR72" s="498">
        <f t="shared" ref="AR72:AS75" si="183">K72+AA72</f>
        <v>2615752</v>
      </c>
      <c r="AS72" s="498">
        <f t="shared" si="183"/>
        <v>154778</v>
      </c>
      <c r="AT72" s="498">
        <f>M72+AE72</f>
        <v>72900</v>
      </c>
      <c r="AU72" s="499">
        <f>N72+AN72</f>
        <v>17.702199999999998</v>
      </c>
      <c r="AV72" s="499">
        <f t="shared" ref="AV72:AW75" si="184">O72+AL72</f>
        <v>12.7097</v>
      </c>
      <c r="AW72" s="500">
        <f t="shared" si="184"/>
        <v>4.9924999999999997</v>
      </c>
      <c r="AX72" s="580"/>
    </row>
    <row r="73" spans="1:51" s="569" customFormat="1" ht="12.75" customHeight="1" x14ac:dyDescent="0.2">
      <c r="A73" s="571">
        <v>19</v>
      </c>
      <c r="B73" s="572">
        <v>3413</v>
      </c>
      <c r="C73" s="572">
        <v>600077918</v>
      </c>
      <c r="D73" s="572">
        <v>72743433</v>
      </c>
      <c r="E73" s="573" t="s">
        <v>285</v>
      </c>
      <c r="F73" s="572">
        <v>3111</v>
      </c>
      <c r="G73" s="573" t="s">
        <v>319</v>
      </c>
      <c r="H73" s="736" t="s">
        <v>283</v>
      </c>
      <c r="I73" s="575">
        <f t="shared" si="176"/>
        <v>1816808</v>
      </c>
      <c r="J73" s="496">
        <v>1337856</v>
      </c>
      <c r="K73" s="131">
        <f t="shared" si="177"/>
        <v>452195</v>
      </c>
      <c r="L73" s="131">
        <f t="shared" si="178"/>
        <v>26757</v>
      </c>
      <c r="M73" s="496">
        <v>0</v>
      </c>
      <c r="N73" s="576">
        <f t="shared" si="179"/>
        <v>4</v>
      </c>
      <c r="O73" s="577">
        <v>4</v>
      </c>
      <c r="P73" s="578">
        <v>0</v>
      </c>
      <c r="Q73" s="579">
        <f t="shared" si="180"/>
        <v>0</v>
      </c>
      <c r="R73" s="498">
        <v>0</v>
      </c>
      <c r="S73" s="498">
        <v>0</v>
      </c>
      <c r="T73" s="498">
        <v>0</v>
      </c>
      <c r="U73" s="498">
        <f t="shared" si="3"/>
        <v>0</v>
      </c>
      <c r="V73" s="498">
        <v>0</v>
      </c>
      <c r="W73" s="498">
        <v>0</v>
      </c>
      <c r="X73" s="498">
        <v>0</v>
      </c>
      <c r="Y73" s="498">
        <f t="shared" si="4"/>
        <v>0</v>
      </c>
      <c r="Z73" s="498">
        <f t="shared" si="5"/>
        <v>0</v>
      </c>
      <c r="AA73" s="131">
        <f t="shared" si="181"/>
        <v>0</v>
      </c>
      <c r="AB73" s="131">
        <f t="shared" si="6"/>
        <v>0</v>
      </c>
      <c r="AC73" s="498">
        <v>0</v>
      </c>
      <c r="AD73" s="498">
        <v>0</v>
      </c>
      <c r="AE73" s="498">
        <f t="shared" si="7"/>
        <v>0</v>
      </c>
      <c r="AF73" s="498">
        <f t="shared" si="8"/>
        <v>0</v>
      </c>
      <c r="AG73" s="499">
        <v>0</v>
      </c>
      <c r="AH73" s="499">
        <v>0</v>
      </c>
      <c r="AI73" s="499">
        <v>0</v>
      </c>
      <c r="AJ73" s="499">
        <v>0</v>
      </c>
      <c r="AK73" s="499">
        <v>0</v>
      </c>
      <c r="AL73" s="499">
        <f t="shared" si="9"/>
        <v>0</v>
      </c>
      <c r="AM73" s="499">
        <f t="shared" si="10"/>
        <v>0</v>
      </c>
      <c r="AN73" s="529">
        <f t="shared" si="11"/>
        <v>0</v>
      </c>
      <c r="AO73" s="579">
        <f>I73+AF73</f>
        <v>1816808</v>
      </c>
      <c r="AP73" s="498">
        <f>J73+U73</f>
        <v>1337856</v>
      </c>
      <c r="AQ73" s="498">
        <f t="shared" si="182"/>
        <v>0</v>
      </c>
      <c r="AR73" s="498">
        <f t="shared" si="183"/>
        <v>452195</v>
      </c>
      <c r="AS73" s="498">
        <f t="shared" si="183"/>
        <v>26757</v>
      </c>
      <c r="AT73" s="498">
        <f>M73+AE73</f>
        <v>0</v>
      </c>
      <c r="AU73" s="499">
        <f>N73+AN73</f>
        <v>4</v>
      </c>
      <c r="AV73" s="499">
        <f t="shared" si="184"/>
        <v>4</v>
      </c>
      <c r="AW73" s="500">
        <f t="shared" si="184"/>
        <v>0</v>
      </c>
      <c r="AX73" s="580"/>
    </row>
    <row r="74" spans="1:51" s="569" customFormat="1" x14ac:dyDescent="0.2">
      <c r="A74" s="571">
        <v>19</v>
      </c>
      <c r="B74" s="572">
        <v>3413</v>
      </c>
      <c r="C74" s="572">
        <v>600077918</v>
      </c>
      <c r="D74" s="572">
        <v>72743433</v>
      </c>
      <c r="E74" s="573" t="s">
        <v>285</v>
      </c>
      <c r="F74" s="572">
        <v>3111</v>
      </c>
      <c r="G74" s="573" t="s">
        <v>318</v>
      </c>
      <c r="H74" s="736" t="s">
        <v>284</v>
      </c>
      <c r="I74" s="575">
        <f t="shared" si="176"/>
        <v>0</v>
      </c>
      <c r="J74" s="496">
        <v>0</v>
      </c>
      <c r="K74" s="131">
        <f t="shared" si="177"/>
        <v>0</v>
      </c>
      <c r="L74" s="131">
        <f t="shared" si="178"/>
        <v>0</v>
      </c>
      <c r="M74" s="496">
        <v>0</v>
      </c>
      <c r="N74" s="576">
        <f t="shared" si="179"/>
        <v>0</v>
      </c>
      <c r="O74" s="577">
        <v>0</v>
      </c>
      <c r="P74" s="578">
        <v>0</v>
      </c>
      <c r="Q74" s="579">
        <f t="shared" si="180"/>
        <v>0</v>
      </c>
      <c r="R74" s="496">
        <f>190532+63526</f>
        <v>254058</v>
      </c>
      <c r="S74" s="498">
        <v>0</v>
      </c>
      <c r="T74" s="498">
        <v>0</v>
      </c>
      <c r="U74" s="498">
        <f t="shared" si="3"/>
        <v>254058</v>
      </c>
      <c r="V74" s="498">
        <v>0</v>
      </c>
      <c r="W74" s="498">
        <v>0</v>
      </c>
      <c r="X74" s="498">
        <v>0</v>
      </c>
      <c r="Y74" s="498">
        <f t="shared" si="4"/>
        <v>0</v>
      </c>
      <c r="Z74" s="498">
        <f t="shared" si="5"/>
        <v>254058</v>
      </c>
      <c r="AA74" s="131">
        <f t="shared" si="181"/>
        <v>85872</v>
      </c>
      <c r="AB74" s="131">
        <f t="shared" si="6"/>
        <v>5081</v>
      </c>
      <c r="AC74" s="498">
        <v>0</v>
      </c>
      <c r="AD74" s="498">
        <v>0</v>
      </c>
      <c r="AE74" s="498">
        <f t="shared" si="7"/>
        <v>0</v>
      </c>
      <c r="AF74" s="498">
        <f t="shared" si="8"/>
        <v>345011</v>
      </c>
      <c r="AG74" s="499">
        <v>0</v>
      </c>
      <c r="AH74" s="499">
        <v>0</v>
      </c>
      <c r="AI74" s="499">
        <v>0.75</v>
      </c>
      <c r="AJ74" s="499">
        <v>0</v>
      </c>
      <c r="AK74" s="499">
        <v>0</v>
      </c>
      <c r="AL74" s="499">
        <f t="shared" si="9"/>
        <v>0.75</v>
      </c>
      <c r="AM74" s="499">
        <f t="shared" si="10"/>
        <v>0</v>
      </c>
      <c r="AN74" s="529">
        <f t="shared" si="11"/>
        <v>0.75</v>
      </c>
      <c r="AO74" s="579">
        <f>I74+AF74</f>
        <v>345011</v>
      </c>
      <c r="AP74" s="498">
        <f>J74+U74</f>
        <v>254058</v>
      </c>
      <c r="AQ74" s="498">
        <f t="shared" si="182"/>
        <v>0</v>
      </c>
      <c r="AR74" s="498">
        <f t="shared" si="183"/>
        <v>85872</v>
      </c>
      <c r="AS74" s="498">
        <f t="shared" si="183"/>
        <v>5081</v>
      </c>
      <c r="AT74" s="498">
        <f>M74+AE74</f>
        <v>0</v>
      </c>
      <c r="AU74" s="499">
        <f>N74+AN74</f>
        <v>0.75</v>
      </c>
      <c r="AV74" s="499">
        <f t="shared" si="184"/>
        <v>0.75</v>
      </c>
      <c r="AW74" s="500">
        <f t="shared" si="184"/>
        <v>0</v>
      </c>
      <c r="AX74" s="580"/>
    </row>
    <row r="75" spans="1:51" s="569" customFormat="1" ht="12.75" customHeight="1" x14ac:dyDescent="0.2">
      <c r="A75" s="571">
        <v>19</v>
      </c>
      <c r="B75" s="572">
        <v>3413</v>
      </c>
      <c r="C75" s="572">
        <v>600077918</v>
      </c>
      <c r="D75" s="572">
        <v>72743433</v>
      </c>
      <c r="E75" s="573" t="s">
        <v>285</v>
      </c>
      <c r="F75" s="572">
        <v>3141</v>
      </c>
      <c r="G75" s="573" t="s">
        <v>321</v>
      </c>
      <c r="H75" s="736" t="s">
        <v>284</v>
      </c>
      <c r="I75" s="575">
        <f t="shared" si="176"/>
        <v>1203539</v>
      </c>
      <c r="J75" s="496">
        <v>881746</v>
      </c>
      <c r="K75" s="131">
        <f t="shared" si="177"/>
        <v>298030</v>
      </c>
      <c r="L75" s="131">
        <f t="shared" si="178"/>
        <v>17635</v>
      </c>
      <c r="M75" s="496">
        <v>6128</v>
      </c>
      <c r="N75" s="576">
        <f t="shared" si="179"/>
        <v>3</v>
      </c>
      <c r="O75" s="577">
        <v>0</v>
      </c>
      <c r="P75" s="578">
        <v>3</v>
      </c>
      <c r="Q75" s="579">
        <f t="shared" si="180"/>
        <v>0</v>
      </c>
      <c r="R75" s="498">
        <v>0</v>
      </c>
      <c r="S75" s="498">
        <v>0</v>
      </c>
      <c r="T75" s="498">
        <v>0</v>
      </c>
      <c r="U75" s="498">
        <f t="shared" si="3"/>
        <v>0</v>
      </c>
      <c r="V75" s="498">
        <v>0</v>
      </c>
      <c r="W75" s="498">
        <v>0</v>
      </c>
      <c r="X75" s="498">
        <v>0</v>
      </c>
      <c r="Y75" s="498">
        <f t="shared" si="4"/>
        <v>0</v>
      </c>
      <c r="Z75" s="498">
        <f t="shared" si="5"/>
        <v>0</v>
      </c>
      <c r="AA75" s="131">
        <f t="shared" si="181"/>
        <v>0</v>
      </c>
      <c r="AB75" s="131">
        <f t="shared" si="6"/>
        <v>0</v>
      </c>
      <c r="AC75" s="498">
        <v>0</v>
      </c>
      <c r="AD75" s="498">
        <v>0</v>
      </c>
      <c r="AE75" s="498">
        <f t="shared" si="7"/>
        <v>0</v>
      </c>
      <c r="AF75" s="498">
        <f t="shared" si="8"/>
        <v>0</v>
      </c>
      <c r="AG75" s="499">
        <v>0</v>
      </c>
      <c r="AH75" s="499">
        <v>0</v>
      </c>
      <c r="AI75" s="499">
        <v>0</v>
      </c>
      <c r="AJ75" s="499">
        <v>0</v>
      </c>
      <c r="AK75" s="499">
        <v>0</v>
      </c>
      <c r="AL75" s="499">
        <f t="shared" si="9"/>
        <v>0</v>
      </c>
      <c r="AM75" s="499">
        <f t="shared" si="10"/>
        <v>0</v>
      </c>
      <c r="AN75" s="529">
        <f t="shared" si="11"/>
        <v>0</v>
      </c>
      <c r="AO75" s="579">
        <f>I75+AF75</f>
        <v>1203539</v>
      </c>
      <c r="AP75" s="498">
        <f>J75+U75</f>
        <v>881746</v>
      </c>
      <c r="AQ75" s="498">
        <f t="shared" si="182"/>
        <v>0</v>
      </c>
      <c r="AR75" s="498">
        <f t="shared" si="183"/>
        <v>298030</v>
      </c>
      <c r="AS75" s="498">
        <f t="shared" si="183"/>
        <v>17635</v>
      </c>
      <c r="AT75" s="498">
        <f>M75+AE75</f>
        <v>6128</v>
      </c>
      <c r="AU75" s="499">
        <f>N75+AN75</f>
        <v>3</v>
      </c>
      <c r="AV75" s="499">
        <f t="shared" si="184"/>
        <v>0</v>
      </c>
      <c r="AW75" s="500">
        <f t="shared" si="184"/>
        <v>3</v>
      </c>
      <c r="AX75" s="580"/>
      <c r="AY75" s="580"/>
    </row>
    <row r="76" spans="1:51" s="569" customFormat="1" ht="12.75" customHeight="1" x14ac:dyDescent="0.2">
      <c r="A76" s="299">
        <v>19</v>
      </c>
      <c r="B76" s="23">
        <v>3413</v>
      </c>
      <c r="C76" s="298">
        <v>600077918</v>
      </c>
      <c r="D76" s="298">
        <v>72743433</v>
      </c>
      <c r="E76" s="570" t="s">
        <v>46</v>
      </c>
      <c r="F76" s="23"/>
      <c r="G76" s="570"/>
      <c r="H76" s="735"/>
      <c r="I76" s="35">
        <f t="shared" ref="I76:P76" si="185">SUM(I72:I75)</f>
        <v>13602687</v>
      </c>
      <c r="J76" s="24">
        <f t="shared" si="185"/>
        <v>9958512</v>
      </c>
      <c r="K76" s="24">
        <f t="shared" si="185"/>
        <v>3365977</v>
      </c>
      <c r="L76" s="24">
        <f t="shared" si="185"/>
        <v>199170</v>
      </c>
      <c r="M76" s="24">
        <f t="shared" si="185"/>
        <v>79028</v>
      </c>
      <c r="N76" s="25">
        <f t="shared" si="185"/>
        <v>24.702199999999998</v>
      </c>
      <c r="O76" s="391">
        <f t="shared" si="185"/>
        <v>16.709699999999998</v>
      </c>
      <c r="P76" s="456">
        <f t="shared" si="185"/>
        <v>7.9924999999999997</v>
      </c>
      <c r="Q76" s="35">
        <f t="shared" ref="Q76:AW76" si="186">SUM(Q72:Q75)</f>
        <v>0</v>
      </c>
      <c r="R76" s="24">
        <f t="shared" si="186"/>
        <v>254058</v>
      </c>
      <c r="S76" s="24">
        <f t="shared" si="186"/>
        <v>0</v>
      </c>
      <c r="T76" s="24">
        <f t="shared" si="186"/>
        <v>0</v>
      </c>
      <c r="U76" s="24">
        <f t="shared" si="186"/>
        <v>254058</v>
      </c>
      <c r="V76" s="24">
        <f t="shared" si="186"/>
        <v>0</v>
      </c>
      <c r="W76" s="24">
        <f t="shared" si="186"/>
        <v>0</v>
      </c>
      <c r="X76" s="24">
        <f t="shared" si="186"/>
        <v>0</v>
      </c>
      <c r="Y76" s="24">
        <f t="shared" si="186"/>
        <v>0</v>
      </c>
      <c r="Z76" s="24">
        <f t="shared" si="186"/>
        <v>254058</v>
      </c>
      <c r="AA76" s="24">
        <f t="shared" si="186"/>
        <v>85872</v>
      </c>
      <c r="AB76" s="24">
        <f t="shared" si="186"/>
        <v>5081</v>
      </c>
      <c r="AC76" s="24">
        <f t="shared" si="186"/>
        <v>0</v>
      </c>
      <c r="AD76" s="24">
        <f t="shared" si="186"/>
        <v>0</v>
      </c>
      <c r="AE76" s="24">
        <f t="shared" si="186"/>
        <v>0</v>
      </c>
      <c r="AF76" s="24">
        <f t="shared" si="186"/>
        <v>345011</v>
      </c>
      <c r="AG76" s="25">
        <f t="shared" si="186"/>
        <v>0</v>
      </c>
      <c r="AH76" s="25">
        <f t="shared" si="186"/>
        <v>0</v>
      </c>
      <c r="AI76" s="25">
        <f t="shared" si="186"/>
        <v>0.75</v>
      </c>
      <c r="AJ76" s="25">
        <f t="shared" si="186"/>
        <v>0</v>
      </c>
      <c r="AK76" s="25">
        <f t="shared" si="186"/>
        <v>0</v>
      </c>
      <c r="AL76" s="25">
        <f t="shared" si="186"/>
        <v>0.75</v>
      </c>
      <c r="AM76" s="25">
        <f t="shared" si="186"/>
        <v>0</v>
      </c>
      <c r="AN76" s="392">
        <f t="shared" si="186"/>
        <v>0.75</v>
      </c>
      <c r="AO76" s="35">
        <f t="shared" si="186"/>
        <v>13947698</v>
      </c>
      <c r="AP76" s="24">
        <f t="shared" si="186"/>
        <v>10212570</v>
      </c>
      <c r="AQ76" s="24">
        <f t="shared" si="186"/>
        <v>0</v>
      </c>
      <c r="AR76" s="24">
        <f t="shared" si="186"/>
        <v>3451849</v>
      </c>
      <c r="AS76" s="24">
        <f t="shared" si="186"/>
        <v>204251</v>
      </c>
      <c r="AT76" s="24">
        <f t="shared" si="186"/>
        <v>79028</v>
      </c>
      <c r="AU76" s="25">
        <f t="shared" si="186"/>
        <v>25.452199999999998</v>
      </c>
      <c r="AV76" s="25">
        <f t="shared" si="186"/>
        <v>17.459699999999998</v>
      </c>
      <c r="AW76" s="72">
        <f t="shared" si="186"/>
        <v>7.9924999999999997</v>
      </c>
      <c r="AX76" s="580"/>
    </row>
    <row r="77" spans="1:51" s="569" customFormat="1" ht="12.75" customHeight="1" x14ac:dyDescent="0.2">
      <c r="A77" s="571">
        <v>20</v>
      </c>
      <c r="B77" s="572">
        <v>3409</v>
      </c>
      <c r="C77" s="572">
        <v>600078396</v>
      </c>
      <c r="D77" s="572">
        <v>43257399</v>
      </c>
      <c r="E77" s="573" t="s">
        <v>47</v>
      </c>
      <c r="F77" s="572">
        <v>3113</v>
      </c>
      <c r="G77" s="573" t="s">
        <v>320</v>
      </c>
      <c r="H77" s="736" t="s">
        <v>283</v>
      </c>
      <c r="I77" s="575">
        <f t="shared" ref="I77:I81" si="187">SUM(J77:M77)</f>
        <v>23078002</v>
      </c>
      <c r="J77" s="496">
        <v>16575833</v>
      </c>
      <c r="K77" s="131">
        <f t="shared" ref="K77:K81" si="188">ROUND((J77)*33.8%,0)</f>
        <v>5602632</v>
      </c>
      <c r="L77" s="131">
        <f t="shared" ref="L77:L79" si="189">ROUND(J77*2%,0)</f>
        <v>331517</v>
      </c>
      <c r="M77" s="496">
        <v>568020</v>
      </c>
      <c r="N77" s="576">
        <f t="shared" ref="N77" si="190">SUM(O77:P77)</f>
        <v>33.119100000000003</v>
      </c>
      <c r="O77" s="577">
        <v>26.499500000000001</v>
      </c>
      <c r="P77" s="578">
        <v>6.6196000000000002</v>
      </c>
      <c r="Q77" s="579">
        <f t="shared" ref="Q77:Q81" si="191">V77*-1</f>
        <v>-8000</v>
      </c>
      <c r="R77" s="498">
        <v>0</v>
      </c>
      <c r="S77" s="498">
        <v>0</v>
      </c>
      <c r="T77" s="498">
        <f>44538-104657</f>
        <v>-60119</v>
      </c>
      <c r="U77" s="498">
        <f t="shared" si="3"/>
        <v>-68119</v>
      </c>
      <c r="V77" s="498">
        <v>8000</v>
      </c>
      <c r="W77" s="498">
        <v>0</v>
      </c>
      <c r="X77" s="498">
        <v>0</v>
      </c>
      <c r="Y77" s="498">
        <f t="shared" si="4"/>
        <v>8000</v>
      </c>
      <c r="Z77" s="498">
        <f t="shared" si="5"/>
        <v>-60119</v>
      </c>
      <c r="AA77" s="131">
        <f t="shared" ref="AA77:AA81" si="192">ROUND((U77+V77+W75)*33.8%,0)</f>
        <v>-20320</v>
      </c>
      <c r="AB77" s="131">
        <f t="shared" si="6"/>
        <v>-1362</v>
      </c>
      <c r="AC77" s="498">
        <v>0</v>
      </c>
      <c r="AD77" s="498">
        <v>0</v>
      </c>
      <c r="AE77" s="498">
        <f t="shared" si="7"/>
        <v>0</v>
      </c>
      <c r="AF77" s="498">
        <f t="shared" si="8"/>
        <v>-81801</v>
      </c>
      <c r="AG77" s="499">
        <v>0</v>
      </c>
      <c r="AH77" s="499">
        <v>0</v>
      </c>
      <c r="AI77" s="499">
        <v>0</v>
      </c>
      <c r="AJ77" s="499">
        <f>0.08-0.19</f>
        <v>-0.11</v>
      </c>
      <c r="AK77" s="499">
        <v>0</v>
      </c>
      <c r="AL77" s="499">
        <f t="shared" si="9"/>
        <v>-0.11</v>
      </c>
      <c r="AM77" s="499">
        <f t="shared" si="10"/>
        <v>0</v>
      </c>
      <c r="AN77" s="529">
        <f t="shared" si="11"/>
        <v>-0.11</v>
      </c>
      <c r="AO77" s="579">
        <f>I77+AF77</f>
        <v>22996201</v>
      </c>
      <c r="AP77" s="498">
        <f>J77+U77</f>
        <v>16507714</v>
      </c>
      <c r="AQ77" s="498">
        <f t="shared" ref="AQ77:AQ81" si="193">Y77</f>
        <v>8000</v>
      </c>
      <c r="AR77" s="498">
        <f t="shared" ref="AR77:AS81" si="194">K77+AA77</f>
        <v>5582312</v>
      </c>
      <c r="AS77" s="498">
        <f t="shared" si="194"/>
        <v>330155</v>
      </c>
      <c r="AT77" s="498">
        <f>M77+AE77</f>
        <v>568020</v>
      </c>
      <c r="AU77" s="499">
        <f>N77+AN77</f>
        <v>33.009100000000004</v>
      </c>
      <c r="AV77" s="499">
        <f t="shared" ref="AV77:AW81" si="195">O77+AL77</f>
        <v>26.389500000000002</v>
      </c>
      <c r="AW77" s="500">
        <f t="shared" si="195"/>
        <v>6.6196000000000002</v>
      </c>
      <c r="AX77" s="580"/>
    </row>
    <row r="78" spans="1:51" s="569" customFormat="1" x14ac:dyDescent="0.2">
      <c r="A78" s="571">
        <v>20</v>
      </c>
      <c r="B78" s="572">
        <v>3409</v>
      </c>
      <c r="C78" s="572">
        <v>600078396</v>
      </c>
      <c r="D78" s="572">
        <v>43257399</v>
      </c>
      <c r="E78" s="573" t="s">
        <v>47</v>
      </c>
      <c r="F78" s="572">
        <v>3113</v>
      </c>
      <c r="G78" s="573" t="s">
        <v>318</v>
      </c>
      <c r="H78" s="736" t="s">
        <v>284</v>
      </c>
      <c r="I78" s="575">
        <f t="shared" si="187"/>
        <v>0</v>
      </c>
      <c r="J78" s="496">
        <v>0</v>
      </c>
      <c r="K78" s="131">
        <f t="shared" si="188"/>
        <v>0</v>
      </c>
      <c r="L78" s="131">
        <f t="shared" si="189"/>
        <v>0</v>
      </c>
      <c r="M78" s="496">
        <v>0</v>
      </c>
      <c r="N78" s="576">
        <f t="shared" ref="N78:N81" si="196">SUM(O78:P78)</f>
        <v>0</v>
      </c>
      <c r="O78" s="577">
        <v>0</v>
      </c>
      <c r="P78" s="578">
        <v>0</v>
      </c>
      <c r="Q78" s="579">
        <f t="shared" si="191"/>
        <v>0</v>
      </c>
      <c r="R78" s="496">
        <v>3466497</v>
      </c>
      <c r="S78" s="498">
        <v>0</v>
      </c>
      <c r="T78" s="498">
        <v>0</v>
      </c>
      <c r="U78" s="498">
        <f t="shared" ref="U78:U141" si="197">SUM(Q78:T78)</f>
        <v>3466497</v>
      </c>
      <c r="V78" s="498">
        <v>0</v>
      </c>
      <c r="W78" s="498">
        <v>0</v>
      </c>
      <c r="X78" s="498">
        <v>0</v>
      </c>
      <c r="Y78" s="498">
        <f t="shared" ref="Y78:Y141" si="198">SUM(V78:X78)</f>
        <v>0</v>
      </c>
      <c r="Z78" s="498">
        <f t="shared" si="5"/>
        <v>3466497</v>
      </c>
      <c r="AA78" s="131">
        <f t="shared" si="192"/>
        <v>1171676</v>
      </c>
      <c r="AB78" s="131">
        <f t="shared" si="6"/>
        <v>69330</v>
      </c>
      <c r="AC78" s="498">
        <v>0</v>
      </c>
      <c r="AD78" s="498">
        <v>0</v>
      </c>
      <c r="AE78" s="498">
        <f t="shared" si="7"/>
        <v>0</v>
      </c>
      <c r="AF78" s="498">
        <f t="shared" si="8"/>
        <v>4707503</v>
      </c>
      <c r="AG78" s="499">
        <v>0</v>
      </c>
      <c r="AH78" s="499">
        <v>0</v>
      </c>
      <c r="AI78" s="499">
        <v>9.9600000000000009</v>
      </c>
      <c r="AJ78" s="499">
        <v>0</v>
      </c>
      <c r="AK78" s="499">
        <v>0</v>
      </c>
      <c r="AL78" s="499">
        <f t="shared" si="9"/>
        <v>9.9600000000000009</v>
      </c>
      <c r="AM78" s="499">
        <f t="shared" si="10"/>
        <v>0</v>
      </c>
      <c r="AN78" s="529">
        <f t="shared" si="11"/>
        <v>9.9600000000000009</v>
      </c>
      <c r="AO78" s="579">
        <f>I78+AF78</f>
        <v>4707503</v>
      </c>
      <c r="AP78" s="498">
        <f>J78+U78</f>
        <v>3466497</v>
      </c>
      <c r="AQ78" s="498">
        <f t="shared" si="193"/>
        <v>0</v>
      </c>
      <c r="AR78" s="498">
        <f t="shared" si="194"/>
        <v>1171676</v>
      </c>
      <c r="AS78" s="498">
        <f t="shared" si="194"/>
        <v>69330</v>
      </c>
      <c r="AT78" s="498">
        <f>M78+AE78</f>
        <v>0</v>
      </c>
      <c r="AU78" s="499">
        <f>N78+AN78</f>
        <v>9.9600000000000009</v>
      </c>
      <c r="AV78" s="499">
        <f t="shared" si="195"/>
        <v>9.9600000000000009</v>
      </c>
      <c r="AW78" s="500">
        <f t="shared" si="195"/>
        <v>0</v>
      </c>
      <c r="AX78" s="580"/>
    </row>
    <row r="79" spans="1:51" s="569" customFormat="1" ht="12.75" customHeight="1" x14ac:dyDescent="0.2">
      <c r="A79" s="571">
        <v>20</v>
      </c>
      <c r="B79" s="572">
        <v>3409</v>
      </c>
      <c r="C79" s="572">
        <v>600078396</v>
      </c>
      <c r="D79" s="572">
        <v>43257399</v>
      </c>
      <c r="E79" s="573" t="s">
        <v>47</v>
      </c>
      <c r="F79" s="572">
        <v>3141</v>
      </c>
      <c r="G79" s="573" t="s">
        <v>321</v>
      </c>
      <c r="H79" s="736" t="s">
        <v>284</v>
      </c>
      <c r="I79" s="575">
        <f t="shared" si="187"/>
        <v>2150551</v>
      </c>
      <c r="J79" s="496">
        <v>1571401</v>
      </c>
      <c r="K79" s="131">
        <f t="shared" si="188"/>
        <v>531134</v>
      </c>
      <c r="L79" s="131">
        <f t="shared" si="189"/>
        <v>31428</v>
      </c>
      <c r="M79" s="496">
        <v>16588</v>
      </c>
      <c r="N79" s="576">
        <f t="shared" si="196"/>
        <v>5.34</v>
      </c>
      <c r="O79" s="577">
        <v>0</v>
      </c>
      <c r="P79" s="578">
        <v>5.34</v>
      </c>
      <c r="Q79" s="579">
        <f t="shared" si="191"/>
        <v>0</v>
      </c>
      <c r="R79" s="498">
        <v>0</v>
      </c>
      <c r="S79" s="498">
        <v>0</v>
      </c>
      <c r="T79" s="498">
        <v>0</v>
      </c>
      <c r="U79" s="498">
        <f t="shared" si="197"/>
        <v>0</v>
      </c>
      <c r="V79" s="498">
        <v>0</v>
      </c>
      <c r="W79" s="498">
        <v>0</v>
      </c>
      <c r="X79" s="498">
        <v>0</v>
      </c>
      <c r="Y79" s="498">
        <f t="shared" si="198"/>
        <v>0</v>
      </c>
      <c r="Z79" s="498">
        <f t="shared" ref="Z79:Z142" si="199">U79+Y79</f>
        <v>0</v>
      </c>
      <c r="AA79" s="131">
        <f>ROUND((U79+V79+W77)*33.8%,0)</f>
        <v>0</v>
      </c>
      <c r="AB79" s="131">
        <f t="shared" ref="AB79:AB142" si="200">ROUND(U79*2%,0)</f>
        <v>0</v>
      </c>
      <c r="AC79" s="498">
        <v>0</v>
      </c>
      <c r="AD79" s="498">
        <v>0</v>
      </c>
      <c r="AE79" s="498">
        <f t="shared" ref="AE79:AE142" si="201">SUM(AC79:AD79)</f>
        <v>0</v>
      </c>
      <c r="AF79" s="498">
        <f t="shared" ref="AF79:AF142" si="202">Z79+AA79+AB79+AE79</f>
        <v>0</v>
      </c>
      <c r="AG79" s="499">
        <v>0</v>
      </c>
      <c r="AH79" s="499">
        <v>0</v>
      </c>
      <c r="AI79" s="499">
        <v>0</v>
      </c>
      <c r="AJ79" s="499">
        <v>0</v>
      </c>
      <c r="AK79" s="499">
        <v>0</v>
      </c>
      <c r="AL79" s="499">
        <f t="shared" ref="AL79:AL142" si="203">AG79+AI79+AJ79</f>
        <v>0</v>
      </c>
      <c r="AM79" s="499">
        <f t="shared" ref="AM79:AM142" si="204">AH79+AK79</f>
        <v>0</v>
      </c>
      <c r="AN79" s="529">
        <f t="shared" ref="AN79:AN142" si="205">SUM(AL79:AM79)</f>
        <v>0</v>
      </c>
      <c r="AO79" s="579">
        <f>I79+AF79</f>
        <v>2150551</v>
      </c>
      <c r="AP79" s="498">
        <f>J79+U79</f>
        <v>1571401</v>
      </c>
      <c r="AQ79" s="498">
        <f t="shared" si="193"/>
        <v>0</v>
      </c>
      <c r="AR79" s="498">
        <f t="shared" si="194"/>
        <v>531134</v>
      </c>
      <c r="AS79" s="498">
        <f t="shared" si="194"/>
        <v>31428</v>
      </c>
      <c r="AT79" s="498">
        <f>M79+AE79</f>
        <v>16588</v>
      </c>
      <c r="AU79" s="499">
        <f>N79+AN79</f>
        <v>5.34</v>
      </c>
      <c r="AV79" s="499">
        <f t="shared" si="195"/>
        <v>0</v>
      </c>
      <c r="AW79" s="500">
        <f t="shared" si="195"/>
        <v>5.34</v>
      </c>
      <c r="AX79" s="580"/>
      <c r="AY79" s="580"/>
    </row>
    <row r="80" spans="1:51" s="569" customFormat="1" ht="12.75" customHeight="1" x14ac:dyDescent="0.2">
      <c r="A80" s="571">
        <v>20</v>
      </c>
      <c r="B80" s="572">
        <v>3409</v>
      </c>
      <c r="C80" s="572">
        <v>600078396</v>
      </c>
      <c r="D80" s="572">
        <v>43257399</v>
      </c>
      <c r="E80" s="573" t="s">
        <v>47</v>
      </c>
      <c r="F80" s="572">
        <v>3143</v>
      </c>
      <c r="G80" s="573" t="s">
        <v>635</v>
      </c>
      <c r="H80" s="736" t="s">
        <v>283</v>
      </c>
      <c r="I80" s="575">
        <f t="shared" si="187"/>
        <v>2567214</v>
      </c>
      <c r="J80" s="496">
        <v>1890438</v>
      </c>
      <c r="K80" s="131">
        <f t="shared" si="188"/>
        <v>638968</v>
      </c>
      <c r="L80" s="131">
        <v>37808</v>
      </c>
      <c r="M80" s="496">
        <v>0</v>
      </c>
      <c r="N80" s="576">
        <f t="shared" si="196"/>
        <v>4.1714000000000002</v>
      </c>
      <c r="O80" s="577">
        <v>4.1714000000000002</v>
      </c>
      <c r="P80" s="578">
        <v>0</v>
      </c>
      <c r="Q80" s="579">
        <f t="shared" si="191"/>
        <v>-4000</v>
      </c>
      <c r="R80" s="498">
        <v>0</v>
      </c>
      <c r="S80" s="498">
        <v>0</v>
      </c>
      <c r="T80" s="498">
        <v>0</v>
      </c>
      <c r="U80" s="498">
        <f t="shared" si="197"/>
        <v>-4000</v>
      </c>
      <c r="V80" s="498">
        <v>4000</v>
      </c>
      <c r="W80" s="498">
        <v>0</v>
      </c>
      <c r="X80" s="498">
        <v>0</v>
      </c>
      <c r="Y80" s="498">
        <f t="shared" si="198"/>
        <v>4000</v>
      </c>
      <c r="Z80" s="498">
        <f t="shared" si="199"/>
        <v>0</v>
      </c>
      <c r="AA80" s="131">
        <f>ROUND((U80+V80+W78)*33.8%,0)</f>
        <v>0</v>
      </c>
      <c r="AB80" s="131">
        <f t="shared" si="200"/>
        <v>-80</v>
      </c>
      <c r="AC80" s="498">
        <v>0</v>
      </c>
      <c r="AD80" s="498">
        <v>0</v>
      </c>
      <c r="AE80" s="498">
        <f t="shared" si="201"/>
        <v>0</v>
      </c>
      <c r="AF80" s="498">
        <f t="shared" si="202"/>
        <v>-80</v>
      </c>
      <c r="AG80" s="499">
        <v>0</v>
      </c>
      <c r="AH80" s="499">
        <v>0</v>
      </c>
      <c r="AI80" s="499">
        <v>0</v>
      </c>
      <c r="AJ80" s="499">
        <v>0</v>
      </c>
      <c r="AK80" s="499">
        <v>0</v>
      </c>
      <c r="AL80" s="499">
        <f t="shared" si="203"/>
        <v>0</v>
      </c>
      <c r="AM80" s="499">
        <f t="shared" si="204"/>
        <v>0</v>
      </c>
      <c r="AN80" s="529">
        <f t="shared" si="205"/>
        <v>0</v>
      </c>
      <c r="AO80" s="579">
        <f>I80+AF80</f>
        <v>2567134</v>
      </c>
      <c r="AP80" s="498">
        <f>J80+U80</f>
        <v>1886438</v>
      </c>
      <c r="AQ80" s="498">
        <f t="shared" si="193"/>
        <v>4000</v>
      </c>
      <c r="AR80" s="498">
        <f t="shared" si="194"/>
        <v>638968</v>
      </c>
      <c r="AS80" s="498">
        <f t="shared" si="194"/>
        <v>37728</v>
      </c>
      <c r="AT80" s="498">
        <f>M80+AE80</f>
        <v>0</v>
      </c>
      <c r="AU80" s="499">
        <f>N80+AN80</f>
        <v>4.1714000000000002</v>
      </c>
      <c r="AV80" s="499">
        <f t="shared" si="195"/>
        <v>4.1714000000000002</v>
      </c>
      <c r="AW80" s="500">
        <f t="shared" si="195"/>
        <v>0</v>
      </c>
      <c r="AX80" s="580"/>
    </row>
    <row r="81" spans="1:51" s="569" customFormat="1" ht="12.75" customHeight="1" x14ac:dyDescent="0.2">
      <c r="A81" s="571">
        <v>20</v>
      </c>
      <c r="B81" s="572">
        <v>3409</v>
      </c>
      <c r="C81" s="572">
        <v>600078396</v>
      </c>
      <c r="D81" s="572">
        <v>43257399</v>
      </c>
      <c r="E81" s="573" t="s">
        <v>47</v>
      </c>
      <c r="F81" s="572">
        <v>3143</v>
      </c>
      <c r="G81" s="573" t="s">
        <v>636</v>
      </c>
      <c r="H81" s="736" t="s">
        <v>284</v>
      </c>
      <c r="I81" s="575">
        <f t="shared" si="187"/>
        <v>82861</v>
      </c>
      <c r="J81" s="496">
        <v>58410</v>
      </c>
      <c r="K81" s="131">
        <f t="shared" si="188"/>
        <v>19743</v>
      </c>
      <c r="L81" s="131">
        <f t="shared" ref="L81" si="206">ROUND(J81*2%,0)</f>
        <v>1168</v>
      </c>
      <c r="M81" s="496">
        <v>3540</v>
      </c>
      <c r="N81" s="576">
        <f t="shared" si="196"/>
        <v>0.25</v>
      </c>
      <c r="O81" s="577">
        <v>0</v>
      </c>
      <c r="P81" s="578">
        <v>0.25</v>
      </c>
      <c r="Q81" s="579">
        <f t="shared" si="191"/>
        <v>0</v>
      </c>
      <c r="R81" s="498">
        <v>0</v>
      </c>
      <c r="S81" s="498">
        <v>0</v>
      </c>
      <c r="T81" s="498">
        <v>0</v>
      </c>
      <c r="U81" s="498">
        <f t="shared" si="197"/>
        <v>0</v>
      </c>
      <c r="V81" s="498">
        <v>0</v>
      </c>
      <c r="W81" s="498">
        <v>0</v>
      </c>
      <c r="X81" s="498">
        <v>0</v>
      </c>
      <c r="Y81" s="498">
        <f t="shared" si="198"/>
        <v>0</v>
      </c>
      <c r="Z81" s="498">
        <f t="shared" si="199"/>
        <v>0</v>
      </c>
      <c r="AA81" s="131">
        <f t="shared" si="192"/>
        <v>0</v>
      </c>
      <c r="AB81" s="131">
        <f t="shared" si="200"/>
        <v>0</v>
      </c>
      <c r="AC81" s="498">
        <v>0</v>
      </c>
      <c r="AD81" s="498">
        <v>0</v>
      </c>
      <c r="AE81" s="498">
        <f t="shared" si="201"/>
        <v>0</v>
      </c>
      <c r="AF81" s="498">
        <f t="shared" si="202"/>
        <v>0</v>
      </c>
      <c r="AG81" s="499">
        <v>0</v>
      </c>
      <c r="AH81" s="499">
        <v>0</v>
      </c>
      <c r="AI81" s="499">
        <v>0</v>
      </c>
      <c r="AJ81" s="499">
        <v>0</v>
      </c>
      <c r="AK81" s="499">
        <v>0</v>
      </c>
      <c r="AL81" s="499">
        <f t="shared" si="203"/>
        <v>0</v>
      </c>
      <c r="AM81" s="499">
        <f t="shared" si="204"/>
        <v>0</v>
      </c>
      <c r="AN81" s="529">
        <f t="shared" si="205"/>
        <v>0</v>
      </c>
      <c r="AO81" s="579">
        <f>I81+AF81</f>
        <v>82861</v>
      </c>
      <c r="AP81" s="498">
        <f>J81+U81</f>
        <v>58410</v>
      </c>
      <c r="AQ81" s="498">
        <f t="shared" si="193"/>
        <v>0</v>
      </c>
      <c r="AR81" s="498">
        <f t="shared" si="194"/>
        <v>19743</v>
      </c>
      <c r="AS81" s="498">
        <f t="shared" si="194"/>
        <v>1168</v>
      </c>
      <c r="AT81" s="498">
        <f>M81+AE81</f>
        <v>3540</v>
      </c>
      <c r="AU81" s="499">
        <f>N81+AN81</f>
        <v>0.25</v>
      </c>
      <c r="AV81" s="499">
        <f t="shared" si="195"/>
        <v>0</v>
      </c>
      <c r="AW81" s="500">
        <f t="shared" si="195"/>
        <v>0.25</v>
      </c>
      <c r="AX81" s="580"/>
    </row>
    <row r="82" spans="1:51" s="569" customFormat="1" ht="12.75" customHeight="1" x14ac:dyDescent="0.2">
      <c r="A82" s="299">
        <v>20</v>
      </c>
      <c r="B82" s="23">
        <v>3409</v>
      </c>
      <c r="C82" s="298">
        <v>600078396</v>
      </c>
      <c r="D82" s="298">
        <v>43257399</v>
      </c>
      <c r="E82" s="570" t="s">
        <v>48</v>
      </c>
      <c r="F82" s="23"/>
      <c r="G82" s="570"/>
      <c r="H82" s="735"/>
      <c r="I82" s="35">
        <f t="shared" ref="I82:AW82" si="207">SUM(I77:I81)</f>
        <v>27878628</v>
      </c>
      <c r="J82" s="24">
        <f t="shared" si="207"/>
        <v>20096082</v>
      </c>
      <c r="K82" s="24">
        <f t="shared" si="207"/>
        <v>6792477</v>
      </c>
      <c r="L82" s="24">
        <f t="shared" si="207"/>
        <v>401921</v>
      </c>
      <c r="M82" s="24">
        <f t="shared" si="207"/>
        <v>588148</v>
      </c>
      <c r="N82" s="25">
        <f t="shared" si="207"/>
        <v>42.880500000000005</v>
      </c>
      <c r="O82" s="391">
        <f t="shared" si="207"/>
        <v>30.670900000000003</v>
      </c>
      <c r="P82" s="456">
        <f t="shared" si="207"/>
        <v>12.2096</v>
      </c>
      <c r="Q82" s="35">
        <f t="shared" si="207"/>
        <v>-12000</v>
      </c>
      <c r="R82" s="24">
        <f t="shared" si="207"/>
        <v>3466497</v>
      </c>
      <c r="S82" s="24">
        <f t="shared" si="207"/>
        <v>0</v>
      </c>
      <c r="T82" s="24">
        <f t="shared" si="207"/>
        <v>-60119</v>
      </c>
      <c r="U82" s="24">
        <f t="shared" si="207"/>
        <v>3394378</v>
      </c>
      <c r="V82" s="24">
        <f t="shared" si="207"/>
        <v>12000</v>
      </c>
      <c r="W82" s="24">
        <f t="shared" si="207"/>
        <v>0</v>
      </c>
      <c r="X82" s="24">
        <f t="shared" si="207"/>
        <v>0</v>
      </c>
      <c r="Y82" s="24">
        <f t="shared" si="207"/>
        <v>12000</v>
      </c>
      <c r="Z82" s="24">
        <f t="shared" si="207"/>
        <v>3406378</v>
      </c>
      <c r="AA82" s="24">
        <f t="shared" si="207"/>
        <v>1151356</v>
      </c>
      <c r="AB82" s="24">
        <f t="shared" si="207"/>
        <v>67888</v>
      </c>
      <c r="AC82" s="24">
        <f t="shared" si="207"/>
        <v>0</v>
      </c>
      <c r="AD82" s="24">
        <f t="shared" si="207"/>
        <v>0</v>
      </c>
      <c r="AE82" s="24">
        <f t="shared" si="207"/>
        <v>0</v>
      </c>
      <c r="AF82" s="24">
        <f t="shared" si="207"/>
        <v>4625622</v>
      </c>
      <c r="AG82" s="25">
        <f t="shared" si="207"/>
        <v>0</v>
      </c>
      <c r="AH82" s="25">
        <f t="shared" si="207"/>
        <v>0</v>
      </c>
      <c r="AI82" s="25">
        <f t="shared" si="207"/>
        <v>9.9600000000000009</v>
      </c>
      <c r="AJ82" s="25">
        <f t="shared" si="207"/>
        <v>-0.11</v>
      </c>
      <c r="AK82" s="25">
        <f t="shared" si="207"/>
        <v>0</v>
      </c>
      <c r="AL82" s="25">
        <f t="shared" si="207"/>
        <v>9.8500000000000014</v>
      </c>
      <c r="AM82" s="25">
        <f t="shared" si="207"/>
        <v>0</v>
      </c>
      <c r="AN82" s="392">
        <f t="shared" si="207"/>
        <v>9.8500000000000014</v>
      </c>
      <c r="AO82" s="35">
        <f t="shared" si="207"/>
        <v>32504250</v>
      </c>
      <c r="AP82" s="24">
        <f t="shared" si="207"/>
        <v>23490460</v>
      </c>
      <c r="AQ82" s="24">
        <f t="shared" si="207"/>
        <v>12000</v>
      </c>
      <c r="AR82" s="24">
        <f t="shared" si="207"/>
        <v>7943833</v>
      </c>
      <c r="AS82" s="24">
        <f t="shared" si="207"/>
        <v>469809</v>
      </c>
      <c r="AT82" s="24">
        <f t="shared" si="207"/>
        <v>588148</v>
      </c>
      <c r="AU82" s="25">
        <f t="shared" si="207"/>
        <v>52.730499999999999</v>
      </c>
      <c r="AV82" s="25">
        <f t="shared" si="207"/>
        <v>40.520900000000005</v>
      </c>
      <c r="AW82" s="72">
        <f t="shared" si="207"/>
        <v>12.2096</v>
      </c>
      <c r="AX82" s="580"/>
    </row>
    <row r="83" spans="1:51" s="569" customFormat="1" ht="12.75" customHeight="1" x14ac:dyDescent="0.2">
      <c r="A83" s="571">
        <v>21</v>
      </c>
      <c r="B83" s="572">
        <v>3415</v>
      </c>
      <c r="C83" s="572">
        <v>600078523</v>
      </c>
      <c r="D83" s="572">
        <v>72743271</v>
      </c>
      <c r="E83" s="573" t="s">
        <v>49</v>
      </c>
      <c r="F83" s="572">
        <v>3113</v>
      </c>
      <c r="G83" s="573" t="s">
        <v>320</v>
      </c>
      <c r="H83" s="736" t="s">
        <v>283</v>
      </c>
      <c r="I83" s="575">
        <f t="shared" ref="I83:I87" si="208">SUM(J83:M83)</f>
        <v>30405762</v>
      </c>
      <c r="J83" s="496">
        <v>21887181</v>
      </c>
      <c r="K83" s="131">
        <f t="shared" ref="K83:K87" si="209">ROUND((J83)*33.8%,0)</f>
        <v>7397867</v>
      </c>
      <c r="L83" s="131">
        <f t="shared" ref="L83:L87" si="210">ROUND(J83*2%,0)</f>
        <v>437744</v>
      </c>
      <c r="M83" s="496">
        <v>682970</v>
      </c>
      <c r="N83" s="576">
        <f t="shared" ref="N83:N87" si="211">SUM(O83:P83)</f>
        <v>36.800600000000003</v>
      </c>
      <c r="O83" s="577">
        <v>28.318000000000001</v>
      </c>
      <c r="P83" s="578">
        <v>8.4825999999999997</v>
      </c>
      <c r="Q83" s="579">
        <f t="shared" ref="Q83:Q87" si="212">V83*-1</f>
        <v>-4000</v>
      </c>
      <c r="R83" s="498">
        <v>0</v>
      </c>
      <c r="S83" s="498">
        <v>0</v>
      </c>
      <c r="T83" s="498">
        <v>0</v>
      </c>
      <c r="U83" s="498">
        <f t="shared" si="197"/>
        <v>-4000</v>
      </c>
      <c r="V83" s="498">
        <v>4000</v>
      </c>
      <c r="W83" s="498">
        <v>0</v>
      </c>
      <c r="X83" s="498">
        <v>0</v>
      </c>
      <c r="Y83" s="498">
        <f t="shared" si="198"/>
        <v>4000</v>
      </c>
      <c r="Z83" s="498">
        <f t="shared" si="199"/>
        <v>0</v>
      </c>
      <c r="AA83" s="131">
        <f t="shared" ref="AA83:AA87" si="213">ROUND((U83+V83+W81)*33.8%,0)</f>
        <v>0</v>
      </c>
      <c r="AB83" s="131">
        <f t="shared" si="200"/>
        <v>-80</v>
      </c>
      <c r="AC83" s="498">
        <v>0</v>
      </c>
      <c r="AD83" s="498">
        <v>0</v>
      </c>
      <c r="AE83" s="498">
        <f t="shared" si="201"/>
        <v>0</v>
      </c>
      <c r="AF83" s="498">
        <f t="shared" si="202"/>
        <v>-80</v>
      </c>
      <c r="AG83" s="499">
        <v>0</v>
      </c>
      <c r="AH83" s="499">
        <v>0</v>
      </c>
      <c r="AI83" s="499">
        <v>0</v>
      </c>
      <c r="AJ83" s="499">
        <v>0</v>
      </c>
      <c r="AK83" s="499">
        <v>0</v>
      </c>
      <c r="AL83" s="499">
        <f t="shared" si="203"/>
        <v>0</v>
      </c>
      <c r="AM83" s="499">
        <f t="shared" si="204"/>
        <v>0</v>
      </c>
      <c r="AN83" s="529">
        <f t="shared" si="205"/>
        <v>0</v>
      </c>
      <c r="AO83" s="579">
        <f>I83+AF83</f>
        <v>30405682</v>
      </c>
      <c r="AP83" s="498">
        <f>J83+U83</f>
        <v>21883181</v>
      </c>
      <c r="AQ83" s="498">
        <f t="shared" ref="AQ83:AQ87" si="214">Y83</f>
        <v>4000</v>
      </c>
      <c r="AR83" s="498">
        <f t="shared" ref="AR83:AS87" si="215">K83+AA83</f>
        <v>7397867</v>
      </c>
      <c r="AS83" s="498">
        <f t="shared" si="215"/>
        <v>437664</v>
      </c>
      <c r="AT83" s="498">
        <f>M83+AE83</f>
        <v>682970</v>
      </c>
      <c r="AU83" s="499">
        <f>N83+AN83</f>
        <v>36.800600000000003</v>
      </c>
      <c r="AV83" s="499">
        <f t="shared" ref="AV83:AW87" si="216">O83+AL83</f>
        <v>28.318000000000001</v>
      </c>
      <c r="AW83" s="500">
        <f t="shared" si="216"/>
        <v>8.4825999999999997</v>
      </c>
      <c r="AX83" s="580"/>
    </row>
    <row r="84" spans="1:51" s="569" customFormat="1" x14ac:dyDescent="0.2">
      <c r="A84" s="571">
        <v>21</v>
      </c>
      <c r="B84" s="572">
        <v>3415</v>
      </c>
      <c r="C84" s="572">
        <v>600078523</v>
      </c>
      <c r="D84" s="572">
        <v>72743271</v>
      </c>
      <c r="E84" s="573" t="s">
        <v>49</v>
      </c>
      <c r="F84" s="572">
        <v>3113</v>
      </c>
      <c r="G84" s="573" t="s">
        <v>318</v>
      </c>
      <c r="H84" s="736" t="s">
        <v>284</v>
      </c>
      <c r="I84" s="575">
        <f t="shared" si="208"/>
        <v>0</v>
      </c>
      <c r="J84" s="496">
        <v>0</v>
      </c>
      <c r="K84" s="131">
        <f t="shared" si="209"/>
        <v>0</v>
      </c>
      <c r="L84" s="131">
        <f t="shared" si="210"/>
        <v>0</v>
      </c>
      <c r="M84" s="496">
        <v>0</v>
      </c>
      <c r="N84" s="576">
        <f t="shared" si="211"/>
        <v>0</v>
      </c>
      <c r="O84" s="577">
        <v>0</v>
      </c>
      <c r="P84" s="578">
        <v>0</v>
      </c>
      <c r="Q84" s="579">
        <f t="shared" si="212"/>
        <v>0</v>
      </c>
      <c r="R84" s="496">
        <v>937366</v>
      </c>
      <c r="S84" s="498">
        <v>0</v>
      </c>
      <c r="T84" s="498">
        <v>0</v>
      </c>
      <c r="U84" s="498">
        <f t="shared" si="197"/>
        <v>937366</v>
      </c>
      <c r="V84" s="498">
        <v>0</v>
      </c>
      <c r="W84" s="498">
        <v>0</v>
      </c>
      <c r="X84" s="498">
        <v>0</v>
      </c>
      <c r="Y84" s="498">
        <f t="shared" si="198"/>
        <v>0</v>
      </c>
      <c r="Z84" s="498">
        <f t="shared" si="199"/>
        <v>937366</v>
      </c>
      <c r="AA84" s="131">
        <f t="shared" si="213"/>
        <v>316830</v>
      </c>
      <c r="AB84" s="131">
        <f t="shared" si="200"/>
        <v>18747</v>
      </c>
      <c r="AC84" s="498">
        <v>0</v>
      </c>
      <c r="AD84" s="498">
        <v>0</v>
      </c>
      <c r="AE84" s="498">
        <f t="shared" si="201"/>
        <v>0</v>
      </c>
      <c r="AF84" s="498">
        <f t="shared" si="202"/>
        <v>1272943</v>
      </c>
      <c r="AG84" s="499">
        <v>0</v>
      </c>
      <c r="AH84" s="499">
        <v>0</v>
      </c>
      <c r="AI84" s="499">
        <v>2.69</v>
      </c>
      <c r="AJ84" s="499">
        <v>0</v>
      </c>
      <c r="AK84" s="499">
        <v>0</v>
      </c>
      <c r="AL84" s="499">
        <f t="shared" si="203"/>
        <v>2.69</v>
      </c>
      <c r="AM84" s="499">
        <f t="shared" si="204"/>
        <v>0</v>
      </c>
      <c r="AN84" s="529">
        <f t="shared" si="205"/>
        <v>2.69</v>
      </c>
      <c r="AO84" s="579">
        <f>I84+AF84</f>
        <v>1272943</v>
      </c>
      <c r="AP84" s="498">
        <f>J84+U84</f>
        <v>937366</v>
      </c>
      <c r="AQ84" s="498">
        <f t="shared" si="214"/>
        <v>0</v>
      </c>
      <c r="AR84" s="498">
        <f t="shared" si="215"/>
        <v>316830</v>
      </c>
      <c r="AS84" s="498">
        <f t="shared" si="215"/>
        <v>18747</v>
      </c>
      <c r="AT84" s="498">
        <f>M84+AE84</f>
        <v>0</v>
      </c>
      <c r="AU84" s="499">
        <f>N84+AN84</f>
        <v>2.69</v>
      </c>
      <c r="AV84" s="499">
        <f t="shared" si="216"/>
        <v>2.69</v>
      </c>
      <c r="AW84" s="500">
        <f t="shared" si="216"/>
        <v>0</v>
      </c>
      <c r="AX84" s="580"/>
    </row>
    <row r="85" spans="1:51" s="569" customFormat="1" ht="12.75" customHeight="1" x14ac:dyDescent="0.2">
      <c r="A85" s="571">
        <v>21</v>
      </c>
      <c r="B85" s="572">
        <v>3415</v>
      </c>
      <c r="C85" s="572">
        <v>600078523</v>
      </c>
      <c r="D85" s="572">
        <v>72743271</v>
      </c>
      <c r="E85" s="573" t="s">
        <v>49</v>
      </c>
      <c r="F85" s="572">
        <v>3141</v>
      </c>
      <c r="G85" s="573" t="s">
        <v>321</v>
      </c>
      <c r="H85" s="736" t="s">
        <v>284</v>
      </c>
      <c r="I85" s="575">
        <f t="shared" si="208"/>
        <v>2619002</v>
      </c>
      <c r="J85" s="496">
        <v>1909909</v>
      </c>
      <c r="K85" s="131">
        <f t="shared" si="209"/>
        <v>645549</v>
      </c>
      <c r="L85" s="131">
        <f t="shared" si="210"/>
        <v>38198</v>
      </c>
      <c r="M85" s="496">
        <v>25346</v>
      </c>
      <c r="N85" s="576">
        <f t="shared" si="211"/>
        <v>6.5</v>
      </c>
      <c r="O85" s="577">
        <v>0</v>
      </c>
      <c r="P85" s="578">
        <v>6.5</v>
      </c>
      <c r="Q85" s="579">
        <f t="shared" si="212"/>
        <v>-32000</v>
      </c>
      <c r="R85" s="498">
        <v>0</v>
      </c>
      <c r="S85" s="498">
        <v>0</v>
      </c>
      <c r="T85" s="498">
        <v>0</v>
      </c>
      <c r="U85" s="498">
        <f t="shared" si="197"/>
        <v>-32000</v>
      </c>
      <c r="V85" s="498">
        <v>32000</v>
      </c>
      <c r="W85" s="498">
        <v>0</v>
      </c>
      <c r="X85" s="498">
        <v>0</v>
      </c>
      <c r="Y85" s="498">
        <f t="shared" si="198"/>
        <v>32000</v>
      </c>
      <c r="Z85" s="498">
        <f t="shared" si="199"/>
        <v>0</v>
      </c>
      <c r="AA85" s="131">
        <f t="shared" si="213"/>
        <v>0</v>
      </c>
      <c r="AB85" s="131">
        <f t="shared" si="200"/>
        <v>-640</v>
      </c>
      <c r="AC85" s="498">
        <v>0</v>
      </c>
      <c r="AD85" s="498">
        <v>0</v>
      </c>
      <c r="AE85" s="498">
        <f t="shared" si="201"/>
        <v>0</v>
      </c>
      <c r="AF85" s="498">
        <f t="shared" si="202"/>
        <v>-640</v>
      </c>
      <c r="AG85" s="499">
        <v>0</v>
      </c>
      <c r="AH85" s="499">
        <v>-0.13</v>
      </c>
      <c r="AI85" s="499">
        <v>0</v>
      </c>
      <c r="AJ85" s="499">
        <v>0</v>
      </c>
      <c r="AK85" s="499">
        <v>0</v>
      </c>
      <c r="AL85" s="499">
        <f t="shared" si="203"/>
        <v>0</v>
      </c>
      <c r="AM85" s="499">
        <f t="shared" si="204"/>
        <v>-0.13</v>
      </c>
      <c r="AN85" s="529">
        <f t="shared" si="205"/>
        <v>-0.13</v>
      </c>
      <c r="AO85" s="579">
        <f>I85+AF85</f>
        <v>2618362</v>
      </c>
      <c r="AP85" s="498">
        <f>J85+U85</f>
        <v>1877909</v>
      </c>
      <c r="AQ85" s="498">
        <f t="shared" si="214"/>
        <v>32000</v>
      </c>
      <c r="AR85" s="498">
        <f t="shared" si="215"/>
        <v>645549</v>
      </c>
      <c r="AS85" s="498">
        <f t="shared" si="215"/>
        <v>37558</v>
      </c>
      <c r="AT85" s="498">
        <f>M85+AE85</f>
        <v>25346</v>
      </c>
      <c r="AU85" s="499">
        <f>N85+AN85</f>
        <v>6.37</v>
      </c>
      <c r="AV85" s="499">
        <f t="shared" si="216"/>
        <v>0</v>
      </c>
      <c r="AW85" s="500">
        <f t="shared" si="216"/>
        <v>6.37</v>
      </c>
      <c r="AX85" s="580"/>
      <c r="AY85" s="580"/>
    </row>
    <row r="86" spans="1:51" s="569" customFormat="1" ht="12.75" customHeight="1" x14ac:dyDescent="0.2">
      <c r="A86" s="571">
        <v>21</v>
      </c>
      <c r="B86" s="572">
        <v>3415</v>
      </c>
      <c r="C86" s="572">
        <v>600078523</v>
      </c>
      <c r="D86" s="572">
        <v>72743271</v>
      </c>
      <c r="E86" s="573" t="s">
        <v>49</v>
      </c>
      <c r="F86" s="572">
        <v>3143</v>
      </c>
      <c r="G86" s="573" t="s">
        <v>635</v>
      </c>
      <c r="H86" s="736" t="s">
        <v>283</v>
      </c>
      <c r="I86" s="575">
        <f t="shared" si="208"/>
        <v>2879181</v>
      </c>
      <c r="J86" s="496">
        <v>2120163</v>
      </c>
      <c r="K86" s="131">
        <f t="shared" si="209"/>
        <v>716615</v>
      </c>
      <c r="L86" s="131">
        <f t="shared" si="210"/>
        <v>42403</v>
      </c>
      <c r="M86" s="496">
        <v>0</v>
      </c>
      <c r="N86" s="576">
        <f t="shared" si="211"/>
        <v>4.4463999999999997</v>
      </c>
      <c r="O86" s="577">
        <v>4.4463999999999997</v>
      </c>
      <c r="P86" s="578">
        <v>0</v>
      </c>
      <c r="Q86" s="579">
        <f t="shared" si="212"/>
        <v>-4000</v>
      </c>
      <c r="R86" s="498">
        <v>0</v>
      </c>
      <c r="S86" s="498">
        <v>0</v>
      </c>
      <c r="T86" s="498">
        <v>0</v>
      </c>
      <c r="U86" s="498">
        <f t="shared" si="197"/>
        <v>-4000</v>
      </c>
      <c r="V86" s="498">
        <v>4000</v>
      </c>
      <c r="W86" s="498">
        <v>0</v>
      </c>
      <c r="X86" s="498">
        <v>0</v>
      </c>
      <c r="Y86" s="498">
        <f t="shared" si="198"/>
        <v>4000</v>
      </c>
      <c r="Z86" s="498">
        <f t="shared" si="199"/>
        <v>0</v>
      </c>
      <c r="AA86" s="131">
        <f t="shared" si="213"/>
        <v>0</v>
      </c>
      <c r="AB86" s="131">
        <f t="shared" si="200"/>
        <v>-80</v>
      </c>
      <c r="AC86" s="498">
        <v>0</v>
      </c>
      <c r="AD86" s="498">
        <v>0</v>
      </c>
      <c r="AE86" s="498">
        <f t="shared" si="201"/>
        <v>0</v>
      </c>
      <c r="AF86" s="498">
        <f t="shared" si="202"/>
        <v>-80</v>
      </c>
      <c r="AG86" s="499">
        <v>0</v>
      </c>
      <c r="AH86" s="499">
        <v>0</v>
      </c>
      <c r="AI86" s="499">
        <v>0</v>
      </c>
      <c r="AJ86" s="499">
        <v>0</v>
      </c>
      <c r="AK86" s="499">
        <v>0</v>
      </c>
      <c r="AL86" s="499">
        <f t="shared" si="203"/>
        <v>0</v>
      </c>
      <c r="AM86" s="499">
        <f t="shared" si="204"/>
        <v>0</v>
      </c>
      <c r="AN86" s="529">
        <f t="shared" si="205"/>
        <v>0</v>
      </c>
      <c r="AO86" s="579">
        <f>I86+AF86</f>
        <v>2879101</v>
      </c>
      <c r="AP86" s="498">
        <f>J86+U86</f>
        <v>2116163</v>
      </c>
      <c r="AQ86" s="498">
        <f t="shared" si="214"/>
        <v>4000</v>
      </c>
      <c r="AR86" s="498">
        <f t="shared" si="215"/>
        <v>716615</v>
      </c>
      <c r="AS86" s="498">
        <f t="shared" si="215"/>
        <v>42323</v>
      </c>
      <c r="AT86" s="498">
        <f>M86+AE86</f>
        <v>0</v>
      </c>
      <c r="AU86" s="499">
        <f>N86+AN86</f>
        <v>4.4463999999999997</v>
      </c>
      <c r="AV86" s="499">
        <f t="shared" si="216"/>
        <v>4.4463999999999997</v>
      </c>
      <c r="AW86" s="500">
        <f t="shared" si="216"/>
        <v>0</v>
      </c>
      <c r="AX86" s="580"/>
    </row>
    <row r="87" spans="1:51" s="569" customFormat="1" ht="12.75" customHeight="1" x14ac:dyDescent="0.2">
      <c r="A87" s="571">
        <v>21</v>
      </c>
      <c r="B87" s="572">
        <v>3415</v>
      </c>
      <c r="C87" s="572">
        <v>600078523</v>
      </c>
      <c r="D87" s="572">
        <v>72743271</v>
      </c>
      <c r="E87" s="573" t="s">
        <v>49</v>
      </c>
      <c r="F87" s="572">
        <v>3143</v>
      </c>
      <c r="G87" s="573" t="s">
        <v>636</v>
      </c>
      <c r="H87" s="736" t="s">
        <v>284</v>
      </c>
      <c r="I87" s="575">
        <f t="shared" si="208"/>
        <v>89883</v>
      </c>
      <c r="J87" s="496">
        <v>63360</v>
      </c>
      <c r="K87" s="131">
        <f t="shared" si="209"/>
        <v>21416</v>
      </c>
      <c r="L87" s="131">
        <f t="shared" si="210"/>
        <v>1267</v>
      </c>
      <c r="M87" s="496">
        <v>3840</v>
      </c>
      <c r="N87" s="576">
        <f t="shared" si="211"/>
        <v>0.27</v>
      </c>
      <c r="O87" s="577">
        <v>0</v>
      </c>
      <c r="P87" s="578">
        <v>0.27</v>
      </c>
      <c r="Q87" s="579">
        <f t="shared" si="212"/>
        <v>0</v>
      </c>
      <c r="R87" s="498">
        <v>0</v>
      </c>
      <c r="S87" s="498">
        <v>0</v>
      </c>
      <c r="T87" s="498">
        <v>0</v>
      </c>
      <c r="U87" s="498">
        <f t="shared" si="197"/>
        <v>0</v>
      </c>
      <c r="V87" s="498">
        <v>0</v>
      </c>
      <c r="W87" s="498">
        <v>0</v>
      </c>
      <c r="X87" s="498">
        <v>0</v>
      </c>
      <c r="Y87" s="498">
        <f t="shared" si="198"/>
        <v>0</v>
      </c>
      <c r="Z87" s="498">
        <f t="shared" si="199"/>
        <v>0</v>
      </c>
      <c r="AA87" s="131">
        <f t="shared" si="213"/>
        <v>0</v>
      </c>
      <c r="AB87" s="131">
        <f t="shared" si="200"/>
        <v>0</v>
      </c>
      <c r="AC87" s="498">
        <v>0</v>
      </c>
      <c r="AD87" s="498">
        <v>0</v>
      </c>
      <c r="AE87" s="498">
        <f t="shared" si="201"/>
        <v>0</v>
      </c>
      <c r="AF87" s="498">
        <f t="shared" si="202"/>
        <v>0</v>
      </c>
      <c r="AG87" s="499">
        <v>0</v>
      </c>
      <c r="AH87" s="499">
        <v>0</v>
      </c>
      <c r="AI87" s="499">
        <v>0</v>
      </c>
      <c r="AJ87" s="499">
        <v>0</v>
      </c>
      <c r="AK87" s="499">
        <v>0</v>
      </c>
      <c r="AL87" s="499">
        <f t="shared" si="203"/>
        <v>0</v>
      </c>
      <c r="AM87" s="499">
        <f t="shared" si="204"/>
        <v>0</v>
      </c>
      <c r="AN87" s="529">
        <f t="shared" si="205"/>
        <v>0</v>
      </c>
      <c r="AO87" s="579">
        <f>I87+AF87</f>
        <v>89883</v>
      </c>
      <c r="AP87" s="498">
        <f>J87+U87</f>
        <v>63360</v>
      </c>
      <c r="AQ87" s="498">
        <f t="shared" si="214"/>
        <v>0</v>
      </c>
      <c r="AR87" s="498">
        <f t="shared" si="215"/>
        <v>21416</v>
      </c>
      <c r="AS87" s="498">
        <f t="shared" si="215"/>
        <v>1267</v>
      </c>
      <c r="AT87" s="498">
        <f>M87+AE87</f>
        <v>3840</v>
      </c>
      <c r="AU87" s="499">
        <f>N87+AN87</f>
        <v>0.27</v>
      </c>
      <c r="AV87" s="499">
        <f t="shared" si="216"/>
        <v>0</v>
      </c>
      <c r="AW87" s="500">
        <f t="shared" si="216"/>
        <v>0.27</v>
      </c>
      <c r="AX87" s="580"/>
    </row>
    <row r="88" spans="1:51" s="569" customFormat="1" ht="12.75" customHeight="1" x14ac:dyDescent="0.2">
      <c r="A88" s="299">
        <v>21</v>
      </c>
      <c r="B88" s="23">
        <v>3415</v>
      </c>
      <c r="C88" s="298">
        <v>600078523</v>
      </c>
      <c r="D88" s="298">
        <v>72743271</v>
      </c>
      <c r="E88" s="570" t="s">
        <v>50</v>
      </c>
      <c r="F88" s="23"/>
      <c r="G88" s="570"/>
      <c r="H88" s="735"/>
      <c r="I88" s="35">
        <f t="shared" ref="I88:P88" si="217">SUM(I83:I87)</f>
        <v>35993828</v>
      </c>
      <c r="J88" s="24">
        <f t="shared" si="217"/>
        <v>25980613</v>
      </c>
      <c r="K88" s="24">
        <f t="shared" si="217"/>
        <v>8781447</v>
      </c>
      <c r="L88" s="24">
        <f t="shared" si="217"/>
        <v>519612</v>
      </c>
      <c r="M88" s="24">
        <f t="shared" si="217"/>
        <v>712156</v>
      </c>
      <c r="N88" s="25">
        <f t="shared" si="217"/>
        <v>48.017000000000003</v>
      </c>
      <c r="O88" s="391">
        <f t="shared" si="217"/>
        <v>32.764400000000002</v>
      </c>
      <c r="P88" s="456">
        <f t="shared" si="217"/>
        <v>15.252599999999999</v>
      </c>
      <c r="Q88" s="35">
        <f t="shared" ref="Q88:AW88" si="218">SUM(Q83:Q87)</f>
        <v>-40000</v>
      </c>
      <c r="R88" s="24">
        <f t="shared" si="218"/>
        <v>937366</v>
      </c>
      <c r="S88" s="24">
        <f t="shared" si="218"/>
        <v>0</v>
      </c>
      <c r="T88" s="24">
        <f t="shared" si="218"/>
        <v>0</v>
      </c>
      <c r="U88" s="24">
        <f t="shared" si="218"/>
        <v>897366</v>
      </c>
      <c r="V88" s="24">
        <f t="shared" si="218"/>
        <v>40000</v>
      </c>
      <c r="W88" s="24">
        <f t="shared" si="218"/>
        <v>0</v>
      </c>
      <c r="X88" s="24">
        <f t="shared" si="218"/>
        <v>0</v>
      </c>
      <c r="Y88" s="24">
        <f t="shared" si="218"/>
        <v>40000</v>
      </c>
      <c r="Z88" s="24">
        <f t="shared" si="218"/>
        <v>937366</v>
      </c>
      <c r="AA88" s="24">
        <f t="shared" si="218"/>
        <v>316830</v>
      </c>
      <c r="AB88" s="24">
        <f t="shared" si="218"/>
        <v>17947</v>
      </c>
      <c r="AC88" s="24">
        <f t="shared" si="218"/>
        <v>0</v>
      </c>
      <c r="AD88" s="24">
        <f t="shared" si="218"/>
        <v>0</v>
      </c>
      <c r="AE88" s="24">
        <f t="shared" si="218"/>
        <v>0</v>
      </c>
      <c r="AF88" s="24">
        <f t="shared" si="218"/>
        <v>1272143</v>
      </c>
      <c r="AG88" s="25">
        <f t="shared" si="218"/>
        <v>0</v>
      </c>
      <c r="AH88" s="25">
        <f t="shared" si="218"/>
        <v>-0.13</v>
      </c>
      <c r="AI88" s="25">
        <f t="shared" si="218"/>
        <v>2.69</v>
      </c>
      <c r="AJ88" s="25">
        <f t="shared" si="218"/>
        <v>0</v>
      </c>
      <c r="AK88" s="25">
        <f t="shared" si="218"/>
        <v>0</v>
      </c>
      <c r="AL88" s="25">
        <f t="shared" si="218"/>
        <v>2.69</v>
      </c>
      <c r="AM88" s="25">
        <f t="shared" si="218"/>
        <v>-0.13</v>
      </c>
      <c r="AN88" s="392">
        <f t="shared" si="218"/>
        <v>2.56</v>
      </c>
      <c r="AO88" s="35">
        <f t="shared" si="218"/>
        <v>37265971</v>
      </c>
      <c r="AP88" s="24">
        <f t="shared" si="218"/>
        <v>26877979</v>
      </c>
      <c r="AQ88" s="24">
        <f t="shared" si="218"/>
        <v>40000</v>
      </c>
      <c r="AR88" s="24">
        <f t="shared" si="218"/>
        <v>9098277</v>
      </c>
      <c r="AS88" s="24">
        <f t="shared" si="218"/>
        <v>537559</v>
      </c>
      <c r="AT88" s="24">
        <f t="shared" si="218"/>
        <v>712156</v>
      </c>
      <c r="AU88" s="25">
        <f t="shared" si="218"/>
        <v>50.576999999999998</v>
      </c>
      <c r="AV88" s="25">
        <f t="shared" si="218"/>
        <v>35.4544</v>
      </c>
      <c r="AW88" s="72">
        <f t="shared" si="218"/>
        <v>15.122599999999998</v>
      </c>
      <c r="AX88" s="580"/>
    </row>
    <row r="89" spans="1:51" s="569" customFormat="1" ht="12.75" customHeight="1" x14ac:dyDescent="0.2">
      <c r="A89" s="571">
        <v>22</v>
      </c>
      <c r="B89" s="572">
        <v>3412</v>
      </c>
      <c r="C89" s="572">
        <v>600078540</v>
      </c>
      <c r="D89" s="572">
        <v>72742879</v>
      </c>
      <c r="E89" s="573" t="s">
        <v>51</v>
      </c>
      <c r="F89" s="572">
        <v>3113</v>
      </c>
      <c r="G89" s="573" t="s">
        <v>320</v>
      </c>
      <c r="H89" s="736" t="s">
        <v>283</v>
      </c>
      <c r="I89" s="575">
        <f t="shared" ref="I89:I93" si="219">SUM(J89:M89)</f>
        <v>39466989</v>
      </c>
      <c r="J89" s="496">
        <v>28351089</v>
      </c>
      <c r="K89" s="131">
        <f t="shared" ref="K89:K93" si="220">ROUND((J89)*33.8%,0)</f>
        <v>9582668</v>
      </c>
      <c r="L89" s="131">
        <f t="shared" ref="L89:L93" si="221">ROUND(J89*2%,0)</f>
        <v>567022</v>
      </c>
      <c r="M89" s="496">
        <v>966210</v>
      </c>
      <c r="N89" s="576">
        <f t="shared" ref="N89:N93" si="222">SUM(O89:P89)</f>
        <v>51.8613</v>
      </c>
      <c r="O89" s="577">
        <v>40.272500000000001</v>
      </c>
      <c r="P89" s="578">
        <v>11.588799999999999</v>
      </c>
      <c r="Q89" s="579">
        <f t="shared" ref="Q89:Q93" si="223">V89*-1</f>
        <v>-112000</v>
      </c>
      <c r="R89" s="498">
        <v>0</v>
      </c>
      <c r="S89" s="498">
        <v>0</v>
      </c>
      <c r="T89" s="498">
        <v>0</v>
      </c>
      <c r="U89" s="498">
        <f t="shared" si="197"/>
        <v>-112000</v>
      </c>
      <c r="V89" s="498">
        <v>112000</v>
      </c>
      <c r="W89" s="498">
        <v>0</v>
      </c>
      <c r="X89" s="498">
        <v>0</v>
      </c>
      <c r="Y89" s="498">
        <f t="shared" si="198"/>
        <v>112000</v>
      </c>
      <c r="Z89" s="498">
        <f t="shared" si="199"/>
        <v>0</v>
      </c>
      <c r="AA89" s="131">
        <f t="shared" ref="AA89:AA93" si="224">ROUND((U89+V89+W87)*33.8%,0)</f>
        <v>0</v>
      </c>
      <c r="AB89" s="131">
        <f t="shared" si="200"/>
        <v>-2240</v>
      </c>
      <c r="AC89" s="498">
        <v>0</v>
      </c>
      <c r="AD89" s="498">
        <v>0</v>
      </c>
      <c r="AE89" s="498">
        <f t="shared" si="201"/>
        <v>0</v>
      </c>
      <c r="AF89" s="498">
        <f t="shared" si="202"/>
        <v>-2240</v>
      </c>
      <c r="AG89" s="499">
        <v>0</v>
      </c>
      <c r="AH89" s="499">
        <v>-0.36</v>
      </c>
      <c r="AI89" s="499">
        <v>0</v>
      </c>
      <c r="AJ89" s="499">
        <v>0</v>
      </c>
      <c r="AK89" s="499">
        <v>0</v>
      </c>
      <c r="AL89" s="499">
        <f t="shared" si="203"/>
        <v>0</v>
      </c>
      <c r="AM89" s="499">
        <f t="shared" si="204"/>
        <v>-0.36</v>
      </c>
      <c r="AN89" s="529">
        <f t="shared" si="205"/>
        <v>-0.36</v>
      </c>
      <c r="AO89" s="579">
        <f>I89+AF89</f>
        <v>39464749</v>
      </c>
      <c r="AP89" s="498">
        <f>J89+U89</f>
        <v>28239089</v>
      </c>
      <c r="AQ89" s="498">
        <f t="shared" ref="AQ89:AQ93" si="225">Y89</f>
        <v>112000</v>
      </c>
      <c r="AR89" s="498">
        <f t="shared" ref="AR89:AS93" si="226">K89+AA89</f>
        <v>9582668</v>
      </c>
      <c r="AS89" s="498">
        <f t="shared" si="226"/>
        <v>564782</v>
      </c>
      <c r="AT89" s="498">
        <f>M89+AE89</f>
        <v>966210</v>
      </c>
      <c r="AU89" s="499">
        <f>N89+AN89</f>
        <v>51.501300000000001</v>
      </c>
      <c r="AV89" s="499">
        <f t="shared" ref="AV89:AW93" si="227">O89+AL89</f>
        <v>40.272500000000001</v>
      </c>
      <c r="AW89" s="500">
        <f t="shared" si="227"/>
        <v>11.2288</v>
      </c>
      <c r="AX89" s="580"/>
    </row>
    <row r="90" spans="1:51" s="569" customFormat="1" x14ac:dyDescent="0.2">
      <c r="A90" s="571">
        <v>22</v>
      </c>
      <c r="B90" s="572">
        <v>3412</v>
      </c>
      <c r="C90" s="572">
        <v>600078540</v>
      </c>
      <c r="D90" s="572">
        <v>72742879</v>
      </c>
      <c r="E90" s="573" t="s">
        <v>51</v>
      </c>
      <c r="F90" s="572">
        <v>3113</v>
      </c>
      <c r="G90" s="573" t="s">
        <v>318</v>
      </c>
      <c r="H90" s="736" t="s">
        <v>284</v>
      </c>
      <c r="I90" s="575">
        <f t="shared" si="219"/>
        <v>0</v>
      </c>
      <c r="J90" s="496">
        <v>0</v>
      </c>
      <c r="K90" s="131">
        <f t="shared" si="220"/>
        <v>0</v>
      </c>
      <c r="L90" s="131">
        <f t="shared" si="221"/>
        <v>0</v>
      </c>
      <c r="M90" s="496">
        <v>0</v>
      </c>
      <c r="N90" s="576">
        <f t="shared" si="222"/>
        <v>0</v>
      </c>
      <c r="O90" s="577">
        <v>0</v>
      </c>
      <c r="P90" s="578">
        <v>0</v>
      </c>
      <c r="Q90" s="579">
        <f t="shared" si="223"/>
        <v>0</v>
      </c>
      <c r="R90" s="496">
        <f>2396248+166007</f>
        <v>2562255</v>
      </c>
      <c r="S90" s="498">
        <v>0</v>
      </c>
      <c r="T90" s="498">
        <v>0</v>
      </c>
      <c r="U90" s="498">
        <f t="shared" si="197"/>
        <v>2562255</v>
      </c>
      <c r="V90" s="498">
        <v>0</v>
      </c>
      <c r="W90" s="498">
        <v>0</v>
      </c>
      <c r="X90" s="498">
        <v>0</v>
      </c>
      <c r="Y90" s="498">
        <f t="shared" si="198"/>
        <v>0</v>
      </c>
      <c r="Z90" s="498">
        <f t="shared" si="199"/>
        <v>2562255</v>
      </c>
      <c r="AA90" s="131">
        <f t="shared" si="224"/>
        <v>866042</v>
      </c>
      <c r="AB90" s="131">
        <f t="shared" si="200"/>
        <v>51245</v>
      </c>
      <c r="AC90" s="498">
        <v>0</v>
      </c>
      <c r="AD90" s="498">
        <v>0</v>
      </c>
      <c r="AE90" s="498">
        <f t="shared" si="201"/>
        <v>0</v>
      </c>
      <c r="AF90" s="498">
        <f t="shared" si="202"/>
        <v>3479542</v>
      </c>
      <c r="AG90" s="499">
        <v>0</v>
      </c>
      <c r="AH90" s="499">
        <v>0</v>
      </c>
      <c r="AI90" s="499">
        <f>6.92+0.48</f>
        <v>7.4</v>
      </c>
      <c r="AJ90" s="499">
        <v>0</v>
      </c>
      <c r="AK90" s="499">
        <v>0</v>
      </c>
      <c r="AL90" s="499">
        <f t="shared" si="203"/>
        <v>7.4</v>
      </c>
      <c r="AM90" s="499">
        <f t="shared" si="204"/>
        <v>0</v>
      </c>
      <c r="AN90" s="529">
        <f t="shared" si="205"/>
        <v>7.4</v>
      </c>
      <c r="AO90" s="579">
        <f>I90+AF90</f>
        <v>3479542</v>
      </c>
      <c r="AP90" s="498">
        <f>J90+U90</f>
        <v>2562255</v>
      </c>
      <c r="AQ90" s="498">
        <f t="shared" si="225"/>
        <v>0</v>
      </c>
      <c r="AR90" s="498">
        <f t="shared" si="226"/>
        <v>866042</v>
      </c>
      <c r="AS90" s="498">
        <f t="shared" si="226"/>
        <v>51245</v>
      </c>
      <c r="AT90" s="498">
        <f>M90+AE90</f>
        <v>0</v>
      </c>
      <c r="AU90" s="499">
        <f>N90+AN90</f>
        <v>7.4</v>
      </c>
      <c r="AV90" s="499">
        <f t="shared" si="227"/>
        <v>7.4</v>
      </c>
      <c r="AW90" s="500">
        <f t="shared" si="227"/>
        <v>0</v>
      </c>
      <c r="AX90" s="580"/>
    </row>
    <row r="91" spans="1:51" s="569" customFormat="1" ht="12.75" customHeight="1" x14ac:dyDescent="0.2">
      <c r="A91" s="571">
        <v>22</v>
      </c>
      <c r="B91" s="572">
        <v>3412</v>
      </c>
      <c r="C91" s="572">
        <v>600078540</v>
      </c>
      <c r="D91" s="572">
        <v>72742879</v>
      </c>
      <c r="E91" s="573" t="s">
        <v>51</v>
      </c>
      <c r="F91" s="572">
        <v>3141</v>
      </c>
      <c r="G91" s="573" t="s">
        <v>321</v>
      </c>
      <c r="H91" s="736" t="s">
        <v>284</v>
      </c>
      <c r="I91" s="575">
        <f t="shared" si="219"/>
        <v>3496589</v>
      </c>
      <c r="J91" s="496">
        <v>2548072</v>
      </c>
      <c r="K91" s="131">
        <f t="shared" si="220"/>
        <v>861248</v>
      </c>
      <c r="L91" s="131">
        <f t="shared" si="221"/>
        <v>50961</v>
      </c>
      <c r="M91" s="496">
        <v>36308</v>
      </c>
      <c r="N91" s="576">
        <f t="shared" si="222"/>
        <v>8.67</v>
      </c>
      <c r="O91" s="577">
        <v>0</v>
      </c>
      <c r="P91" s="578">
        <v>8.67</v>
      </c>
      <c r="Q91" s="579">
        <f t="shared" si="223"/>
        <v>-24000</v>
      </c>
      <c r="R91" s="498">
        <v>0</v>
      </c>
      <c r="S91" s="498">
        <v>0</v>
      </c>
      <c r="T91" s="498">
        <v>0</v>
      </c>
      <c r="U91" s="498">
        <f t="shared" si="197"/>
        <v>-24000</v>
      </c>
      <c r="V91" s="498">
        <v>24000</v>
      </c>
      <c r="W91" s="498">
        <v>0</v>
      </c>
      <c r="X91" s="498">
        <v>0</v>
      </c>
      <c r="Y91" s="498">
        <f t="shared" si="198"/>
        <v>24000</v>
      </c>
      <c r="Z91" s="498">
        <f t="shared" si="199"/>
        <v>0</v>
      </c>
      <c r="AA91" s="131">
        <f t="shared" si="224"/>
        <v>0</v>
      </c>
      <c r="AB91" s="131">
        <f t="shared" si="200"/>
        <v>-480</v>
      </c>
      <c r="AC91" s="498">
        <v>0</v>
      </c>
      <c r="AD91" s="498">
        <v>0</v>
      </c>
      <c r="AE91" s="498">
        <f t="shared" si="201"/>
        <v>0</v>
      </c>
      <c r="AF91" s="498">
        <f t="shared" si="202"/>
        <v>-480</v>
      </c>
      <c r="AG91" s="499">
        <v>0</v>
      </c>
      <c r="AH91" s="499">
        <v>0</v>
      </c>
      <c r="AI91" s="499">
        <v>0</v>
      </c>
      <c r="AJ91" s="499">
        <v>0</v>
      </c>
      <c r="AK91" s="499">
        <v>0</v>
      </c>
      <c r="AL91" s="499">
        <f t="shared" si="203"/>
        <v>0</v>
      </c>
      <c r="AM91" s="499">
        <f t="shared" si="204"/>
        <v>0</v>
      </c>
      <c r="AN91" s="529">
        <f t="shared" si="205"/>
        <v>0</v>
      </c>
      <c r="AO91" s="579">
        <f>I91+AF91</f>
        <v>3496109</v>
      </c>
      <c r="AP91" s="498">
        <f>J91+U91</f>
        <v>2524072</v>
      </c>
      <c r="AQ91" s="498">
        <f t="shared" si="225"/>
        <v>24000</v>
      </c>
      <c r="AR91" s="498">
        <f t="shared" si="226"/>
        <v>861248</v>
      </c>
      <c r="AS91" s="498">
        <f t="shared" si="226"/>
        <v>50481</v>
      </c>
      <c r="AT91" s="498">
        <f>M91+AE91</f>
        <v>36308</v>
      </c>
      <c r="AU91" s="499">
        <f>N91+AN91</f>
        <v>8.67</v>
      </c>
      <c r="AV91" s="499">
        <f t="shared" si="227"/>
        <v>0</v>
      </c>
      <c r="AW91" s="500">
        <f t="shared" si="227"/>
        <v>8.67</v>
      </c>
      <c r="AX91" s="580"/>
      <c r="AY91" s="580"/>
    </row>
    <row r="92" spans="1:51" s="569" customFormat="1" ht="12.75" customHeight="1" x14ac:dyDescent="0.2">
      <c r="A92" s="571">
        <v>22</v>
      </c>
      <c r="B92" s="572">
        <v>3412</v>
      </c>
      <c r="C92" s="572">
        <v>600078540</v>
      </c>
      <c r="D92" s="572">
        <v>72742879</v>
      </c>
      <c r="E92" s="573" t="s">
        <v>51</v>
      </c>
      <c r="F92" s="572">
        <v>3143</v>
      </c>
      <c r="G92" s="573" t="s">
        <v>635</v>
      </c>
      <c r="H92" s="736" t="s">
        <v>283</v>
      </c>
      <c r="I92" s="575">
        <f t="shared" si="219"/>
        <v>4056355</v>
      </c>
      <c r="J92" s="496">
        <v>2987007</v>
      </c>
      <c r="K92" s="131">
        <f t="shared" si="220"/>
        <v>1009608</v>
      </c>
      <c r="L92" s="131">
        <f t="shared" si="221"/>
        <v>59740</v>
      </c>
      <c r="M92" s="496">
        <v>0</v>
      </c>
      <c r="N92" s="576">
        <f t="shared" si="222"/>
        <v>6.0945999999999998</v>
      </c>
      <c r="O92" s="577">
        <v>6.0945999999999998</v>
      </c>
      <c r="P92" s="578">
        <v>0</v>
      </c>
      <c r="Q92" s="579">
        <f t="shared" si="223"/>
        <v>-8000</v>
      </c>
      <c r="R92" s="498">
        <v>0</v>
      </c>
      <c r="S92" s="498">
        <v>0</v>
      </c>
      <c r="T92" s="498">
        <v>0</v>
      </c>
      <c r="U92" s="498">
        <f t="shared" si="197"/>
        <v>-8000</v>
      </c>
      <c r="V92" s="498">
        <v>8000</v>
      </c>
      <c r="W92" s="498">
        <v>0</v>
      </c>
      <c r="X92" s="498">
        <v>0</v>
      </c>
      <c r="Y92" s="498">
        <f t="shared" si="198"/>
        <v>8000</v>
      </c>
      <c r="Z92" s="498">
        <f t="shared" si="199"/>
        <v>0</v>
      </c>
      <c r="AA92" s="131">
        <f t="shared" si="224"/>
        <v>0</v>
      </c>
      <c r="AB92" s="131">
        <f t="shared" si="200"/>
        <v>-160</v>
      </c>
      <c r="AC92" s="498">
        <v>0</v>
      </c>
      <c r="AD92" s="498">
        <v>0</v>
      </c>
      <c r="AE92" s="498">
        <f t="shared" si="201"/>
        <v>0</v>
      </c>
      <c r="AF92" s="498">
        <f t="shared" si="202"/>
        <v>-160</v>
      </c>
      <c r="AG92" s="499">
        <v>0</v>
      </c>
      <c r="AH92" s="499">
        <v>0</v>
      </c>
      <c r="AI92" s="499">
        <v>0</v>
      </c>
      <c r="AJ92" s="499">
        <v>0</v>
      </c>
      <c r="AK92" s="499">
        <v>0</v>
      </c>
      <c r="AL92" s="499">
        <f t="shared" si="203"/>
        <v>0</v>
      </c>
      <c r="AM92" s="499">
        <f t="shared" si="204"/>
        <v>0</v>
      </c>
      <c r="AN92" s="529">
        <f t="shared" si="205"/>
        <v>0</v>
      </c>
      <c r="AO92" s="579">
        <f>I92+AF92</f>
        <v>4056195</v>
      </c>
      <c r="AP92" s="498">
        <f>J92+U92</f>
        <v>2979007</v>
      </c>
      <c r="AQ92" s="498">
        <f t="shared" si="225"/>
        <v>8000</v>
      </c>
      <c r="AR92" s="498">
        <f t="shared" si="226"/>
        <v>1009608</v>
      </c>
      <c r="AS92" s="498">
        <f t="shared" si="226"/>
        <v>59580</v>
      </c>
      <c r="AT92" s="498">
        <f>M92+AE92</f>
        <v>0</v>
      </c>
      <c r="AU92" s="499">
        <f>N92+AN92</f>
        <v>6.0945999999999998</v>
      </c>
      <c r="AV92" s="499">
        <f t="shared" si="227"/>
        <v>6.0945999999999998</v>
      </c>
      <c r="AW92" s="500">
        <f t="shared" si="227"/>
        <v>0</v>
      </c>
      <c r="AX92" s="580"/>
    </row>
    <row r="93" spans="1:51" s="569" customFormat="1" ht="12.75" customHeight="1" x14ac:dyDescent="0.2">
      <c r="A93" s="571">
        <v>22</v>
      </c>
      <c r="B93" s="572">
        <v>3412</v>
      </c>
      <c r="C93" s="572">
        <v>600078540</v>
      </c>
      <c r="D93" s="572">
        <v>72742879</v>
      </c>
      <c r="E93" s="573" t="s">
        <v>51</v>
      </c>
      <c r="F93" s="572">
        <v>3143</v>
      </c>
      <c r="G93" s="573" t="s">
        <v>636</v>
      </c>
      <c r="H93" s="736" t="s">
        <v>284</v>
      </c>
      <c r="I93" s="575">
        <f t="shared" si="219"/>
        <v>141144</v>
      </c>
      <c r="J93" s="496">
        <v>99495</v>
      </c>
      <c r="K93" s="131">
        <f t="shared" si="220"/>
        <v>33629</v>
      </c>
      <c r="L93" s="131">
        <f t="shared" si="221"/>
        <v>1990</v>
      </c>
      <c r="M93" s="496">
        <v>6030</v>
      </c>
      <c r="N93" s="576">
        <f t="shared" si="222"/>
        <v>0.42</v>
      </c>
      <c r="O93" s="577">
        <v>0</v>
      </c>
      <c r="P93" s="578">
        <v>0.42</v>
      </c>
      <c r="Q93" s="579">
        <f t="shared" si="223"/>
        <v>0</v>
      </c>
      <c r="R93" s="498">
        <v>0</v>
      </c>
      <c r="S93" s="498">
        <v>0</v>
      </c>
      <c r="T93" s="498">
        <v>0</v>
      </c>
      <c r="U93" s="498">
        <f t="shared" si="197"/>
        <v>0</v>
      </c>
      <c r="V93" s="498">
        <v>0</v>
      </c>
      <c r="W93" s="498">
        <v>0</v>
      </c>
      <c r="X93" s="498">
        <v>0</v>
      </c>
      <c r="Y93" s="498">
        <f t="shared" si="198"/>
        <v>0</v>
      </c>
      <c r="Z93" s="498">
        <f t="shared" si="199"/>
        <v>0</v>
      </c>
      <c r="AA93" s="131">
        <f t="shared" si="224"/>
        <v>0</v>
      </c>
      <c r="AB93" s="131">
        <f t="shared" si="200"/>
        <v>0</v>
      </c>
      <c r="AC93" s="498">
        <v>0</v>
      </c>
      <c r="AD93" s="498">
        <v>0</v>
      </c>
      <c r="AE93" s="498">
        <f t="shared" si="201"/>
        <v>0</v>
      </c>
      <c r="AF93" s="498">
        <f t="shared" si="202"/>
        <v>0</v>
      </c>
      <c r="AG93" s="499">
        <v>0</v>
      </c>
      <c r="AH93" s="499">
        <v>0</v>
      </c>
      <c r="AI93" s="499">
        <v>0</v>
      </c>
      <c r="AJ93" s="499">
        <v>0</v>
      </c>
      <c r="AK93" s="499">
        <v>0</v>
      </c>
      <c r="AL93" s="499">
        <f t="shared" si="203"/>
        <v>0</v>
      </c>
      <c r="AM93" s="499">
        <f t="shared" si="204"/>
        <v>0</v>
      </c>
      <c r="AN93" s="529">
        <f t="shared" si="205"/>
        <v>0</v>
      </c>
      <c r="AO93" s="579">
        <f>I93+AF93</f>
        <v>141144</v>
      </c>
      <c r="AP93" s="498">
        <f>J93+U93</f>
        <v>99495</v>
      </c>
      <c r="AQ93" s="498">
        <f t="shared" si="225"/>
        <v>0</v>
      </c>
      <c r="AR93" s="498">
        <f t="shared" si="226"/>
        <v>33629</v>
      </c>
      <c r="AS93" s="498">
        <f t="shared" si="226"/>
        <v>1990</v>
      </c>
      <c r="AT93" s="498">
        <f>M93+AE93</f>
        <v>6030</v>
      </c>
      <c r="AU93" s="499">
        <f>N93+AN93</f>
        <v>0.42</v>
      </c>
      <c r="AV93" s="499">
        <f t="shared" si="227"/>
        <v>0</v>
      </c>
      <c r="AW93" s="500">
        <f t="shared" si="227"/>
        <v>0.42</v>
      </c>
      <c r="AX93" s="580"/>
    </row>
    <row r="94" spans="1:51" s="569" customFormat="1" ht="12.75" customHeight="1" x14ac:dyDescent="0.2">
      <c r="A94" s="299">
        <v>22</v>
      </c>
      <c r="B94" s="23">
        <v>3412</v>
      </c>
      <c r="C94" s="298">
        <v>600078540</v>
      </c>
      <c r="D94" s="298">
        <v>72742879</v>
      </c>
      <c r="E94" s="570" t="s">
        <v>52</v>
      </c>
      <c r="F94" s="23"/>
      <c r="G94" s="570"/>
      <c r="H94" s="735"/>
      <c r="I94" s="35">
        <f t="shared" ref="I94:P94" si="228">SUM(I89:I93)</f>
        <v>47161077</v>
      </c>
      <c r="J94" s="24">
        <f t="shared" si="228"/>
        <v>33985663</v>
      </c>
      <c r="K94" s="24">
        <f t="shared" si="228"/>
        <v>11487153</v>
      </c>
      <c r="L94" s="24">
        <f t="shared" si="228"/>
        <v>679713</v>
      </c>
      <c r="M94" s="24">
        <f t="shared" si="228"/>
        <v>1008548</v>
      </c>
      <c r="N94" s="25">
        <f t="shared" si="228"/>
        <v>67.045900000000003</v>
      </c>
      <c r="O94" s="391">
        <f t="shared" si="228"/>
        <v>46.367100000000001</v>
      </c>
      <c r="P94" s="456">
        <f t="shared" si="228"/>
        <v>20.678800000000003</v>
      </c>
      <c r="Q94" s="35">
        <f t="shared" ref="Q94:AW94" si="229">SUM(Q89:Q93)</f>
        <v>-144000</v>
      </c>
      <c r="R94" s="24">
        <f t="shared" si="229"/>
        <v>2562255</v>
      </c>
      <c r="S94" s="24">
        <f t="shared" si="229"/>
        <v>0</v>
      </c>
      <c r="T94" s="24">
        <f t="shared" si="229"/>
        <v>0</v>
      </c>
      <c r="U94" s="24">
        <f t="shared" si="229"/>
        <v>2418255</v>
      </c>
      <c r="V94" s="24">
        <f t="shared" si="229"/>
        <v>144000</v>
      </c>
      <c r="W94" s="24">
        <f t="shared" si="229"/>
        <v>0</v>
      </c>
      <c r="X94" s="24">
        <f t="shared" si="229"/>
        <v>0</v>
      </c>
      <c r="Y94" s="24">
        <f t="shared" si="229"/>
        <v>144000</v>
      </c>
      <c r="Z94" s="24">
        <f t="shared" si="229"/>
        <v>2562255</v>
      </c>
      <c r="AA94" s="24">
        <f t="shared" si="229"/>
        <v>866042</v>
      </c>
      <c r="AB94" s="24">
        <f t="shared" si="229"/>
        <v>48365</v>
      </c>
      <c r="AC94" s="24">
        <f t="shared" si="229"/>
        <v>0</v>
      </c>
      <c r="AD94" s="24">
        <f t="shared" si="229"/>
        <v>0</v>
      </c>
      <c r="AE94" s="24">
        <f t="shared" si="229"/>
        <v>0</v>
      </c>
      <c r="AF94" s="24">
        <f t="shared" si="229"/>
        <v>3476662</v>
      </c>
      <c r="AG94" s="25">
        <f t="shared" si="229"/>
        <v>0</v>
      </c>
      <c r="AH94" s="25">
        <f t="shared" si="229"/>
        <v>-0.36</v>
      </c>
      <c r="AI94" s="25">
        <f t="shared" si="229"/>
        <v>7.4</v>
      </c>
      <c r="AJ94" s="25">
        <f t="shared" si="229"/>
        <v>0</v>
      </c>
      <c r="AK94" s="25">
        <f t="shared" si="229"/>
        <v>0</v>
      </c>
      <c r="AL94" s="25">
        <f t="shared" si="229"/>
        <v>7.4</v>
      </c>
      <c r="AM94" s="25">
        <f t="shared" si="229"/>
        <v>-0.36</v>
      </c>
      <c r="AN94" s="392">
        <f t="shared" si="229"/>
        <v>7.04</v>
      </c>
      <c r="AO94" s="35">
        <f t="shared" si="229"/>
        <v>50637739</v>
      </c>
      <c r="AP94" s="24">
        <f t="shared" si="229"/>
        <v>36403918</v>
      </c>
      <c r="AQ94" s="24">
        <f t="shared" si="229"/>
        <v>144000</v>
      </c>
      <c r="AR94" s="24">
        <f t="shared" si="229"/>
        <v>12353195</v>
      </c>
      <c r="AS94" s="24">
        <f t="shared" si="229"/>
        <v>728078</v>
      </c>
      <c r="AT94" s="24">
        <f t="shared" si="229"/>
        <v>1008548</v>
      </c>
      <c r="AU94" s="25">
        <f t="shared" si="229"/>
        <v>74.085899999999995</v>
      </c>
      <c r="AV94" s="25">
        <f t="shared" si="229"/>
        <v>53.767099999999999</v>
      </c>
      <c r="AW94" s="72">
        <f t="shared" si="229"/>
        <v>20.318800000000003</v>
      </c>
      <c r="AX94" s="580"/>
    </row>
    <row r="95" spans="1:51" s="569" customFormat="1" ht="12" customHeight="1" x14ac:dyDescent="0.2">
      <c r="A95" s="571">
        <v>23</v>
      </c>
      <c r="B95" s="572">
        <v>3416</v>
      </c>
      <c r="C95" s="572">
        <v>600078426</v>
      </c>
      <c r="D95" s="572">
        <v>72743034</v>
      </c>
      <c r="E95" s="573" t="s">
        <v>53</v>
      </c>
      <c r="F95" s="572">
        <v>3113</v>
      </c>
      <c r="G95" s="573" t="s">
        <v>320</v>
      </c>
      <c r="H95" s="736" t="s">
        <v>283</v>
      </c>
      <c r="I95" s="575">
        <f t="shared" ref="I95:I99" si="230">SUM(J95:M95)</f>
        <v>33005943</v>
      </c>
      <c r="J95" s="496">
        <v>23721696</v>
      </c>
      <c r="K95" s="131">
        <f t="shared" ref="K95:K99" si="231">ROUND((J95)*33.8%,0)</f>
        <v>8017933</v>
      </c>
      <c r="L95" s="131">
        <f t="shared" ref="L95:L99" si="232">ROUND(J95*2%,0)</f>
        <v>474434</v>
      </c>
      <c r="M95" s="496">
        <v>791880</v>
      </c>
      <c r="N95" s="576">
        <f t="shared" ref="N95:N99" si="233">SUM(O95:P95)</f>
        <v>44.279399999999995</v>
      </c>
      <c r="O95" s="577">
        <v>34.045499999999997</v>
      </c>
      <c r="P95" s="578">
        <v>10.233899999999998</v>
      </c>
      <c r="Q95" s="579">
        <f t="shared" ref="Q95:Q99" si="234">V95*-1</f>
        <v>-32000</v>
      </c>
      <c r="R95" s="498">
        <v>0</v>
      </c>
      <c r="S95" s="498">
        <v>0</v>
      </c>
      <c r="T95" s="498">
        <v>0</v>
      </c>
      <c r="U95" s="498">
        <f t="shared" si="197"/>
        <v>-32000</v>
      </c>
      <c r="V95" s="498">
        <v>32000</v>
      </c>
      <c r="W95" s="498">
        <v>0</v>
      </c>
      <c r="X95" s="498">
        <v>0</v>
      </c>
      <c r="Y95" s="498">
        <f t="shared" si="198"/>
        <v>32000</v>
      </c>
      <c r="Z95" s="498">
        <f t="shared" si="199"/>
        <v>0</v>
      </c>
      <c r="AA95" s="131">
        <f t="shared" ref="AA95:AA99" si="235">ROUND((U95+V95+W93)*33.8%,0)</f>
        <v>0</v>
      </c>
      <c r="AB95" s="131">
        <f t="shared" si="200"/>
        <v>-640</v>
      </c>
      <c r="AC95" s="498">
        <v>0</v>
      </c>
      <c r="AD95" s="498">
        <v>0</v>
      </c>
      <c r="AE95" s="498">
        <f t="shared" si="201"/>
        <v>0</v>
      </c>
      <c r="AF95" s="498">
        <f t="shared" si="202"/>
        <v>-640</v>
      </c>
      <c r="AG95" s="499">
        <v>-0.03</v>
      </c>
      <c r="AH95" s="499">
        <v>-0.02</v>
      </c>
      <c r="AI95" s="499">
        <v>0</v>
      </c>
      <c r="AJ95" s="499">
        <v>0</v>
      </c>
      <c r="AK95" s="499">
        <v>0</v>
      </c>
      <c r="AL95" s="499">
        <f t="shared" si="203"/>
        <v>-0.03</v>
      </c>
      <c r="AM95" s="499">
        <f t="shared" si="204"/>
        <v>-0.02</v>
      </c>
      <c r="AN95" s="529">
        <f t="shared" si="205"/>
        <v>-0.05</v>
      </c>
      <c r="AO95" s="579">
        <f>I95+AF95</f>
        <v>33005303</v>
      </c>
      <c r="AP95" s="498">
        <f>J95+U95</f>
        <v>23689696</v>
      </c>
      <c r="AQ95" s="498">
        <f t="shared" ref="AQ95:AQ99" si="236">Y95</f>
        <v>32000</v>
      </c>
      <c r="AR95" s="498">
        <f t="shared" ref="AR95:AS99" si="237">K95+AA95</f>
        <v>8017933</v>
      </c>
      <c r="AS95" s="498">
        <f t="shared" si="237"/>
        <v>473794</v>
      </c>
      <c r="AT95" s="498">
        <f>M95+AE95</f>
        <v>791880</v>
      </c>
      <c r="AU95" s="499">
        <f>N95+AN95</f>
        <v>44.229399999999998</v>
      </c>
      <c r="AV95" s="499">
        <f t="shared" ref="AV95:AW99" si="238">O95+AL95</f>
        <v>34.015499999999996</v>
      </c>
      <c r="AW95" s="500">
        <f t="shared" si="238"/>
        <v>10.213899999999999</v>
      </c>
      <c r="AX95" s="580"/>
    </row>
    <row r="96" spans="1:51" s="569" customFormat="1" ht="12" customHeight="1" x14ac:dyDescent="0.2">
      <c r="A96" s="571">
        <v>23</v>
      </c>
      <c r="B96" s="572">
        <v>3416</v>
      </c>
      <c r="C96" s="572">
        <v>600078426</v>
      </c>
      <c r="D96" s="572">
        <v>72743034</v>
      </c>
      <c r="E96" s="573" t="s">
        <v>53</v>
      </c>
      <c r="F96" s="572">
        <v>3113</v>
      </c>
      <c r="G96" s="573" t="s">
        <v>318</v>
      </c>
      <c r="H96" s="736" t="s">
        <v>284</v>
      </c>
      <c r="I96" s="575">
        <f t="shared" si="230"/>
        <v>0</v>
      </c>
      <c r="J96" s="496">
        <v>0</v>
      </c>
      <c r="K96" s="131">
        <f t="shared" si="231"/>
        <v>0</v>
      </c>
      <c r="L96" s="131">
        <f t="shared" si="232"/>
        <v>0</v>
      </c>
      <c r="M96" s="496">
        <v>0</v>
      </c>
      <c r="N96" s="576">
        <f t="shared" si="233"/>
        <v>0</v>
      </c>
      <c r="O96" s="577">
        <v>0</v>
      </c>
      <c r="P96" s="578">
        <v>0</v>
      </c>
      <c r="Q96" s="579">
        <f t="shared" si="234"/>
        <v>0</v>
      </c>
      <c r="R96" s="496">
        <v>2506200</v>
      </c>
      <c r="S96" s="498">
        <v>0</v>
      </c>
      <c r="T96" s="498">
        <v>0</v>
      </c>
      <c r="U96" s="498">
        <f t="shared" si="197"/>
        <v>2506200</v>
      </c>
      <c r="V96" s="498">
        <v>0</v>
      </c>
      <c r="W96" s="498">
        <v>0</v>
      </c>
      <c r="X96" s="498">
        <v>0</v>
      </c>
      <c r="Y96" s="498">
        <f t="shared" si="198"/>
        <v>0</v>
      </c>
      <c r="Z96" s="498">
        <f t="shared" si="199"/>
        <v>2506200</v>
      </c>
      <c r="AA96" s="131">
        <f t="shared" si="235"/>
        <v>847096</v>
      </c>
      <c r="AB96" s="131">
        <f t="shared" si="200"/>
        <v>50124</v>
      </c>
      <c r="AC96" s="498">
        <v>0</v>
      </c>
      <c r="AD96" s="498">
        <v>0</v>
      </c>
      <c r="AE96" s="498">
        <f t="shared" si="201"/>
        <v>0</v>
      </c>
      <c r="AF96" s="498">
        <f t="shared" si="202"/>
        <v>3403420</v>
      </c>
      <c r="AG96" s="499">
        <v>0</v>
      </c>
      <c r="AH96" s="499">
        <v>0</v>
      </c>
      <c r="AI96" s="499">
        <v>7.14</v>
      </c>
      <c r="AJ96" s="499">
        <v>0</v>
      </c>
      <c r="AK96" s="499">
        <v>0</v>
      </c>
      <c r="AL96" s="499">
        <f t="shared" si="203"/>
        <v>7.14</v>
      </c>
      <c r="AM96" s="499">
        <f t="shared" si="204"/>
        <v>0</v>
      </c>
      <c r="AN96" s="529">
        <f t="shared" si="205"/>
        <v>7.14</v>
      </c>
      <c r="AO96" s="579">
        <f>I96+AF96</f>
        <v>3403420</v>
      </c>
      <c r="AP96" s="498">
        <f>J96+U96</f>
        <v>2506200</v>
      </c>
      <c r="AQ96" s="498">
        <f t="shared" si="236"/>
        <v>0</v>
      </c>
      <c r="AR96" s="498">
        <f t="shared" si="237"/>
        <v>847096</v>
      </c>
      <c r="AS96" s="498">
        <f t="shared" si="237"/>
        <v>50124</v>
      </c>
      <c r="AT96" s="498">
        <f>M96+AE96</f>
        <v>0</v>
      </c>
      <c r="AU96" s="499">
        <f>N96+AN96</f>
        <v>7.14</v>
      </c>
      <c r="AV96" s="499">
        <f t="shared" si="238"/>
        <v>7.14</v>
      </c>
      <c r="AW96" s="500">
        <f t="shared" si="238"/>
        <v>0</v>
      </c>
      <c r="AX96" s="580"/>
    </row>
    <row r="97" spans="1:51" s="569" customFormat="1" ht="12.75" customHeight="1" x14ac:dyDescent="0.2">
      <c r="A97" s="571">
        <v>23</v>
      </c>
      <c r="B97" s="572">
        <v>3416</v>
      </c>
      <c r="C97" s="572">
        <v>600078426</v>
      </c>
      <c r="D97" s="572">
        <v>72743034</v>
      </c>
      <c r="E97" s="573" t="s">
        <v>53</v>
      </c>
      <c r="F97" s="572">
        <v>3141</v>
      </c>
      <c r="G97" s="573" t="s">
        <v>321</v>
      </c>
      <c r="H97" s="736" t="s">
        <v>284</v>
      </c>
      <c r="I97" s="575">
        <f t="shared" si="230"/>
        <v>2800541</v>
      </c>
      <c r="J97" s="496">
        <v>2041967</v>
      </c>
      <c r="K97" s="131">
        <f t="shared" si="231"/>
        <v>690185</v>
      </c>
      <c r="L97" s="131">
        <f t="shared" si="232"/>
        <v>40839</v>
      </c>
      <c r="M97" s="496">
        <v>27550</v>
      </c>
      <c r="N97" s="576">
        <f t="shared" si="233"/>
        <v>6.95</v>
      </c>
      <c r="O97" s="577">
        <v>0</v>
      </c>
      <c r="P97" s="578">
        <v>6.95</v>
      </c>
      <c r="Q97" s="579">
        <f t="shared" si="234"/>
        <v>0</v>
      </c>
      <c r="R97" s="498">
        <v>0</v>
      </c>
      <c r="S97" s="498">
        <v>0</v>
      </c>
      <c r="T97" s="498">
        <v>0</v>
      </c>
      <c r="U97" s="498">
        <f t="shared" si="197"/>
        <v>0</v>
      </c>
      <c r="V97" s="498">
        <v>0</v>
      </c>
      <c r="W97" s="498">
        <v>0</v>
      </c>
      <c r="X97" s="498">
        <v>0</v>
      </c>
      <c r="Y97" s="498">
        <f t="shared" si="198"/>
        <v>0</v>
      </c>
      <c r="Z97" s="498">
        <f t="shared" si="199"/>
        <v>0</v>
      </c>
      <c r="AA97" s="131">
        <f t="shared" si="235"/>
        <v>0</v>
      </c>
      <c r="AB97" s="131">
        <f t="shared" si="200"/>
        <v>0</v>
      </c>
      <c r="AC97" s="498">
        <v>0</v>
      </c>
      <c r="AD97" s="498">
        <v>0</v>
      </c>
      <c r="AE97" s="498">
        <f t="shared" si="201"/>
        <v>0</v>
      </c>
      <c r="AF97" s="498">
        <f t="shared" si="202"/>
        <v>0</v>
      </c>
      <c r="AG97" s="499">
        <v>0</v>
      </c>
      <c r="AH97" s="499">
        <v>0</v>
      </c>
      <c r="AI97" s="499">
        <v>0</v>
      </c>
      <c r="AJ97" s="499">
        <v>0</v>
      </c>
      <c r="AK97" s="499">
        <v>0</v>
      </c>
      <c r="AL97" s="499">
        <f t="shared" si="203"/>
        <v>0</v>
      </c>
      <c r="AM97" s="499">
        <f t="shared" si="204"/>
        <v>0</v>
      </c>
      <c r="AN97" s="529">
        <f t="shared" si="205"/>
        <v>0</v>
      </c>
      <c r="AO97" s="579">
        <f>I97+AF97</f>
        <v>2800541</v>
      </c>
      <c r="AP97" s="498">
        <f>J97+U97</f>
        <v>2041967</v>
      </c>
      <c r="AQ97" s="498">
        <f t="shared" si="236"/>
        <v>0</v>
      </c>
      <c r="AR97" s="498">
        <f t="shared" si="237"/>
        <v>690185</v>
      </c>
      <c r="AS97" s="498">
        <f t="shared" si="237"/>
        <v>40839</v>
      </c>
      <c r="AT97" s="498">
        <f>M97+AE97</f>
        <v>27550</v>
      </c>
      <c r="AU97" s="499">
        <f>N97+AN97</f>
        <v>6.95</v>
      </c>
      <c r="AV97" s="499">
        <f t="shared" si="238"/>
        <v>0</v>
      </c>
      <c r="AW97" s="500">
        <f t="shared" si="238"/>
        <v>6.95</v>
      </c>
      <c r="AX97" s="580"/>
      <c r="AY97" s="580"/>
    </row>
    <row r="98" spans="1:51" s="569" customFormat="1" ht="12.75" customHeight="1" x14ac:dyDescent="0.2">
      <c r="A98" s="571">
        <v>23</v>
      </c>
      <c r="B98" s="572">
        <v>3416</v>
      </c>
      <c r="C98" s="572">
        <v>600078426</v>
      </c>
      <c r="D98" s="572">
        <v>72743034</v>
      </c>
      <c r="E98" s="573" t="s">
        <v>53</v>
      </c>
      <c r="F98" s="572">
        <v>3143</v>
      </c>
      <c r="G98" s="573" t="s">
        <v>635</v>
      </c>
      <c r="H98" s="736" t="s">
        <v>283</v>
      </c>
      <c r="I98" s="575">
        <f t="shared" si="230"/>
        <v>3498480</v>
      </c>
      <c r="J98" s="496">
        <v>2576200</v>
      </c>
      <c r="K98" s="131">
        <f t="shared" si="231"/>
        <v>870756</v>
      </c>
      <c r="L98" s="131">
        <f t="shared" si="232"/>
        <v>51524</v>
      </c>
      <c r="M98" s="496">
        <v>0</v>
      </c>
      <c r="N98" s="576">
        <f t="shared" si="233"/>
        <v>5.3094000000000001</v>
      </c>
      <c r="O98" s="577">
        <v>5.3094000000000001</v>
      </c>
      <c r="P98" s="578">
        <v>0</v>
      </c>
      <c r="Q98" s="579">
        <f t="shared" si="234"/>
        <v>0</v>
      </c>
      <c r="R98" s="498">
        <v>0</v>
      </c>
      <c r="S98" s="498">
        <v>0</v>
      </c>
      <c r="T98" s="498">
        <v>0</v>
      </c>
      <c r="U98" s="498">
        <f t="shared" si="197"/>
        <v>0</v>
      </c>
      <c r="V98" s="498">
        <v>0</v>
      </c>
      <c r="W98" s="498">
        <v>0</v>
      </c>
      <c r="X98" s="498">
        <v>0</v>
      </c>
      <c r="Y98" s="498">
        <f t="shared" si="198"/>
        <v>0</v>
      </c>
      <c r="Z98" s="498">
        <f t="shared" si="199"/>
        <v>0</v>
      </c>
      <c r="AA98" s="131">
        <f t="shared" si="235"/>
        <v>0</v>
      </c>
      <c r="AB98" s="131">
        <f t="shared" si="200"/>
        <v>0</v>
      </c>
      <c r="AC98" s="498">
        <v>0</v>
      </c>
      <c r="AD98" s="498">
        <v>0</v>
      </c>
      <c r="AE98" s="498">
        <f t="shared" si="201"/>
        <v>0</v>
      </c>
      <c r="AF98" s="498">
        <f t="shared" si="202"/>
        <v>0</v>
      </c>
      <c r="AG98" s="499">
        <v>0</v>
      </c>
      <c r="AH98" s="499">
        <v>0</v>
      </c>
      <c r="AI98" s="499">
        <v>0</v>
      </c>
      <c r="AJ98" s="499">
        <v>0</v>
      </c>
      <c r="AK98" s="499">
        <v>0</v>
      </c>
      <c r="AL98" s="499">
        <f t="shared" si="203"/>
        <v>0</v>
      </c>
      <c r="AM98" s="499">
        <f t="shared" si="204"/>
        <v>0</v>
      </c>
      <c r="AN98" s="529">
        <f t="shared" si="205"/>
        <v>0</v>
      </c>
      <c r="AO98" s="579">
        <f>I98+AF98</f>
        <v>3498480</v>
      </c>
      <c r="AP98" s="498">
        <f>J98+U98</f>
        <v>2576200</v>
      </c>
      <c r="AQ98" s="498">
        <f t="shared" si="236"/>
        <v>0</v>
      </c>
      <c r="AR98" s="498">
        <f t="shared" si="237"/>
        <v>870756</v>
      </c>
      <c r="AS98" s="498">
        <f t="shared" si="237"/>
        <v>51524</v>
      </c>
      <c r="AT98" s="498">
        <f>M98+AE98</f>
        <v>0</v>
      </c>
      <c r="AU98" s="499">
        <f>N98+AN98</f>
        <v>5.3094000000000001</v>
      </c>
      <c r="AV98" s="499">
        <f t="shared" si="238"/>
        <v>5.3094000000000001</v>
      </c>
      <c r="AW98" s="500">
        <f t="shared" si="238"/>
        <v>0</v>
      </c>
      <c r="AX98" s="580"/>
    </row>
    <row r="99" spans="1:51" s="569" customFormat="1" ht="12.75" customHeight="1" x14ac:dyDescent="0.2">
      <c r="A99" s="571">
        <v>23</v>
      </c>
      <c r="B99" s="572">
        <v>3416</v>
      </c>
      <c r="C99" s="572">
        <v>600078426</v>
      </c>
      <c r="D99" s="572">
        <v>72743034</v>
      </c>
      <c r="E99" s="573" t="s">
        <v>53</v>
      </c>
      <c r="F99" s="572">
        <v>3143</v>
      </c>
      <c r="G99" s="573" t="s">
        <v>636</v>
      </c>
      <c r="H99" s="736" t="s">
        <v>284</v>
      </c>
      <c r="I99" s="575">
        <f t="shared" si="230"/>
        <v>110247</v>
      </c>
      <c r="J99" s="496">
        <v>77715</v>
      </c>
      <c r="K99" s="131">
        <f t="shared" si="231"/>
        <v>26268</v>
      </c>
      <c r="L99" s="131">
        <f t="shared" si="232"/>
        <v>1554</v>
      </c>
      <c r="M99" s="496">
        <v>4710</v>
      </c>
      <c r="N99" s="576">
        <f t="shared" si="233"/>
        <v>0.33</v>
      </c>
      <c r="O99" s="577">
        <v>0</v>
      </c>
      <c r="P99" s="578">
        <v>0.33</v>
      </c>
      <c r="Q99" s="579">
        <f t="shared" si="234"/>
        <v>0</v>
      </c>
      <c r="R99" s="498">
        <v>0</v>
      </c>
      <c r="S99" s="498">
        <v>0</v>
      </c>
      <c r="T99" s="498">
        <v>0</v>
      </c>
      <c r="U99" s="498">
        <f t="shared" si="197"/>
        <v>0</v>
      </c>
      <c r="V99" s="498">
        <v>0</v>
      </c>
      <c r="W99" s="498">
        <v>0</v>
      </c>
      <c r="X99" s="498">
        <v>0</v>
      </c>
      <c r="Y99" s="498">
        <f t="shared" si="198"/>
        <v>0</v>
      </c>
      <c r="Z99" s="498">
        <f t="shared" si="199"/>
        <v>0</v>
      </c>
      <c r="AA99" s="131">
        <f t="shared" si="235"/>
        <v>0</v>
      </c>
      <c r="AB99" s="131">
        <f t="shared" si="200"/>
        <v>0</v>
      </c>
      <c r="AC99" s="498">
        <v>0</v>
      </c>
      <c r="AD99" s="498">
        <v>0</v>
      </c>
      <c r="AE99" s="498">
        <f t="shared" si="201"/>
        <v>0</v>
      </c>
      <c r="AF99" s="498">
        <f t="shared" si="202"/>
        <v>0</v>
      </c>
      <c r="AG99" s="499">
        <v>0</v>
      </c>
      <c r="AH99" s="499">
        <v>0</v>
      </c>
      <c r="AI99" s="499">
        <v>0</v>
      </c>
      <c r="AJ99" s="499">
        <v>0</v>
      </c>
      <c r="AK99" s="499">
        <v>0</v>
      </c>
      <c r="AL99" s="499">
        <f t="shared" si="203"/>
        <v>0</v>
      </c>
      <c r="AM99" s="499">
        <f t="shared" si="204"/>
        <v>0</v>
      </c>
      <c r="AN99" s="529">
        <f t="shared" si="205"/>
        <v>0</v>
      </c>
      <c r="AO99" s="579">
        <f>I99+AF99</f>
        <v>110247</v>
      </c>
      <c r="AP99" s="498">
        <f>J99+U99</f>
        <v>77715</v>
      </c>
      <c r="AQ99" s="498">
        <f t="shared" si="236"/>
        <v>0</v>
      </c>
      <c r="AR99" s="498">
        <f t="shared" si="237"/>
        <v>26268</v>
      </c>
      <c r="AS99" s="498">
        <f t="shared" si="237"/>
        <v>1554</v>
      </c>
      <c r="AT99" s="498">
        <f>M99+AE99</f>
        <v>4710</v>
      </c>
      <c r="AU99" s="499">
        <f>N99+AN99</f>
        <v>0.33</v>
      </c>
      <c r="AV99" s="499">
        <f t="shared" si="238"/>
        <v>0</v>
      </c>
      <c r="AW99" s="500">
        <f t="shared" si="238"/>
        <v>0.33</v>
      </c>
      <c r="AX99" s="580"/>
    </row>
    <row r="100" spans="1:51" s="569" customFormat="1" ht="12.75" customHeight="1" x14ac:dyDescent="0.2">
      <c r="A100" s="299">
        <v>23</v>
      </c>
      <c r="B100" s="23">
        <v>3416</v>
      </c>
      <c r="C100" s="298">
        <v>600078426</v>
      </c>
      <c r="D100" s="298">
        <v>72743034</v>
      </c>
      <c r="E100" s="570" t="s">
        <v>54</v>
      </c>
      <c r="F100" s="23"/>
      <c r="G100" s="570"/>
      <c r="H100" s="735"/>
      <c r="I100" s="35">
        <f>SUM(I95:I99)</f>
        <v>39415211</v>
      </c>
      <c r="J100" s="24">
        <f>SUM(J95:J99)</f>
        <v>28417578</v>
      </c>
      <c r="K100" s="24">
        <f t="shared" ref="K100:AW100" si="239">SUM(K95:K99)</f>
        <v>9605142</v>
      </c>
      <c r="L100" s="24">
        <f t="shared" si="239"/>
        <v>568351</v>
      </c>
      <c r="M100" s="24">
        <f t="shared" si="239"/>
        <v>824140</v>
      </c>
      <c r="N100" s="25">
        <f t="shared" si="239"/>
        <v>56.868799999999993</v>
      </c>
      <c r="O100" s="391">
        <f t="shared" si="239"/>
        <v>39.354900000000001</v>
      </c>
      <c r="P100" s="456">
        <f t="shared" si="239"/>
        <v>17.513899999999996</v>
      </c>
      <c r="Q100" s="35">
        <f t="shared" si="239"/>
        <v>-32000</v>
      </c>
      <c r="R100" s="24">
        <f t="shared" si="239"/>
        <v>2506200</v>
      </c>
      <c r="S100" s="24">
        <f t="shared" si="239"/>
        <v>0</v>
      </c>
      <c r="T100" s="24">
        <f t="shared" si="239"/>
        <v>0</v>
      </c>
      <c r="U100" s="24">
        <f t="shared" si="239"/>
        <v>2474200</v>
      </c>
      <c r="V100" s="24">
        <f t="shared" si="239"/>
        <v>32000</v>
      </c>
      <c r="W100" s="24">
        <f t="shared" si="239"/>
        <v>0</v>
      </c>
      <c r="X100" s="24">
        <f t="shared" si="239"/>
        <v>0</v>
      </c>
      <c r="Y100" s="24">
        <f t="shared" si="239"/>
        <v>32000</v>
      </c>
      <c r="Z100" s="24">
        <f t="shared" si="239"/>
        <v>2506200</v>
      </c>
      <c r="AA100" s="24">
        <f t="shared" si="239"/>
        <v>847096</v>
      </c>
      <c r="AB100" s="24">
        <f t="shared" si="239"/>
        <v>49484</v>
      </c>
      <c r="AC100" s="24">
        <f t="shared" si="239"/>
        <v>0</v>
      </c>
      <c r="AD100" s="24">
        <f t="shared" si="239"/>
        <v>0</v>
      </c>
      <c r="AE100" s="24">
        <f t="shared" si="239"/>
        <v>0</v>
      </c>
      <c r="AF100" s="24">
        <f t="shared" si="239"/>
        <v>3402780</v>
      </c>
      <c r="AG100" s="25">
        <f t="shared" si="239"/>
        <v>-0.03</v>
      </c>
      <c r="AH100" s="25">
        <f t="shared" si="239"/>
        <v>-0.02</v>
      </c>
      <c r="AI100" s="25">
        <f t="shared" si="239"/>
        <v>7.14</v>
      </c>
      <c r="AJ100" s="25">
        <f t="shared" si="239"/>
        <v>0</v>
      </c>
      <c r="AK100" s="25">
        <f t="shared" si="239"/>
        <v>0</v>
      </c>
      <c r="AL100" s="25">
        <f t="shared" si="239"/>
        <v>7.1099999999999994</v>
      </c>
      <c r="AM100" s="25">
        <f t="shared" si="239"/>
        <v>-0.02</v>
      </c>
      <c r="AN100" s="392">
        <f t="shared" si="239"/>
        <v>7.09</v>
      </c>
      <c r="AO100" s="35">
        <f t="shared" si="239"/>
        <v>42817991</v>
      </c>
      <c r="AP100" s="24">
        <f t="shared" si="239"/>
        <v>30891778</v>
      </c>
      <c r="AQ100" s="24">
        <f t="shared" si="239"/>
        <v>32000</v>
      </c>
      <c r="AR100" s="24">
        <f t="shared" si="239"/>
        <v>10452238</v>
      </c>
      <c r="AS100" s="24">
        <f t="shared" si="239"/>
        <v>617835</v>
      </c>
      <c r="AT100" s="24">
        <f t="shared" si="239"/>
        <v>824140</v>
      </c>
      <c r="AU100" s="25">
        <f t="shared" si="239"/>
        <v>63.958799999999997</v>
      </c>
      <c r="AV100" s="25">
        <f t="shared" si="239"/>
        <v>46.4649</v>
      </c>
      <c r="AW100" s="72">
        <f t="shared" si="239"/>
        <v>17.493899999999996</v>
      </c>
      <c r="AX100" s="580"/>
    </row>
    <row r="101" spans="1:51" s="569" customFormat="1" ht="12.75" customHeight="1" x14ac:dyDescent="0.2">
      <c r="A101" s="571">
        <v>24</v>
      </c>
      <c r="B101" s="572">
        <v>3414</v>
      </c>
      <c r="C101" s="572">
        <v>600078388</v>
      </c>
      <c r="D101" s="572">
        <v>43257721</v>
      </c>
      <c r="E101" s="573" t="s">
        <v>55</v>
      </c>
      <c r="F101" s="572">
        <v>3113</v>
      </c>
      <c r="G101" s="573" t="s">
        <v>320</v>
      </c>
      <c r="H101" s="736" t="s">
        <v>283</v>
      </c>
      <c r="I101" s="575">
        <f t="shared" ref="I101:I105" si="240">SUM(J101:M101)</f>
        <v>33841269</v>
      </c>
      <c r="J101" s="496">
        <v>24310758</v>
      </c>
      <c r="K101" s="131">
        <f t="shared" ref="K101:K105" si="241">ROUND((J101)*33.8%,0)</f>
        <v>8217036</v>
      </c>
      <c r="L101" s="131">
        <f t="shared" ref="L101:L103" si="242">ROUND(J101*2%,0)</f>
        <v>486215</v>
      </c>
      <c r="M101" s="496">
        <v>827260</v>
      </c>
      <c r="N101" s="576">
        <f t="shared" ref="N101:N105" si="243">SUM(O101:P101)</f>
        <v>46.2483</v>
      </c>
      <c r="O101" s="577">
        <v>35.272500000000001</v>
      </c>
      <c r="P101" s="578">
        <v>10.9758</v>
      </c>
      <c r="Q101" s="579">
        <f t="shared" ref="Q101:Q105" si="244">V101*-1</f>
        <v>-68000</v>
      </c>
      <c r="R101" s="498">
        <v>0</v>
      </c>
      <c r="S101" s="498">
        <v>0</v>
      </c>
      <c r="T101" s="498">
        <v>0</v>
      </c>
      <c r="U101" s="498">
        <f t="shared" si="197"/>
        <v>-68000</v>
      </c>
      <c r="V101" s="498">
        <v>68000</v>
      </c>
      <c r="W101" s="498">
        <v>0</v>
      </c>
      <c r="X101" s="498">
        <v>0</v>
      </c>
      <c r="Y101" s="498">
        <f t="shared" si="198"/>
        <v>68000</v>
      </c>
      <c r="Z101" s="498">
        <f t="shared" si="199"/>
        <v>0</v>
      </c>
      <c r="AA101" s="131">
        <f t="shared" ref="AA101:AA105" si="245">ROUND((U101+V101+W99)*33.8%,0)</f>
        <v>0</v>
      </c>
      <c r="AB101" s="131">
        <f t="shared" si="200"/>
        <v>-1360</v>
      </c>
      <c r="AC101" s="498">
        <v>0</v>
      </c>
      <c r="AD101" s="498">
        <v>0</v>
      </c>
      <c r="AE101" s="498">
        <f t="shared" si="201"/>
        <v>0</v>
      </c>
      <c r="AF101" s="498">
        <f t="shared" si="202"/>
        <v>-1360</v>
      </c>
      <c r="AG101" s="499">
        <v>-0.05</v>
      </c>
      <c r="AH101" s="499">
        <v>-0.08</v>
      </c>
      <c r="AI101" s="499">
        <v>0</v>
      </c>
      <c r="AJ101" s="499">
        <v>0</v>
      </c>
      <c r="AK101" s="499">
        <v>0</v>
      </c>
      <c r="AL101" s="499">
        <f t="shared" si="203"/>
        <v>-0.05</v>
      </c>
      <c r="AM101" s="499">
        <f t="shared" si="204"/>
        <v>-0.08</v>
      </c>
      <c r="AN101" s="529">
        <f t="shared" si="205"/>
        <v>-0.13</v>
      </c>
      <c r="AO101" s="579">
        <f>I101+AF101</f>
        <v>33839909</v>
      </c>
      <c r="AP101" s="498">
        <f>J101+U101</f>
        <v>24242758</v>
      </c>
      <c r="AQ101" s="498">
        <f t="shared" ref="AQ101:AQ105" si="246">Y101</f>
        <v>68000</v>
      </c>
      <c r="AR101" s="498">
        <f t="shared" ref="AR101:AS105" si="247">K101+AA101</f>
        <v>8217036</v>
      </c>
      <c r="AS101" s="498">
        <f t="shared" si="247"/>
        <v>484855</v>
      </c>
      <c r="AT101" s="498">
        <f>M101+AE101</f>
        <v>827260</v>
      </c>
      <c r="AU101" s="499">
        <f>N101+AN101</f>
        <v>46.118299999999998</v>
      </c>
      <c r="AV101" s="499">
        <f t="shared" ref="AV101:AW105" si="248">O101+AL101</f>
        <v>35.222500000000004</v>
      </c>
      <c r="AW101" s="500">
        <f t="shared" si="248"/>
        <v>10.895799999999999</v>
      </c>
      <c r="AX101" s="580"/>
    </row>
    <row r="102" spans="1:51" s="569" customFormat="1" x14ac:dyDescent="0.2">
      <c r="A102" s="571">
        <v>24</v>
      </c>
      <c r="B102" s="572">
        <v>3414</v>
      </c>
      <c r="C102" s="572">
        <v>600078388</v>
      </c>
      <c r="D102" s="572">
        <v>43257721</v>
      </c>
      <c r="E102" s="573" t="s">
        <v>55</v>
      </c>
      <c r="F102" s="572">
        <v>3113</v>
      </c>
      <c r="G102" s="573" t="s">
        <v>318</v>
      </c>
      <c r="H102" s="736" t="s">
        <v>284</v>
      </c>
      <c r="I102" s="575">
        <f t="shared" si="240"/>
        <v>0</v>
      </c>
      <c r="J102" s="496">
        <v>0</v>
      </c>
      <c r="K102" s="131">
        <f t="shared" si="241"/>
        <v>0</v>
      </c>
      <c r="L102" s="131">
        <f t="shared" si="242"/>
        <v>0</v>
      </c>
      <c r="M102" s="496">
        <v>0</v>
      </c>
      <c r="N102" s="576">
        <f t="shared" si="243"/>
        <v>0</v>
      </c>
      <c r="O102" s="577">
        <v>0</v>
      </c>
      <c r="P102" s="578">
        <v>0</v>
      </c>
      <c r="Q102" s="579">
        <f t="shared" si="244"/>
        <v>0</v>
      </c>
      <c r="R102" s="496">
        <f>2687950+79393</f>
        <v>2767343</v>
      </c>
      <c r="S102" s="498">
        <v>0</v>
      </c>
      <c r="T102" s="498">
        <v>0</v>
      </c>
      <c r="U102" s="498">
        <f t="shared" si="197"/>
        <v>2767343</v>
      </c>
      <c r="V102" s="498">
        <v>0</v>
      </c>
      <c r="W102" s="498">
        <v>0</v>
      </c>
      <c r="X102" s="498">
        <v>0</v>
      </c>
      <c r="Y102" s="498">
        <f t="shared" si="198"/>
        <v>0</v>
      </c>
      <c r="Z102" s="498">
        <f t="shared" si="199"/>
        <v>2767343</v>
      </c>
      <c r="AA102" s="131">
        <f t="shared" si="245"/>
        <v>935362</v>
      </c>
      <c r="AB102" s="131">
        <f t="shared" si="200"/>
        <v>55347</v>
      </c>
      <c r="AC102" s="496">
        <v>3000</v>
      </c>
      <c r="AD102" s="498">
        <v>0</v>
      </c>
      <c r="AE102" s="498">
        <f t="shared" si="201"/>
        <v>3000</v>
      </c>
      <c r="AF102" s="498">
        <f t="shared" si="202"/>
        <v>3761052</v>
      </c>
      <c r="AG102" s="499">
        <v>0</v>
      </c>
      <c r="AH102" s="499">
        <v>0</v>
      </c>
      <c r="AI102" s="499">
        <f>7.61+0.23</f>
        <v>7.8400000000000007</v>
      </c>
      <c r="AJ102" s="499">
        <v>0</v>
      </c>
      <c r="AK102" s="499">
        <v>0</v>
      </c>
      <c r="AL102" s="499">
        <f t="shared" si="203"/>
        <v>7.8400000000000007</v>
      </c>
      <c r="AM102" s="499">
        <f t="shared" si="204"/>
        <v>0</v>
      </c>
      <c r="AN102" s="529">
        <f t="shared" si="205"/>
        <v>7.8400000000000007</v>
      </c>
      <c r="AO102" s="579">
        <f>I102+AF102</f>
        <v>3761052</v>
      </c>
      <c r="AP102" s="498">
        <f>J102+U102</f>
        <v>2767343</v>
      </c>
      <c r="AQ102" s="498">
        <f t="shared" si="246"/>
        <v>0</v>
      </c>
      <c r="AR102" s="498">
        <f t="shared" si="247"/>
        <v>935362</v>
      </c>
      <c r="AS102" s="498">
        <f t="shared" si="247"/>
        <v>55347</v>
      </c>
      <c r="AT102" s="498">
        <f>M102+AE102</f>
        <v>3000</v>
      </c>
      <c r="AU102" s="499">
        <f>N102+AN102</f>
        <v>7.8400000000000007</v>
      </c>
      <c r="AV102" s="499">
        <f t="shared" si="248"/>
        <v>7.8400000000000007</v>
      </c>
      <c r="AW102" s="500">
        <f t="shared" si="248"/>
        <v>0</v>
      </c>
      <c r="AX102" s="580"/>
    </row>
    <row r="103" spans="1:51" s="569" customFormat="1" ht="12.75" customHeight="1" x14ac:dyDescent="0.2">
      <c r="A103" s="571">
        <v>24</v>
      </c>
      <c r="B103" s="572">
        <v>3414</v>
      </c>
      <c r="C103" s="572">
        <v>600078388</v>
      </c>
      <c r="D103" s="572">
        <v>43257721</v>
      </c>
      <c r="E103" s="573" t="s">
        <v>55</v>
      </c>
      <c r="F103" s="572">
        <v>3141</v>
      </c>
      <c r="G103" s="573" t="s">
        <v>321</v>
      </c>
      <c r="H103" s="736" t="s">
        <v>284</v>
      </c>
      <c r="I103" s="575">
        <f t="shared" si="240"/>
        <v>3201543</v>
      </c>
      <c r="J103" s="496">
        <v>2333582</v>
      </c>
      <c r="K103" s="131">
        <f t="shared" si="241"/>
        <v>788751</v>
      </c>
      <c r="L103" s="131">
        <f t="shared" si="242"/>
        <v>46672</v>
      </c>
      <c r="M103" s="496">
        <v>32538</v>
      </c>
      <c r="N103" s="576">
        <f t="shared" si="243"/>
        <v>7.94</v>
      </c>
      <c r="O103" s="577">
        <v>0</v>
      </c>
      <c r="P103" s="578">
        <v>7.94</v>
      </c>
      <c r="Q103" s="579">
        <f t="shared" si="244"/>
        <v>0</v>
      </c>
      <c r="R103" s="498">
        <v>0</v>
      </c>
      <c r="S103" s="498">
        <v>0</v>
      </c>
      <c r="T103" s="498">
        <v>0</v>
      </c>
      <c r="U103" s="498">
        <f t="shared" si="197"/>
        <v>0</v>
      </c>
      <c r="V103" s="498">
        <v>0</v>
      </c>
      <c r="W103" s="498">
        <v>0</v>
      </c>
      <c r="X103" s="498">
        <v>0</v>
      </c>
      <c r="Y103" s="498">
        <f t="shared" si="198"/>
        <v>0</v>
      </c>
      <c r="Z103" s="498">
        <f t="shared" si="199"/>
        <v>0</v>
      </c>
      <c r="AA103" s="131">
        <f t="shared" si="245"/>
        <v>0</v>
      </c>
      <c r="AB103" s="131">
        <f t="shared" si="200"/>
        <v>0</v>
      </c>
      <c r="AC103" s="498">
        <v>0</v>
      </c>
      <c r="AD103" s="498">
        <v>0</v>
      </c>
      <c r="AE103" s="498">
        <f t="shared" si="201"/>
        <v>0</v>
      </c>
      <c r="AF103" s="498">
        <f t="shared" si="202"/>
        <v>0</v>
      </c>
      <c r="AG103" s="499">
        <v>0</v>
      </c>
      <c r="AH103" s="499">
        <v>0</v>
      </c>
      <c r="AI103" s="499">
        <v>0</v>
      </c>
      <c r="AJ103" s="499">
        <v>0</v>
      </c>
      <c r="AK103" s="499">
        <v>0</v>
      </c>
      <c r="AL103" s="499">
        <f t="shared" si="203"/>
        <v>0</v>
      </c>
      <c r="AM103" s="499">
        <f t="shared" si="204"/>
        <v>0</v>
      </c>
      <c r="AN103" s="529">
        <f t="shared" si="205"/>
        <v>0</v>
      </c>
      <c r="AO103" s="579">
        <f>I103+AF103</f>
        <v>3201543</v>
      </c>
      <c r="AP103" s="498">
        <f>J103+U103</f>
        <v>2333582</v>
      </c>
      <c r="AQ103" s="498">
        <f t="shared" si="246"/>
        <v>0</v>
      </c>
      <c r="AR103" s="498">
        <f t="shared" si="247"/>
        <v>788751</v>
      </c>
      <c r="AS103" s="498">
        <f t="shared" si="247"/>
        <v>46672</v>
      </c>
      <c r="AT103" s="498">
        <f>M103+AE103</f>
        <v>32538</v>
      </c>
      <c r="AU103" s="499">
        <f>N103+AN103</f>
        <v>7.94</v>
      </c>
      <c r="AV103" s="499">
        <f t="shared" si="248"/>
        <v>0</v>
      </c>
      <c r="AW103" s="500">
        <f t="shared" si="248"/>
        <v>7.94</v>
      </c>
      <c r="AX103" s="580"/>
      <c r="AY103" s="580"/>
    </row>
    <row r="104" spans="1:51" s="569" customFormat="1" ht="12.75" customHeight="1" x14ac:dyDescent="0.2">
      <c r="A104" s="571">
        <v>24</v>
      </c>
      <c r="B104" s="572">
        <v>3414</v>
      </c>
      <c r="C104" s="572">
        <v>600078388</v>
      </c>
      <c r="D104" s="572">
        <v>43257721</v>
      </c>
      <c r="E104" s="573" t="s">
        <v>55</v>
      </c>
      <c r="F104" s="572">
        <v>3143</v>
      </c>
      <c r="G104" s="573" t="s">
        <v>635</v>
      </c>
      <c r="H104" s="736" t="s">
        <v>283</v>
      </c>
      <c r="I104" s="575">
        <f t="shared" si="240"/>
        <v>3526614</v>
      </c>
      <c r="J104" s="496">
        <v>2596917</v>
      </c>
      <c r="K104" s="131">
        <f t="shared" si="241"/>
        <v>877758</v>
      </c>
      <c r="L104" s="131">
        <v>51939</v>
      </c>
      <c r="M104" s="496">
        <v>0</v>
      </c>
      <c r="N104" s="576">
        <f t="shared" si="243"/>
        <v>5.4820000000000002</v>
      </c>
      <c r="O104" s="577">
        <v>5.4820000000000002</v>
      </c>
      <c r="P104" s="578">
        <v>0</v>
      </c>
      <c r="Q104" s="579">
        <f t="shared" si="244"/>
        <v>-12000</v>
      </c>
      <c r="R104" s="498">
        <v>0</v>
      </c>
      <c r="S104" s="498">
        <v>0</v>
      </c>
      <c r="T104" s="498">
        <v>0</v>
      </c>
      <c r="U104" s="498">
        <f t="shared" si="197"/>
        <v>-12000</v>
      </c>
      <c r="V104" s="498">
        <v>12000</v>
      </c>
      <c r="W104" s="498">
        <v>0</v>
      </c>
      <c r="X104" s="498">
        <v>0</v>
      </c>
      <c r="Y104" s="498">
        <f t="shared" si="198"/>
        <v>12000</v>
      </c>
      <c r="Z104" s="498">
        <f t="shared" si="199"/>
        <v>0</v>
      </c>
      <c r="AA104" s="131">
        <f t="shared" si="245"/>
        <v>0</v>
      </c>
      <c r="AB104" s="131">
        <f t="shared" si="200"/>
        <v>-240</v>
      </c>
      <c r="AC104" s="498">
        <v>0</v>
      </c>
      <c r="AD104" s="498">
        <v>0</v>
      </c>
      <c r="AE104" s="498">
        <f t="shared" si="201"/>
        <v>0</v>
      </c>
      <c r="AF104" s="498">
        <f t="shared" si="202"/>
        <v>-240</v>
      </c>
      <c r="AG104" s="499">
        <v>0</v>
      </c>
      <c r="AH104" s="499">
        <v>0</v>
      </c>
      <c r="AI104" s="499">
        <v>0</v>
      </c>
      <c r="AJ104" s="499">
        <v>0</v>
      </c>
      <c r="AK104" s="499">
        <v>0</v>
      </c>
      <c r="AL104" s="499">
        <f t="shared" si="203"/>
        <v>0</v>
      </c>
      <c r="AM104" s="499">
        <f t="shared" si="204"/>
        <v>0</v>
      </c>
      <c r="AN104" s="529">
        <f t="shared" si="205"/>
        <v>0</v>
      </c>
      <c r="AO104" s="579">
        <f>I104+AF104</f>
        <v>3526374</v>
      </c>
      <c r="AP104" s="498">
        <f>J104+U104</f>
        <v>2584917</v>
      </c>
      <c r="AQ104" s="498">
        <f t="shared" si="246"/>
        <v>12000</v>
      </c>
      <c r="AR104" s="498">
        <f t="shared" si="247"/>
        <v>877758</v>
      </c>
      <c r="AS104" s="498">
        <f t="shared" si="247"/>
        <v>51699</v>
      </c>
      <c r="AT104" s="498">
        <f>M104+AE104</f>
        <v>0</v>
      </c>
      <c r="AU104" s="499">
        <f>N104+AN104</f>
        <v>5.4820000000000002</v>
      </c>
      <c r="AV104" s="499">
        <f t="shared" si="248"/>
        <v>5.4820000000000002</v>
      </c>
      <c r="AW104" s="500">
        <f t="shared" si="248"/>
        <v>0</v>
      </c>
      <c r="AX104" s="580"/>
    </row>
    <row r="105" spans="1:51" s="569" customFormat="1" ht="12.75" customHeight="1" x14ac:dyDescent="0.2">
      <c r="A105" s="571">
        <v>24</v>
      </c>
      <c r="B105" s="572">
        <v>3414</v>
      </c>
      <c r="C105" s="572">
        <v>600078388</v>
      </c>
      <c r="D105" s="572">
        <v>43257721</v>
      </c>
      <c r="E105" s="573" t="s">
        <v>55</v>
      </c>
      <c r="F105" s="572">
        <v>3143</v>
      </c>
      <c r="G105" s="573" t="s">
        <v>636</v>
      </c>
      <c r="H105" s="736" t="s">
        <v>284</v>
      </c>
      <c r="I105" s="575">
        <f t="shared" si="240"/>
        <v>106736</v>
      </c>
      <c r="J105" s="496">
        <v>75240</v>
      </c>
      <c r="K105" s="131">
        <f t="shared" si="241"/>
        <v>25431</v>
      </c>
      <c r="L105" s="131">
        <f t="shared" ref="L105" si="249">ROUND(J105*2%,0)</f>
        <v>1505</v>
      </c>
      <c r="M105" s="496">
        <v>4560</v>
      </c>
      <c r="N105" s="576">
        <f t="shared" si="243"/>
        <v>0.32</v>
      </c>
      <c r="O105" s="577">
        <v>0</v>
      </c>
      <c r="P105" s="578">
        <v>0.32</v>
      </c>
      <c r="Q105" s="579">
        <f t="shared" si="244"/>
        <v>0</v>
      </c>
      <c r="R105" s="498">
        <v>0</v>
      </c>
      <c r="S105" s="498">
        <v>0</v>
      </c>
      <c r="T105" s="498">
        <v>0</v>
      </c>
      <c r="U105" s="498">
        <f t="shared" si="197"/>
        <v>0</v>
      </c>
      <c r="V105" s="498">
        <v>0</v>
      </c>
      <c r="W105" s="498">
        <v>0</v>
      </c>
      <c r="X105" s="498">
        <v>0</v>
      </c>
      <c r="Y105" s="498">
        <f t="shared" si="198"/>
        <v>0</v>
      </c>
      <c r="Z105" s="498">
        <f t="shared" si="199"/>
        <v>0</v>
      </c>
      <c r="AA105" s="131">
        <f t="shared" si="245"/>
        <v>0</v>
      </c>
      <c r="AB105" s="131">
        <f t="shared" si="200"/>
        <v>0</v>
      </c>
      <c r="AC105" s="498">
        <v>0</v>
      </c>
      <c r="AD105" s="498">
        <v>0</v>
      </c>
      <c r="AE105" s="498">
        <f t="shared" si="201"/>
        <v>0</v>
      </c>
      <c r="AF105" s="498">
        <f t="shared" si="202"/>
        <v>0</v>
      </c>
      <c r="AG105" s="499">
        <v>0</v>
      </c>
      <c r="AH105" s="499">
        <v>0</v>
      </c>
      <c r="AI105" s="499">
        <v>0</v>
      </c>
      <c r="AJ105" s="499">
        <v>0</v>
      </c>
      <c r="AK105" s="499">
        <v>0</v>
      </c>
      <c r="AL105" s="499">
        <f t="shared" si="203"/>
        <v>0</v>
      </c>
      <c r="AM105" s="499">
        <f t="shared" si="204"/>
        <v>0</v>
      </c>
      <c r="AN105" s="529">
        <f t="shared" si="205"/>
        <v>0</v>
      </c>
      <c r="AO105" s="579">
        <f>I105+AF105</f>
        <v>106736</v>
      </c>
      <c r="AP105" s="498">
        <f>J105+U105</f>
        <v>75240</v>
      </c>
      <c r="AQ105" s="498">
        <f t="shared" si="246"/>
        <v>0</v>
      </c>
      <c r="AR105" s="498">
        <f t="shared" si="247"/>
        <v>25431</v>
      </c>
      <c r="AS105" s="498">
        <f t="shared" si="247"/>
        <v>1505</v>
      </c>
      <c r="AT105" s="498">
        <f>M105+AE105</f>
        <v>4560</v>
      </c>
      <c r="AU105" s="499">
        <f>N105+AN105</f>
        <v>0.32</v>
      </c>
      <c r="AV105" s="499">
        <f t="shared" si="248"/>
        <v>0</v>
      </c>
      <c r="AW105" s="500">
        <f t="shared" si="248"/>
        <v>0.32</v>
      </c>
      <c r="AX105" s="580"/>
    </row>
    <row r="106" spans="1:51" s="569" customFormat="1" ht="12.75" customHeight="1" x14ac:dyDescent="0.2">
      <c r="A106" s="299">
        <v>24</v>
      </c>
      <c r="B106" s="23">
        <v>3414</v>
      </c>
      <c r="C106" s="298">
        <v>600078388</v>
      </c>
      <c r="D106" s="298">
        <v>43257721</v>
      </c>
      <c r="E106" s="570" t="s">
        <v>56</v>
      </c>
      <c r="F106" s="23"/>
      <c r="G106" s="570"/>
      <c r="H106" s="735"/>
      <c r="I106" s="35">
        <f t="shared" ref="I106:P106" si="250">SUM(I101:I105)</f>
        <v>40676162</v>
      </c>
      <c r="J106" s="24">
        <f t="shared" si="250"/>
        <v>29316497</v>
      </c>
      <c r="K106" s="24">
        <f t="shared" si="250"/>
        <v>9908976</v>
      </c>
      <c r="L106" s="24">
        <f t="shared" si="250"/>
        <v>586331</v>
      </c>
      <c r="M106" s="24">
        <f t="shared" si="250"/>
        <v>864358</v>
      </c>
      <c r="N106" s="25">
        <f t="shared" si="250"/>
        <v>59.990299999999998</v>
      </c>
      <c r="O106" s="391">
        <f t="shared" si="250"/>
        <v>40.7545</v>
      </c>
      <c r="P106" s="456">
        <f t="shared" si="250"/>
        <v>19.235800000000001</v>
      </c>
      <c r="Q106" s="35">
        <f t="shared" ref="Q106:AW106" si="251">SUM(Q101:Q105)</f>
        <v>-80000</v>
      </c>
      <c r="R106" s="24">
        <f t="shared" si="251"/>
        <v>2767343</v>
      </c>
      <c r="S106" s="24">
        <f t="shared" si="251"/>
        <v>0</v>
      </c>
      <c r="T106" s="24">
        <f t="shared" si="251"/>
        <v>0</v>
      </c>
      <c r="U106" s="24">
        <f t="shared" si="251"/>
        <v>2687343</v>
      </c>
      <c r="V106" s="24">
        <f t="shared" si="251"/>
        <v>80000</v>
      </c>
      <c r="W106" s="24">
        <f t="shared" si="251"/>
        <v>0</v>
      </c>
      <c r="X106" s="24">
        <f t="shared" si="251"/>
        <v>0</v>
      </c>
      <c r="Y106" s="24">
        <f t="shared" si="251"/>
        <v>80000</v>
      </c>
      <c r="Z106" s="24">
        <f t="shared" si="251"/>
        <v>2767343</v>
      </c>
      <c r="AA106" s="24">
        <f t="shared" si="251"/>
        <v>935362</v>
      </c>
      <c r="AB106" s="24">
        <f t="shared" si="251"/>
        <v>53747</v>
      </c>
      <c r="AC106" s="24">
        <f t="shared" si="251"/>
        <v>3000</v>
      </c>
      <c r="AD106" s="24">
        <f t="shared" si="251"/>
        <v>0</v>
      </c>
      <c r="AE106" s="24">
        <f t="shared" si="251"/>
        <v>3000</v>
      </c>
      <c r="AF106" s="24">
        <f t="shared" si="251"/>
        <v>3759452</v>
      </c>
      <c r="AG106" s="25">
        <f t="shared" si="251"/>
        <v>-0.05</v>
      </c>
      <c r="AH106" s="25">
        <f t="shared" si="251"/>
        <v>-0.08</v>
      </c>
      <c r="AI106" s="25">
        <f t="shared" si="251"/>
        <v>7.8400000000000007</v>
      </c>
      <c r="AJ106" s="25">
        <f t="shared" si="251"/>
        <v>0</v>
      </c>
      <c r="AK106" s="25">
        <f t="shared" si="251"/>
        <v>0</v>
      </c>
      <c r="AL106" s="25">
        <f t="shared" si="251"/>
        <v>7.7900000000000009</v>
      </c>
      <c r="AM106" s="25">
        <f t="shared" si="251"/>
        <v>-0.08</v>
      </c>
      <c r="AN106" s="392">
        <f t="shared" si="251"/>
        <v>7.7100000000000009</v>
      </c>
      <c r="AO106" s="35">
        <f t="shared" si="251"/>
        <v>44435614</v>
      </c>
      <c r="AP106" s="24">
        <f t="shared" si="251"/>
        <v>32003840</v>
      </c>
      <c r="AQ106" s="24">
        <f t="shared" si="251"/>
        <v>80000</v>
      </c>
      <c r="AR106" s="24">
        <f t="shared" si="251"/>
        <v>10844338</v>
      </c>
      <c r="AS106" s="24">
        <f t="shared" si="251"/>
        <v>640078</v>
      </c>
      <c r="AT106" s="24">
        <f t="shared" si="251"/>
        <v>867358</v>
      </c>
      <c r="AU106" s="25">
        <f t="shared" si="251"/>
        <v>67.700299999999999</v>
      </c>
      <c r="AV106" s="25">
        <f t="shared" si="251"/>
        <v>48.544500000000006</v>
      </c>
      <c r="AW106" s="72">
        <f t="shared" si="251"/>
        <v>19.155799999999999</v>
      </c>
      <c r="AX106" s="580"/>
    </row>
    <row r="107" spans="1:51" s="569" customFormat="1" ht="12.75" customHeight="1" x14ac:dyDescent="0.2">
      <c r="A107" s="571">
        <v>25</v>
      </c>
      <c r="B107" s="572">
        <v>3411</v>
      </c>
      <c r="C107" s="572">
        <v>600078400</v>
      </c>
      <c r="D107" s="572">
        <v>72742950</v>
      </c>
      <c r="E107" s="573" t="s">
        <v>57</v>
      </c>
      <c r="F107" s="572">
        <v>3113</v>
      </c>
      <c r="G107" s="573" t="s">
        <v>320</v>
      </c>
      <c r="H107" s="736" t="s">
        <v>283</v>
      </c>
      <c r="I107" s="575">
        <f t="shared" ref="I107:I111" si="252">SUM(J107:M107)</f>
        <v>29686644</v>
      </c>
      <c r="J107" s="496">
        <v>21334274</v>
      </c>
      <c r="K107" s="131">
        <f t="shared" ref="K107:K111" si="253">ROUND((J107)*33.8%,0)</f>
        <v>7210985</v>
      </c>
      <c r="L107" s="131">
        <f t="shared" ref="L107:L111" si="254">ROUND(J107*2%,0)</f>
        <v>426685</v>
      </c>
      <c r="M107" s="496">
        <v>714700</v>
      </c>
      <c r="N107" s="576">
        <f t="shared" ref="N107:N111" si="255">SUM(O107:P107)</f>
        <v>40.056399999999996</v>
      </c>
      <c r="O107" s="577">
        <v>30.863800000000001</v>
      </c>
      <c r="P107" s="578">
        <v>9.1925999999999988</v>
      </c>
      <c r="Q107" s="579">
        <f t="shared" ref="Q107:Q111" si="256">V107*-1</f>
        <v>0</v>
      </c>
      <c r="R107" s="498">
        <v>0</v>
      </c>
      <c r="S107" s="498">
        <v>0</v>
      </c>
      <c r="T107" s="498">
        <v>0</v>
      </c>
      <c r="U107" s="498">
        <f t="shared" si="197"/>
        <v>0</v>
      </c>
      <c r="V107" s="498">
        <v>0</v>
      </c>
      <c r="W107" s="498">
        <v>0</v>
      </c>
      <c r="X107" s="498">
        <v>0</v>
      </c>
      <c r="Y107" s="498">
        <f t="shared" si="198"/>
        <v>0</v>
      </c>
      <c r="Z107" s="498">
        <f t="shared" si="199"/>
        <v>0</v>
      </c>
      <c r="AA107" s="131">
        <f t="shared" ref="AA107:AA111" si="257">ROUND((U107+V107+W105)*33.8%,0)</f>
        <v>0</v>
      </c>
      <c r="AB107" s="131">
        <f t="shared" si="200"/>
        <v>0</v>
      </c>
      <c r="AC107" s="498">
        <v>0</v>
      </c>
      <c r="AD107" s="498">
        <v>0</v>
      </c>
      <c r="AE107" s="498">
        <f t="shared" si="201"/>
        <v>0</v>
      </c>
      <c r="AF107" s="498">
        <f t="shared" si="202"/>
        <v>0</v>
      </c>
      <c r="AG107" s="499">
        <v>0</v>
      </c>
      <c r="AH107" s="499">
        <v>0</v>
      </c>
      <c r="AI107" s="499">
        <v>0</v>
      </c>
      <c r="AJ107" s="499">
        <v>0</v>
      </c>
      <c r="AK107" s="499">
        <v>0</v>
      </c>
      <c r="AL107" s="499">
        <f t="shared" si="203"/>
        <v>0</v>
      </c>
      <c r="AM107" s="499">
        <f t="shared" si="204"/>
        <v>0</v>
      </c>
      <c r="AN107" s="529">
        <f t="shared" si="205"/>
        <v>0</v>
      </c>
      <c r="AO107" s="579">
        <f>I107+AF107</f>
        <v>29686644</v>
      </c>
      <c r="AP107" s="498">
        <f>J107+U107</f>
        <v>21334274</v>
      </c>
      <c r="AQ107" s="498">
        <f t="shared" ref="AQ107:AQ111" si="258">Y107</f>
        <v>0</v>
      </c>
      <c r="AR107" s="498">
        <f t="shared" ref="AR107:AS111" si="259">K107+AA107</f>
        <v>7210985</v>
      </c>
      <c r="AS107" s="498">
        <f t="shared" si="259"/>
        <v>426685</v>
      </c>
      <c r="AT107" s="498">
        <f>M107+AE107</f>
        <v>714700</v>
      </c>
      <c r="AU107" s="499">
        <f>N107+AN107</f>
        <v>40.056399999999996</v>
      </c>
      <c r="AV107" s="499">
        <f t="shared" ref="AV107:AW111" si="260">O107+AL107</f>
        <v>30.863800000000001</v>
      </c>
      <c r="AW107" s="500">
        <f t="shared" si="260"/>
        <v>9.1925999999999988</v>
      </c>
      <c r="AX107" s="580"/>
    </row>
    <row r="108" spans="1:51" s="569" customFormat="1" x14ac:dyDescent="0.2">
      <c r="A108" s="571">
        <v>25</v>
      </c>
      <c r="B108" s="572">
        <v>3411</v>
      </c>
      <c r="C108" s="572">
        <v>600078400</v>
      </c>
      <c r="D108" s="572">
        <v>72742950</v>
      </c>
      <c r="E108" s="573" t="s">
        <v>57</v>
      </c>
      <c r="F108" s="572">
        <v>3113</v>
      </c>
      <c r="G108" s="573" t="s">
        <v>318</v>
      </c>
      <c r="H108" s="736" t="s">
        <v>284</v>
      </c>
      <c r="I108" s="575">
        <f t="shared" si="252"/>
        <v>0</v>
      </c>
      <c r="J108" s="496">
        <v>0</v>
      </c>
      <c r="K108" s="131">
        <f t="shared" si="253"/>
        <v>0</v>
      </c>
      <c r="L108" s="131">
        <f t="shared" si="254"/>
        <v>0</v>
      </c>
      <c r="M108" s="496">
        <v>0</v>
      </c>
      <c r="N108" s="576">
        <f t="shared" si="255"/>
        <v>0</v>
      </c>
      <c r="O108" s="577">
        <v>0</v>
      </c>
      <c r="P108" s="578">
        <v>0</v>
      </c>
      <c r="Q108" s="579">
        <f t="shared" si="256"/>
        <v>0</v>
      </c>
      <c r="R108" s="496">
        <v>3610743</v>
      </c>
      <c r="S108" s="498">
        <v>0</v>
      </c>
      <c r="T108" s="498">
        <v>0</v>
      </c>
      <c r="U108" s="498">
        <f t="shared" si="197"/>
        <v>3610743</v>
      </c>
      <c r="V108" s="498">
        <v>0</v>
      </c>
      <c r="W108" s="498">
        <v>0</v>
      </c>
      <c r="X108" s="498">
        <v>0</v>
      </c>
      <c r="Y108" s="498">
        <f t="shared" si="198"/>
        <v>0</v>
      </c>
      <c r="Z108" s="498">
        <f t="shared" si="199"/>
        <v>3610743</v>
      </c>
      <c r="AA108" s="131">
        <f t="shared" si="257"/>
        <v>1220431</v>
      </c>
      <c r="AB108" s="131">
        <f t="shared" si="200"/>
        <v>72215</v>
      </c>
      <c r="AC108" s="498">
        <v>1500</v>
      </c>
      <c r="AD108" s="498">
        <v>0</v>
      </c>
      <c r="AE108" s="498">
        <f t="shared" si="201"/>
        <v>1500</v>
      </c>
      <c r="AF108" s="498">
        <f t="shared" si="202"/>
        <v>4904889</v>
      </c>
      <c r="AG108" s="499">
        <v>0</v>
      </c>
      <c r="AH108" s="499">
        <v>0</v>
      </c>
      <c r="AI108" s="499">
        <v>9.82</v>
      </c>
      <c r="AJ108" s="499">
        <v>0</v>
      </c>
      <c r="AK108" s="499">
        <v>0</v>
      </c>
      <c r="AL108" s="499">
        <f t="shared" si="203"/>
        <v>9.82</v>
      </c>
      <c r="AM108" s="499">
        <f t="shared" si="204"/>
        <v>0</v>
      </c>
      <c r="AN108" s="529">
        <f t="shared" si="205"/>
        <v>9.82</v>
      </c>
      <c r="AO108" s="579">
        <f>I108+AF108</f>
        <v>4904889</v>
      </c>
      <c r="AP108" s="498">
        <f>J108+U108</f>
        <v>3610743</v>
      </c>
      <c r="AQ108" s="498">
        <f t="shared" si="258"/>
        <v>0</v>
      </c>
      <c r="AR108" s="498">
        <f t="shared" si="259"/>
        <v>1220431</v>
      </c>
      <c r="AS108" s="498">
        <f t="shared" si="259"/>
        <v>72215</v>
      </c>
      <c r="AT108" s="498">
        <f>M108+AE108</f>
        <v>1500</v>
      </c>
      <c r="AU108" s="499">
        <f>N108+AN108</f>
        <v>9.82</v>
      </c>
      <c r="AV108" s="499">
        <f t="shared" si="260"/>
        <v>9.82</v>
      </c>
      <c r="AW108" s="500">
        <f t="shared" si="260"/>
        <v>0</v>
      </c>
      <c r="AX108" s="580"/>
    </row>
    <row r="109" spans="1:51" s="569" customFormat="1" ht="12.75" customHeight="1" x14ac:dyDescent="0.2">
      <c r="A109" s="571">
        <v>25</v>
      </c>
      <c r="B109" s="572">
        <v>3411</v>
      </c>
      <c r="C109" s="572">
        <v>600078400</v>
      </c>
      <c r="D109" s="572">
        <v>72742950</v>
      </c>
      <c r="E109" s="573" t="s">
        <v>57</v>
      </c>
      <c r="F109" s="572">
        <v>3141</v>
      </c>
      <c r="G109" s="573" t="s">
        <v>321</v>
      </c>
      <c r="H109" s="736" t="s">
        <v>284</v>
      </c>
      <c r="I109" s="575">
        <f t="shared" si="252"/>
        <v>3172952</v>
      </c>
      <c r="J109" s="496">
        <v>2314921</v>
      </c>
      <c r="K109" s="131">
        <f t="shared" si="253"/>
        <v>782443</v>
      </c>
      <c r="L109" s="131">
        <f t="shared" si="254"/>
        <v>46298</v>
      </c>
      <c r="M109" s="496">
        <v>29290</v>
      </c>
      <c r="N109" s="576">
        <f t="shared" si="255"/>
        <v>7.87</v>
      </c>
      <c r="O109" s="577">
        <v>0</v>
      </c>
      <c r="P109" s="578">
        <v>7.87</v>
      </c>
      <c r="Q109" s="579">
        <f t="shared" si="256"/>
        <v>0</v>
      </c>
      <c r="R109" s="498">
        <v>0</v>
      </c>
      <c r="S109" s="498">
        <v>0</v>
      </c>
      <c r="T109" s="498">
        <v>0</v>
      </c>
      <c r="U109" s="498">
        <f t="shared" si="197"/>
        <v>0</v>
      </c>
      <c r="V109" s="498">
        <v>0</v>
      </c>
      <c r="W109" s="498">
        <v>0</v>
      </c>
      <c r="X109" s="498">
        <v>0</v>
      </c>
      <c r="Y109" s="498">
        <f t="shared" si="198"/>
        <v>0</v>
      </c>
      <c r="Z109" s="498">
        <f t="shared" si="199"/>
        <v>0</v>
      </c>
      <c r="AA109" s="131">
        <f t="shared" si="257"/>
        <v>0</v>
      </c>
      <c r="AB109" s="131">
        <f t="shared" si="200"/>
        <v>0</v>
      </c>
      <c r="AC109" s="498">
        <v>0</v>
      </c>
      <c r="AD109" s="498">
        <v>0</v>
      </c>
      <c r="AE109" s="498">
        <f t="shared" si="201"/>
        <v>0</v>
      </c>
      <c r="AF109" s="498">
        <f t="shared" si="202"/>
        <v>0</v>
      </c>
      <c r="AG109" s="499">
        <v>0</v>
      </c>
      <c r="AH109" s="499">
        <v>0</v>
      </c>
      <c r="AI109" s="499">
        <v>0</v>
      </c>
      <c r="AJ109" s="499">
        <v>0</v>
      </c>
      <c r="AK109" s="499">
        <v>0</v>
      </c>
      <c r="AL109" s="499">
        <f t="shared" si="203"/>
        <v>0</v>
      </c>
      <c r="AM109" s="499">
        <f t="shared" si="204"/>
        <v>0</v>
      </c>
      <c r="AN109" s="529">
        <f t="shared" si="205"/>
        <v>0</v>
      </c>
      <c r="AO109" s="579">
        <f>I109+AF109</f>
        <v>3172952</v>
      </c>
      <c r="AP109" s="498">
        <f>J109+U109</f>
        <v>2314921</v>
      </c>
      <c r="AQ109" s="498">
        <f t="shared" si="258"/>
        <v>0</v>
      </c>
      <c r="AR109" s="498">
        <f t="shared" si="259"/>
        <v>782443</v>
      </c>
      <c r="AS109" s="498">
        <f t="shared" si="259"/>
        <v>46298</v>
      </c>
      <c r="AT109" s="498">
        <f>M109+AE109</f>
        <v>29290</v>
      </c>
      <c r="AU109" s="499">
        <f>N109+AN109</f>
        <v>7.87</v>
      </c>
      <c r="AV109" s="499">
        <f t="shared" si="260"/>
        <v>0</v>
      </c>
      <c r="AW109" s="500">
        <f t="shared" si="260"/>
        <v>7.87</v>
      </c>
      <c r="AX109" s="580"/>
      <c r="AY109" s="580"/>
    </row>
    <row r="110" spans="1:51" s="569" customFormat="1" ht="12.75" customHeight="1" x14ac:dyDescent="0.2">
      <c r="A110" s="571">
        <v>25</v>
      </c>
      <c r="B110" s="572">
        <v>3411</v>
      </c>
      <c r="C110" s="572">
        <v>600078400</v>
      </c>
      <c r="D110" s="572">
        <v>72742950</v>
      </c>
      <c r="E110" s="573" t="s">
        <v>57</v>
      </c>
      <c r="F110" s="572">
        <v>3143</v>
      </c>
      <c r="G110" s="573" t="s">
        <v>635</v>
      </c>
      <c r="H110" s="736" t="s">
        <v>283</v>
      </c>
      <c r="I110" s="575">
        <f t="shared" si="252"/>
        <v>2642099</v>
      </c>
      <c r="J110" s="496">
        <v>1945581</v>
      </c>
      <c r="K110" s="131">
        <f t="shared" si="253"/>
        <v>657606</v>
      </c>
      <c r="L110" s="131">
        <f t="shared" si="254"/>
        <v>38912</v>
      </c>
      <c r="M110" s="496">
        <v>0</v>
      </c>
      <c r="N110" s="576">
        <f t="shared" si="255"/>
        <v>4</v>
      </c>
      <c r="O110" s="577">
        <v>4</v>
      </c>
      <c r="P110" s="578">
        <v>0</v>
      </c>
      <c r="Q110" s="579">
        <f t="shared" si="256"/>
        <v>0</v>
      </c>
      <c r="R110" s="498">
        <v>0</v>
      </c>
      <c r="S110" s="498">
        <v>0</v>
      </c>
      <c r="T110" s="498">
        <v>0</v>
      </c>
      <c r="U110" s="498">
        <f t="shared" si="197"/>
        <v>0</v>
      </c>
      <c r="V110" s="498">
        <v>0</v>
      </c>
      <c r="W110" s="498">
        <v>0</v>
      </c>
      <c r="X110" s="498">
        <v>0</v>
      </c>
      <c r="Y110" s="498">
        <f t="shared" si="198"/>
        <v>0</v>
      </c>
      <c r="Z110" s="498">
        <f t="shared" si="199"/>
        <v>0</v>
      </c>
      <c r="AA110" s="131">
        <f t="shared" si="257"/>
        <v>0</v>
      </c>
      <c r="AB110" s="131">
        <f t="shared" si="200"/>
        <v>0</v>
      </c>
      <c r="AC110" s="498">
        <v>0</v>
      </c>
      <c r="AD110" s="498">
        <v>0</v>
      </c>
      <c r="AE110" s="498">
        <f t="shared" si="201"/>
        <v>0</v>
      </c>
      <c r="AF110" s="498">
        <f t="shared" si="202"/>
        <v>0</v>
      </c>
      <c r="AG110" s="499">
        <v>0</v>
      </c>
      <c r="AH110" s="499">
        <v>0</v>
      </c>
      <c r="AI110" s="499">
        <v>0</v>
      </c>
      <c r="AJ110" s="499">
        <v>0</v>
      </c>
      <c r="AK110" s="499">
        <v>0</v>
      </c>
      <c r="AL110" s="499">
        <f t="shared" si="203"/>
        <v>0</v>
      </c>
      <c r="AM110" s="499">
        <f t="shared" si="204"/>
        <v>0</v>
      </c>
      <c r="AN110" s="529">
        <f t="shared" si="205"/>
        <v>0</v>
      </c>
      <c r="AO110" s="579">
        <f>I110+AF110</f>
        <v>2642099</v>
      </c>
      <c r="AP110" s="498">
        <f>J110+U110</f>
        <v>1945581</v>
      </c>
      <c r="AQ110" s="498">
        <f t="shared" si="258"/>
        <v>0</v>
      </c>
      <c r="AR110" s="498">
        <f t="shared" si="259"/>
        <v>657606</v>
      </c>
      <c r="AS110" s="498">
        <f t="shared" si="259"/>
        <v>38912</v>
      </c>
      <c r="AT110" s="498">
        <f>M110+AE110</f>
        <v>0</v>
      </c>
      <c r="AU110" s="499">
        <f>N110+AN110</f>
        <v>4</v>
      </c>
      <c r="AV110" s="499">
        <f t="shared" si="260"/>
        <v>4</v>
      </c>
      <c r="AW110" s="500">
        <f t="shared" si="260"/>
        <v>0</v>
      </c>
      <c r="AX110" s="580"/>
    </row>
    <row r="111" spans="1:51" s="569" customFormat="1" ht="12.75" customHeight="1" x14ac:dyDescent="0.2">
      <c r="A111" s="571">
        <v>25</v>
      </c>
      <c r="B111" s="572">
        <v>3411</v>
      </c>
      <c r="C111" s="572">
        <v>600078400</v>
      </c>
      <c r="D111" s="572">
        <v>72742950</v>
      </c>
      <c r="E111" s="573" t="s">
        <v>57</v>
      </c>
      <c r="F111" s="572">
        <v>3143</v>
      </c>
      <c r="G111" s="573" t="s">
        <v>636</v>
      </c>
      <c r="H111" s="736" t="s">
        <v>284</v>
      </c>
      <c r="I111" s="575">
        <f t="shared" si="252"/>
        <v>95500</v>
      </c>
      <c r="J111" s="496">
        <v>67320</v>
      </c>
      <c r="K111" s="131">
        <f t="shared" si="253"/>
        <v>22754</v>
      </c>
      <c r="L111" s="131">
        <f t="shared" si="254"/>
        <v>1346</v>
      </c>
      <c r="M111" s="496">
        <v>4080</v>
      </c>
      <c r="N111" s="576">
        <f t="shared" si="255"/>
        <v>0.28000000000000003</v>
      </c>
      <c r="O111" s="577">
        <v>0</v>
      </c>
      <c r="P111" s="578">
        <v>0.28000000000000003</v>
      </c>
      <c r="Q111" s="579">
        <f t="shared" si="256"/>
        <v>0</v>
      </c>
      <c r="R111" s="498">
        <v>0</v>
      </c>
      <c r="S111" s="498">
        <v>0</v>
      </c>
      <c r="T111" s="498">
        <v>0</v>
      </c>
      <c r="U111" s="498">
        <f t="shared" si="197"/>
        <v>0</v>
      </c>
      <c r="V111" s="498">
        <v>0</v>
      </c>
      <c r="W111" s="498">
        <v>0</v>
      </c>
      <c r="X111" s="498">
        <v>0</v>
      </c>
      <c r="Y111" s="498">
        <f t="shared" si="198"/>
        <v>0</v>
      </c>
      <c r="Z111" s="498">
        <f t="shared" si="199"/>
        <v>0</v>
      </c>
      <c r="AA111" s="131">
        <f t="shared" si="257"/>
        <v>0</v>
      </c>
      <c r="AB111" s="131">
        <f t="shared" si="200"/>
        <v>0</v>
      </c>
      <c r="AC111" s="498">
        <v>0</v>
      </c>
      <c r="AD111" s="498">
        <v>0</v>
      </c>
      <c r="AE111" s="498">
        <f t="shared" si="201"/>
        <v>0</v>
      </c>
      <c r="AF111" s="498">
        <f t="shared" si="202"/>
        <v>0</v>
      </c>
      <c r="AG111" s="499">
        <v>0</v>
      </c>
      <c r="AH111" s="499">
        <v>0</v>
      </c>
      <c r="AI111" s="499">
        <v>0</v>
      </c>
      <c r="AJ111" s="499">
        <v>0</v>
      </c>
      <c r="AK111" s="499">
        <v>0</v>
      </c>
      <c r="AL111" s="499">
        <f t="shared" si="203"/>
        <v>0</v>
      </c>
      <c r="AM111" s="499">
        <f t="shared" si="204"/>
        <v>0</v>
      </c>
      <c r="AN111" s="529">
        <f t="shared" si="205"/>
        <v>0</v>
      </c>
      <c r="AO111" s="579">
        <f>I111+AF111</f>
        <v>95500</v>
      </c>
      <c r="AP111" s="498">
        <f>J111+U111</f>
        <v>67320</v>
      </c>
      <c r="AQ111" s="498">
        <f t="shared" si="258"/>
        <v>0</v>
      </c>
      <c r="AR111" s="498">
        <f t="shared" si="259"/>
        <v>22754</v>
      </c>
      <c r="AS111" s="498">
        <f t="shared" si="259"/>
        <v>1346</v>
      </c>
      <c r="AT111" s="498">
        <f>M111+AE111</f>
        <v>4080</v>
      </c>
      <c r="AU111" s="499">
        <f>N111+AN111</f>
        <v>0.28000000000000003</v>
      </c>
      <c r="AV111" s="499">
        <f t="shared" si="260"/>
        <v>0</v>
      </c>
      <c r="AW111" s="500">
        <f t="shared" si="260"/>
        <v>0.28000000000000003</v>
      </c>
      <c r="AX111" s="580"/>
    </row>
    <row r="112" spans="1:51" s="569" customFormat="1" ht="12.75" customHeight="1" x14ac:dyDescent="0.2">
      <c r="A112" s="299">
        <v>25</v>
      </c>
      <c r="B112" s="23">
        <v>3411</v>
      </c>
      <c r="C112" s="298">
        <v>600078400</v>
      </c>
      <c r="D112" s="298">
        <v>72742950</v>
      </c>
      <c r="E112" s="570" t="s">
        <v>58</v>
      </c>
      <c r="F112" s="23"/>
      <c r="G112" s="570"/>
      <c r="H112" s="735"/>
      <c r="I112" s="35">
        <f t="shared" ref="I112:P112" si="261">SUM(I107:I111)</f>
        <v>35597195</v>
      </c>
      <c r="J112" s="24">
        <f t="shared" si="261"/>
        <v>25662096</v>
      </c>
      <c r="K112" s="24">
        <f t="shared" si="261"/>
        <v>8673788</v>
      </c>
      <c r="L112" s="24">
        <f t="shared" si="261"/>
        <v>513241</v>
      </c>
      <c r="M112" s="24">
        <f t="shared" si="261"/>
        <v>748070</v>
      </c>
      <c r="N112" s="25">
        <f t="shared" si="261"/>
        <v>52.206399999999995</v>
      </c>
      <c r="O112" s="391">
        <f t="shared" si="261"/>
        <v>34.863799999999998</v>
      </c>
      <c r="P112" s="456">
        <f t="shared" si="261"/>
        <v>17.342600000000001</v>
      </c>
      <c r="Q112" s="35">
        <f t="shared" ref="Q112:AW112" si="262">SUM(Q107:Q111)</f>
        <v>0</v>
      </c>
      <c r="R112" s="24">
        <f t="shared" si="262"/>
        <v>3610743</v>
      </c>
      <c r="S112" s="24">
        <f t="shared" si="262"/>
        <v>0</v>
      </c>
      <c r="T112" s="24">
        <f t="shared" si="262"/>
        <v>0</v>
      </c>
      <c r="U112" s="24">
        <f t="shared" si="262"/>
        <v>3610743</v>
      </c>
      <c r="V112" s="24">
        <f t="shared" si="262"/>
        <v>0</v>
      </c>
      <c r="W112" s="24">
        <f t="shared" si="262"/>
        <v>0</v>
      </c>
      <c r="X112" s="24">
        <f t="shared" si="262"/>
        <v>0</v>
      </c>
      <c r="Y112" s="24">
        <f t="shared" si="262"/>
        <v>0</v>
      </c>
      <c r="Z112" s="24">
        <f t="shared" si="262"/>
        <v>3610743</v>
      </c>
      <c r="AA112" s="24">
        <f t="shared" si="262"/>
        <v>1220431</v>
      </c>
      <c r="AB112" s="24">
        <f t="shared" si="262"/>
        <v>72215</v>
      </c>
      <c r="AC112" s="24">
        <f t="shared" si="262"/>
        <v>1500</v>
      </c>
      <c r="AD112" s="24">
        <f t="shared" si="262"/>
        <v>0</v>
      </c>
      <c r="AE112" s="24">
        <f t="shared" si="262"/>
        <v>1500</v>
      </c>
      <c r="AF112" s="24">
        <f t="shared" si="262"/>
        <v>4904889</v>
      </c>
      <c r="AG112" s="25">
        <f t="shared" si="262"/>
        <v>0</v>
      </c>
      <c r="AH112" s="25">
        <f t="shared" si="262"/>
        <v>0</v>
      </c>
      <c r="AI112" s="25">
        <f t="shared" si="262"/>
        <v>9.82</v>
      </c>
      <c r="AJ112" s="25">
        <f t="shared" si="262"/>
        <v>0</v>
      </c>
      <c r="AK112" s="25">
        <f t="shared" si="262"/>
        <v>0</v>
      </c>
      <c r="AL112" s="25">
        <f t="shared" si="262"/>
        <v>9.82</v>
      </c>
      <c r="AM112" s="25">
        <f t="shared" si="262"/>
        <v>0</v>
      </c>
      <c r="AN112" s="392">
        <f t="shared" si="262"/>
        <v>9.82</v>
      </c>
      <c r="AO112" s="35">
        <f t="shared" si="262"/>
        <v>40502084</v>
      </c>
      <c r="AP112" s="24">
        <f t="shared" si="262"/>
        <v>29272839</v>
      </c>
      <c r="AQ112" s="24">
        <f t="shared" si="262"/>
        <v>0</v>
      </c>
      <c r="AR112" s="24">
        <f t="shared" si="262"/>
        <v>9894219</v>
      </c>
      <c r="AS112" s="24">
        <f t="shared" si="262"/>
        <v>585456</v>
      </c>
      <c r="AT112" s="24">
        <f t="shared" si="262"/>
        <v>749570</v>
      </c>
      <c r="AU112" s="25">
        <f t="shared" si="262"/>
        <v>62.026399999999995</v>
      </c>
      <c r="AV112" s="25">
        <f t="shared" si="262"/>
        <v>44.683800000000005</v>
      </c>
      <c r="AW112" s="72">
        <f t="shared" si="262"/>
        <v>17.342600000000001</v>
      </c>
      <c r="AX112" s="580"/>
    </row>
    <row r="113" spans="1:51" s="569" customFormat="1" ht="12.75" customHeight="1" x14ac:dyDescent="0.2">
      <c r="A113" s="571">
        <v>26</v>
      </c>
      <c r="B113" s="572">
        <v>3408</v>
      </c>
      <c r="C113" s="572">
        <v>600078566</v>
      </c>
      <c r="D113" s="572">
        <v>72743115</v>
      </c>
      <c r="E113" s="573" t="s">
        <v>59</v>
      </c>
      <c r="F113" s="572">
        <v>3113</v>
      </c>
      <c r="G113" s="573" t="s">
        <v>320</v>
      </c>
      <c r="H113" s="736" t="s">
        <v>283</v>
      </c>
      <c r="I113" s="575">
        <f t="shared" ref="I113:I117" si="263">SUM(J113:M113)</f>
        <v>18619092</v>
      </c>
      <c r="J113" s="496">
        <v>13440259</v>
      </c>
      <c r="K113" s="131">
        <f t="shared" ref="K113:K117" si="264">ROUND((J113)*33.8%,0)</f>
        <v>4542808</v>
      </c>
      <c r="L113" s="131">
        <f t="shared" ref="L113:L117" si="265">ROUND(J113*2%,0)</f>
        <v>268805</v>
      </c>
      <c r="M113" s="496">
        <v>367220</v>
      </c>
      <c r="N113" s="576">
        <f t="shared" ref="N113:N117" si="266">SUM(O113:P113)</f>
        <v>23.514800000000001</v>
      </c>
      <c r="O113" s="577">
        <v>18.2271</v>
      </c>
      <c r="P113" s="578">
        <v>5.2877000000000001</v>
      </c>
      <c r="Q113" s="579">
        <f t="shared" ref="Q113:Q117" si="267">V113*-1</f>
        <v>0</v>
      </c>
      <c r="R113" s="498">
        <v>0</v>
      </c>
      <c r="S113" s="498">
        <v>0</v>
      </c>
      <c r="T113" s="498">
        <v>0</v>
      </c>
      <c r="U113" s="498">
        <f t="shared" si="197"/>
        <v>0</v>
      </c>
      <c r="V113" s="498">
        <v>0</v>
      </c>
      <c r="W113" s="498">
        <v>0</v>
      </c>
      <c r="X113" s="498">
        <v>0</v>
      </c>
      <c r="Y113" s="498">
        <f t="shared" si="198"/>
        <v>0</v>
      </c>
      <c r="Z113" s="498">
        <f t="shared" si="199"/>
        <v>0</v>
      </c>
      <c r="AA113" s="131">
        <f t="shared" ref="AA113:AA117" si="268">ROUND((U113+V113+W111)*33.8%,0)</f>
        <v>0</v>
      </c>
      <c r="AB113" s="131">
        <f t="shared" si="200"/>
        <v>0</v>
      </c>
      <c r="AC113" s="498">
        <v>0</v>
      </c>
      <c r="AD113" s="498">
        <v>0</v>
      </c>
      <c r="AE113" s="498">
        <f t="shared" si="201"/>
        <v>0</v>
      </c>
      <c r="AF113" s="498">
        <f t="shared" si="202"/>
        <v>0</v>
      </c>
      <c r="AG113" s="499">
        <v>0</v>
      </c>
      <c r="AH113" s="499">
        <v>0</v>
      </c>
      <c r="AI113" s="499">
        <v>0</v>
      </c>
      <c r="AJ113" s="499">
        <v>0</v>
      </c>
      <c r="AK113" s="499">
        <v>0</v>
      </c>
      <c r="AL113" s="499">
        <f t="shared" si="203"/>
        <v>0</v>
      </c>
      <c r="AM113" s="499">
        <f t="shared" si="204"/>
        <v>0</v>
      </c>
      <c r="AN113" s="529">
        <f t="shared" si="205"/>
        <v>0</v>
      </c>
      <c r="AO113" s="579">
        <f>I113+AF113</f>
        <v>18619092</v>
      </c>
      <c r="AP113" s="498">
        <f>J113+U113</f>
        <v>13440259</v>
      </c>
      <c r="AQ113" s="498">
        <f t="shared" ref="AQ113:AQ117" si="269">Y113</f>
        <v>0</v>
      </c>
      <c r="AR113" s="498">
        <f t="shared" ref="AR113:AS117" si="270">K113+AA113</f>
        <v>4542808</v>
      </c>
      <c r="AS113" s="498">
        <f t="shared" si="270"/>
        <v>268805</v>
      </c>
      <c r="AT113" s="498">
        <f>M113+AE113</f>
        <v>367220</v>
      </c>
      <c r="AU113" s="499">
        <f>N113+AN113</f>
        <v>23.514800000000001</v>
      </c>
      <c r="AV113" s="499">
        <f t="shared" ref="AV113:AW117" si="271">O113+AL113</f>
        <v>18.2271</v>
      </c>
      <c r="AW113" s="500">
        <f t="shared" si="271"/>
        <v>5.2877000000000001</v>
      </c>
      <c r="AX113" s="580"/>
    </row>
    <row r="114" spans="1:51" s="569" customFormat="1" x14ac:dyDescent="0.2">
      <c r="A114" s="571">
        <v>26</v>
      </c>
      <c r="B114" s="572">
        <v>3408</v>
      </c>
      <c r="C114" s="572">
        <v>600078566</v>
      </c>
      <c r="D114" s="572">
        <v>72743115</v>
      </c>
      <c r="E114" s="573" t="s">
        <v>59</v>
      </c>
      <c r="F114" s="572">
        <v>3113</v>
      </c>
      <c r="G114" s="573" t="s">
        <v>318</v>
      </c>
      <c r="H114" s="736" t="s">
        <v>284</v>
      </c>
      <c r="I114" s="575">
        <f t="shared" si="263"/>
        <v>0</v>
      </c>
      <c r="J114" s="496">
        <v>0</v>
      </c>
      <c r="K114" s="131">
        <f t="shared" si="264"/>
        <v>0</v>
      </c>
      <c r="L114" s="131">
        <f t="shared" si="265"/>
        <v>0</v>
      </c>
      <c r="M114" s="496">
        <v>0</v>
      </c>
      <c r="N114" s="576">
        <f t="shared" si="266"/>
        <v>0</v>
      </c>
      <c r="O114" s="577">
        <v>0</v>
      </c>
      <c r="P114" s="578">
        <v>0</v>
      </c>
      <c r="Q114" s="579">
        <f t="shared" si="267"/>
        <v>0</v>
      </c>
      <c r="R114" s="496">
        <v>1226267</v>
      </c>
      <c r="S114" s="498">
        <v>0</v>
      </c>
      <c r="T114" s="498">
        <v>0</v>
      </c>
      <c r="U114" s="498">
        <f t="shared" si="197"/>
        <v>1226267</v>
      </c>
      <c r="V114" s="498">
        <v>0</v>
      </c>
      <c r="W114" s="498">
        <v>0</v>
      </c>
      <c r="X114" s="498">
        <v>0</v>
      </c>
      <c r="Y114" s="498">
        <f t="shared" si="198"/>
        <v>0</v>
      </c>
      <c r="Z114" s="498">
        <f t="shared" si="199"/>
        <v>1226267</v>
      </c>
      <c r="AA114" s="131">
        <f t="shared" si="268"/>
        <v>414478</v>
      </c>
      <c r="AB114" s="131">
        <f t="shared" si="200"/>
        <v>24525</v>
      </c>
      <c r="AC114" s="498">
        <v>0</v>
      </c>
      <c r="AD114" s="498">
        <v>0</v>
      </c>
      <c r="AE114" s="498">
        <f t="shared" si="201"/>
        <v>0</v>
      </c>
      <c r="AF114" s="498">
        <f t="shared" si="202"/>
        <v>1665270</v>
      </c>
      <c r="AG114" s="499">
        <v>0</v>
      </c>
      <c r="AH114" s="499">
        <v>0</v>
      </c>
      <c r="AI114" s="499">
        <v>3.22</v>
      </c>
      <c r="AJ114" s="499">
        <v>0</v>
      </c>
      <c r="AK114" s="499">
        <v>0</v>
      </c>
      <c r="AL114" s="499">
        <f t="shared" si="203"/>
        <v>3.22</v>
      </c>
      <c r="AM114" s="499">
        <f t="shared" si="204"/>
        <v>0</v>
      </c>
      <c r="AN114" s="529">
        <f t="shared" si="205"/>
        <v>3.22</v>
      </c>
      <c r="AO114" s="579">
        <f>I114+AF114</f>
        <v>1665270</v>
      </c>
      <c r="AP114" s="498">
        <f>J114+U114</f>
        <v>1226267</v>
      </c>
      <c r="AQ114" s="498">
        <f t="shared" si="269"/>
        <v>0</v>
      </c>
      <c r="AR114" s="498">
        <f t="shared" si="270"/>
        <v>414478</v>
      </c>
      <c r="AS114" s="498">
        <f t="shared" si="270"/>
        <v>24525</v>
      </c>
      <c r="AT114" s="498">
        <f>M114+AE114</f>
        <v>0</v>
      </c>
      <c r="AU114" s="499">
        <f>N114+AN114</f>
        <v>3.22</v>
      </c>
      <c r="AV114" s="499">
        <f t="shared" si="271"/>
        <v>3.22</v>
      </c>
      <c r="AW114" s="500">
        <f t="shared" si="271"/>
        <v>0</v>
      </c>
      <c r="AX114" s="580"/>
    </row>
    <row r="115" spans="1:51" s="569" customFormat="1" ht="12.75" customHeight="1" x14ac:dyDescent="0.2">
      <c r="A115" s="571">
        <v>26</v>
      </c>
      <c r="B115" s="572">
        <v>3408</v>
      </c>
      <c r="C115" s="572">
        <v>600078566</v>
      </c>
      <c r="D115" s="572">
        <v>72743115</v>
      </c>
      <c r="E115" s="573" t="s">
        <v>59</v>
      </c>
      <c r="F115" s="572">
        <v>3141</v>
      </c>
      <c r="G115" s="573" t="s">
        <v>321</v>
      </c>
      <c r="H115" s="736" t="s">
        <v>284</v>
      </c>
      <c r="I115" s="575">
        <f t="shared" si="263"/>
        <v>1497000</v>
      </c>
      <c r="J115" s="496">
        <v>1093088</v>
      </c>
      <c r="K115" s="131">
        <f t="shared" si="264"/>
        <v>369464</v>
      </c>
      <c r="L115" s="131">
        <f t="shared" si="265"/>
        <v>21862</v>
      </c>
      <c r="M115" s="496">
        <v>12586</v>
      </c>
      <c r="N115" s="576">
        <f t="shared" si="266"/>
        <v>3.72</v>
      </c>
      <c r="O115" s="577">
        <v>0</v>
      </c>
      <c r="P115" s="578">
        <v>3.72</v>
      </c>
      <c r="Q115" s="579">
        <f t="shared" si="267"/>
        <v>0</v>
      </c>
      <c r="R115" s="498">
        <v>0</v>
      </c>
      <c r="S115" s="498">
        <v>0</v>
      </c>
      <c r="T115" s="498">
        <v>0</v>
      </c>
      <c r="U115" s="498">
        <f t="shared" si="197"/>
        <v>0</v>
      </c>
      <c r="V115" s="498">
        <v>0</v>
      </c>
      <c r="W115" s="498">
        <v>0</v>
      </c>
      <c r="X115" s="498">
        <v>0</v>
      </c>
      <c r="Y115" s="498">
        <f t="shared" si="198"/>
        <v>0</v>
      </c>
      <c r="Z115" s="498">
        <f t="shared" si="199"/>
        <v>0</v>
      </c>
      <c r="AA115" s="131">
        <f t="shared" si="268"/>
        <v>0</v>
      </c>
      <c r="AB115" s="131">
        <f t="shared" si="200"/>
        <v>0</v>
      </c>
      <c r="AC115" s="498">
        <v>0</v>
      </c>
      <c r="AD115" s="498">
        <v>0</v>
      </c>
      <c r="AE115" s="498">
        <f t="shared" si="201"/>
        <v>0</v>
      </c>
      <c r="AF115" s="498">
        <f t="shared" si="202"/>
        <v>0</v>
      </c>
      <c r="AG115" s="499">
        <v>0</v>
      </c>
      <c r="AH115" s="499">
        <v>0</v>
      </c>
      <c r="AI115" s="499">
        <v>0</v>
      </c>
      <c r="AJ115" s="499">
        <v>0</v>
      </c>
      <c r="AK115" s="499">
        <v>0</v>
      </c>
      <c r="AL115" s="499">
        <f t="shared" si="203"/>
        <v>0</v>
      </c>
      <c r="AM115" s="499">
        <f t="shared" si="204"/>
        <v>0</v>
      </c>
      <c r="AN115" s="529">
        <f t="shared" si="205"/>
        <v>0</v>
      </c>
      <c r="AO115" s="579">
        <f>I115+AF115</f>
        <v>1497000</v>
      </c>
      <c r="AP115" s="498">
        <f>J115+U115</f>
        <v>1093088</v>
      </c>
      <c r="AQ115" s="498">
        <f t="shared" si="269"/>
        <v>0</v>
      </c>
      <c r="AR115" s="498">
        <f t="shared" si="270"/>
        <v>369464</v>
      </c>
      <c r="AS115" s="498">
        <f t="shared" si="270"/>
        <v>21862</v>
      </c>
      <c r="AT115" s="498">
        <f>M115+AE115</f>
        <v>12586</v>
      </c>
      <c r="AU115" s="499">
        <f>N115+AN115</f>
        <v>3.72</v>
      </c>
      <c r="AV115" s="499">
        <f t="shared" si="271"/>
        <v>0</v>
      </c>
      <c r="AW115" s="500">
        <f t="shared" si="271"/>
        <v>3.72</v>
      </c>
      <c r="AX115" s="580"/>
      <c r="AY115" s="580"/>
    </row>
    <row r="116" spans="1:51" s="569" customFormat="1" ht="12.75" customHeight="1" x14ac:dyDescent="0.2">
      <c r="A116" s="571">
        <v>26</v>
      </c>
      <c r="B116" s="572">
        <v>3408</v>
      </c>
      <c r="C116" s="572">
        <v>600078566</v>
      </c>
      <c r="D116" s="572">
        <v>72743115</v>
      </c>
      <c r="E116" s="573" t="s">
        <v>59</v>
      </c>
      <c r="F116" s="572">
        <v>3143</v>
      </c>
      <c r="G116" s="573" t="s">
        <v>635</v>
      </c>
      <c r="H116" s="736" t="s">
        <v>283</v>
      </c>
      <c r="I116" s="575">
        <f t="shared" si="263"/>
        <v>1567760</v>
      </c>
      <c r="J116" s="496">
        <v>1154463</v>
      </c>
      <c r="K116" s="131">
        <f t="shared" si="264"/>
        <v>390208</v>
      </c>
      <c r="L116" s="131">
        <f t="shared" si="265"/>
        <v>23089</v>
      </c>
      <c r="M116" s="496">
        <v>0</v>
      </c>
      <c r="N116" s="576">
        <f t="shared" si="266"/>
        <v>2.5005999999999999</v>
      </c>
      <c r="O116" s="577">
        <v>2.5005999999999999</v>
      </c>
      <c r="P116" s="578">
        <v>0</v>
      </c>
      <c r="Q116" s="579">
        <f t="shared" si="267"/>
        <v>0</v>
      </c>
      <c r="R116" s="498">
        <v>0</v>
      </c>
      <c r="S116" s="498">
        <v>0</v>
      </c>
      <c r="T116" s="498">
        <v>0</v>
      </c>
      <c r="U116" s="498">
        <f t="shared" si="197"/>
        <v>0</v>
      </c>
      <c r="V116" s="498">
        <v>0</v>
      </c>
      <c r="W116" s="498">
        <v>0</v>
      </c>
      <c r="X116" s="498">
        <v>0</v>
      </c>
      <c r="Y116" s="498">
        <f t="shared" si="198"/>
        <v>0</v>
      </c>
      <c r="Z116" s="498">
        <f t="shared" si="199"/>
        <v>0</v>
      </c>
      <c r="AA116" s="131">
        <f t="shared" si="268"/>
        <v>0</v>
      </c>
      <c r="AB116" s="131">
        <f t="shared" si="200"/>
        <v>0</v>
      </c>
      <c r="AC116" s="498">
        <v>0</v>
      </c>
      <c r="AD116" s="498">
        <v>0</v>
      </c>
      <c r="AE116" s="498">
        <f t="shared" si="201"/>
        <v>0</v>
      </c>
      <c r="AF116" s="498">
        <f t="shared" si="202"/>
        <v>0</v>
      </c>
      <c r="AG116" s="499">
        <v>0</v>
      </c>
      <c r="AH116" s="499">
        <v>0</v>
      </c>
      <c r="AI116" s="499">
        <v>0</v>
      </c>
      <c r="AJ116" s="499">
        <v>0</v>
      </c>
      <c r="AK116" s="499">
        <v>0</v>
      </c>
      <c r="AL116" s="499">
        <f t="shared" si="203"/>
        <v>0</v>
      </c>
      <c r="AM116" s="499">
        <f t="shared" si="204"/>
        <v>0</v>
      </c>
      <c r="AN116" s="529">
        <f t="shared" si="205"/>
        <v>0</v>
      </c>
      <c r="AO116" s="579">
        <f>I116+AF116</f>
        <v>1567760</v>
      </c>
      <c r="AP116" s="498">
        <f>J116+U116</f>
        <v>1154463</v>
      </c>
      <c r="AQ116" s="498">
        <f t="shared" si="269"/>
        <v>0</v>
      </c>
      <c r="AR116" s="498">
        <f t="shared" si="270"/>
        <v>390208</v>
      </c>
      <c r="AS116" s="498">
        <f t="shared" si="270"/>
        <v>23089</v>
      </c>
      <c r="AT116" s="498">
        <f>M116+AE116</f>
        <v>0</v>
      </c>
      <c r="AU116" s="499">
        <f>N116+AN116</f>
        <v>2.5005999999999999</v>
      </c>
      <c r="AV116" s="499">
        <f t="shared" si="271"/>
        <v>2.5005999999999999</v>
      </c>
      <c r="AW116" s="500">
        <f t="shared" si="271"/>
        <v>0</v>
      </c>
      <c r="AX116" s="580"/>
    </row>
    <row r="117" spans="1:51" s="569" customFormat="1" ht="12.75" customHeight="1" x14ac:dyDescent="0.2">
      <c r="A117" s="571">
        <v>26</v>
      </c>
      <c r="B117" s="572">
        <v>3408</v>
      </c>
      <c r="C117" s="572">
        <v>600078566</v>
      </c>
      <c r="D117" s="572">
        <v>72743115</v>
      </c>
      <c r="E117" s="573" t="s">
        <v>59</v>
      </c>
      <c r="F117" s="572">
        <v>3143</v>
      </c>
      <c r="G117" s="573" t="s">
        <v>636</v>
      </c>
      <c r="H117" s="736" t="s">
        <v>284</v>
      </c>
      <c r="I117" s="575">
        <f t="shared" si="263"/>
        <v>44240</v>
      </c>
      <c r="J117" s="496">
        <v>31185</v>
      </c>
      <c r="K117" s="131">
        <f t="shared" si="264"/>
        <v>10541</v>
      </c>
      <c r="L117" s="131">
        <f t="shared" si="265"/>
        <v>624</v>
      </c>
      <c r="M117" s="496">
        <v>1890</v>
      </c>
      <c r="N117" s="576">
        <f t="shared" si="266"/>
        <v>0.13</v>
      </c>
      <c r="O117" s="577">
        <v>0</v>
      </c>
      <c r="P117" s="578">
        <v>0.13</v>
      </c>
      <c r="Q117" s="579">
        <f t="shared" si="267"/>
        <v>0</v>
      </c>
      <c r="R117" s="498">
        <v>0</v>
      </c>
      <c r="S117" s="498">
        <v>0</v>
      </c>
      <c r="T117" s="498">
        <v>0</v>
      </c>
      <c r="U117" s="498">
        <f t="shared" si="197"/>
        <v>0</v>
      </c>
      <c r="V117" s="498">
        <v>0</v>
      </c>
      <c r="W117" s="498">
        <v>0</v>
      </c>
      <c r="X117" s="498">
        <v>0</v>
      </c>
      <c r="Y117" s="498">
        <f t="shared" si="198"/>
        <v>0</v>
      </c>
      <c r="Z117" s="498">
        <f t="shared" si="199"/>
        <v>0</v>
      </c>
      <c r="AA117" s="131">
        <f t="shared" si="268"/>
        <v>0</v>
      </c>
      <c r="AB117" s="131">
        <f t="shared" si="200"/>
        <v>0</v>
      </c>
      <c r="AC117" s="498">
        <v>0</v>
      </c>
      <c r="AD117" s="498">
        <v>0</v>
      </c>
      <c r="AE117" s="498">
        <f t="shared" si="201"/>
        <v>0</v>
      </c>
      <c r="AF117" s="498">
        <f t="shared" si="202"/>
        <v>0</v>
      </c>
      <c r="AG117" s="499">
        <v>0</v>
      </c>
      <c r="AH117" s="499">
        <v>0</v>
      </c>
      <c r="AI117" s="499">
        <v>0</v>
      </c>
      <c r="AJ117" s="499">
        <v>0</v>
      </c>
      <c r="AK117" s="499">
        <v>0</v>
      </c>
      <c r="AL117" s="499">
        <f t="shared" si="203"/>
        <v>0</v>
      </c>
      <c r="AM117" s="499">
        <f t="shared" si="204"/>
        <v>0</v>
      </c>
      <c r="AN117" s="529">
        <f t="shared" si="205"/>
        <v>0</v>
      </c>
      <c r="AO117" s="579">
        <f>I117+AF117</f>
        <v>44240</v>
      </c>
      <c r="AP117" s="498">
        <f>J117+U117</f>
        <v>31185</v>
      </c>
      <c r="AQ117" s="498">
        <f t="shared" si="269"/>
        <v>0</v>
      </c>
      <c r="AR117" s="498">
        <f t="shared" si="270"/>
        <v>10541</v>
      </c>
      <c r="AS117" s="498">
        <f t="shared" si="270"/>
        <v>624</v>
      </c>
      <c r="AT117" s="498">
        <f>M117+AE117</f>
        <v>1890</v>
      </c>
      <c r="AU117" s="499">
        <f>N117+AN117</f>
        <v>0.13</v>
      </c>
      <c r="AV117" s="499">
        <f t="shared" si="271"/>
        <v>0</v>
      </c>
      <c r="AW117" s="500">
        <f t="shared" si="271"/>
        <v>0.13</v>
      </c>
      <c r="AX117" s="580"/>
    </row>
    <row r="118" spans="1:51" s="569" customFormat="1" ht="12.75" customHeight="1" x14ac:dyDescent="0.2">
      <c r="A118" s="299">
        <v>26</v>
      </c>
      <c r="B118" s="23">
        <v>3408</v>
      </c>
      <c r="C118" s="298">
        <v>600078566</v>
      </c>
      <c r="D118" s="298">
        <v>72743115</v>
      </c>
      <c r="E118" s="570" t="s">
        <v>60</v>
      </c>
      <c r="F118" s="23"/>
      <c r="G118" s="570"/>
      <c r="H118" s="735"/>
      <c r="I118" s="35">
        <f t="shared" ref="I118:P118" si="272">SUM(I113:I117)</f>
        <v>21728092</v>
      </c>
      <c r="J118" s="24">
        <f t="shared" si="272"/>
        <v>15718995</v>
      </c>
      <c r="K118" s="24">
        <f t="shared" si="272"/>
        <v>5313021</v>
      </c>
      <c r="L118" s="24">
        <f t="shared" si="272"/>
        <v>314380</v>
      </c>
      <c r="M118" s="24">
        <f t="shared" si="272"/>
        <v>381696</v>
      </c>
      <c r="N118" s="25">
        <f t="shared" si="272"/>
        <v>29.865399999999998</v>
      </c>
      <c r="O118" s="391">
        <f t="shared" si="272"/>
        <v>20.727699999999999</v>
      </c>
      <c r="P118" s="456">
        <f t="shared" si="272"/>
        <v>9.1377000000000006</v>
      </c>
      <c r="Q118" s="35">
        <f t="shared" ref="Q118:AW118" si="273">SUM(Q113:Q117)</f>
        <v>0</v>
      </c>
      <c r="R118" s="24">
        <f t="shared" si="273"/>
        <v>1226267</v>
      </c>
      <c r="S118" s="24">
        <f t="shared" si="273"/>
        <v>0</v>
      </c>
      <c r="T118" s="24">
        <f t="shared" si="273"/>
        <v>0</v>
      </c>
      <c r="U118" s="24">
        <f t="shared" si="273"/>
        <v>1226267</v>
      </c>
      <c r="V118" s="24">
        <f t="shared" si="273"/>
        <v>0</v>
      </c>
      <c r="W118" s="24">
        <f t="shared" si="273"/>
        <v>0</v>
      </c>
      <c r="X118" s="24">
        <f t="shared" si="273"/>
        <v>0</v>
      </c>
      <c r="Y118" s="24">
        <f t="shared" si="273"/>
        <v>0</v>
      </c>
      <c r="Z118" s="24">
        <f t="shared" si="273"/>
        <v>1226267</v>
      </c>
      <c r="AA118" s="24">
        <f t="shared" si="273"/>
        <v>414478</v>
      </c>
      <c r="AB118" s="24">
        <f t="shared" si="273"/>
        <v>24525</v>
      </c>
      <c r="AC118" s="24">
        <f t="shared" si="273"/>
        <v>0</v>
      </c>
      <c r="AD118" s="24">
        <f t="shared" si="273"/>
        <v>0</v>
      </c>
      <c r="AE118" s="24">
        <f t="shared" si="273"/>
        <v>0</v>
      </c>
      <c r="AF118" s="24">
        <f t="shared" si="273"/>
        <v>1665270</v>
      </c>
      <c r="AG118" s="25">
        <f t="shared" si="273"/>
        <v>0</v>
      </c>
      <c r="AH118" s="25">
        <f t="shared" si="273"/>
        <v>0</v>
      </c>
      <c r="AI118" s="25">
        <f t="shared" si="273"/>
        <v>3.22</v>
      </c>
      <c r="AJ118" s="25">
        <f t="shared" si="273"/>
        <v>0</v>
      </c>
      <c r="AK118" s="25">
        <f t="shared" si="273"/>
        <v>0</v>
      </c>
      <c r="AL118" s="25">
        <f t="shared" si="273"/>
        <v>3.22</v>
      </c>
      <c r="AM118" s="25">
        <f t="shared" si="273"/>
        <v>0</v>
      </c>
      <c r="AN118" s="392">
        <f t="shared" si="273"/>
        <v>3.22</v>
      </c>
      <c r="AO118" s="35">
        <f t="shared" si="273"/>
        <v>23393362</v>
      </c>
      <c r="AP118" s="24">
        <f t="shared" si="273"/>
        <v>16945262</v>
      </c>
      <c r="AQ118" s="24">
        <f t="shared" si="273"/>
        <v>0</v>
      </c>
      <c r="AR118" s="24">
        <f t="shared" si="273"/>
        <v>5727499</v>
      </c>
      <c r="AS118" s="24">
        <f t="shared" si="273"/>
        <v>338905</v>
      </c>
      <c r="AT118" s="24">
        <f t="shared" si="273"/>
        <v>381696</v>
      </c>
      <c r="AU118" s="25">
        <f t="shared" si="273"/>
        <v>33.0854</v>
      </c>
      <c r="AV118" s="25">
        <f t="shared" si="273"/>
        <v>23.947699999999998</v>
      </c>
      <c r="AW118" s="72">
        <f t="shared" si="273"/>
        <v>9.1377000000000006</v>
      </c>
      <c r="AX118" s="580"/>
    </row>
    <row r="119" spans="1:51" s="569" customFormat="1" ht="12.75" customHeight="1" x14ac:dyDescent="0.2">
      <c r="A119" s="571">
        <v>27</v>
      </c>
      <c r="B119" s="572">
        <v>3417</v>
      </c>
      <c r="C119" s="572">
        <v>600078353</v>
      </c>
      <c r="D119" s="572">
        <v>72743352</v>
      </c>
      <c r="E119" s="573" t="s">
        <v>61</v>
      </c>
      <c r="F119" s="572">
        <v>3113</v>
      </c>
      <c r="G119" s="573" t="s">
        <v>320</v>
      </c>
      <c r="H119" s="736" t="s">
        <v>283</v>
      </c>
      <c r="I119" s="575">
        <f t="shared" ref="I119:I123" si="274">SUM(J119:M119)</f>
        <v>14439699</v>
      </c>
      <c r="J119" s="496">
        <v>10416582</v>
      </c>
      <c r="K119" s="131">
        <f t="shared" ref="K119:K121" si="275">ROUND((J119)*33.8%,0)</f>
        <v>3520805</v>
      </c>
      <c r="L119" s="131">
        <f t="shared" ref="L119:L123" si="276">ROUND(J119*2%,0)</f>
        <v>208332</v>
      </c>
      <c r="M119" s="496">
        <v>293980</v>
      </c>
      <c r="N119" s="576">
        <f t="shared" ref="N119:N123" si="277">SUM(O119:P119)</f>
        <v>18.9633</v>
      </c>
      <c r="O119" s="577">
        <v>14.408799999999999</v>
      </c>
      <c r="P119" s="578">
        <v>4.5545</v>
      </c>
      <c r="Q119" s="579">
        <f t="shared" ref="Q119:Q123" si="278">V119*-1</f>
        <v>-24000</v>
      </c>
      <c r="R119" s="498">
        <v>0</v>
      </c>
      <c r="S119" s="498">
        <v>0</v>
      </c>
      <c r="T119" s="498">
        <v>0</v>
      </c>
      <c r="U119" s="498">
        <f t="shared" si="197"/>
        <v>-24000</v>
      </c>
      <c r="V119" s="498">
        <v>24000</v>
      </c>
      <c r="W119" s="498">
        <v>0</v>
      </c>
      <c r="X119" s="498">
        <v>0</v>
      </c>
      <c r="Y119" s="498">
        <f t="shared" si="198"/>
        <v>24000</v>
      </c>
      <c r="Z119" s="498">
        <f t="shared" si="199"/>
        <v>0</v>
      </c>
      <c r="AA119" s="131">
        <f t="shared" ref="AA119:AA123" si="279">ROUND((U119+V119+W117)*33.8%,0)</f>
        <v>0</v>
      </c>
      <c r="AB119" s="131">
        <f t="shared" si="200"/>
        <v>-480</v>
      </c>
      <c r="AC119" s="498">
        <v>0</v>
      </c>
      <c r="AD119" s="498">
        <v>0</v>
      </c>
      <c r="AE119" s="498">
        <f t="shared" si="201"/>
        <v>0</v>
      </c>
      <c r="AF119" s="498">
        <f t="shared" si="202"/>
        <v>-480</v>
      </c>
      <c r="AG119" s="499">
        <v>0</v>
      </c>
      <c r="AH119" s="499">
        <v>-0.04</v>
      </c>
      <c r="AI119" s="499">
        <v>0</v>
      </c>
      <c r="AJ119" s="499">
        <v>0</v>
      </c>
      <c r="AK119" s="499">
        <v>0</v>
      </c>
      <c r="AL119" s="499">
        <f t="shared" si="203"/>
        <v>0</v>
      </c>
      <c r="AM119" s="499">
        <f t="shared" si="204"/>
        <v>-0.04</v>
      </c>
      <c r="AN119" s="529">
        <f t="shared" si="205"/>
        <v>-0.04</v>
      </c>
      <c r="AO119" s="579">
        <f>I119+AF119</f>
        <v>14439219</v>
      </c>
      <c r="AP119" s="498">
        <f>J119+U119</f>
        <v>10392582</v>
      </c>
      <c r="AQ119" s="498">
        <f t="shared" ref="AQ119:AQ123" si="280">Y119</f>
        <v>24000</v>
      </c>
      <c r="AR119" s="498">
        <f t="shared" ref="AR119:AS123" si="281">K119+AA119</f>
        <v>3520805</v>
      </c>
      <c r="AS119" s="498">
        <f t="shared" si="281"/>
        <v>207852</v>
      </c>
      <c r="AT119" s="498">
        <f>M119+AE119</f>
        <v>293980</v>
      </c>
      <c r="AU119" s="499">
        <f>N119+AN119</f>
        <v>18.923300000000001</v>
      </c>
      <c r="AV119" s="499">
        <f t="shared" ref="AV119:AW123" si="282">O119+AL119</f>
        <v>14.408799999999999</v>
      </c>
      <c r="AW119" s="500">
        <f t="shared" si="282"/>
        <v>4.5145</v>
      </c>
      <c r="AX119" s="580"/>
    </row>
    <row r="120" spans="1:51" s="569" customFormat="1" x14ac:dyDescent="0.2">
      <c r="A120" s="571">
        <v>27</v>
      </c>
      <c r="B120" s="572">
        <v>3417</v>
      </c>
      <c r="C120" s="572">
        <v>600078353</v>
      </c>
      <c r="D120" s="572">
        <v>72743352</v>
      </c>
      <c r="E120" s="573" t="s">
        <v>61</v>
      </c>
      <c r="F120" s="572">
        <v>3113</v>
      </c>
      <c r="G120" s="573" t="s">
        <v>318</v>
      </c>
      <c r="H120" s="736" t="s">
        <v>284</v>
      </c>
      <c r="I120" s="575">
        <f t="shared" si="274"/>
        <v>0</v>
      </c>
      <c r="J120" s="496">
        <v>0</v>
      </c>
      <c r="K120" s="131">
        <f t="shared" si="275"/>
        <v>0</v>
      </c>
      <c r="L120" s="131">
        <f t="shared" si="276"/>
        <v>0</v>
      </c>
      <c r="M120" s="496">
        <v>0</v>
      </c>
      <c r="N120" s="576">
        <f t="shared" si="277"/>
        <v>0</v>
      </c>
      <c r="O120" s="577">
        <v>0</v>
      </c>
      <c r="P120" s="578">
        <v>0</v>
      </c>
      <c r="Q120" s="579">
        <f t="shared" si="278"/>
        <v>0</v>
      </c>
      <c r="R120" s="496">
        <v>779499</v>
      </c>
      <c r="S120" s="498">
        <v>0</v>
      </c>
      <c r="T120" s="498">
        <v>0</v>
      </c>
      <c r="U120" s="498">
        <f t="shared" si="197"/>
        <v>779499</v>
      </c>
      <c r="V120" s="498">
        <v>0</v>
      </c>
      <c r="W120" s="498">
        <v>0</v>
      </c>
      <c r="X120" s="498">
        <v>0</v>
      </c>
      <c r="Y120" s="498">
        <f t="shared" si="198"/>
        <v>0</v>
      </c>
      <c r="Z120" s="498">
        <f t="shared" si="199"/>
        <v>779499</v>
      </c>
      <c r="AA120" s="131">
        <f t="shared" si="279"/>
        <v>263471</v>
      </c>
      <c r="AB120" s="131">
        <f t="shared" si="200"/>
        <v>15590</v>
      </c>
      <c r="AC120" s="496">
        <v>1250</v>
      </c>
      <c r="AD120" s="498">
        <v>0</v>
      </c>
      <c r="AE120" s="498">
        <f t="shared" si="201"/>
        <v>1250</v>
      </c>
      <c r="AF120" s="498">
        <f t="shared" si="202"/>
        <v>1059810</v>
      </c>
      <c r="AG120" s="499">
        <v>0</v>
      </c>
      <c r="AH120" s="499">
        <v>0</v>
      </c>
      <c r="AI120" s="499">
        <v>2.25</v>
      </c>
      <c r="AJ120" s="499">
        <v>0</v>
      </c>
      <c r="AK120" s="499">
        <v>0</v>
      </c>
      <c r="AL120" s="499">
        <f t="shared" si="203"/>
        <v>2.25</v>
      </c>
      <c r="AM120" s="499">
        <f t="shared" si="204"/>
        <v>0</v>
      </c>
      <c r="AN120" s="529">
        <f t="shared" si="205"/>
        <v>2.25</v>
      </c>
      <c r="AO120" s="579">
        <f>I120+AF120</f>
        <v>1059810</v>
      </c>
      <c r="AP120" s="498">
        <f>J120+U120</f>
        <v>779499</v>
      </c>
      <c r="AQ120" s="498">
        <f t="shared" si="280"/>
        <v>0</v>
      </c>
      <c r="AR120" s="498">
        <f t="shared" si="281"/>
        <v>263471</v>
      </c>
      <c r="AS120" s="498">
        <f t="shared" si="281"/>
        <v>15590</v>
      </c>
      <c r="AT120" s="498">
        <f>M120+AE120</f>
        <v>1250</v>
      </c>
      <c r="AU120" s="499">
        <f>N120+AN120</f>
        <v>2.25</v>
      </c>
      <c r="AV120" s="499">
        <f t="shared" si="282"/>
        <v>2.25</v>
      </c>
      <c r="AW120" s="500">
        <f t="shared" si="282"/>
        <v>0</v>
      </c>
      <c r="AX120" s="580"/>
    </row>
    <row r="121" spans="1:51" s="569" customFormat="1" ht="12.75" customHeight="1" x14ac:dyDescent="0.2">
      <c r="A121" s="571">
        <v>27</v>
      </c>
      <c r="B121" s="572">
        <v>3417</v>
      </c>
      <c r="C121" s="572">
        <v>600078353</v>
      </c>
      <c r="D121" s="572">
        <v>72743352</v>
      </c>
      <c r="E121" s="573" t="s">
        <v>61</v>
      </c>
      <c r="F121" s="572">
        <v>3141</v>
      </c>
      <c r="G121" s="573" t="s">
        <v>321</v>
      </c>
      <c r="H121" s="736" t="s">
        <v>284</v>
      </c>
      <c r="I121" s="575">
        <f t="shared" si="274"/>
        <v>1336521</v>
      </c>
      <c r="J121" s="496">
        <v>976154</v>
      </c>
      <c r="K121" s="131">
        <f t="shared" si="275"/>
        <v>329940</v>
      </c>
      <c r="L121" s="131">
        <f t="shared" si="276"/>
        <v>19523</v>
      </c>
      <c r="M121" s="496">
        <v>10904</v>
      </c>
      <c r="N121" s="576">
        <f t="shared" si="277"/>
        <v>3.32</v>
      </c>
      <c r="O121" s="577">
        <v>0</v>
      </c>
      <c r="P121" s="578">
        <v>3.32</v>
      </c>
      <c r="Q121" s="579">
        <f t="shared" si="278"/>
        <v>-8000</v>
      </c>
      <c r="R121" s="498">
        <v>0</v>
      </c>
      <c r="S121" s="498">
        <v>0</v>
      </c>
      <c r="T121" s="498">
        <v>0</v>
      </c>
      <c r="U121" s="498">
        <f t="shared" si="197"/>
        <v>-8000</v>
      </c>
      <c r="V121" s="498">
        <v>8000</v>
      </c>
      <c r="W121" s="498">
        <v>0</v>
      </c>
      <c r="X121" s="498">
        <v>0</v>
      </c>
      <c r="Y121" s="498">
        <f t="shared" si="198"/>
        <v>8000</v>
      </c>
      <c r="Z121" s="498">
        <f t="shared" si="199"/>
        <v>0</v>
      </c>
      <c r="AA121" s="131">
        <f t="shared" si="279"/>
        <v>0</v>
      </c>
      <c r="AB121" s="131">
        <f t="shared" si="200"/>
        <v>-160</v>
      </c>
      <c r="AC121" s="498">
        <v>0</v>
      </c>
      <c r="AD121" s="498">
        <v>0</v>
      </c>
      <c r="AE121" s="498">
        <f t="shared" si="201"/>
        <v>0</v>
      </c>
      <c r="AF121" s="498">
        <f t="shared" si="202"/>
        <v>-160</v>
      </c>
      <c r="AG121" s="499">
        <v>0</v>
      </c>
      <c r="AH121" s="499">
        <v>-0.03</v>
      </c>
      <c r="AI121" s="499">
        <v>0</v>
      </c>
      <c r="AJ121" s="499">
        <v>0</v>
      </c>
      <c r="AK121" s="499">
        <v>0</v>
      </c>
      <c r="AL121" s="499">
        <f t="shared" si="203"/>
        <v>0</v>
      </c>
      <c r="AM121" s="499">
        <f t="shared" si="204"/>
        <v>-0.03</v>
      </c>
      <c r="AN121" s="529">
        <f t="shared" si="205"/>
        <v>-0.03</v>
      </c>
      <c r="AO121" s="579">
        <f>I121+AF121</f>
        <v>1336361</v>
      </c>
      <c r="AP121" s="498">
        <f>J121+U121</f>
        <v>968154</v>
      </c>
      <c r="AQ121" s="498">
        <f t="shared" si="280"/>
        <v>8000</v>
      </c>
      <c r="AR121" s="498">
        <f t="shared" si="281"/>
        <v>329940</v>
      </c>
      <c r="AS121" s="498">
        <f t="shared" si="281"/>
        <v>19363</v>
      </c>
      <c r="AT121" s="498">
        <f>M121+AE121</f>
        <v>10904</v>
      </c>
      <c r="AU121" s="499">
        <f>N121+AN121</f>
        <v>3.29</v>
      </c>
      <c r="AV121" s="499">
        <f t="shared" si="282"/>
        <v>0</v>
      </c>
      <c r="AW121" s="500">
        <f t="shared" si="282"/>
        <v>3.29</v>
      </c>
      <c r="AX121" s="580"/>
      <c r="AY121" s="580"/>
    </row>
    <row r="122" spans="1:51" s="569" customFormat="1" ht="12.75" customHeight="1" x14ac:dyDescent="0.2">
      <c r="A122" s="571">
        <v>27</v>
      </c>
      <c r="B122" s="572">
        <v>3417</v>
      </c>
      <c r="C122" s="572">
        <v>600078353</v>
      </c>
      <c r="D122" s="572">
        <v>72743352</v>
      </c>
      <c r="E122" s="573" t="s">
        <v>61</v>
      </c>
      <c r="F122" s="572">
        <v>3143</v>
      </c>
      <c r="G122" s="573" t="s">
        <v>635</v>
      </c>
      <c r="H122" s="736" t="s">
        <v>283</v>
      </c>
      <c r="I122" s="575">
        <f t="shared" si="274"/>
        <v>1347222</v>
      </c>
      <c r="J122" s="496">
        <v>992064</v>
      </c>
      <c r="K122" s="131">
        <v>335317</v>
      </c>
      <c r="L122" s="131">
        <f t="shared" si="276"/>
        <v>19841</v>
      </c>
      <c r="M122" s="496">
        <v>0</v>
      </c>
      <c r="N122" s="576">
        <f t="shared" si="277"/>
        <v>2</v>
      </c>
      <c r="O122" s="577">
        <v>2</v>
      </c>
      <c r="P122" s="578">
        <v>0</v>
      </c>
      <c r="Q122" s="579">
        <f t="shared" si="278"/>
        <v>-8000</v>
      </c>
      <c r="R122" s="498">
        <v>0</v>
      </c>
      <c r="S122" s="498">
        <v>0</v>
      </c>
      <c r="T122" s="498">
        <v>0</v>
      </c>
      <c r="U122" s="498">
        <f t="shared" si="197"/>
        <v>-8000</v>
      </c>
      <c r="V122" s="498">
        <v>8000</v>
      </c>
      <c r="W122" s="498">
        <v>0</v>
      </c>
      <c r="X122" s="498">
        <v>0</v>
      </c>
      <c r="Y122" s="498">
        <f t="shared" si="198"/>
        <v>8000</v>
      </c>
      <c r="Z122" s="498">
        <f t="shared" si="199"/>
        <v>0</v>
      </c>
      <c r="AA122" s="131">
        <f t="shared" si="279"/>
        <v>0</v>
      </c>
      <c r="AB122" s="131">
        <f t="shared" si="200"/>
        <v>-160</v>
      </c>
      <c r="AC122" s="498">
        <v>0</v>
      </c>
      <c r="AD122" s="498">
        <v>0</v>
      </c>
      <c r="AE122" s="498">
        <f t="shared" si="201"/>
        <v>0</v>
      </c>
      <c r="AF122" s="498">
        <f t="shared" si="202"/>
        <v>-160</v>
      </c>
      <c r="AG122" s="499">
        <v>0</v>
      </c>
      <c r="AH122" s="499">
        <v>0</v>
      </c>
      <c r="AI122" s="499">
        <v>0</v>
      </c>
      <c r="AJ122" s="499">
        <v>0</v>
      </c>
      <c r="AK122" s="499">
        <v>0</v>
      </c>
      <c r="AL122" s="499">
        <f t="shared" si="203"/>
        <v>0</v>
      </c>
      <c r="AM122" s="499">
        <f t="shared" si="204"/>
        <v>0</v>
      </c>
      <c r="AN122" s="529">
        <f t="shared" si="205"/>
        <v>0</v>
      </c>
      <c r="AO122" s="579">
        <f>I122+AF122</f>
        <v>1347062</v>
      </c>
      <c r="AP122" s="498">
        <f>J122+U122</f>
        <v>984064</v>
      </c>
      <c r="AQ122" s="498">
        <f t="shared" si="280"/>
        <v>8000</v>
      </c>
      <c r="AR122" s="498">
        <f t="shared" si="281"/>
        <v>335317</v>
      </c>
      <c r="AS122" s="498">
        <f t="shared" si="281"/>
        <v>19681</v>
      </c>
      <c r="AT122" s="498">
        <f>M122+AE122</f>
        <v>0</v>
      </c>
      <c r="AU122" s="499">
        <f>N122+AN122</f>
        <v>2</v>
      </c>
      <c r="AV122" s="499">
        <f t="shared" si="282"/>
        <v>2</v>
      </c>
      <c r="AW122" s="500">
        <f t="shared" si="282"/>
        <v>0</v>
      </c>
      <c r="AX122" s="580"/>
    </row>
    <row r="123" spans="1:51" s="569" customFormat="1" ht="12.75" customHeight="1" x14ac:dyDescent="0.2">
      <c r="A123" s="571">
        <v>27</v>
      </c>
      <c r="B123" s="572">
        <v>3417</v>
      </c>
      <c r="C123" s="572">
        <v>600078353</v>
      </c>
      <c r="D123" s="572">
        <v>72743352</v>
      </c>
      <c r="E123" s="573" t="s">
        <v>61</v>
      </c>
      <c r="F123" s="572">
        <v>3143</v>
      </c>
      <c r="G123" s="573" t="s">
        <v>636</v>
      </c>
      <c r="H123" s="736" t="s">
        <v>284</v>
      </c>
      <c r="I123" s="575">
        <f t="shared" si="274"/>
        <v>41430</v>
      </c>
      <c r="J123" s="496">
        <v>29205</v>
      </c>
      <c r="K123" s="131">
        <f t="shared" ref="K123" si="283">ROUND((J123)*33.8%,0)</f>
        <v>9871</v>
      </c>
      <c r="L123" s="131">
        <f t="shared" si="276"/>
        <v>584</v>
      </c>
      <c r="M123" s="496">
        <v>1770</v>
      </c>
      <c r="N123" s="576">
        <f t="shared" si="277"/>
        <v>0.12</v>
      </c>
      <c r="O123" s="577">
        <v>0</v>
      </c>
      <c r="P123" s="578">
        <v>0.12</v>
      </c>
      <c r="Q123" s="579">
        <f t="shared" si="278"/>
        <v>0</v>
      </c>
      <c r="R123" s="498">
        <v>0</v>
      </c>
      <c r="S123" s="498">
        <v>0</v>
      </c>
      <c r="T123" s="498">
        <v>0</v>
      </c>
      <c r="U123" s="498">
        <f t="shared" si="197"/>
        <v>0</v>
      </c>
      <c r="V123" s="498">
        <v>0</v>
      </c>
      <c r="W123" s="498">
        <v>0</v>
      </c>
      <c r="X123" s="498">
        <v>0</v>
      </c>
      <c r="Y123" s="498">
        <f t="shared" si="198"/>
        <v>0</v>
      </c>
      <c r="Z123" s="498">
        <f t="shared" si="199"/>
        <v>0</v>
      </c>
      <c r="AA123" s="131">
        <f t="shared" si="279"/>
        <v>0</v>
      </c>
      <c r="AB123" s="131">
        <f t="shared" si="200"/>
        <v>0</v>
      </c>
      <c r="AC123" s="498">
        <v>0</v>
      </c>
      <c r="AD123" s="498">
        <v>0</v>
      </c>
      <c r="AE123" s="498">
        <f t="shared" si="201"/>
        <v>0</v>
      </c>
      <c r="AF123" s="498">
        <f t="shared" si="202"/>
        <v>0</v>
      </c>
      <c r="AG123" s="499">
        <v>0</v>
      </c>
      <c r="AH123" s="499">
        <v>0</v>
      </c>
      <c r="AI123" s="499">
        <v>0</v>
      </c>
      <c r="AJ123" s="499">
        <v>0</v>
      </c>
      <c r="AK123" s="499">
        <v>0</v>
      </c>
      <c r="AL123" s="499">
        <f t="shared" si="203"/>
        <v>0</v>
      </c>
      <c r="AM123" s="499">
        <f t="shared" si="204"/>
        <v>0</v>
      </c>
      <c r="AN123" s="529">
        <f t="shared" si="205"/>
        <v>0</v>
      </c>
      <c r="AO123" s="579">
        <f>I123+AF123</f>
        <v>41430</v>
      </c>
      <c r="AP123" s="498">
        <f>J123+U123</f>
        <v>29205</v>
      </c>
      <c r="AQ123" s="498">
        <f t="shared" si="280"/>
        <v>0</v>
      </c>
      <c r="AR123" s="498">
        <f t="shared" si="281"/>
        <v>9871</v>
      </c>
      <c r="AS123" s="498">
        <f t="shared" si="281"/>
        <v>584</v>
      </c>
      <c r="AT123" s="498">
        <f>M123+AE123</f>
        <v>1770</v>
      </c>
      <c r="AU123" s="499">
        <f>N123+AN123</f>
        <v>0.12</v>
      </c>
      <c r="AV123" s="499">
        <f t="shared" si="282"/>
        <v>0</v>
      </c>
      <c r="AW123" s="500">
        <f t="shared" si="282"/>
        <v>0.12</v>
      </c>
      <c r="AX123" s="580"/>
    </row>
    <row r="124" spans="1:51" s="569" customFormat="1" ht="12.75" customHeight="1" x14ac:dyDescent="0.2">
      <c r="A124" s="299">
        <v>27</v>
      </c>
      <c r="B124" s="23">
        <v>3417</v>
      </c>
      <c r="C124" s="298">
        <v>600078353</v>
      </c>
      <c r="D124" s="298">
        <v>72743352</v>
      </c>
      <c r="E124" s="570" t="s">
        <v>62</v>
      </c>
      <c r="F124" s="23"/>
      <c r="G124" s="570"/>
      <c r="H124" s="735"/>
      <c r="I124" s="35">
        <f t="shared" ref="I124:P124" si="284">SUM(I119:I123)</f>
        <v>17164872</v>
      </c>
      <c r="J124" s="24">
        <f t="shared" si="284"/>
        <v>12414005</v>
      </c>
      <c r="K124" s="24">
        <f t="shared" si="284"/>
        <v>4195933</v>
      </c>
      <c r="L124" s="24">
        <f t="shared" si="284"/>
        <v>248280</v>
      </c>
      <c r="M124" s="24">
        <f t="shared" si="284"/>
        <v>306654</v>
      </c>
      <c r="N124" s="25">
        <f t="shared" si="284"/>
        <v>24.403300000000002</v>
      </c>
      <c r="O124" s="391">
        <f t="shared" si="284"/>
        <v>16.408799999999999</v>
      </c>
      <c r="P124" s="456">
        <f t="shared" si="284"/>
        <v>7.9944999999999995</v>
      </c>
      <c r="Q124" s="35">
        <f t="shared" ref="Q124:AW124" si="285">SUM(Q119:Q123)</f>
        <v>-40000</v>
      </c>
      <c r="R124" s="24">
        <f t="shared" si="285"/>
        <v>779499</v>
      </c>
      <c r="S124" s="24">
        <f t="shared" si="285"/>
        <v>0</v>
      </c>
      <c r="T124" s="24">
        <f t="shared" si="285"/>
        <v>0</v>
      </c>
      <c r="U124" s="24">
        <f t="shared" si="285"/>
        <v>739499</v>
      </c>
      <c r="V124" s="24">
        <f t="shared" si="285"/>
        <v>40000</v>
      </c>
      <c r="W124" s="24">
        <f t="shared" si="285"/>
        <v>0</v>
      </c>
      <c r="X124" s="24">
        <f t="shared" si="285"/>
        <v>0</v>
      </c>
      <c r="Y124" s="24">
        <f t="shared" si="285"/>
        <v>40000</v>
      </c>
      <c r="Z124" s="24">
        <f t="shared" si="285"/>
        <v>779499</v>
      </c>
      <c r="AA124" s="24">
        <f t="shared" si="285"/>
        <v>263471</v>
      </c>
      <c r="AB124" s="24">
        <f t="shared" si="285"/>
        <v>14790</v>
      </c>
      <c r="AC124" s="24">
        <f t="shared" si="285"/>
        <v>1250</v>
      </c>
      <c r="AD124" s="24">
        <f t="shared" si="285"/>
        <v>0</v>
      </c>
      <c r="AE124" s="24">
        <f t="shared" si="285"/>
        <v>1250</v>
      </c>
      <c r="AF124" s="24">
        <f t="shared" si="285"/>
        <v>1059010</v>
      </c>
      <c r="AG124" s="25">
        <f t="shared" si="285"/>
        <v>0</v>
      </c>
      <c r="AH124" s="25">
        <f t="shared" si="285"/>
        <v>-7.0000000000000007E-2</v>
      </c>
      <c r="AI124" s="25">
        <f t="shared" si="285"/>
        <v>2.25</v>
      </c>
      <c r="AJ124" s="25">
        <f t="shared" si="285"/>
        <v>0</v>
      </c>
      <c r="AK124" s="25">
        <f t="shared" si="285"/>
        <v>0</v>
      </c>
      <c r="AL124" s="25">
        <f t="shared" si="285"/>
        <v>2.25</v>
      </c>
      <c r="AM124" s="25">
        <f t="shared" si="285"/>
        <v>-7.0000000000000007E-2</v>
      </c>
      <c r="AN124" s="392">
        <f t="shared" si="285"/>
        <v>2.1800000000000002</v>
      </c>
      <c r="AO124" s="35">
        <f t="shared" si="285"/>
        <v>18223882</v>
      </c>
      <c r="AP124" s="24">
        <f t="shared" si="285"/>
        <v>13153504</v>
      </c>
      <c r="AQ124" s="24">
        <f t="shared" si="285"/>
        <v>40000</v>
      </c>
      <c r="AR124" s="24">
        <f t="shared" si="285"/>
        <v>4459404</v>
      </c>
      <c r="AS124" s="24">
        <f t="shared" si="285"/>
        <v>263070</v>
      </c>
      <c r="AT124" s="24">
        <f t="shared" si="285"/>
        <v>307904</v>
      </c>
      <c r="AU124" s="25">
        <f t="shared" si="285"/>
        <v>26.583300000000001</v>
      </c>
      <c r="AV124" s="25">
        <f t="shared" si="285"/>
        <v>18.658799999999999</v>
      </c>
      <c r="AW124" s="72">
        <f t="shared" si="285"/>
        <v>7.9245000000000001</v>
      </c>
      <c r="AX124" s="580"/>
    </row>
    <row r="125" spans="1:51" s="569" customFormat="1" ht="12.75" customHeight="1" x14ac:dyDescent="0.2">
      <c r="A125" s="571">
        <v>28</v>
      </c>
      <c r="B125" s="572">
        <v>3410</v>
      </c>
      <c r="C125" s="572">
        <v>650038550</v>
      </c>
      <c r="D125" s="572">
        <v>72743191</v>
      </c>
      <c r="E125" s="573" t="s">
        <v>63</v>
      </c>
      <c r="F125" s="572">
        <v>3113</v>
      </c>
      <c r="G125" s="573" t="s">
        <v>320</v>
      </c>
      <c r="H125" s="736" t="s">
        <v>283</v>
      </c>
      <c r="I125" s="575">
        <f t="shared" ref="I125:I129" si="286">SUM(J125:M125)</f>
        <v>24615081</v>
      </c>
      <c r="J125" s="496">
        <v>17701981</v>
      </c>
      <c r="K125" s="131">
        <f t="shared" ref="K125:K127" si="287">ROUND((J125)*33.8%,0)</f>
        <v>5983270</v>
      </c>
      <c r="L125" s="131">
        <f t="shared" ref="L125:L129" si="288">ROUND(J125*2%,0)</f>
        <v>354040</v>
      </c>
      <c r="M125" s="496">
        <v>575790</v>
      </c>
      <c r="N125" s="576">
        <f t="shared" ref="N125:N129" si="289">SUM(O125:P125)</f>
        <v>33.747199999999999</v>
      </c>
      <c r="O125" s="577">
        <v>25.364599999999999</v>
      </c>
      <c r="P125" s="578">
        <v>8.3826000000000001</v>
      </c>
      <c r="Q125" s="579">
        <f t="shared" ref="Q125:Q129" si="290">V125*-1</f>
        <v>-54400</v>
      </c>
      <c r="R125" s="498">
        <v>0</v>
      </c>
      <c r="S125" s="498">
        <v>0</v>
      </c>
      <c r="T125" s="498">
        <v>0</v>
      </c>
      <c r="U125" s="498">
        <f t="shared" si="197"/>
        <v>-54400</v>
      </c>
      <c r="V125" s="498">
        <v>54400</v>
      </c>
      <c r="W125" s="498">
        <v>0</v>
      </c>
      <c r="X125" s="498">
        <v>0</v>
      </c>
      <c r="Y125" s="498">
        <f t="shared" si="198"/>
        <v>54400</v>
      </c>
      <c r="Z125" s="498">
        <f t="shared" si="199"/>
        <v>0</v>
      </c>
      <c r="AA125" s="131">
        <f t="shared" ref="AA125:AA129" si="291">ROUND((U125+V125+W123)*33.8%,0)</f>
        <v>0</v>
      </c>
      <c r="AB125" s="131">
        <f t="shared" si="200"/>
        <v>-1088</v>
      </c>
      <c r="AC125" s="498">
        <v>0</v>
      </c>
      <c r="AD125" s="498">
        <v>0</v>
      </c>
      <c r="AE125" s="498">
        <f t="shared" si="201"/>
        <v>0</v>
      </c>
      <c r="AF125" s="498">
        <f t="shared" si="202"/>
        <v>-1088</v>
      </c>
      <c r="AG125" s="499">
        <v>0</v>
      </c>
      <c r="AH125" s="499">
        <v>-0.2</v>
      </c>
      <c r="AI125" s="499">
        <v>0</v>
      </c>
      <c r="AJ125" s="499">
        <v>0</v>
      </c>
      <c r="AK125" s="499">
        <v>0</v>
      </c>
      <c r="AL125" s="499">
        <f t="shared" si="203"/>
        <v>0</v>
      </c>
      <c r="AM125" s="499">
        <f t="shared" si="204"/>
        <v>-0.2</v>
      </c>
      <c r="AN125" s="529">
        <f t="shared" si="205"/>
        <v>-0.2</v>
      </c>
      <c r="AO125" s="579">
        <f>I125+AF125</f>
        <v>24613993</v>
      </c>
      <c r="AP125" s="498">
        <f>J125+U125</f>
        <v>17647581</v>
      </c>
      <c r="AQ125" s="498">
        <f t="shared" ref="AQ125:AQ129" si="292">Y125</f>
        <v>54400</v>
      </c>
      <c r="AR125" s="498">
        <f t="shared" ref="AR125:AS129" si="293">K125+AA125</f>
        <v>5983270</v>
      </c>
      <c r="AS125" s="498">
        <f t="shared" si="293"/>
        <v>352952</v>
      </c>
      <c r="AT125" s="498">
        <f>M125+AE125</f>
        <v>575790</v>
      </c>
      <c r="AU125" s="499">
        <f>N125+AN125</f>
        <v>33.547199999999997</v>
      </c>
      <c r="AV125" s="499">
        <f t="shared" ref="AV125:AW129" si="294">O125+AL125</f>
        <v>25.364599999999999</v>
      </c>
      <c r="AW125" s="500">
        <f t="shared" si="294"/>
        <v>8.1826000000000008</v>
      </c>
      <c r="AX125" s="580"/>
    </row>
    <row r="126" spans="1:51" s="569" customFormat="1" x14ac:dyDescent="0.2">
      <c r="A126" s="571">
        <v>28</v>
      </c>
      <c r="B126" s="572">
        <v>3410</v>
      </c>
      <c r="C126" s="572">
        <v>650038550</v>
      </c>
      <c r="D126" s="572">
        <v>72743191</v>
      </c>
      <c r="E126" s="573" t="s">
        <v>63</v>
      </c>
      <c r="F126" s="572">
        <v>3113</v>
      </c>
      <c r="G126" s="573" t="s">
        <v>318</v>
      </c>
      <c r="H126" s="736" t="s">
        <v>284</v>
      </c>
      <c r="I126" s="575">
        <f t="shared" si="286"/>
        <v>0</v>
      </c>
      <c r="J126" s="496">
        <v>0</v>
      </c>
      <c r="K126" s="131">
        <f t="shared" si="287"/>
        <v>0</v>
      </c>
      <c r="L126" s="131">
        <f t="shared" si="288"/>
        <v>0</v>
      </c>
      <c r="M126" s="496">
        <v>0</v>
      </c>
      <c r="N126" s="576">
        <f t="shared" si="289"/>
        <v>0</v>
      </c>
      <c r="O126" s="577">
        <v>0</v>
      </c>
      <c r="P126" s="578">
        <v>0</v>
      </c>
      <c r="Q126" s="579">
        <f t="shared" si="290"/>
        <v>0</v>
      </c>
      <c r="R126" s="496">
        <f>802635+194875</f>
        <v>997510</v>
      </c>
      <c r="S126" s="498">
        <v>0</v>
      </c>
      <c r="T126" s="498">
        <v>0</v>
      </c>
      <c r="U126" s="498">
        <f t="shared" si="197"/>
        <v>997510</v>
      </c>
      <c r="V126" s="498">
        <v>0</v>
      </c>
      <c r="W126" s="498">
        <v>0</v>
      </c>
      <c r="X126" s="498">
        <v>0</v>
      </c>
      <c r="Y126" s="498">
        <f t="shared" si="198"/>
        <v>0</v>
      </c>
      <c r="Z126" s="498">
        <f t="shared" si="199"/>
        <v>997510</v>
      </c>
      <c r="AA126" s="131">
        <f t="shared" si="291"/>
        <v>337158</v>
      </c>
      <c r="AB126" s="131">
        <f t="shared" si="200"/>
        <v>19950</v>
      </c>
      <c r="AC126" s="498">
        <v>0</v>
      </c>
      <c r="AD126" s="498">
        <v>0</v>
      </c>
      <c r="AE126" s="498">
        <f t="shared" si="201"/>
        <v>0</v>
      </c>
      <c r="AF126" s="498">
        <f t="shared" si="202"/>
        <v>1354618</v>
      </c>
      <c r="AG126" s="499">
        <v>0</v>
      </c>
      <c r="AH126" s="499">
        <v>0</v>
      </c>
      <c r="AI126" s="499">
        <f>2.3+0.56</f>
        <v>2.86</v>
      </c>
      <c r="AJ126" s="499">
        <v>0</v>
      </c>
      <c r="AK126" s="499">
        <v>0</v>
      </c>
      <c r="AL126" s="499">
        <f t="shared" si="203"/>
        <v>2.86</v>
      </c>
      <c r="AM126" s="499">
        <f t="shared" si="204"/>
        <v>0</v>
      </c>
      <c r="AN126" s="529">
        <f t="shared" si="205"/>
        <v>2.86</v>
      </c>
      <c r="AO126" s="579">
        <f>I126+AF126</f>
        <v>1354618</v>
      </c>
      <c r="AP126" s="498">
        <f>J126+U126</f>
        <v>997510</v>
      </c>
      <c r="AQ126" s="498">
        <f t="shared" si="292"/>
        <v>0</v>
      </c>
      <c r="AR126" s="498">
        <f t="shared" si="293"/>
        <v>337158</v>
      </c>
      <c r="AS126" s="498">
        <f t="shared" si="293"/>
        <v>19950</v>
      </c>
      <c r="AT126" s="498">
        <f>M126+AE126</f>
        <v>0</v>
      </c>
      <c r="AU126" s="499">
        <f>N126+AN126</f>
        <v>2.86</v>
      </c>
      <c r="AV126" s="499">
        <f t="shared" si="294"/>
        <v>2.86</v>
      </c>
      <c r="AW126" s="500">
        <f t="shared" si="294"/>
        <v>0</v>
      </c>
      <c r="AX126" s="580"/>
    </row>
    <row r="127" spans="1:51" s="569" customFormat="1" ht="12.75" customHeight="1" x14ac:dyDescent="0.2">
      <c r="A127" s="571">
        <v>28</v>
      </c>
      <c r="B127" s="572">
        <v>3410</v>
      </c>
      <c r="C127" s="572">
        <v>650038550</v>
      </c>
      <c r="D127" s="572">
        <v>72743191</v>
      </c>
      <c r="E127" s="573" t="s">
        <v>63</v>
      </c>
      <c r="F127" s="572">
        <v>3141</v>
      </c>
      <c r="G127" s="573" t="s">
        <v>321</v>
      </c>
      <c r="H127" s="736" t="s">
        <v>284</v>
      </c>
      <c r="I127" s="575">
        <f t="shared" si="286"/>
        <v>2525139</v>
      </c>
      <c r="J127" s="496">
        <v>1844292</v>
      </c>
      <c r="K127" s="131">
        <f t="shared" si="287"/>
        <v>623371</v>
      </c>
      <c r="L127" s="131">
        <f t="shared" si="288"/>
        <v>36886</v>
      </c>
      <c r="M127" s="496">
        <v>20590</v>
      </c>
      <c r="N127" s="576">
        <f t="shared" si="289"/>
        <v>6.28</v>
      </c>
      <c r="O127" s="577">
        <v>0</v>
      </c>
      <c r="P127" s="578">
        <v>6.28</v>
      </c>
      <c r="Q127" s="579">
        <f t="shared" si="290"/>
        <v>-9600</v>
      </c>
      <c r="R127" s="498">
        <v>0</v>
      </c>
      <c r="S127" s="498">
        <v>0</v>
      </c>
      <c r="T127" s="498">
        <v>0</v>
      </c>
      <c r="U127" s="498">
        <f t="shared" si="197"/>
        <v>-9600</v>
      </c>
      <c r="V127" s="498">
        <v>9600</v>
      </c>
      <c r="W127" s="498">
        <v>0</v>
      </c>
      <c r="X127" s="498">
        <v>0</v>
      </c>
      <c r="Y127" s="498">
        <f t="shared" si="198"/>
        <v>9600</v>
      </c>
      <c r="Z127" s="498">
        <f t="shared" si="199"/>
        <v>0</v>
      </c>
      <c r="AA127" s="131">
        <f t="shared" si="291"/>
        <v>0</v>
      </c>
      <c r="AB127" s="131">
        <f t="shared" si="200"/>
        <v>-192</v>
      </c>
      <c r="AC127" s="498">
        <v>0</v>
      </c>
      <c r="AD127" s="498">
        <v>0</v>
      </c>
      <c r="AE127" s="498">
        <f t="shared" si="201"/>
        <v>0</v>
      </c>
      <c r="AF127" s="498">
        <f t="shared" si="202"/>
        <v>-192</v>
      </c>
      <c r="AG127" s="499">
        <v>0</v>
      </c>
      <c r="AH127" s="499">
        <v>0</v>
      </c>
      <c r="AI127" s="499">
        <v>0</v>
      </c>
      <c r="AJ127" s="499">
        <v>0</v>
      </c>
      <c r="AK127" s="499">
        <v>0</v>
      </c>
      <c r="AL127" s="499">
        <f t="shared" si="203"/>
        <v>0</v>
      </c>
      <c r="AM127" s="499">
        <f t="shared" si="204"/>
        <v>0</v>
      </c>
      <c r="AN127" s="529">
        <f t="shared" si="205"/>
        <v>0</v>
      </c>
      <c r="AO127" s="579">
        <f>I127+AF127</f>
        <v>2524947</v>
      </c>
      <c r="AP127" s="498">
        <f>J127+U127</f>
        <v>1834692</v>
      </c>
      <c r="AQ127" s="498">
        <f t="shared" si="292"/>
        <v>9600</v>
      </c>
      <c r="AR127" s="498">
        <f t="shared" si="293"/>
        <v>623371</v>
      </c>
      <c r="AS127" s="498">
        <f t="shared" si="293"/>
        <v>36694</v>
      </c>
      <c r="AT127" s="498">
        <f>M127+AE127</f>
        <v>20590</v>
      </c>
      <c r="AU127" s="499">
        <f>N127+AN127</f>
        <v>6.28</v>
      </c>
      <c r="AV127" s="499">
        <f t="shared" si="294"/>
        <v>0</v>
      </c>
      <c r="AW127" s="500">
        <f t="shared" si="294"/>
        <v>6.28</v>
      </c>
      <c r="AX127" s="580"/>
      <c r="AY127" s="580"/>
    </row>
    <row r="128" spans="1:51" s="569" customFormat="1" ht="12.75" customHeight="1" x14ac:dyDescent="0.2">
      <c r="A128" s="571">
        <v>28</v>
      </c>
      <c r="B128" s="572">
        <v>3410</v>
      </c>
      <c r="C128" s="572">
        <v>650038550</v>
      </c>
      <c r="D128" s="572">
        <v>72743191</v>
      </c>
      <c r="E128" s="573" t="s">
        <v>63</v>
      </c>
      <c r="F128" s="572">
        <v>3143</v>
      </c>
      <c r="G128" s="573" t="s">
        <v>635</v>
      </c>
      <c r="H128" s="736" t="s">
        <v>283</v>
      </c>
      <c r="I128" s="575">
        <f t="shared" si="286"/>
        <v>2160592</v>
      </c>
      <c r="J128" s="496">
        <v>1591011</v>
      </c>
      <c r="K128" s="131">
        <v>537761</v>
      </c>
      <c r="L128" s="131">
        <f t="shared" si="288"/>
        <v>31820</v>
      </c>
      <c r="M128" s="496">
        <v>0</v>
      </c>
      <c r="N128" s="576">
        <f t="shared" si="289"/>
        <v>3.2054</v>
      </c>
      <c r="O128" s="577">
        <v>3.2054</v>
      </c>
      <c r="P128" s="578">
        <v>0</v>
      </c>
      <c r="Q128" s="579">
        <f t="shared" si="290"/>
        <v>0</v>
      </c>
      <c r="R128" s="498">
        <v>0</v>
      </c>
      <c r="S128" s="498">
        <v>0</v>
      </c>
      <c r="T128" s="498">
        <v>0</v>
      </c>
      <c r="U128" s="498">
        <f t="shared" si="197"/>
        <v>0</v>
      </c>
      <c r="V128" s="498">
        <v>0</v>
      </c>
      <c r="W128" s="498">
        <v>0</v>
      </c>
      <c r="X128" s="498">
        <v>0</v>
      </c>
      <c r="Y128" s="498">
        <f t="shared" si="198"/>
        <v>0</v>
      </c>
      <c r="Z128" s="498">
        <f t="shared" si="199"/>
        <v>0</v>
      </c>
      <c r="AA128" s="131">
        <f t="shared" si="291"/>
        <v>0</v>
      </c>
      <c r="AB128" s="131">
        <f t="shared" si="200"/>
        <v>0</v>
      </c>
      <c r="AC128" s="498">
        <v>0</v>
      </c>
      <c r="AD128" s="498">
        <v>0</v>
      </c>
      <c r="AE128" s="498">
        <f t="shared" si="201"/>
        <v>0</v>
      </c>
      <c r="AF128" s="498">
        <f t="shared" si="202"/>
        <v>0</v>
      </c>
      <c r="AG128" s="499">
        <v>0</v>
      </c>
      <c r="AH128" s="499">
        <v>0</v>
      </c>
      <c r="AI128" s="499">
        <v>0</v>
      </c>
      <c r="AJ128" s="499">
        <v>0</v>
      </c>
      <c r="AK128" s="499">
        <v>0</v>
      </c>
      <c r="AL128" s="499">
        <f t="shared" si="203"/>
        <v>0</v>
      </c>
      <c r="AM128" s="499">
        <f t="shared" si="204"/>
        <v>0</v>
      </c>
      <c r="AN128" s="529">
        <f t="shared" si="205"/>
        <v>0</v>
      </c>
      <c r="AO128" s="579">
        <f>I128+AF128</f>
        <v>2160592</v>
      </c>
      <c r="AP128" s="498">
        <f>J128+U128</f>
        <v>1591011</v>
      </c>
      <c r="AQ128" s="498">
        <f t="shared" si="292"/>
        <v>0</v>
      </c>
      <c r="AR128" s="498">
        <f t="shared" si="293"/>
        <v>537761</v>
      </c>
      <c r="AS128" s="498">
        <f t="shared" si="293"/>
        <v>31820</v>
      </c>
      <c r="AT128" s="498">
        <f>M128+AE128</f>
        <v>0</v>
      </c>
      <c r="AU128" s="499">
        <f>N128+AN128</f>
        <v>3.2054</v>
      </c>
      <c r="AV128" s="499">
        <f t="shared" si="294"/>
        <v>3.2054</v>
      </c>
      <c r="AW128" s="500">
        <f t="shared" si="294"/>
        <v>0</v>
      </c>
      <c r="AX128" s="580"/>
    </row>
    <row r="129" spans="1:51" s="569" customFormat="1" ht="12.75" customHeight="1" x14ac:dyDescent="0.2">
      <c r="A129" s="571">
        <v>28</v>
      </c>
      <c r="B129" s="572">
        <v>3410</v>
      </c>
      <c r="C129" s="572">
        <v>650038550</v>
      </c>
      <c r="D129" s="572">
        <v>72743191</v>
      </c>
      <c r="E129" s="573" t="s">
        <v>63</v>
      </c>
      <c r="F129" s="572">
        <v>3143</v>
      </c>
      <c r="G129" s="573" t="s">
        <v>636</v>
      </c>
      <c r="H129" s="736" t="s">
        <v>284</v>
      </c>
      <c r="I129" s="575">
        <f t="shared" si="286"/>
        <v>82158</v>
      </c>
      <c r="J129" s="496">
        <v>57915</v>
      </c>
      <c r="K129" s="131">
        <f t="shared" ref="K129" si="295">ROUND((J129)*33.8%,0)</f>
        <v>19575</v>
      </c>
      <c r="L129" s="131">
        <f t="shared" si="288"/>
        <v>1158</v>
      </c>
      <c r="M129" s="496">
        <v>3510</v>
      </c>
      <c r="N129" s="576">
        <f t="shared" si="289"/>
        <v>0.25</v>
      </c>
      <c r="O129" s="577">
        <v>0</v>
      </c>
      <c r="P129" s="578">
        <v>0.25</v>
      </c>
      <c r="Q129" s="579">
        <f t="shared" si="290"/>
        <v>0</v>
      </c>
      <c r="R129" s="498">
        <v>0</v>
      </c>
      <c r="S129" s="498">
        <v>0</v>
      </c>
      <c r="T129" s="498">
        <v>0</v>
      </c>
      <c r="U129" s="498">
        <f t="shared" si="197"/>
        <v>0</v>
      </c>
      <c r="V129" s="498">
        <v>0</v>
      </c>
      <c r="W129" s="498">
        <v>0</v>
      </c>
      <c r="X129" s="498">
        <v>0</v>
      </c>
      <c r="Y129" s="498">
        <f t="shared" si="198"/>
        <v>0</v>
      </c>
      <c r="Z129" s="498">
        <f t="shared" si="199"/>
        <v>0</v>
      </c>
      <c r="AA129" s="131">
        <f t="shared" si="291"/>
        <v>0</v>
      </c>
      <c r="AB129" s="131">
        <f t="shared" si="200"/>
        <v>0</v>
      </c>
      <c r="AC129" s="498">
        <v>0</v>
      </c>
      <c r="AD129" s="498">
        <v>0</v>
      </c>
      <c r="AE129" s="498">
        <f t="shared" si="201"/>
        <v>0</v>
      </c>
      <c r="AF129" s="498">
        <f t="shared" si="202"/>
        <v>0</v>
      </c>
      <c r="AG129" s="499">
        <v>0</v>
      </c>
      <c r="AH129" s="499">
        <v>0</v>
      </c>
      <c r="AI129" s="499">
        <v>0</v>
      </c>
      <c r="AJ129" s="499">
        <v>0</v>
      </c>
      <c r="AK129" s="499">
        <v>0</v>
      </c>
      <c r="AL129" s="499">
        <f t="shared" si="203"/>
        <v>0</v>
      </c>
      <c r="AM129" s="499">
        <f t="shared" si="204"/>
        <v>0</v>
      </c>
      <c r="AN129" s="529">
        <f t="shared" si="205"/>
        <v>0</v>
      </c>
      <c r="AO129" s="579">
        <f>I129+AF129</f>
        <v>82158</v>
      </c>
      <c r="AP129" s="498">
        <f>J129+U129</f>
        <v>57915</v>
      </c>
      <c r="AQ129" s="498">
        <f t="shared" si="292"/>
        <v>0</v>
      </c>
      <c r="AR129" s="498">
        <f t="shared" si="293"/>
        <v>19575</v>
      </c>
      <c r="AS129" s="498">
        <f t="shared" si="293"/>
        <v>1158</v>
      </c>
      <c r="AT129" s="498">
        <f>M129+AE129</f>
        <v>3510</v>
      </c>
      <c r="AU129" s="499">
        <f>N129+AN129</f>
        <v>0.25</v>
      </c>
      <c r="AV129" s="499">
        <f t="shared" si="294"/>
        <v>0</v>
      </c>
      <c r="AW129" s="500">
        <f t="shared" si="294"/>
        <v>0.25</v>
      </c>
      <c r="AX129" s="580"/>
    </row>
    <row r="130" spans="1:51" s="569" customFormat="1" ht="12.75" customHeight="1" x14ac:dyDescent="0.2">
      <c r="A130" s="299">
        <v>28</v>
      </c>
      <c r="B130" s="23">
        <v>3410</v>
      </c>
      <c r="C130" s="298">
        <v>650038550</v>
      </c>
      <c r="D130" s="298">
        <v>72743191</v>
      </c>
      <c r="E130" s="570" t="s">
        <v>64</v>
      </c>
      <c r="F130" s="23"/>
      <c r="G130" s="570"/>
      <c r="H130" s="735"/>
      <c r="I130" s="35">
        <f t="shared" ref="I130:P130" si="296">SUM(I125:I129)</f>
        <v>29382970</v>
      </c>
      <c r="J130" s="24">
        <f t="shared" si="296"/>
        <v>21195199</v>
      </c>
      <c r="K130" s="24">
        <f t="shared" si="296"/>
        <v>7163977</v>
      </c>
      <c r="L130" s="24">
        <f t="shared" si="296"/>
        <v>423904</v>
      </c>
      <c r="M130" s="24">
        <f t="shared" si="296"/>
        <v>599890</v>
      </c>
      <c r="N130" s="25">
        <f t="shared" si="296"/>
        <v>43.482599999999998</v>
      </c>
      <c r="O130" s="391">
        <f t="shared" si="296"/>
        <v>28.57</v>
      </c>
      <c r="P130" s="456">
        <f t="shared" si="296"/>
        <v>14.912600000000001</v>
      </c>
      <c r="Q130" s="35">
        <f t="shared" ref="Q130:AW130" si="297">SUM(Q125:Q129)</f>
        <v>-64000</v>
      </c>
      <c r="R130" s="24">
        <f t="shared" si="297"/>
        <v>997510</v>
      </c>
      <c r="S130" s="24">
        <f t="shared" si="297"/>
        <v>0</v>
      </c>
      <c r="T130" s="24">
        <f t="shared" si="297"/>
        <v>0</v>
      </c>
      <c r="U130" s="24">
        <f t="shared" si="297"/>
        <v>933510</v>
      </c>
      <c r="V130" s="24">
        <f t="shared" si="297"/>
        <v>64000</v>
      </c>
      <c r="W130" s="24">
        <f t="shared" si="297"/>
        <v>0</v>
      </c>
      <c r="X130" s="24">
        <f t="shared" si="297"/>
        <v>0</v>
      </c>
      <c r="Y130" s="24">
        <f t="shared" si="297"/>
        <v>64000</v>
      </c>
      <c r="Z130" s="24">
        <f t="shared" si="297"/>
        <v>997510</v>
      </c>
      <c r="AA130" s="24">
        <f t="shared" si="297"/>
        <v>337158</v>
      </c>
      <c r="AB130" s="24">
        <f t="shared" si="297"/>
        <v>18670</v>
      </c>
      <c r="AC130" s="24">
        <f t="shared" si="297"/>
        <v>0</v>
      </c>
      <c r="AD130" s="24">
        <f t="shared" si="297"/>
        <v>0</v>
      </c>
      <c r="AE130" s="24">
        <f t="shared" si="297"/>
        <v>0</v>
      </c>
      <c r="AF130" s="24">
        <f t="shared" si="297"/>
        <v>1353338</v>
      </c>
      <c r="AG130" s="25">
        <f t="shared" si="297"/>
        <v>0</v>
      </c>
      <c r="AH130" s="25">
        <f t="shared" si="297"/>
        <v>-0.2</v>
      </c>
      <c r="AI130" s="25">
        <f t="shared" si="297"/>
        <v>2.86</v>
      </c>
      <c r="AJ130" s="25">
        <f t="shared" si="297"/>
        <v>0</v>
      </c>
      <c r="AK130" s="25">
        <f t="shared" si="297"/>
        <v>0</v>
      </c>
      <c r="AL130" s="25">
        <f t="shared" si="297"/>
        <v>2.86</v>
      </c>
      <c r="AM130" s="25">
        <f t="shared" si="297"/>
        <v>-0.2</v>
      </c>
      <c r="AN130" s="392">
        <f t="shared" si="297"/>
        <v>2.6599999999999997</v>
      </c>
      <c r="AO130" s="35">
        <f t="shared" si="297"/>
        <v>30736308</v>
      </c>
      <c r="AP130" s="24">
        <f t="shared" si="297"/>
        <v>22128709</v>
      </c>
      <c r="AQ130" s="24">
        <f t="shared" si="297"/>
        <v>64000</v>
      </c>
      <c r="AR130" s="24">
        <f t="shared" si="297"/>
        <v>7501135</v>
      </c>
      <c r="AS130" s="24">
        <f t="shared" si="297"/>
        <v>442574</v>
      </c>
      <c r="AT130" s="24">
        <f t="shared" si="297"/>
        <v>599890</v>
      </c>
      <c r="AU130" s="25">
        <f t="shared" si="297"/>
        <v>46.142599999999995</v>
      </c>
      <c r="AV130" s="25">
        <f t="shared" si="297"/>
        <v>31.43</v>
      </c>
      <c r="AW130" s="72">
        <f t="shared" si="297"/>
        <v>14.712600000000002</v>
      </c>
      <c r="AX130" s="580"/>
    </row>
    <row r="131" spans="1:51" s="569" customFormat="1" ht="12.75" customHeight="1" x14ac:dyDescent="0.2">
      <c r="A131" s="571">
        <v>29</v>
      </c>
      <c r="B131" s="572">
        <v>3455</v>
      </c>
      <c r="C131" s="572">
        <v>651040515</v>
      </c>
      <c r="D131" s="572">
        <v>75122308</v>
      </c>
      <c r="E131" s="573" t="s">
        <v>65</v>
      </c>
      <c r="F131" s="572">
        <v>3231</v>
      </c>
      <c r="G131" s="573" t="s">
        <v>322</v>
      </c>
      <c r="H131" s="736" t="s">
        <v>283</v>
      </c>
      <c r="I131" s="575">
        <f t="shared" ref="I131" si="298">SUM(J131:M131)</f>
        <v>28857440</v>
      </c>
      <c r="J131" s="496">
        <v>21178380</v>
      </c>
      <c r="K131" s="131">
        <f>ROUND((J131)*33.8%,0)</f>
        <v>7158292</v>
      </c>
      <c r="L131" s="131">
        <f>ROUND(J131*2%,0)</f>
        <v>423568</v>
      </c>
      <c r="M131" s="496">
        <v>97200</v>
      </c>
      <c r="N131" s="576">
        <f t="shared" ref="N131" si="299">SUM(O131:P131)</f>
        <v>41.016399999999997</v>
      </c>
      <c r="O131" s="577">
        <v>36.444899999999997</v>
      </c>
      <c r="P131" s="578">
        <v>4.5715000000000003</v>
      </c>
      <c r="Q131" s="579">
        <f>V131*-1</f>
        <v>-240000</v>
      </c>
      <c r="R131" s="498">
        <v>0</v>
      </c>
      <c r="S131" s="498">
        <v>0</v>
      </c>
      <c r="T131" s="498">
        <v>0</v>
      </c>
      <c r="U131" s="498">
        <f t="shared" si="197"/>
        <v>-240000</v>
      </c>
      <c r="V131" s="498">
        <v>240000</v>
      </c>
      <c r="W131" s="498">
        <v>0</v>
      </c>
      <c r="X131" s="498">
        <v>0</v>
      </c>
      <c r="Y131" s="498">
        <f t="shared" si="198"/>
        <v>240000</v>
      </c>
      <c r="Z131" s="498">
        <f t="shared" si="199"/>
        <v>0</v>
      </c>
      <c r="AA131" s="131">
        <f>ROUND((U131+V131+W129)*33.8%,0)</f>
        <v>0</v>
      </c>
      <c r="AB131" s="131">
        <f t="shared" si="200"/>
        <v>-4800</v>
      </c>
      <c r="AC131" s="498">
        <v>0</v>
      </c>
      <c r="AD131" s="498">
        <v>0</v>
      </c>
      <c r="AE131" s="498">
        <f t="shared" si="201"/>
        <v>0</v>
      </c>
      <c r="AF131" s="498">
        <f t="shared" si="202"/>
        <v>-4800</v>
      </c>
      <c r="AG131" s="499">
        <v>-0.09</v>
      </c>
      <c r="AH131" s="499">
        <v>-0.09</v>
      </c>
      <c r="AI131" s="499">
        <v>0</v>
      </c>
      <c r="AJ131" s="499">
        <v>0</v>
      </c>
      <c r="AK131" s="499">
        <v>0</v>
      </c>
      <c r="AL131" s="499">
        <f t="shared" si="203"/>
        <v>-0.09</v>
      </c>
      <c r="AM131" s="499">
        <f t="shared" si="204"/>
        <v>-0.09</v>
      </c>
      <c r="AN131" s="529">
        <f t="shared" si="205"/>
        <v>-0.18</v>
      </c>
      <c r="AO131" s="579">
        <f>I131+AF131</f>
        <v>28852640</v>
      </c>
      <c r="AP131" s="498">
        <f>J131+U131</f>
        <v>20938380</v>
      </c>
      <c r="AQ131" s="498">
        <f>Y131</f>
        <v>240000</v>
      </c>
      <c r="AR131" s="498">
        <f>K131+AA131</f>
        <v>7158292</v>
      </c>
      <c r="AS131" s="498">
        <f>L131+AB131</f>
        <v>418768</v>
      </c>
      <c r="AT131" s="498">
        <f>M131+AE131</f>
        <v>97200</v>
      </c>
      <c r="AU131" s="499">
        <f>N131+AN131</f>
        <v>40.836399999999998</v>
      </c>
      <c r="AV131" s="499">
        <f>O131+AL131</f>
        <v>36.354899999999994</v>
      </c>
      <c r="AW131" s="500">
        <f>P131+AM131</f>
        <v>4.4815000000000005</v>
      </c>
      <c r="AX131" s="580"/>
    </row>
    <row r="132" spans="1:51" s="569" customFormat="1" ht="12.75" customHeight="1" x14ac:dyDescent="0.2">
      <c r="A132" s="299">
        <v>29</v>
      </c>
      <c r="B132" s="23">
        <v>3455</v>
      </c>
      <c r="C132" s="298">
        <v>651040515</v>
      </c>
      <c r="D132" s="298">
        <v>75122308</v>
      </c>
      <c r="E132" s="570" t="s">
        <v>66</v>
      </c>
      <c r="F132" s="23"/>
      <c r="G132" s="570"/>
      <c r="H132" s="735"/>
      <c r="I132" s="35">
        <f t="shared" ref="I132:AW132" si="300">SUM(I131)</f>
        <v>28857440</v>
      </c>
      <c r="J132" s="24">
        <f t="shared" si="300"/>
        <v>21178380</v>
      </c>
      <c r="K132" s="24">
        <f t="shared" si="300"/>
        <v>7158292</v>
      </c>
      <c r="L132" s="24">
        <f t="shared" si="300"/>
        <v>423568</v>
      </c>
      <c r="M132" s="24">
        <f t="shared" si="300"/>
        <v>97200</v>
      </c>
      <c r="N132" s="25">
        <f t="shared" si="300"/>
        <v>41.016399999999997</v>
      </c>
      <c r="O132" s="391">
        <f t="shared" si="300"/>
        <v>36.444899999999997</v>
      </c>
      <c r="P132" s="456">
        <f t="shared" si="300"/>
        <v>4.5715000000000003</v>
      </c>
      <c r="Q132" s="35">
        <f t="shared" si="300"/>
        <v>-240000</v>
      </c>
      <c r="R132" s="24">
        <f t="shared" si="300"/>
        <v>0</v>
      </c>
      <c r="S132" s="24">
        <f t="shared" si="300"/>
        <v>0</v>
      </c>
      <c r="T132" s="24">
        <f t="shared" si="300"/>
        <v>0</v>
      </c>
      <c r="U132" s="24">
        <f t="shared" si="300"/>
        <v>-240000</v>
      </c>
      <c r="V132" s="24">
        <f t="shared" si="300"/>
        <v>240000</v>
      </c>
      <c r="W132" s="24">
        <f t="shared" si="300"/>
        <v>0</v>
      </c>
      <c r="X132" s="24">
        <f t="shared" si="300"/>
        <v>0</v>
      </c>
      <c r="Y132" s="24">
        <f t="shared" si="300"/>
        <v>240000</v>
      </c>
      <c r="Z132" s="24">
        <f t="shared" si="300"/>
        <v>0</v>
      </c>
      <c r="AA132" s="24">
        <f t="shared" si="300"/>
        <v>0</v>
      </c>
      <c r="AB132" s="24">
        <f t="shared" si="300"/>
        <v>-4800</v>
      </c>
      <c r="AC132" s="24">
        <f t="shared" si="300"/>
        <v>0</v>
      </c>
      <c r="AD132" s="24">
        <f t="shared" si="300"/>
        <v>0</v>
      </c>
      <c r="AE132" s="24">
        <f t="shared" si="300"/>
        <v>0</v>
      </c>
      <c r="AF132" s="24">
        <f t="shared" si="300"/>
        <v>-4800</v>
      </c>
      <c r="AG132" s="25">
        <f t="shared" si="300"/>
        <v>-0.09</v>
      </c>
      <c r="AH132" s="25">
        <f t="shared" si="300"/>
        <v>-0.09</v>
      </c>
      <c r="AI132" s="25">
        <f t="shared" si="300"/>
        <v>0</v>
      </c>
      <c r="AJ132" s="25">
        <f t="shared" si="300"/>
        <v>0</v>
      </c>
      <c r="AK132" s="25">
        <f t="shared" si="300"/>
        <v>0</v>
      </c>
      <c r="AL132" s="25">
        <f t="shared" si="300"/>
        <v>-0.09</v>
      </c>
      <c r="AM132" s="25">
        <f t="shared" si="300"/>
        <v>-0.09</v>
      </c>
      <c r="AN132" s="392">
        <f t="shared" si="300"/>
        <v>-0.18</v>
      </c>
      <c r="AO132" s="35">
        <f t="shared" si="300"/>
        <v>28852640</v>
      </c>
      <c r="AP132" s="24">
        <f t="shared" si="300"/>
        <v>20938380</v>
      </c>
      <c r="AQ132" s="24">
        <f t="shared" si="300"/>
        <v>240000</v>
      </c>
      <c r="AR132" s="24">
        <f t="shared" si="300"/>
        <v>7158292</v>
      </c>
      <c r="AS132" s="24">
        <f t="shared" si="300"/>
        <v>418768</v>
      </c>
      <c r="AT132" s="24">
        <f t="shared" si="300"/>
        <v>97200</v>
      </c>
      <c r="AU132" s="25">
        <f t="shared" si="300"/>
        <v>40.836399999999998</v>
      </c>
      <c r="AV132" s="25">
        <f t="shared" si="300"/>
        <v>36.354899999999994</v>
      </c>
      <c r="AW132" s="72">
        <f t="shared" si="300"/>
        <v>4.4815000000000005</v>
      </c>
      <c r="AX132" s="580"/>
    </row>
    <row r="133" spans="1:51" s="569" customFormat="1" ht="12.75" customHeight="1" x14ac:dyDescent="0.2">
      <c r="A133" s="571">
        <v>30</v>
      </c>
      <c r="B133" s="572">
        <v>3419</v>
      </c>
      <c r="C133" s="572">
        <v>600078434</v>
      </c>
      <c r="D133" s="572">
        <v>72742658</v>
      </c>
      <c r="E133" s="573" t="s">
        <v>67</v>
      </c>
      <c r="F133" s="572">
        <v>3111</v>
      </c>
      <c r="G133" s="573" t="s">
        <v>317</v>
      </c>
      <c r="H133" s="736" t="s">
        <v>283</v>
      </c>
      <c r="I133" s="575">
        <f t="shared" ref="I133:I139" si="301">SUM(J133:M133)</f>
        <v>2901841</v>
      </c>
      <c r="J133" s="496">
        <v>2120612</v>
      </c>
      <c r="K133" s="131">
        <f t="shared" ref="K133:K136" si="302">ROUND((J133)*33.8%,0)</f>
        <v>716767</v>
      </c>
      <c r="L133" s="131">
        <f t="shared" ref="L133:L136" si="303">ROUND(J133*2%,0)</f>
        <v>42412</v>
      </c>
      <c r="M133" s="496">
        <v>22050</v>
      </c>
      <c r="N133" s="576">
        <f t="shared" ref="N133:N139" si="304">SUM(O133:P133)</f>
        <v>4.8928000000000003</v>
      </c>
      <c r="O133" s="577">
        <v>3.871</v>
      </c>
      <c r="P133" s="578">
        <v>1.0218</v>
      </c>
      <c r="Q133" s="579">
        <f t="shared" ref="Q133:Q139" si="305">V133*-1</f>
        <v>-8000</v>
      </c>
      <c r="R133" s="498">
        <v>0</v>
      </c>
      <c r="S133" s="498">
        <v>0</v>
      </c>
      <c r="T133" s="498">
        <v>0</v>
      </c>
      <c r="U133" s="498">
        <f t="shared" si="197"/>
        <v>-8000</v>
      </c>
      <c r="V133" s="498">
        <v>8000</v>
      </c>
      <c r="W133" s="498">
        <v>0</v>
      </c>
      <c r="X133" s="498">
        <v>0</v>
      </c>
      <c r="Y133" s="498">
        <f t="shared" si="198"/>
        <v>8000</v>
      </c>
      <c r="Z133" s="498">
        <f t="shared" si="199"/>
        <v>0</v>
      </c>
      <c r="AA133" s="131">
        <f t="shared" ref="AA133:AA139" si="306">ROUND((U133+V133+W131)*33.8%,0)</f>
        <v>0</v>
      </c>
      <c r="AB133" s="131">
        <f t="shared" si="200"/>
        <v>-160</v>
      </c>
      <c r="AC133" s="498">
        <v>0</v>
      </c>
      <c r="AD133" s="498">
        <v>0</v>
      </c>
      <c r="AE133" s="498">
        <f t="shared" si="201"/>
        <v>0</v>
      </c>
      <c r="AF133" s="498">
        <f t="shared" si="202"/>
        <v>-160</v>
      </c>
      <c r="AG133" s="499">
        <v>0</v>
      </c>
      <c r="AH133" s="499">
        <v>-0.04</v>
      </c>
      <c r="AI133" s="499">
        <v>0</v>
      </c>
      <c r="AJ133" s="499">
        <v>0</v>
      </c>
      <c r="AK133" s="499">
        <v>0</v>
      </c>
      <c r="AL133" s="499">
        <f t="shared" si="203"/>
        <v>0</v>
      </c>
      <c r="AM133" s="499">
        <f t="shared" si="204"/>
        <v>-0.04</v>
      </c>
      <c r="AN133" s="529">
        <f t="shared" si="205"/>
        <v>-0.04</v>
      </c>
      <c r="AO133" s="579">
        <f t="shared" ref="AO133:AO139" si="307">I133+AF133</f>
        <v>2901681</v>
      </c>
      <c r="AP133" s="498">
        <f t="shared" ref="AP133:AP139" si="308">J133+U133</f>
        <v>2112612</v>
      </c>
      <c r="AQ133" s="498">
        <f t="shared" ref="AQ133:AQ139" si="309">Y133</f>
        <v>8000</v>
      </c>
      <c r="AR133" s="498">
        <f t="shared" ref="AR133:AS139" si="310">K133+AA133</f>
        <v>716767</v>
      </c>
      <c r="AS133" s="498">
        <f t="shared" si="310"/>
        <v>42252</v>
      </c>
      <c r="AT133" s="498">
        <f t="shared" ref="AT133:AT139" si="311">M133+AE133</f>
        <v>22050</v>
      </c>
      <c r="AU133" s="499">
        <f t="shared" ref="AU133:AU139" si="312">N133+AN133</f>
        <v>4.8528000000000002</v>
      </c>
      <c r="AV133" s="499">
        <f t="shared" ref="AV133:AW139" si="313">O133+AL133</f>
        <v>3.871</v>
      </c>
      <c r="AW133" s="500">
        <f t="shared" si="313"/>
        <v>0.98180000000000001</v>
      </c>
      <c r="AX133" s="580"/>
    </row>
    <row r="134" spans="1:51" s="569" customFormat="1" ht="12.75" customHeight="1" x14ac:dyDescent="0.2">
      <c r="A134" s="571">
        <v>30</v>
      </c>
      <c r="B134" s="572">
        <v>3419</v>
      </c>
      <c r="C134" s="572">
        <v>600078434</v>
      </c>
      <c r="D134" s="572">
        <v>72742658</v>
      </c>
      <c r="E134" s="573" t="s">
        <v>67</v>
      </c>
      <c r="F134" s="572">
        <v>3113</v>
      </c>
      <c r="G134" s="573" t="s">
        <v>320</v>
      </c>
      <c r="H134" s="736" t="s">
        <v>283</v>
      </c>
      <c r="I134" s="575">
        <f t="shared" si="301"/>
        <v>11803488</v>
      </c>
      <c r="J134" s="496">
        <v>8534299</v>
      </c>
      <c r="K134" s="131">
        <f t="shared" si="302"/>
        <v>2884593</v>
      </c>
      <c r="L134" s="131">
        <f t="shared" si="303"/>
        <v>170686</v>
      </c>
      <c r="M134" s="496">
        <v>213910</v>
      </c>
      <c r="N134" s="576">
        <f t="shared" si="304"/>
        <v>16.631399999999999</v>
      </c>
      <c r="O134" s="577">
        <v>12.3042</v>
      </c>
      <c r="P134" s="578">
        <v>4.3271999999999995</v>
      </c>
      <c r="Q134" s="579">
        <f t="shared" si="305"/>
        <v>-66560</v>
      </c>
      <c r="R134" s="498">
        <v>0</v>
      </c>
      <c r="S134" s="498">
        <v>0</v>
      </c>
      <c r="T134" s="498">
        <v>0</v>
      </c>
      <c r="U134" s="498">
        <f t="shared" si="197"/>
        <v>-66560</v>
      </c>
      <c r="V134" s="498">
        <v>66560</v>
      </c>
      <c r="W134" s="498">
        <v>0</v>
      </c>
      <c r="X134" s="498">
        <v>0</v>
      </c>
      <c r="Y134" s="498">
        <f t="shared" si="198"/>
        <v>66560</v>
      </c>
      <c r="Z134" s="498">
        <f t="shared" si="199"/>
        <v>0</v>
      </c>
      <c r="AA134" s="131">
        <f t="shared" si="306"/>
        <v>0</v>
      </c>
      <c r="AB134" s="131">
        <f t="shared" si="200"/>
        <v>-1331</v>
      </c>
      <c r="AC134" s="498">
        <v>0</v>
      </c>
      <c r="AD134" s="498">
        <v>0</v>
      </c>
      <c r="AE134" s="498">
        <f t="shared" si="201"/>
        <v>0</v>
      </c>
      <c r="AF134" s="498">
        <f t="shared" si="202"/>
        <v>-1331</v>
      </c>
      <c r="AG134" s="499">
        <v>-0.05</v>
      </c>
      <c r="AH134" s="499">
        <v>-0.22</v>
      </c>
      <c r="AI134" s="499">
        <v>0</v>
      </c>
      <c r="AJ134" s="499">
        <v>0</v>
      </c>
      <c r="AK134" s="499">
        <v>0</v>
      </c>
      <c r="AL134" s="499">
        <f t="shared" si="203"/>
        <v>-0.05</v>
      </c>
      <c r="AM134" s="499">
        <f t="shared" si="204"/>
        <v>-0.22</v>
      </c>
      <c r="AN134" s="529">
        <f t="shared" si="205"/>
        <v>-0.27</v>
      </c>
      <c r="AO134" s="579">
        <f t="shared" si="307"/>
        <v>11802157</v>
      </c>
      <c r="AP134" s="498">
        <f t="shared" si="308"/>
        <v>8467739</v>
      </c>
      <c r="AQ134" s="498">
        <f t="shared" si="309"/>
        <v>66560</v>
      </c>
      <c r="AR134" s="498">
        <f t="shared" si="310"/>
        <v>2884593</v>
      </c>
      <c r="AS134" s="498">
        <f t="shared" si="310"/>
        <v>169355</v>
      </c>
      <c r="AT134" s="498">
        <f t="shared" si="311"/>
        <v>213910</v>
      </c>
      <c r="AU134" s="499">
        <f t="shared" si="312"/>
        <v>16.3614</v>
      </c>
      <c r="AV134" s="499">
        <f t="shared" si="313"/>
        <v>12.254199999999999</v>
      </c>
      <c r="AW134" s="500">
        <f t="shared" si="313"/>
        <v>4.1071999999999997</v>
      </c>
      <c r="AX134" s="580"/>
    </row>
    <row r="135" spans="1:51" s="569" customFormat="1" x14ac:dyDescent="0.2">
      <c r="A135" s="571">
        <v>30</v>
      </c>
      <c r="B135" s="572">
        <v>3419</v>
      </c>
      <c r="C135" s="572">
        <v>600078434</v>
      </c>
      <c r="D135" s="572">
        <v>72742658</v>
      </c>
      <c r="E135" s="573" t="s">
        <v>67</v>
      </c>
      <c r="F135" s="572">
        <v>3113</v>
      </c>
      <c r="G135" s="573" t="s">
        <v>318</v>
      </c>
      <c r="H135" s="736" t="s">
        <v>284</v>
      </c>
      <c r="I135" s="575">
        <f t="shared" si="301"/>
        <v>0</v>
      </c>
      <c r="J135" s="496">
        <v>0</v>
      </c>
      <c r="K135" s="131">
        <f t="shared" si="302"/>
        <v>0</v>
      </c>
      <c r="L135" s="131">
        <f t="shared" si="303"/>
        <v>0</v>
      </c>
      <c r="M135" s="496">
        <v>0</v>
      </c>
      <c r="N135" s="576">
        <f t="shared" si="304"/>
        <v>0</v>
      </c>
      <c r="O135" s="577">
        <v>0</v>
      </c>
      <c r="P135" s="578">
        <v>0</v>
      </c>
      <c r="Q135" s="579">
        <f t="shared" si="305"/>
        <v>0</v>
      </c>
      <c r="R135" s="496">
        <v>1622579</v>
      </c>
      <c r="S135" s="498">
        <v>0</v>
      </c>
      <c r="T135" s="498">
        <v>0</v>
      </c>
      <c r="U135" s="498">
        <f t="shared" si="197"/>
        <v>1622579</v>
      </c>
      <c r="V135" s="498">
        <v>0</v>
      </c>
      <c r="W135" s="498">
        <v>0</v>
      </c>
      <c r="X135" s="498">
        <v>0</v>
      </c>
      <c r="Y135" s="498">
        <f t="shared" si="198"/>
        <v>0</v>
      </c>
      <c r="Z135" s="498">
        <f t="shared" si="199"/>
        <v>1622579</v>
      </c>
      <c r="AA135" s="131">
        <f t="shared" si="306"/>
        <v>548432</v>
      </c>
      <c r="AB135" s="131">
        <f t="shared" si="200"/>
        <v>32452</v>
      </c>
      <c r="AC135" s="498">
        <v>0</v>
      </c>
      <c r="AD135" s="498">
        <v>0</v>
      </c>
      <c r="AE135" s="498">
        <f t="shared" si="201"/>
        <v>0</v>
      </c>
      <c r="AF135" s="498">
        <f t="shared" si="202"/>
        <v>2203463</v>
      </c>
      <c r="AG135" s="499">
        <v>0</v>
      </c>
      <c r="AH135" s="499">
        <v>0</v>
      </c>
      <c r="AI135" s="499">
        <v>4.8499999999999996</v>
      </c>
      <c r="AJ135" s="499">
        <v>0</v>
      </c>
      <c r="AK135" s="499">
        <v>0</v>
      </c>
      <c r="AL135" s="499">
        <f t="shared" si="203"/>
        <v>4.8499999999999996</v>
      </c>
      <c r="AM135" s="499">
        <f t="shared" si="204"/>
        <v>0</v>
      </c>
      <c r="AN135" s="529">
        <f t="shared" si="205"/>
        <v>4.8499999999999996</v>
      </c>
      <c r="AO135" s="579">
        <f t="shared" si="307"/>
        <v>2203463</v>
      </c>
      <c r="AP135" s="498">
        <f t="shared" si="308"/>
        <v>1622579</v>
      </c>
      <c r="AQ135" s="498">
        <f t="shared" si="309"/>
        <v>0</v>
      </c>
      <c r="AR135" s="498">
        <f t="shared" si="310"/>
        <v>548432</v>
      </c>
      <c r="AS135" s="498">
        <f t="shared" si="310"/>
        <v>32452</v>
      </c>
      <c r="AT135" s="498">
        <f t="shared" si="311"/>
        <v>0</v>
      </c>
      <c r="AU135" s="499">
        <f t="shared" si="312"/>
        <v>4.8499999999999996</v>
      </c>
      <c r="AV135" s="499">
        <f t="shared" si="313"/>
        <v>4.8499999999999996</v>
      </c>
      <c r="AW135" s="500">
        <f t="shared" si="313"/>
        <v>0</v>
      </c>
      <c r="AX135" s="580"/>
    </row>
    <row r="136" spans="1:51" s="569" customFormat="1" ht="12.75" customHeight="1" x14ac:dyDescent="0.2">
      <c r="A136" s="571">
        <v>30</v>
      </c>
      <c r="B136" s="572">
        <v>3419</v>
      </c>
      <c r="C136" s="572">
        <v>600078434</v>
      </c>
      <c r="D136" s="572">
        <v>72742658</v>
      </c>
      <c r="E136" s="573" t="s">
        <v>67</v>
      </c>
      <c r="F136" s="572">
        <v>3141</v>
      </c>
      <c r="G136" s="573" t="s">
        <v>321</v>
      </c>
      <c r="H136" s="736" t="s">
        <v>284</v>
      </c>
      <c r="I136" s="575">
        <f t="shared" si="301"/>
        <v>1665339</v>
      </c>
      <c r="J136" s="496">
        <v>1218416</v>
      </c>
      <c r="K136" s="131">
        <f t="shared" si="302"/>
        <v>411825</v>
      </c>
      <c r="L136" s="131">
        <f t="shared" si="303"/>
        <v>24368</v>
      </c>
      <c r="M136" s="496">
        <v>10730</v>
      </c>
      <c r="N136" s="576">
        <f t="shared" si="304"/>
        <v>4.1399999999999997</v>
      </c>
      <c r="O136" s="577">
        <v>0</v>
      </c>
      <c r="P136" s="578">
        <v>4.1399999999999997</v>
      </c>
      <c r="Q136" s="579">
        <f t="shared" si="305"/>
        <v>0</v>
      </c>
      <c r="R136" s="498">
        <v>0</v>
      </c>
      <c r="S136" s="498">
        <v>0</v>
      </c>
      <c r="T136" s="498">
        <v>0</v>
      </c>
      <c r="U136" s="498">
        <f t="shared" si="197"/>
        <v>0</v>
      </c>
      <c r="V136" s="498">
        <v>0</v>
      </c>
      <c r="W136" s="498">
        <v>0</v>
      </c>
      <c r="X136" s="498">
        <v>0</v>
      </c>
      <c r="Y136" s="498">
        <f t="shared" si="198"/>
        <v>0</v>
      </c>
      <c r="Z136" s="498">
        <f t="shared" si="199"/>
        <v>0</v>
      </c>
      <c r="AA136" s="131">
        <f t="shared" si="306"/>
        <v>0</v>
      </c>
      <c r="AB136" s="131">
        <f t="shared" si="200"/>
        <v>0</v>
      </c>
      <c r="AC136" s="498">
        <v>0</v>
      </c>
      <c r="AD136" s="498">
        <v>0</v>
      </c>
      <c r="AE136" s="498">
        <f t="shared" si="201"/>
        <v>0</v>
      </c>
      <c r="AF136" s="498">
        <f t="shared" si="202"/>
        <v>0</v>
      </c>
      <c r="AG136" s="499">
        <v>0</v>
      </c>
      <c r="AH136" s="499">
        <v>0</v>
      </c>
      <c r="AI136" s="499">
        <v>0</v>
      </c>
      <c r="AJ136" s="499">
        <v>0</v>
      </c>
      <c r="AK136" s="499">
        <v>0</v>
      </c>
      <c r="AL136" s="499">
        <f t="shared" si="203"/>
        <v>0</v>
      </c>
      <c r="AM136" s="499">
        <f t="shared" si="204"/>
        <v>0</v>
      </c>
      <c r="AN136" s="529">
        <f t="shared" si="205"/>
        <v>0</v>
      </c>
      <c r="AO136" s="579">
        <f t="shared" si="307"/>
        <v>1665339</v>
      </c>
      <c r="AP136" s="498">
        <f t="shared" si="308"/>
        <v>1218416</v>
      </c>
      <c r="AQ136" s="498">
        <f t="shared" si="309"/>
        <v>0</v>
      </c>
      <c r="AR136" s="498">
        <f t="shared" si="310"/>
        <v>411825</v>
      </c>
      <c r="AS136" s="498">
        <f t="shared" si="310"/>
        <v>24368</v>
      </c>
      <c r="AT136" s="498">
        <f t="shared" si="311"/>
        <v>10730</v>
      </c>
      <c r="AU136" s="499">
        <f t="shared" si="312"/>
        <v>4.1399999999999997</v>
      </c>
      <c r="AV136" s="499">
        <f t="shared" si="313"/>
        <v>0</v>
      </c>
      <c r="AW136" s="500">
        <f t="shared" si="313"/>
        <v>4.1399999999999997</v>
      </c>
      <c r="AX136" s="580"/>
      <c r="AY136" s="580"/>
    </row>
    <row r="137" spans="1:51" s="569" customFormat="1" ht="12.75" customHeight="1" x14ac:dyDescent="0.2">
      <c r="A137" s="571">
        <v>30</v>
      </c>
      <c r="B137" s="572">
        <v>3419</v>
      </c>
      <c r="C137" s="572">
        <v>600078434</v>
      </c>
      <c r="D137" s="572">
        <v>72742658</v>
      </c>
      <c r="E137" s="573" t="s">
        <v>67</v>
      </c>
      <c r="F137" s="572">
        <v>3143</v>
      </c>
      <c r="G137" s="573" t="s">
        <v>635</v>
      </c>
      <c r="H137" s="736" t="s">
        <v>283</v>
      </c>
      <c r="I137" s="575">
        <f t="shared" si="301"/>
        <v>846193</v>
      </c>
      <c r="J137" s="496">
        <v>623117</v>
      </c>
      <c r="K137" s="131">
        <v>210613</v>
      </c>
      <c r="L137" s="131">
        <v>12463</v>
      </c>
      <c r="M137" s="496">
        <v>0</v>
      </c>
      <c r="N137" s="576">
        <f t="shared" si="304"/>
        <v>1.2949999999999999</v>
      </c>
      <c r="O137" s="577">
        <v>1.2949999999999999</v>
      </c>
      <c r="P137" s="578">
        <v>0</v>
      </c>
      <c r="Q137" s="579">
        <f t="shared" si="305"/>
        <v>0</v>
      </c>
      <c r="R137" s="498">
        <v>0</v>
      </c>
      <c r="S137" s="498">
        <v>0</v>
      </c>
      <c r="T137" s="498">
        <v>0</v>
      </c>
      <c r="U137" s="498">
        <f t="shared" si="197"/>
        <v>0</v>
      </c>
      <c r="V137" s="498">
        <v>0</v>
      </c>
      <c r="W137" s="498">
        <v>0</v>
      </c>
      <c r="X137" s="498">
        <v>0</v>
      </c>
      <c r="Y137" s="498">
        <f t="shared" si="198"/>
        <v>0</v>
      </c>
      <c r="Z137" s="498">
        <f t="shared" si="199"/>
        <v>0</v>
      </c>
      <c r="AA137" s="131">
        <f t="shared" si="306"/>
        <v>0</v>
      </c>
      <c r="AB137" s="131">
        <f t="shared" si="200"/>
        <v>0</v>
      </c>
      <c r="AC137" s="498">
        <v>0</v>
      </c>
      <c r="AD137" s="498">
        <v>0</v>
      </c>
      <c r="AE137" s="498">
        <f t="shared" si="201"/>
        <v>0</v>
      </c>
      <c r="AF137" s="498">
        <f t="shared" si="202"/>
        <v>0</v>
      </c>
      <c r="AG137" s="499">
        <v>0</v>
      </c>
      <c r="AH137" s="499">
        <v>0</v>
      </c>
      <c r="AI137" s="499">
        <v>0</v>
      </c>
      <c r="AJ137" s="499">
        <v>0</v>
      </c>
      <c r="AK137" s="499">
        <v>0</v>
      </c>
      <c r="AL137" s="499">
        <f t="shared" si="203"/>
        <v>0</v>
      </c>
      <c r="AM137" s="499">
        <f t="shared" si="204"/>
        <v>0</v>
      </c>
      <c r="AN137" s="529">
        <f t="shared" si="205"/>
        <v>0</v>
      </c>
      <c r="AO137" s="579">
        <f t="shared" si="307"/>
        <v>846193</v>
      </c>
      <c r="AP137" s="498">
        <f t="shared" si="308"/>
        <v>623117</v>
      </c>
      <c r="AQ137" s="498">
        <f t="shared" si="309"/>
        <v>0</v>
      </c>
      <c r="AR137" s="498">
        <f t="shared" si="310"/>
        <v>210613</v>
      </c>
      <c r="AS137" s="498">
        <f t="shared" si="310"/>
        <v>12463</v>
      </c>
      <c r="AT137" s="498">
        <f t="shared" si="311"/>
        <v>0</v>
      </c>
      <c r="AU137" s="499">
        <f t="shared" si="312"/>
        <v>1.2949999999999999</v>
      </c>
      <c r="AV137" s="499">
        <f t="shared" si="313"/>
        <v>1.2949999999999999</v>
      </c>
      <c r="AW137" s="500">
        <f t="shared" si="313"/>
        <v>0</v>
      </c>
      <c r="AX137" s="580"/>
    </row>
    <row r="138" spans="1:51" s="569" customFormat="1" ht="12.75" customHeight="1" x14ac:dyDescent="0.2">
      <c r="A138" s="571">
        <v>30</v>
      </c>
      <c r="B138" s="572">
        <v>3419</v>
      </c>
      <c r="C138" s="572">
        <v>600078434</v>
      </c>
      <c r="D138" s="572">
        <v>72742658</v>
      </c>
      <c r="E138" s="573" t="s">
        <v>67</v>
      </c>
      <c r="F138" s="572">
        <v>3143</v>
      </c>
      <c r="G138" s="573" t="s">
        <v>636</v>
      </c>
      <c r="H138" s="736" t="s">
        <v>284</v>
      </c>
      <c r="I138" s="575">
        <f t="shared" si="301"/>
        <v>34408</v>
      </c>
      <c r="J138" s="496">
        <v>24255</v>
      </c>
      <c r="K138" s="131">
        <f t="shared" ref="K138:K139" si="314">ROUND((J138)*33.8%,0)</f>
        <v>8198</v>
      </c>
      <c r="L138" s="131">
        <f t="shared" ref="L138:L139" si="315">ROUND(J138*2%,0)</f>
        <v>485</v>
      </c>
      <c r="M138" s="496">
        <v>1470</v>
      </c>
      <c r="N138" s="576">
        <f t="shared" si="304"/>
        <v>0.1</v>
      </c>
      <c r="O138" s="577">
        <v>0</v>
      </c>
      <c r="P138" s="578">
        <v>0.1</v>
      </c>
      <c r="Q138" s="579">
        <f t="shared" si="305"/>
        <v>0</v>
      </c>
      <c r="R138" s="498">
        <v>0</v>
      </c>
      <c r="S138" s="498">
        <v>0</v>
      </c>
      <c r="T138" s="498">
        <v>0</v>
      </c>
      <c r="U138" s="498">
        <f t="shared" si="197"/>
        <v>0</v>
      </c>
      <c r="V138" s="498">
        <v>0</v>
      </c>
      <c r="W138" s="498">
        <v>0</v>
      </c>
      <c r="X138" s="498">
        <v>0</v>
      </c>
      <c r="Y138" s="498">
        <f t="shared" si="198"/>
        <v>0</v>
      </c>
      <c r="Z138" s="498">
        <f t="shared" si="199"/>
        <v>0</v>
      </c>
      <c r="AA138" s="131">
        <f t="shared" si="306"/>
        <v>0</v>
      </c>
      <c r="AB138" s="131">
        <f t="shared" si="200"/>
        <v>0</v>
      </c>
      <c r="AC138" s="498">
        <v>0</v>
      </c>
      <c r="AD138" s="498">
        <v>0</v>
      </c>
      <c r="AE138" s="498">
        <f t="shared" si="201"/>
        <v>0</v>
      </c>
      <c r="AF138" s="498">
        <f t="shared" si="202"/>
        <v>0</v>
      </c>
      <c r="AG138" s="499">
        <v>0</v>
      </c>
      <c r="AH138" s="499">
        <v>0</v>
      </c>
      <c r="AI138" s="499">
        <v>0</v>
      </c>
      <c r="AJ138" s="499">
        <v>0</v>
      </c>
      <c r="AK138" s="499">
        <v>0</v>
      </c>
      <c r="AL138" s="499">
        <f t="shared" si="203"/>
        <v>0</v>
      </c>
      <c r="AM138" s="499">
        <f t="shared" si="204"/>
        <v>0</v>
      </c>
      <c r="AN138" s="529">
        <f t="shared" si="205"/>
        <v>0</v>
      </c>
      <c r="AO138" s="579">
        <f t="shared" si="307"/>
        <v>34408</v>
      </c>
      <c r="AP138" s="498">
        <f t="shared" si="308"/>
        <v>24255</v>
      </c>
      <c r="AQ138" s="498">
        <f t="shared" si="309"/>
        <v>0</v>
      </c>
      <c r="AR138" s="498">
        <f t="shared" si="310"/>
        <v>8198</v>
      </c>
      <c r="AS138" s="498">
        <f t="shared" si="310"/>
        <v>485</v>
      </c>
      <c r="AT138" s="498">
        <f t="shared" si="311"/>
        <v>1470</v>
      </c>
      <c r="AU138" s="499">
        <f t="shared" si="312"/>
        <v>0.1</v>
      </c>
      <c r="AV138" s="499">
        <f t="shared" si="313"/>
        <v>0</v>
      </c>
      <c r="AW138" s="500">
        <f t="shared" si="313"/>
        <v>0.1</v>
      </c>
      <c r="AX138" s="580"/>
    </row>
    <row r="139" spans="1:51" s="569" customFormat="1" ht="12.75" customHeight="1" x14ac:dyDescent="0.2">
      <c r="A139" s="571">
        <v>30</v>
      </c>
      <c r="B139" s="572">
        <v>3419</v>
      </c>
      <c r="C139" s="572">
        <v>600078434</v>
      </c>
      <c r="D139" s="572">
        <v>72742658</v>
      </c>
      <c r="E139" s="573" t="s">
        <v>67</v>
      </c>
      <c r="F139" s="572">
        <v>3143</v>
      </c>
      <c r="G139" s="573" t="s">
        <v>323</v>
      </c>
      <c r="H139" s="736" t="s">
        <v>284</v>
      </c>
      <c r="I139" s="575">
        <f t="shared" si="301"/>
        <v>336255</v>
      </c>
      <c r="J139" s="496">
        <v>247080</v>
      </c>
      <c r="K139" s="131">
        <f t="shared" si="314"/>
        <v>83513</v>
      </c>
      <c r="L139" s="131">
        <f t="shared" si="315"/>
        <v>4942</v>
      </c>
      <c r="M139" s="496">
        <v>720</v>
      </c>
      <c r="N139" s="576">
        <f t="shared" si="304"/>
        <v>0.55000000000000004</v>
      </c>
      <c r="O139" s="577">
        <v>0.5</v>
      </c>
      <c r="P139" s="578">
        <v>0.05</v>
      </c>
      <c r="Q139" s="579">
        <f t="shared" si="305"/>
        <v>0</v>
      </c>
      <c r="R139" s="498">
        <v>0</v>
      </c>
      <c r="S139" s="498">
        <v>0</v>
      </c>
      <c r="T139" s="498">
        <v>0</v>
      </c>
      <c r="U139" s="498">
        <f t="shared" si="197"/>
        <v>0</v>
      </c>
      <c r="V139" s="498">
        <v>0</v>
      </c>
      <c r="W139" s="498">
        <v>0</v>
      </c>
      <c r="X139" s="498">
        <v>0</v>
      </c>
      <c r="Y139" s="498">
        <f t="shared" si="198"/>
        <v>0</v>
      </c>
      <c r="Z139" s="498">
        <f t="shared" si="199"/>
        <v>0</v>
      </c>
      <c r="AA139" s="131">
        <f t="shared" si="306"/>
        <v>0</v>
      </c>
      <c r="AB139" s="131">
        <f t="shared" si="200"/>
        <v>0</v>
      </c>
      <c r="AC139" s="498">
        <v>0</v>
      </c>
      <c r="AD139" s="498">
        <v>0</v>
      </c>
      <c r="AE139" s="498">
        <f t="shared" si="201"/>
        <v>0</v>
      </c>
      <c r="AF139" s="498">
        <f t="shared" si="202"/>
        <v>0</v>
      </c>
      <c r="AG139" s="499">
        <v>0</v>
      </c>
      <c r="AH139" s="499">
        <v>0</v>
      </c>
      <c r="AI139" s="499">
        <v>0</v>
      </c>
      <c r="AJ139" s="499">
        <v>0</v>
      </c>
      <c r="AK139" s="499">
        <v>0</v>
      </c>
      <c r="AL139" s="499">
        <f t="shared" si="203"/>
        <v>0</v>
      </c>
      <c r="AM139" s="499">
        <f t="shared" si="204"/>
        <v>0</v>
      </c>
      <c r="AN139" s="529">
        <f t="shared" si="205"/>
        <v>0</v>
      </c>
      <c r="AO139" s="579">
        <f t="shared" si="307"/>
        <v>336255</v>
      </c>
      <c r="AP139" s="498">
        <f t="shared" si="308"/>
        <v>247080</v>
      </c>
      <c r="AQ139" s="498">
        <f t="shared" si="309"/>
        <v>0</v>
      </c>
      <c r="AR139" s="498">
        <f t="shared" si="310"/>
        <v>83513</v>
      </c>
      <c r="AS139" s="498">
        <f t="shared" si="310"/>
        <v>4942</v>
      </c>
      <c r="AT139" s="498">
        <f t="shared" si="311"/>
        <v>720</v>
      </c>
      <c r="AU139" s="499">
        <f t="shared" si="312"/>
        <v>0.55000000000000004</v>
      </c>
      <c r="AV139" s="499">
        <f t="shared" si="313"/>
        <v>0.5</v>
      </c>
      <c r="AW139" s="500">
        <f t="shared" si="313"/>
        <v>0.05</v>
      </c>
      <c r="AX139" s="580"/>
    </row>
    <row r="140" spans="1:51" s="569" customFormat="1" ht="12.75" customHeight="1" x14ac:dyDescent="0.2">
      <c r="A140" s="299">
        <v>30</v>
      </c>
      <c r="B140" s="23">
        <v>3419</v>
      </c>
      <c r="C140" s="298">
        <v>600078434</v>
      </c>
      <c r="D140" s="298">
        <v>72742658</v>
      </c>
      <c r="E140" s="570" t="s">
        <v>68</v>
      </c>
      <c r="F140" s="23"/>
      <c r="G140" s="570"/>
      <c r="H140" s="735"/>
      <c r="I140" s="35">
        <f t="shared" ref="I140:P140" si="316">SUM(I133:I139)</f>
        <v>17587524</v>
      </c>
      <c r="J140" s="24">
        <f t="shared" si="316"/>
        <v>12767779</v>
      </c>
      <c r="K140" s="24">
        <f t="shared" si="316"/>
        <v>4315509</v>
      </c>
      <c r="L140" s="24">
        <f t="shared" si="316"/>
        <v>255356</v>
      </c>
      <c r="M140" s="24">
        <f t="shared" si="316"/>
        <v>248880</v>
      </c>
      <c r="N140" s="25">
        <f t="shared" si="316"/>
        <v>27.609200000000005</v>
      </c>
      <c r="O140" s="391">
        <f t="shared" si="316"/>
        <v>17.970199999999998</v>
      </c>
      <c r="P140" s="456">
        <f t="shared" si="316"/>
        <v>9.6389999999999993</v>
      </c>
      <c r="Q140" s="35">
        <f t="shared" ref="Q140:AW140" si="317">SUM(Q133:Q139)</f>
        <v>-74560</v>
      </c>
      <c r="R140" s="24">
        <f t="shared" si="317"/>
        <v>1622579</v>
      </c>
      <c r="S140" s="24">
        <f t="shared" si="317"/>
        <v>0</v>
      </c>
      <c r="T140" s="24">
        <f t="shared" si="317"/>
        <v>0</v>
      </c>
      <c r="U140" s="24">
        <f t="shared" si="317"/>
        <v>1548019</v>
      </c>
      <c r="V140" s="24">
        <f t="shared" si="317"/>
        <v>74560</v>
      </c>
      <c r="W140" s="24">
        <f t="shared" si="317"/>
        <v>0</v>
      </c>
      <c r="X140" s="24">
        <f t="shared" si="317"/>
        <v>0</v>
      </c>
      <c r="Y140" s="24">
        <f t="shared" si="317"/>
        <v>74560</v>
      </c>
      <c r="Z140" s="24">
        <f t="shared" si="317"/>
        <v>1622579</v>
      </c>
      <c r="AA140" s="24">
        <f t="shared" si="317"/>
        <v>548432</v>
      </c>
      <c r="AB140" s="24">
        <f t="shared" si="317"/>
        <v>30961</v>
      </c>
      <c r="AC140" s="24">
        <f t="shared" si="317"/>
        <v>0</v>
      </c>
      <c r="AD140" s="24">
        <f t="shared" si="317"/>
        <v>0</v>
      </c>
      <c r="AE140" s="24">
        <f t="shared" si="317"/>
        <v>0</v>
      </c>
      <c r="AF140" s="24">
        <f t="shared" si="317"/>
        <v>2201972</v>
      </c>
      <c r="AG140" s="25">
        <f t="shared" si="317"/>
        <v>-0.05</v>
      </c>
      <c r="AH140" s="25">
        <f t="shared" si="317"/>
        <v>-0.26</v>
      </c>
      <c r="AI140" s="25">
        <f t="shared" si="317"/>
        <v>4.8499999999999996</v>
      </c>
      <c r="AJ140" s="25">
        <f t="shared" si="317"/>
        <v>0</v>
      </c>
      <c r="AK140" s="25">
        <f t="shared" si="317"/>
        <v>0</v>
      </c>
      <c r="AL140" s="25">
        <f t="shared" si="317"/>
        <v>4.8</v>
      </c>
      <c r="AM140" s="25">
        <f t="shared" si="317"/>
        <v>-0.26</v>
      </c>
      <c r="AN140" s="392">
        <f t="shared" si="317"/>
        <v>4.54</v>
      </c>
      <c r="AO140" s="35">
        <f t="shared" si="317"/>
        <v>19789496</v>
      </c>
      <c r="AP140" s="24">
        <f t="shared" si="317"/>
        <v>14315798</v>
      </c>
      <c r="AQ140" s="24">
        <f t="shared" si="317"/>
        <v>74560</v>
      </c>
      <c r="AR140" s="24">
        <f t="shared" si="317"/>
        <v>4863941</v>
      </c>
      <c r="AS140" s="24">
        <f t="shared" si="317"/>
        <v>286317</v>
      </c>
      <c r="AT140" s="24">
        <f t="shared" si="317"/>
        <v>248880</v>
      </c>
      <c r="AU140" s="25">
        <f t="shared" si="317"/>
        <v>32.1492</v>
      </c>
      <c r="AV140" s="25">
        <f t="shared" si="317"/>
        <v>22.770200000000003</v>
      </c>
      <c r="AW140" s="72">
        <f t="shared" si="317"/>
        <v>9.3789999999999996</v>
      </c>
      <c r="AX140" s="580"/>
    </row>
    <row r="141" spans="1:51" s="569" customFormat="1" ht="12.75" customHeight="1" x14ac:dyDescent="0.2">
      <c r="A141" s="571">
        <v>31</v>
      </c>
      <c r="B141" s="572">
        <v>3422</v>
      </c>
      <c r="C141" s="572">
        <v>600078591</v>
      </c>
      <c r="D141" s="572">
        <v>72742682</v>
      </c>
      <c r="E141" s="573" t="s">
        <v>69</v>
      </c>
      <c r="F141" s="572">
        <v>3111</v>
      </c>
      <c r="G141" s="573" t="s">
        <v>317</v>
      </c>
      <c r="H141" s="736" t="s">
        <v>283</v>
      </c>
      <c r="I141" s="575">
        <f t="shared" ref="I141:I146" si="318">SUM(J141:M141)</f>
        <v>2614262</v>
      </c>
      <c r="J141" s="496">
        <v>1909839</v>
      </c>
      <c r="K141" s="131">
        <f t="shared" ref="K141:K144" si="319">ROUND((J141)*33.8%,0)</f>
        <v>645526</v>
      </c>
      <c r="L141" s="131">
        <f t="shared" ref="L141:L146" si="320">ROUND(J141*2%,0)</f>
        <v>38197</v>
      </c>
      <c r="M141" s="496">
        <v>20700</v>
      </c>
      <c r="N141" s="576">
        <f t="shared" ref="N141:N146" si="321">SUM(O141:P141)</f>
        <v>4.8281999999999998</v>
      </c>
      <c r="O141" s="577">
        <v>3.8064</v>
      </c>
      <c r="P141" s="578">
        <v>1.0218</v>
      </c>
      <c r="Q141" s="579">
        <f t="shared" ref="Q141:Q146" si="322">V141*-1</f>
        <v>0</v>
      </c>
      <c r="R141" s="498">
        <v>0</v>
      </c>
      <c r="S141" s="498">
        <v>0</v>
      </c>
      <c r="T141" s="498">
        <v>0</v>
      </c>
      <c r="U141" s="498">
        <f t="shared" si="197"/>
        <v>0</v>
      </c>
      <c r="V141" s="498">
        <v>0</v>
      </c>
      <c r="W141" s="498">
        <v>0</v>
      </c>
      <c r="X141" s="498">
        <v>0</v>
      </c>
      <c r="Y141" s="498">
        <f t="shared" si="198"/>
        <v>0</v>
      </c>
      <c r="Z141" s="498">
        <f t="shared" si="199"/>
        <v>0</v>
      </c>
      <c r="AA141" s="131">
        <f t="shared" ref="AA141:AA146" si="323">ROUND((U141+V141+W139)*33.8%,0)</f>
        <v>0</v>
      </c>
      <c r="AB141" s="131">
        <f t="shared" si="200"/>
        <v>0</v>
      </c>
      <c r="AC141" s="498">
        <v>0</v>
      </c>
      <c r="AD141" s="498">
        <v>0</v>
      </c>
      <c r="AE141" s="498">
        <f t="shared" si="201"/>
        <v>0</v>
      </c>
      <c r="AF141" s="498">
        <f t="shared" si="202"/>
        <v>0</v>
      </c>
      <c r="AG141" s="499">
        <v>0</v>
      </c>
      <c r="AH141" s="499">
        <v>0</v>
      </c>
      <c r="AI141" s="499">
        <v>0</v>
      </c>
      <c r="AJ141" s="499">
        <v>0</v>
      </c>
      <c r="AK141" s="499">
        <v>0</v>
      </c>
      <c r="AL141" s="499">
        <f t="shared" si="203"/>
        <v>0</v>
      </c>
      <c r="AM141" s="499">
        <f t="shared" si="204"/>
        <v>0</v>
      </c>
      <c r="AN141" s="529">
        <f t="shared" si="205"/>
        <v>0</v>
      </c>
      <c r="AO141" s="579">
        <f t="shared" ref="AO141:AO146" si="324">I141+AF141</f>
        <v>2614262</v>
      </c>
      <c r="AP141" s="498">
        <f t="shared" ref="AP141:AP146" si="325">J141+U141</f>
        <v>1909839</v>
      </c>
      <c r="AQ141" s="498">
        <f t="shared" ref="AQ141:AQ146" si="326">Y141</f>
        <v>0</v>
      </c>
      <c r="AR141" s="498">
        <f t="shared" ref="AR141:AS146" si="327">K141+AA141</f>
        <v>645526</v>
      </c>
      <c r="AS141" s="498">
        <f t="shared" si="327"/>
        <v>38197</v>
      </c>
      <c r="AT141" s="498">
        <f t="shared" ref="AT141:AT146" si="328">M141+AE141</f>
        <v>20700</v>
      </c>
      <c r="AU141" s="499">
        <f t="shared" ref="AU141:AU146" si="329">N141+AN141</f>
        <v>4.8281999999999998</v>
      </c>
      <c r="AV141" s="499">
        <f t="shared" ref="AV141:AW146" si="330">O141+AL141</f>
        <v>3.8064</v>
      </c>
      <c r="AW141" s="500">
        <f t="shared" si="330"/>
        <v>1.0218</v>
      </c>
      <c r="AX141" s="580"/>
    </row>
    <row r="142" spans="1:51" s="569" customFormat="1" ht="12.75" customHeight="1" x14ac:dyDescent="0.2">
      <c r="A142" s="571">
        <v>31</v>
      </c>
      <c r="B142" s="572">
        <v>3422</v>
      </c>
      <c r="C142" s="572">
        <v>600078591</v>
      </c>
      <c r="D142" s="572">
        <v>72742682</v>
      </c>
      <c r="E142" s="573" t="s">
        <v>69</v>
      </c>
      <c r="F142" s="572">
        <v>3113</v>
      </c>
      <c r="G142" s="573" t="s">
        <v>320</v>
      </c>
      <c r="H142" s="736" t="s">
        <v>283</v>
      </c>
      <c r="I142" s="575">
        <f t="shared" si="318"/>
        <v>8114472</v>
      </c>
      <c r="J142" s="496">
        <v>5889913</v>
      </c>
      <c r="K142" s="131">
        <f t="shared" si="319"/>
        <v>1990791</v>
      </c>
      <c r="L142" s="131">
        <f t="shared" si="320"/>
        <v>117798</v>
      </c>
      <c r="M142" s="496">
        <v>115970</v>
      </c>
      <c r="N142" s="576">
        <f t="shared" si="321"/>
        <v>12.2692</v>
      </c>
      <c r="O142" s="577">
        <v>9.0909999999999993</v>
      </c>
      <c r="P142" s="578">
        <v>3.1781999999999999</v>
      </c>
      <c r="Q142" s="579">
        <f t="shared" si="322"/>
        <v>-8000</v>
      </c>
      <c r="R142" s="498">
        <v>0</v>
      </c>
      <c r="S142" s="498">
        <v>0</v>
      </c>
      <c r="T142" s="498">
        <v>0</v>
      </c>
      <c r="U142" s="498">
        <f t="shared" ref="U142:U182" si="331">SUM(Q142:T142)</f>
        <v>-8000</v>
      </c>
      <c r="V142" s="498">
        <v>8000</v>
      </c>
      <c r="W142" s="498">
        <v>0</v>
      </c>
      <c r="X142" s="498">
        <v>0</v>
      </c>
      <c r="Y142" s="498">
        <f t="shared" ref="Y142:Y182" si="332">SUM(V142:X142)</f>
        <v>8000</v>
      </c>
      <c r="Z142" s="498">
        <f t="shared" si="199"/>
        <v>0</v>
      </c>
      <c r="AA142" s="131">
        <f t="shared" si="323"/>
        <v>0</v>
      </c>
      <c r="AB142" s="131">
        <f t="shared" si="200"/>
        <v>-160</v>
      </c>
      <c r="AC142" s="498">
        <v>0</v>
      </c>
      <c r="AD142" s="498">
        <v>0</v>
      </c>
      <c r="AE142" s="498">
        <f t="shared" si="201"/>
        <v>0</v>
      </c>
      <c r="AF142" s="498">
        <f t="shared" si="202"/>
        <v>-160</v>
      </c>
      <c r="AG142" s="499">
        <v>0</v>
      </c>
      <c r="AH142" s="499">
        <v>0</v>
      </c>
      <c r="AI142" s="499">
        <v>0</v>
      </c>
      <c r="AJ142" s="499">
        <v>0</v>
      </c>
      <c r="AK142" s="499">
        <v>0</v>
      </c>
      <c r="AL142" s="499">
        <f t="shared" si="203"/>
        <v>0</v>
      </c>
      <c r="AM142" s="499">
        <f t="shared" si="204"/>
        <v>0</v>
      </c>
      <c r="AN142" s="529">
        <f t="shared" si="205"/>
        <v>0</v>
      </c>
      <c r="AO142" s="579">
        <f t="shared" si="324"/>
        <v>8114312</v>
      </c>
      <c r="AP142" s="498">
        <f t="shared" si="325"/>
        <v>5881913</v>
      </c>
      <c r="AQ142" s="498">
        <f t="shared" si="326"/>
        <v>8000</v>
      </c>
      <c r="AR142" s="498">
        <f t="shared" si="327"/>
        <v>1990791</v>
      </c>
      <c r="AS142" s="498">
        <f t="shared" si="327"/>
        <v>117638</v>
      </c>
      <c r="AT142" s="498">
        <f t="shared" si="328"/>
        <v>115970</v>
      </c>
      <c r="AU142" s="499">
        <f t="shared" si="329"/>
        <v>12.2692</v>
      </c>
      <c r="AV142" s="499">
        <f t="shared" si="330"/>
        <v>9.0909999999999993</v>
      </c>
      <c r="AW142" s="500">
        <f t="shared" si="330"/>
        <v>3.1781999999999999</v>
      </c>
      <c r="AX142" s="580"/>
    </row>
    <row r="143" spans="1:51" s="569" customFormat="1" x14ac:dyDescent="0.2">
      <c r="A143" s="571">
        <v>31</v>
      </c>
      <c r="B143" s="572">
        <v>3422</v>
      </c>
      <c r="C143" s="572">
        <v>600078591</v>
      </c>
      <c r="D143" s="572">
        <v>72742682</v>
      </c>
      <c r="E143" s="573" t="s">
        <v>69</v>
      </c>
      <c r="F143" s="572">
        <v>3113</v>
      </c>
      <c r="G143" s="573" t="s">
        <v>318</v>
      </c>
      <c r="H143" s="736" t="s">
        <v>284</v>
      </c>
      <c r="I143" s="575">
        <f t="shared" si="318"/>
        <v>0</v>
      </c>
      <c r="J143" s="496">
        <v>0</v>
      </c>
      <c r="K143" s="131">
        <f t="shared" si="319"/>
        <v>0</v>
      </c>
      <c r="L143" s="131">
        <f t="shared" si="320"/>
        <v>0</v>
      </c>
      <c r="M143" s="496">
        <v>0</v>
      </c>
      <c r="N143" s="576">
        <f t="shared" si="321"/>
        <v>0</v>
      </c>
      <c r="O143" s="577">
        <v>0</v>
      </c>
      <c r="P143" s="578">
        <v>0</v>
      </c>
      <c r="Q143" s="579">
        <f t="shared" si="322"/>
        <v>0</v>
      </c>
      <c r="R143" s="496">
        <v>1356915</v>
      </c>
      <c r="S143" s="498">
        <v>0</v>
      </c>
      <c r="T143" s="498">
        <v>0</v>
      </c>
      <c r="U143" s="498">
        <f t="shared" si="331"/>
        <v>1356915</v>
      </c>
      <c r="V143" s="498">
        <v>0</v>
      </c>
      <c r="W143" s="498">
        <v>0</v>
      </c>
      <c r="X143" s="498">
        <v>0</v>
      </c>
      <c r="Y143" s="498">
        <f t="shared" si="332"/>
        <v>0</v>
      </c>
      <c r="Z143" s="498">
        <f t="shared" ref="Z143:Z182" si="333">U143+Y143</f>
        <v>1356915</v>
      </c>
      <c r="AA143" s="131">
        <f t="shared" si="323"/>
        <v>458637</v>
      </c>
      <c r="AB143" s="131">
        <f t="shared" ref="AB143:AB182" si="334">ROUND(U143*2%,0)</f>
        <v>27138</v>
      </c>
      <c r="AC143" s="498">
        <v>0</v>
      </c>
      <c r="AD143" s="498">
        <v>0</v>
      </c>
      <c r="AE143" s="498">
        <f t="shared" ref="AE143:AE182" si="335">SUM(AC143:AD143)</f>
        <v>0</v>
      </c>
      <c r="AF143" s="498">
        <f t="shared" ref="AF143:AF182" si="336">Z143+AA143+AB143+AE143</f>
        <v>1842690</v>
      </c>
      <c r="AG143" s="499">
        <v>0</v>
      </c>
      <c r="AH143" s="499">
        <v>0</v>
      </c>
      <c r="AI143" s="499">
        <v>3.92</v>
      </c>
      <c r="AJ143" s="499">
        <v>0</v>
      </c>
      <c r="AK143" s="499">
        <v>0</v>
      </c>
      <c r="AL143" s="499">
        <f t="shared" ref="AL143:AL182" si="337">AG143+AI143+AJ143</f>
        <v>3.92</v>
      </c>
      <c r="AM143" s="499">
        <f t="shared" ref="AM143:AM182" si="338">AH143+AK143</f>
        <v>0</v>
      </c>
      <c r="AN143" s="529">
        <f t="shared" ref="AN143:AN182" si="339">SUM(AL143:AM143)</f>
        <v>3.92</v>
      </c>
      <c r="AO143" s="579">
        <f t="shared" si="324"/>
        <v>1842690</v>
      </c>
      <c r="AP143" s="498">
        <f t="shared" si="325"/>
        <v>1356915</v>
      </c>
      <c r="AQ143" s="498">
        <f t="shared" si="326"/>
        <v>0</v>
      </c>
      <c r="AR143" s="498">
        <f t="shared" si="327"/>
        <v>458637</v>
      </c>
      <c r="AS143" s="498">
        <f t="shared" si="327"/>
        <v>27138</v>
      </c>
      <c r="AT143" s="498">
        <f t="shared" si="328"/>
        <v>0</v>
      </c>
      <c r="AU143" s="499">
        <f t="shared" si="329"/>
        <v>3.92</v>
      </c>
      <c r="AV143" s="499">
        <f t="shared" si="330"/>
        <v>3.92</v>
      </c>
      <c r="AW143" s="500">
        <f t="shared" si="330"/>
        <v>0</v>
      </c>
      <c r="AX143" s="580"/>
    </row>
    <row r="144" spans="1:51" s="569" customFormat="1" ht="12.75" customHeight="1" x14ac:dyDescent="0.2">
      <c r="A144" s="571">
        <v>31</v>
      </c>
      <c r="B144" s="572">
        <v>3422</v>
      </c>
      <c r="C144" s="572">
        <v>600078591</v>
      </c>
      <c r="D144" s="572">
        <v>72742682</v>
      </c>
      <c r="E144" s="573" t="s">
        <v>69</v>
      </c>
      <c r="F144" s="572">
        <v>3141</v>
      </c>
      <c r="G144" s="573" t="s">
        <v>321</v>
      </c>
      <c r="H144" s="736" t="s">
        <v>284</v>
      </c>
      <c r="I144" s="575">
        <f t="shared" si="318"/>
        <v>1272997</v>
      </c>
      <c r="J144" s="496">
        <v>932409</v>
      </c>
      <c r="K144" s="131">
        <f t="shared" si="319"/>
        <v>315154</v>
      </c>
      <c r="L144" s="131">
        <f t="shared" si="320"/>
        <v>18648</v>
      </c>
      <c r="M144" s="496">
        <v>6786</v>
      </c>
      <c r="N144" s="576">
        <f t="shared" si="321"/>
        <v>3.17</v>
      </c>
      <c r="O144" s="577">
        <v>0</v>
      </c>
      <c r="P144" s="578">
        <v>3.17</v>
      </c>
      <c r="Q144" s="579">
        <f t="shared" si="322"/>
        <v>-24000</v>
      </c>
      <c r="R144" s="498">
        <v>0</v>
      </c>
      <c r="S144" s="498">
        <v>0</v>
      </c>
      <c r="T144" s="498">
        <v>0</v>
      </c>
      <c r="U144" s="498">
        <f t="shared" si="331"/>
        <v>-24000</v>
      </c>
      <c r="V144" s="498">
        <v>24000</v>
      </c>
      <c r="W144" s="498">
        <v>0</v>
      </c>
      <c r="X144" s="498">
        <v>0</v>
      </c>
      <c r="Y144" s="498">
        <f t="shared" si="332"/>
        <v>24000</v>
      </c>
      <c r="Z144" s="498">
        <f t="shared" si="333"/>
        <v>0</v>
      </c>
      <c r="AA144" s="131">
        <f t="shared" si="323"/>
        <v>0</v>
      </c>
      <c r="AB144" s="131">
        <f t="shared" si="334"/>
        <v>-480</v>
      </c>
      <c r="AC144" s="498">
        <v>0</v>
      </c>
      <c r="AD144" s="498">
        <v>0</v>
      </c>
      <c r="AE144" s="498">
        <f t="shared" si="335"/>
        <v>0</v>
      </c>
      <c r="AF144" s="498">
        <f t="shared" si="336"/>
        <v>-480</v>
      </c>
      <c r="AG144" s="499">
        <v>0</v>
      </c>
      <c r="AH144" s="499">
        <v>0</v>
      </c>
      <c r="AI144" s="499">
        <v>0</v>
      </c>
      <c r="AJ144" s="499">
        <v>0</v>
      </c>
      <c r="AK144" s="499">
        <v>0</v>
      </c>
      <c r="AL144" s="499">
        <f t="shared" si="337"/>
        <v>0</v>
      </c>
      <c r="AM144" s="499">
        <f t="shared" si="338"/>
        <v>0</v>
      </c>
      <c r="AN144" s="529">
        <f t="shared" si="339"/>
        <v>0</v>
      </c>
      <c r="AO144" s="579">
        <f t="shared" si="324"/>
        <v>1272517</v>
      </c>
      <c r="AP144" s="498">
        <f t="shared" si="325"/>
        <v>908409</v>
      </c>
      <c r="AQ144" s="498">
        <f t="shared" si="326"/>
        <v>24000</v>
      </c>
      <c r="AR144" s="498">
        <f t="shared" si="327"/>
        <v>315154</v>
      </c>
      <c r="AS144" s="498">
        <f t="shared" si="327"/>
        <v>18168</v>
      </c>
      <c r="AT144" s="498">
        <f t="shared" si="328"/>
        <v>6786</v>
      </c>
      <c r="AU144" s="499">
        <f t="shared" si="329"/>
        <v>3.17</v>
      </c>
      <c r="AV144" s="499">
        <f t="shared" si="330"/>
        <v>0</v>
      </c>
      <c r="AW144" s="500">
        <f t="shared" si="330"/>
        <v>3.17</v>
      </c>
      <c r="AX144" s="580"/>
      <c r="AY144" s="580"/>
    </row>
    <row r="145" spans="1:51" s="569" customFormat="1" ht="12.75" customHeight="1" x14ac:dyDescent="0.2">
      <c r="A145" s="571">
        <v>31</v>
      </c>
      <c r="B145" s="572">
        <v>3422</v>
      </c>
      <c r="C145" s="572">
        <v>600078591</v>
      </c>
      <c r="D145" s="572">
        <v>72742682</v>
      </c>
      <c r="E145" s="573" t="s">
        <v>69</v>
      </c>
      <c r="F145" s="572">
        <v>3143</v>
      </c>
      <c r="G145" s="573" t="s">
        <v>635</v>
      </c>
      <c r="H145" s="736" t="s">
        <v>283</v>
      </c>
      <c r="I145" s="575">
        <f t="shared" si="318"/>
        <v>316027</v>
      </c>
      <c r="J145" s="496">
        <v>232716</v>
      </c>
      <c r="K145" s="131">
        <v>78657</v>
      </c>
      <c r="L145" s="131">
        <f t="shared" si="320"/>
        <v>4654</v>
      </c>
      <c r="M145" s="496">
        <v>0</v>
      </c>
      <c r="N145" s="576">
        <f t="shared" si="321"/>
        <v>0.53569999999999995</v>
      </c>
      <c r="O145" s="577">
        <v>0.53569999999999995</v>
      </c>
      <c r="P145" s="578">
        <v>0</v>
      </c>
      <c r="Q145" s="579">
        <f t="shared" si="322"/>
        <v>0</v>
      </c>
      <c r="R145" s="498">
        <v>0</v>
      </c>
      <c r="S145" s="498">
        <v>0</v>
      </c>
      <c r="T145" s="498">
        <v>0</v>
      </c>
      <c r="U145" s="498">
        <f t="shared" si="331"/>
        <v>0</v>
      </c>
      <c r="V145" s="498">
        <v>0</v>
      </c>
      <c r="W145" s="498">
        <v>0</v>
      </c>
      <c r="X145" s="498">
        <v>0</v>
      </c>
      <c r="Y145" s="498">
        <f t="shared" si="332"/>
        <v>0</v>
      </c>
      <c r="Z145" s="498">
        <f t="shared" si="333"/>
        <v>0</v>
      </c>
      <c r="AA145" s="131">
        <f t="shared" si="323"/>
        <v>0</v>
      </c>
      <c r="AB145" s="131">
        <f t="shared" si="334"/>
        <v>0</v>
      </c>
      <c r="AC145" s="498">
        <v>0</v>
      </c>
      <c r="AD145" s="498">
        <v>0</v>
      </c>
      <c r="AE145" s="498">
        <f t="shared" si="335"/>
        <v>0</v>
      </c>
      <c r="AF145" s="498">
        <f t="shared" si="336"/>
        <v>0</v>
      </c>
      <c r="AG145" s="499">
        <v>0</v>
      </c>
      <c r="AH145" s="499">
        <v>0</v>
      </c>
      <c r="AI145" s="499">
        <v>0</v>
      </c>
      <c r="AJ145" s="499">
        <v>0</v>
      </c>
      <c r="AK145" s="499">
        <v>0</v>
      </c>
      <c r="AL145" s="499">
        <f t="shared" si="337"/>
        <v>0</v>
      </c>
      <c r="AM145" s="499">
        <f t="shared" si="338"/>
        <v>0</v>
      </c>
      <c r="AN145" s="529">
        <f t="shared" si="339"/>
        <v>0</v>
      </c>
      <c r="AO145" s="579">
        <f t="shared" si="324"/>
        <v>316027</v>
      </c>
      <c r="AP145" s="498">
        <f t="shared" si="325"/>
        <v>232716</v>
      </c>
      <c r="AQ145" s="498">
        <f t="shared" si="326"/>
        <v>0</v>
      </c>
      <c r="AR145" s="498">
        <f t="shared" si="327"/>
        <v>78657</v>
      </c>
      <c r="AS145" s="498">
        <f t="shared" si="327"/>
        <v>4654</v>
      </c>
      <c r="AT145" s="498">
        <f t="shared" si="328"/>
        <v>0</v>
      </c>
      <c r="AU145" s="499">
        <f t="shared" si="329"/>
        <v>0.53569999999999995</v>
      </c>
      <c r="AV145" s="499">
        <f t="shared" si="330"/>
        <v>0.53569999999999995</v>
      </c>
      <c r="AW145" s="500">
        <f t="shared" si="330"/>
        <v>0</v>
      </c>
      <c r="AX145" s="580"/>
    </row>
    <row r="146" spans="1:51" s="569" customFormat="1" ht="12.75" customHeight="1" x14ac:dyDescent="0.2">
      <c r="A146" s="571">
        <v>31</v>
      </c>
      <c r="B146" s="572">
        <v>3422</v>
      </c>
      <c r="C146" s="572">
        <v>600078591</v>
      </c>
      <c r="D146" s="572">
        <v>72742682</v>
      </c>
      <c r="E146" s="573" t="s">
        <v>69</v>
      </c>
      <c r="F146" s="572">
        <v>3143</v>
      </c>
      <c r="G146" s="573" t="s">
        <v>636</v>
      </c>
      <c r="H146" s="736" t="s">
        <v>284</v>
      </c>
      <c r="I146" s="575">
        <f t="shared" si="318"/>
        <v>12640</v>
      </c>
      <c r="J146" s="496">
        <v>8910</v>
      </c>
      <c r="K146" s="131">
        <f t="shared" ref="K146" si="340">ROUND((J146)*33.8%,0)</f>
        <v>3012</v>
      </c>
      <c r="L146" s="131">
        <f t="shared" si="320"/>
        <v>178</v>
      </c>
      <c r="M146" s="496">
        <v>540</v>
      </c>
      <c r="N146" s="576">
        <f t="shared" si="321"/>
        <v>0.04</v>
      </c>
      <c r="O146" s="577">
        <v>0</v>
      </c>
      <c r="P146" s="578">
        <v>0.04</v>
      </c>
      <c r="Q146" s="579">
        <f t="shared" si="322"/>
        <v>0</v>
      </c>
      <c r="R146" s="498">
        <v>0</v>
      </c>
      <c r="S146" s="498">
        <v>0</v>
      </c>
      <c r="T146" s="498">
        <v>0</v>
      </c>
      <c r="U146" s="498">
        <f t="shared" si="331"/>
        <v>0</v>
      </c>
      <c r="V146" s="498">
        <v>0</v>
      </c>
      <c r="W146" s="498">
        <v>0</v>
      </c>
      <c r="X146" s="498">
        <v>0</v>
      </c>
      <c r="Y146" s="498">
        <f t="shared" si="332"/>
        <v>0</v>
      </c>
      <c r="Z146" s="498">
        <f t="shared" si="333"/>
        <v>0</v>
      </c>
      <c r="AA146" s="131">
        <f t="shared" si="323"/>
        <v>0</v>
      </c>
      <c r="AB146" s="131">
        <f t="shared" si="334"/>
        <v>0</v>
      </c>
      <c r="AC146" s="498">
        <v>0</v>
      </c>
      <c r="AD146" s="498">
        <v>0</v>
      </c>
      <c r="AE146" s="498">
        <f t="shared" si="335"/>
        <v>0</v>
      </c>
      <c r="AF146" s="498">
        <f t="shared" si="336"/>
        <v>0</v>
      </c>
      <c r="AG146" s="499">
        <v>0</v>
      </c>
      <c r="AH146" s="499">
        <v>0</v>
      </c>
      <c r="AI146" s="499">
        <v>0</v>
      </c>
      <c r="AJ146" s="499">
        <v>0</v>
      </c>
      <c r="AK146" s="499">
        <v>0</v>
      </c>
      <c r="AL146" s="499">
        <f t="shared" si="337"/>
        <v>0</v>
      </c>
      <c r="AM146" s="499">
        <f t="shared" si="338"/>
        <v>0</v>
      </c>
      <c r="AN146" s="529">
        <f t="shared" si="339"/>
        <v>0</v>
      </c>
      <c r="AO146" s="579">
        <f t="shared" si="324"/>
        <v>12640</v>
      </c>
      <c r="AP146" s="498">
        <f t="shared" si="325"/>
        <v>8910</v>
      </c>
      <c r="AQ146" s="498">
        <f t="shared" si="326"/>
        <v>0</v>
      </c>
      <c r="AR146" s="498">
        <f t="shared" si="327"/>
        <v>3012</v>
      </c>
      <c r="AS146" s="498">
        <f t="shared" si="327"/>
        <v>178</v>
      </c>
      <c r="AT146" s="498">
        <f t="shared" si="328"/>
        <v>540</v>
      </c>
      <c r="AU146" s="499">
        <f t="shared" si="329"/>
        <v>0.04</v>
      </c>
      <c r="AV146" s="499">
        <f t="shared" si="330"/>
        <v>0</v>
      </c>
      <c r="AW146" s="500">
        <f t="shared" si="330"/>
        <v>0.04</v>
      </c>
      <c r="AX146" s="580"/>
    </row>
    <row r="147" spans="1:51" s="569" customFormat="1" ht="12.75" customHeight="1" x14ac:dyDescent="0.2">
      <c r="A147" s="299">
        <v>31</v>
      </c>
      <c r="B147" s="23">
        <v>3422</v>
      </c>
      <c r="C147" s="298">
        <v>600078591</v>
      </c>
      <c r="D147" s="298">
        <v>72742682</v>
      </c>
      <c r="E147" s="570" t="s">
        <v>70</v>
      </c>
      <c r="F147" s="23"/>
      <c r="G147" s="570"/>
      <c r="H147" s="735"/>
      <c r="I147" s="35">
        <f t="shared" ref="I147:P147" si="341">SUM(I141:I146)</f>
        <v>12330398</v>
      </c>
      <c r="J147" s="24">
        <f t="shared" si="341"/>
        <v>8973787</v>
      </c>
      <c r="K147" s="24">
        <f t="shared" si="341"/>
        <v>3033140</v>
      </c>
      <c r="L147" s="24">
        <f t="shared" si="341"/>
        <v>179475</v>
      </c>
      <c r="M147" s="24">
        <f t="shared" si="341"/>
        <v>143996</v>
      </c>
      <c r="N147" s="25">
        <f t="shared" si="341"/>
        <v>20.8431</v>
      </c>
      <c r="O147" s="391">
        <f t="shared" si="341"/>
        <v>13.4331</v>
      </c>
      <c r="P147" s="456">
        <f t="shared" si="341"/>
        <v>7.41</v>
      </c>
      <c r="Q147" s="35">
        <f t="shared" ref="Q147:AW147" si="342">SUM(Q141:Q146)</f>
        <v>-32000</v>
      </c>
      <c r="R147" s="24">
        <f t="shared" si="342"/>
        <v>1356915</v>
      </c>
      <c r="S147" s="24">
        <f t="shared" si="342"/>
        <v>0</v>
      </c>
      <c r="T147" s="24">
        <f t="shared" si="342"/>
        <v>0</v>
      </c>
      <c r="U147" s="24">
        <f t="shared" si="342"/>
        <v>1324915</v>
      </c>
      <c r="V147" s="24">
        <f t="shared" si="342"/>
        <v>32000</v>
      </c>
      <c r="W147" s="24">
        <f t="shared" si="342"/>
        <v>0</v>
      </c>
      <c r="X147" s="24">
        <f t="shared" si="342"/>
        <v>0</v>
      </c>
      <c r="Y147" s="24">
        <f t="shared" si="342"/>
        <v>32000</v>
      </c>
      <c r="Z147" s="24">
        <f t="shared" si="342"/>
        <v>1356915</v>
      </c>
      <c r="AA147" s="24">
        <f t="shared" si="342"/>
        <v>458637</v>
      </c>
      <c r="AB147" s="24">
        <f t="shared" si="342"/>
        <v>26498</v>
      </c>
      <c r="AC147" s="24">
        <f t="shared" si="342"/>
        <v>0</v>
      </c>
      <c r="AD147" s="24">
        <f t="shared" si="342"/>
        <v>0</v>
      </c>
      <c r="AE147" s="24">
        <f t="shared" si="342"/>
        <v>0</v>
      </c>
      <c r="AF147" s="24">
        <f t="shared" si="342"/>
        <v>1842050</v>
      </c>
      <c r="AG147" s="25">
        <f t="shared" si="342"/>
        <v>0</v>
      </c>
      <c r="AH147" s="25">
        <f t="shared" si="342"/>
        <v>0</v>
      </c>
      <c r="AI147" s="25">
        <f t="shared" si="342"/>
        <v>3.92</v>
      </c>
      <c r="AJ147" s="25">
        <f t="shared" si="342"/>
        <v>0</v>
      </c>
      <c r="AK147" s="25">
        <f t="shared" si="342"/>
        <v>0</v>
      </c>
      <c r="AL147" s="25">
        <f t="shared" si="342"/>
        <v>3.92</v>
      </c>
      <c r="AM147" s="25">
        <f t="shared" si="342"/>
        <v>0</v>
      </c>
      <c r="AN147" s="392">
        <f t="shared" si="342"/>
        <v>3.92</v>
      </c>
      <c r="AO147" s="35">
        <f t="shared" si="342"/>
        <v>14172448</v>
      </c>
      <c r="AP147" s="24">
        <f t="shared" si="342"/>
        <v>10298702</v>
      </c>
      <c r="AQ147" s="24">
        <f t="shared" si="342"/>
        <v>32000</v>
      </c>
      <c r="AR147" s="24">
        <f t="shared" si="342"/>
        <v>3491777</v>
      </c>
      <c r="AS147" s="24">
        <f t="shared" si="342"/>
        <v>205973</v>
      </c>
      <c r="AT147" s="24">
        <f t="shared" si="342"/>
        <v>143996</v>
      </c>
      <c r="AU147" s="25">
        <f t="shared" si="342"/>
        <v>24.763100000000001</v>
      </c>
      <c r="AV147" s="25">
        <f t="shared" si="342"/>
        <v>17.353099999999998</v>
      </c>
      <c r="AW147" s="72">
        <f t="shared" si="342"/>
        <v>7.41</v>
      </c>
      <c r="AX147" s="580"/>
    </row>
    <row r="148" spans="1:51" s="569" customFormat="1" ht="12.75" customHeight="1" x14ac:dyDescent="0.2">
      <c r="A148" s="571">
        <v>32</v>
      </c>
      <c r="B148" s="572">
        <v>3426</v>
      </c>
      <c r="C148" s="572">
        <v>600078019</v>
      </c>
      <c r="D148" s="572">
        <v>72742470</v>
      </c>
      <c r="E148" s="573" t="s">
        <v>71</v>
      </c>
      <c r="F148" s="572">
        <v>3111</v>
      </c>
      <c r="G148" s="573" t="s">
        <v>317</v>
      </c>
      <c r="H148" s="736" t="s">
        <v>283</v>
      </c>
      <c r="I148" s="575">
        <f t="shared" ref="I148:I150" si="343">SUM(J148:M148)</f>
        <v>4824171</v>
      </c>
      <c r="J148" s="496">
        <v>3530538</v>
      </c>
      <c r="K148" s="131">
        <f t="shared" ref="K148:K150" si="344">ROUND((J148)*33.8%,0)</f>
        <v>1193322</v>
      </c>
      <c r="L148" s="131">
        <f t="shared" ref="L148:L150" si="345">ROUND(J148*2%,0)</f>
        <v>70611</v>
      </c>
      <c r="M148" s="496">
        <v>29700</v>
      </c>
      <c r="N148" s="576">
        <f t="shared" ref="N148:N150" si="346">SUM(O148:P148)</f>
        <v>8.1341999999999999</v>
      </c>
      <c r="O148" s="577">
        <v>6</v>
      </c>
      <c r="P148" s="578">
        <v>2.1341999999999999</v>
      </c>
      <c r="Q148" s="579">
        <f t="shared" ref="Q148:Q150" si="347">V148*-1</f>
        <v>-16000</v>
      </c>
      <c r="R148" s="498">
        <v>0</v>
      </c>
      <c r="S148" s="498">
        <v>0</v>
      </c>
      <c r="T148" s="498">
        <v>0</v>
      </c>
      <c r="U148" s="498">
        <f t="shared" si="331"/>
        <v>-16000</v>
      </c>
      <c r="V148" s="498">
        <v>16000</v>
      </c>
      <c r="W148" s="498">
        <v>0</v>
      </c>
      <c r="X148" s="498">
        <v>0</v>
      </c>
      <c r="Y148" s="498">
        <f t="shared" si="332"/>
        <v>16000</v>
      </c>
      <c r="Z148" s="498">
        <f t="shared" si="333"/>
        <v>0</v>
      </c>
      <c r="AA148" s="131">
        <f t="shared" ref="AA148:AA150" si="348">ROUND((U148+V148+W146)*33.8%,0)</f>
        <v>0</v>
      </c>
      <c r="AB148" s="131">
        <f t="shared" si="334"/>
        <v>-320</v>
      </c>
      <c r="AC148" s="498">
        <v>0</v>
      </c>
      <c r="AD148" s="498">
        <v>0</v>
      </c>
      <c r="AE148" s="498">
        <f t="shared" si="335"/>
        <v>0</v>
      </c>
      <c r="AF148" s="498">
        <f t="shared" si="336"/>
        <v>-320</v>
      </c>
      <c r="AG148" s="499">
        <v>0</v>
      </c>
      <c r="AH148" s="499">
        <v>-0.09</v>
      </c>
      <c r="AI148" s="499">
        <v>0</v>
      </c>
      <c r="AJ148" s="499">
        <v>0</v>
      </c>
      <c r="AK148" s="499">
        <v>0</v>
      </c>
      <c r="AL148" s="499">
        <f t="shared" si="337"/>
        <v>0</v>
      </c>
      <c r="AM148" s="499">
        <f t="shared" si="338"/>
        <v>-0.09</v>
      </c>
      <c r="AN148" s="529">
        <f t="shared" si="339"/>
        <v>-0.09</v>
      </c>
      <c r="AO148" s="579">
        <f>I148+AF148</f>
        <v>4823851</v>
      </c>
      <c r="AP148" s="498">
        <f>J148+U148</f>
        <v>3514538</v>
      </c>
      <c r="AQ148" s="498">
        <f t="shared" ref="AQ148:AQ150" si="349">Y148</f>
        <v>16000</v>
      </c>
      <c r="AR148" s="498">
        <f t="shared" ref="AR148:AS150" si="350">K148+AA148</f>
        <v>1193322</v>
      </c>
      <c r="AS148" s="498">
        <f t="shared" si="350"/>
        <v>70291</v>
      </c>
      <c r="AT148" s="498">
        <f>M148+AE148</f>
        <v>29700</v>
      </c>
      <c r="AU148" s="499">
        <f>N148+AN148</f>
        <v>8.0442</v>
      </c>
      <c r="AV148" s="499">
        <f t="shared" ref="AV148:AW150" si="351">O148+AL148</f>
        <v>6</v>
      </c>
      <c r="AW148" s="500">
        <f t="shared" si="351"/>
        <v>2.0442</v>
      </c>
      <c r="AX148" s="580"/>
    </row>
    <row r="149" spans="1:51" s="569" customFormat="1" x14ac:dyDescent="0.2">
      <c r="A149" s="571">
        <v>32</v>
      </c>
      <c r="B149" s="572">
        <v>3426</v>
      </c>
      <c r="C149" s="572">
        <v>600078019</v>
      </c>
      <c r="D149" s="572">
        <v>72742470</v>
      </c>
      <c r="E149" s="573" t="s">
        <v>71</v>
      </c>
      <c r="F149" s="572">
        <v>3111</v>
      </c>
      <c r="G149" s="573" t="s">
        <v>318</v>
      </c>
      <c r="H149" s="736" t="s">
        <v>284</v>
      </c>
      <c r="I149" s="575">
        <f t="shared" si="343"/>
        <v>0</v>
      </c>
      <c r="J149" s="496">
        <v>0</v>
      </c>
      <c r="K149" s="131">
        <f t="shared" si="344"/>
        <v>0</v>
      </c>
      <c r="L149" s="131">
        <f t="shared" si="345"/>
        <v>0</v>
      </c>
      <c r="M149" s="496">
        <v>0</v>
      </c>
      <c r="N149" s="576">
        <f t="shared" si="346"/>
        <v>0</v>
      </c>
      <c r="O149" s="577">
        <v>0</v>
      </c>
      <c r="P149" s="578">
        <v>0</v>
      </c>
      <c r="Q149" s="579">
        <f t="shared" si="347"/>
        <v>0</v>
      </c>
      <c r="R149" s="496">
        <v>259833</v>
      </c>
      <c r="S149" s="498">
        <v>0</v>
      </c>
      <c r="T149" s="498">
        <v>0</v>
      </c>
      <c r="U149" s="498">
        <f t="shared" si="331"/>
        <v>259833</v>
      </c>
      <c r="V149" s="498">
        <v>0</v>
      </c>
      <c r="W149" s="498">
        <v>0</v>
      </c>
      <c r="X149" s="498">
        <v>0</v>
      </c>
      <c r="Y149" s="498">
        <f t="shared" si="332"/>
        <v>0</v>
      </c>
      <c r="Z149" s="498">
        <f t="shared" si="333"/>
        <v>259833</v>
      </c>
      <c r="AA149" s="131">
        <f t="shared" si="348"/>
        <v>87824</v>
      </c>
      <c r="AB149" s="131">
        <f t="shared" si="334"/>
        <v>5197</v>
      </c>
      <c r="AC149" s="498">
        <v>0</v>
      </c>
      <c r="AD149" s="498">
        <v>0</v>
      </c>
      <c r="AE149" s="498">
        <f t="shared" si="335"/>
        <v>0</v>
      </c>
      <c r="AF149" s="498">
        <f t="shared" si="336"/>
        <v>352854</v>
      </c>
      <c r="AG149" s="499">
        <v>0</v>
      </c>
      <c r="AH149" s="499">
        <v>0</v>
      </c>
      <c r="AI149" s="499">
        <v>0.75</v>
      </c>
      <c r="AJ149" s="499">
        <v>0</v>
      </c>
      <c r="AK149" s="499">
        <v>0</v>
      </c>
      <c r="AL149" s="499">
        <f t="shared" si="337"/>
        <v>0.75</v>
      </c>
      <c r="AM149" s="499">
        <f t="shared" si="338"/>
        <v>0</v>
      </c>
      <c r="AN149" s="529">
        <f t="shared" si="339"/>
        <v>0.75</v>
      </c>
      <c r="AO149" s="579">
        <f>I149+AF149</f>
        <v>352854</v>
      </c>
      <c r="AP149" s="498">
        <f>J149+U149</f>
        <v>259833</v>
      </c>
      <c r="AQ149" s="498">
        <f t="shared" si="349"/>
        <v>0</v>
      </c>
      <c r="AR149" s="498">
        <f t="shared" si="350"/>
        <v>87824</v>
      </c>
      <c r="AS149" s="498">
        <f t="shared" si="350"/>
        <v>5197</v>
      </c>
      <c r="AT149" s="498">
        <f>M149+AE149</f>
        <v>0</v>
      </c>
      <c r="AU149" s="499">
        <f>N149+AN149</f>
        <v>0.75</v>
      </c>
      <c r="AV149" s="499">
        <f t="shared" si="351"/>
        <v>0.75</v>
      </c>
      <c r="AW149" s="500">
        <f t="shared" si="351"/>
        <v>0</v>
      </c>
      <c r="AX149" s="580"/>
    </row>
    <row r="150" spans="1:51" s="569" customFormat="1" ht="12.75" customHeight="1" x14ac:dyDescent="0.2">
      <c r="A150" s="571">
        <v>32</v>
      </c>
      <c r="B150" s="572">
        <v>3426</v>
      </c>
      <c r="C150" s="572">
        <v>600078019</v>
      </c>
      <c r="D150" s="572">
        <v>72742470</v>
      </c>
      <c r="E150" s="573" t="s">
        <v>71</v>
      </c>
      <c r="F150" s="572">
        <v>3141</v>
      </c>
      <c r="G150" s="573" t="s">
        <v>321</v>
      </c>
      <c r="H150" s="736" t="s">
        <v>284</v>
      </c>
      <c r="I150" s="575">
        <f t="shared" si="343"/>
        <v>1829463</v>
      </c>
      <c r="J150" s="496">
        <v>1338376</v>
      </c>
      <c r="K150" s="131">
        <f t="shared" si="344"/>
        <v>452371</v>
      </c>
      <c r="L150" s="131">
        <f t="shared" si="345"/>
        <v>26768</v>
      </c>
      <c r="M150" s="496">
        <v>11948</v>
      </c>
      <c r="N150" s="576">
        <f t="shared" si="346"/>
        <v>4.55</v>
      </c>
      <c r="O150" s="577">
        <v>0</v>
      </c>
      <c r="P150" s="578">
        <v>4.55</v>
      </c>
      <c r="Q150" s="579">
        <f t="shared" si="347"/>
        <v>0</v>
      </c>
      <c r="R150" s="498">
        <v>0</v>
      </c>
      <c r="S150" s="498">
        <v>0</v>
      </c>
      <c r="T150" s="498">
        <v>0</v>
      </c>
      <c r="U150" s="498">
        <f t="shared" si="331"/>
        <v>0</v>
      </c>
      <c r="V150" s="498">
        <v>0</v>
      </c>
      <c r="W150" s="498">
        <v>0</v>
      </c>
      <c r="X150" s="498">
        <v>0</v>
      </c>
      <c r="Y150" s="498">
        <f t="shared" si="332"/>
        <v>0</v>
      </c>
      <c r="Z150" s="498">
        <f t="shared" si="333"/>
        <v>0</v>
      </c>
      <c r="AA150" s="131">
        <f t="shared" si="348"/>
        <v>0</v>
      </c>
      <c r="AB150" s="131">
        <f t="shared" si="334"/>
        <v>0</v>
      </c>
      <c r="AC150" s="498">
        <v>0</v>
      </c>
      <c r="AD150" s="498">
        <v>0</v>
      </c>
      <c r="AE150" s="498">
        <f t="shared" si="335"/>
        <v>0</v>
      </c>
      <c r="AF150" s="498">
        <f t="shared" si="336"/>
        <v>0</v>
      </c>
      <c r="AG150" s="499">
        <v>0</v>
      </c>
      <c r="AH150" s="499">
        <v>0</v>
      </c>
      <c r="AI150" s="499">
        <v>0</v>
      </c>
      <c r="AJ150" s="499">
        <v>0</v>
      </c>
      <c r="AK150" s="499">
        <v>0</v>
      </c>
      <c r="AL150" s="499">
        <f t="shared" si="337"/>
        <v>0</v>
      </c>
      <c r="AM150" s="499">
        <f t="shared" si="338"/>
        <v>0</v>
      </c>
      <c r="AN150" s="529">
        <f t="shared" si="339"/>
        <v>0</v>
      </c>
      <c r="AO150" s="579">
        <f>I150+AF150</f>
        <v>1829463</v>
      </c>
      <c r="AP150" s="498">
        <f>J150+U150</f>
        <v>1338376</v>
      </c>
      <c r="AQ150" s="498">
        <f t="shared" si="349"/>
        <v>0</v>
      </c>
      <c r="AR150" s="498">
        <f t="shared" si="350"/>
        <v>452371</v>
      </c>
      <c r="AS150" s="498">
        <f t="shared" si="350"/>
        <v>26768</v>
      </c>
      <c r="AT150" s="498">
        <f>M150+AE150</f>
        <v>11948</v>
      </c>
      <c r="AU150" s="499">
        <f>N150+AN150</f>
        <v>4.55</v>
      </c>
      <c r="AV150" s="499">
        <f t="shared" si="351"/>
        <v>0</v>
      </c>
      <c r="AW150" s="500">
        <f t="shared" si="351"/>
        <v>4.55</v>
      </c>
      <c r="AX150" s="580"/>
      <c r="AY150" s="580"/>
    </row>
    <row r="151" spans="1:51" s="569" customFormat="1" ht="12.75" customHeight="1" x14ac:dyDescent="0.2">
      <c r="A151" s="299">
        <v>32</v>
      </c>
      <c r="B151" s="23">
        <v>3426</v>
      </c>
      <c r="C151" s="298">
        <v>600078019</v>
      </c>
      <c r="D151" s="298">
        <v>72742470</v>
      </c>
      <c r="E151" s="570" t="s">
        <v>72</v>
      </c>
      <c r="F151" s="23"/>
      <c r="G151" s="570"/>
      <c r="H151" s="735"/>
      <c r="I151" s="35">
        <f t="shared" ref="I151:P151" si="352">SUM(I148:I150)</f>
        <v>6653634</v>
      </c>
      <c r="J151" s="24">
        <f t="shared" si="352"/>
        <v>4868914</v>
      </c>
      <c r="K151" s="24">
        <f t="shared" si="352"/>
        <v>1645693</v>
      </c>
      <c r="L151" s="24">
        <f t="shared" si="352"/>
        <v>97379</v>
      </c>
      <c r="M151" s="24">
        <f t="shared" si="352"/>
        <v>41648</v>
      </c>
      <c r="N151" s="25">
        <f t="shared" si="352"/>
        <v>12.684200000000001</v>
      </c>
      <c r="O151" s="391">
        <f t="shared" si="352"/>
        <v>6</v>
      </c>
      <c r="P151" s="456">
        <f t="shared" si="352"/>
        <v>6.6841999999999997</v>
      </c>
      <c r="Q151" s="35">
        <f t="shared" ref="Q151:AW151" si="353">SUM(Q148:Q150)</f>
        <v>-16000</v>
      </c>
      <c r="R151" s="24">
        <f t="shared" si="353"/>
        <v>259833</v>
      </c>
      <c r="S151" s="24">
        <f t="shared" si="353"/>
        <v>0</v>
      </c>
      <c r="T151" s="24">
        <f t="shared" si="353"/>
        <v>0</v>
      </c>
      <c r="U151" s="24">
        <f t="shared" si="353"/>
        <v>243833</v>
      </c>
      <c r="V151" s="24">
        <f t="shared" si="353"/>
        <v>16000</v>
      </c>
      <c r="W151" s="24">
        <f t="shared" si="353"/>
        <v>0</v>
      </c>
      <c r="X151" s="24">
        <f t="shared" si="353"/>
        <v>0</v>
      </c>
      <c r="Y151" s="24">
        <f t="shared" si="353"/>
        <v>16000</v>
      </c>
      <c r="Z151" s="24">
        <f t="shared" si="353"/>
        <v>259833</v>
      </c>
      <c r="AA151" s="24">
        <f t="shared" si="353"/>
        <v>87824</v>
      </c>
      <c r="AB151" s="24">
        <f t="shared" si="353"/>
        <v>4877</v>
      </c>
      <c r="AC151" s="24">
        <f t="shared" si="353"/>
        <v>0</v>
      </c>
      <c r="AD151" s="24">
        <f t="shared" si="353"/>
        <v>0</v>
      </c>
      <c r="AE151" s="24">
        <f t="shared" si="353"/>
        <v>0</v>
      </c>
      <c r="AF151" s="24">
        <f t="shared" si="353"/>
        <v>352534</v>
      </c>
      <c r="AG151" s="25">
        <f t="shared" si="353"/>
        <v>0</v>
      </c>
      <c r="AH151" s="25">
        <f t="shared" si="353"/>
        <v>-0.09</v>
      </c>
      <c r="AI151" s="25">
        <f t="shared" si="353"/>
        <v>0.75</v>
      </c>
      <c r="AJ151" s="25">
        <f t="shared" si="353"/>
        <v>0</v>
      </c>
      <c r="AK151" s="25">
        <f t="shared" si="353"/>
        <v>0</v>
      </c>
      <c r="AL151" s="25">
        <f t="shared" si="353"/>
        <v>0.75</v>
      </c>
      <c r="AM151" s="25">
        <f t="shared" si="353"/>
        <v>-0.09</v>
      </c>
      <c r="AN151" s="392">
        <f t="shared" si="353"/>
        <v>0.66</v>
      </c>
      <c r="AO151" s="35">
        <f t="shared" si="353"/>
        <v>7006168</v>
      </c>
      <c r="AP151" s="24">
        <f t="shared" si="353"/>
        <v>5112747</v>
      </c>
      <c r="AQ151" s="24">
        <f t="shared" si="353"/>
        <v>16000</v>
      </c>
      <c r="AR151" s="24">
        <f t="shared" si="353"/>
        <v>1733517</v>
      </c>
      <c r="AS151" s="24">
        <f t="shared" si="353"/>
        <v>102256</v>
      </c>
      <c r="AT151" s="24">
        <f t="shared" si="353"/>
        <v>41648</v>
      </c>
      <c r="AU151" s="25">
        <f t="shared" si="353"/>
        <v>13.344200000000001</v>
      </c>
      <c r="AV151" s="25">
        <f t="shared" si="353"/>
        <v>6.75</v>
      </c>
      <c r="AW151" s="72">
        <f t="shared" si="353"/>
        <v>6.5941999999999998</v>
      </c>
      <c r="AX151" s="580"/>
    </row>
    <row r="152" spans="1:51" s="569" customFormat="1" ht="12.75" customHeight="1" x14ac:dyDescent="0.2">
      <c r="A152" s="571">
        <v>33</v>
      </c>
      <c r="B152" s="572">
        <v>3425</v>
      </c>
      <c r="C152" s="572">
        <v>600078451</v>
      </c>
      <c r="D152" s="572">
        <v>72742551</v>
      </c>
      <c r="E152" s="573" t="s">
        <v>73</v>
      </c>
      <c r="F152" s="572">
        <v>3113</v>
      </c>
      <c r="G152" s="573" t="s">
        <v>320</v>
      </c>
      <c r="H152" s="736" t="s">
        <v>283</v>
      </c>
      <c r="I152" s="575">
        <f t="shared" ref="I152:I155" si="354">SUM(J152:M152)</f>
        <v>12680193</v>
      </c>
      <c r="J152" s="496">
        <v>9148426</v>
      </c>
      <c r="K152" s="131">
        <f t="shared" ref="K152:K155" si="355">ROUND((J152)*33.8%,0)</f>
        <v>3092168</v>
      </c>
      <c r="L152" s="131">
        <f t="shared" ref="L152:L153" si="356">ROUND(J152*2%,0)</f>
        <v>182969</v>
      </c>
      <c r="M152" s="496">
        <v>256630</v>
      </c>
      <c r="N152" s="576">
        <f t="shared" ref="N152:N155" si="357">SUM(O152:P152)</f>
        <v>17.372599999999998</v>
      </c>
      <c r="O152" s="577">
        <v>12.818099999999999</v>
      </c>
      <c r="P152" s="578">
        <v>4.5545</v>
      </c>
      <c r="Q152" s="579">
        <f t="shared" ref="Q152:Q155" si="358">V152*-1</f>
        <v>-15360</v>
      </c>
      <c r="R152" s="498">
        <v>0</v>
      </c>
      <c r="S152" s="498">
        <v>0</v>
      </c>
      <c r="T152" s="498">
        <v>0</v>
      </c>
      <c r="U152" s="498">
        <f t="shared" si="331"/>
        <v>-15360</v>
      </c>
      <c r="V152" s="498">
        <v>15360</v>
      </c>
      <c r="W152" s="498">
        <v>0</v>
      </c>
      <c r="X152" s="498">
        <v>0</v>
      </c>
      <c r="Y152" s="498">
        <f t="shared" si="332"/>
        <v>15360</v>
      </c>
      <c r="Z152" s="498">
        <f t="shared" si="333"/>
        <v>0</v>
      </c>
      <c r="AA152" s="131">
        <f t="shared" ref="AA152:AA155" si="359">ROUND((U152+V152+W150)*33.8%,0)</f>
        <v>0</v>
      </c>
      <c r="AB152" s="131">
        <f t="shared" si="334"/>
        <v>-307</v>
      </c>
      <c r="AC152" s="498">
        <v>0</v>
      </c>
      <c r="AD152" s="498">
        <v>0</v>
      </c>
      <c r="AE152" s="498">
        <f t="shared" si="335"/>
        <v>0</v>
      </c>
      <c r="AF152" s="498">
        <f t="shared" si="336"/>
        <v>-307</v>
      </c>
      <c r="AG152" s="499">
        <v>-0.03</v>
      </c>
      <c r="AH152" s="499">
        <v>0</v>
      </c>
      <c r="AI152" s="499">
        <v>0</v>
      </c>
      <c r="AJ152" s="499">
        <v>0</v>
      </c>
      <c r="AK152" s="499">
        <v>0</v>
      </c>
      <c r="AL152" s="499">
        <f t="shared" si="337"/>
        <v>-0.03</v>
      </c>
      <c r="AM152" s="499">
        <f t="shared" si="338"/>
        <v>0</v>
      </c>
      <c r="AN152" s="529">
        <f t="shared" si="339"/>
        <v>-0.03</v>
      </c>
      <c r="AO152" s="579">
        <f>I152+AF152</f>
        <v>12679886</v>
      </c>
      <c r="AP152" s="498">
        <f>J152+U152</f>
        <v>9133066</v>
      </c>
      <c r="AQ152" s="498">
        <f t="shared" ref="AQ152:AQ155" si="360">Y152</f>
        <v>15360</v>
      </c>
      <c r="AR152" s="498">
        <f t="shared" ref="AR152:AS155" si="361">K152+AA152</f>
        <v>3092168</v>
      </c>
      <c r="AS152" s="498">
        <f t="shared" si="361"/>
        <v>182662</v>
      </c>
      <c r="AT152" s="498">
        <f>M152+AE152</f>
        <v>256630</v>
      </c>
      <c r="AU152" s="499">
        <f>N152+AN152</f>
        <v>17.342599999999997</v>
      </c>
      <c r="AV152" s="499">
        <f t="shared" ref="AV152:AW155" si="362">O152+AL152</f>
        <v>12.7881</v>
      </c>
      <c r="AW152" s="500">
        <f t="shared" si="362"/>
        <v>4.5545</v>
      </c>
      <c r="AX152" s="580"/>
    </row>
    <row r="153" spans="1:51" s="569" customFormat="1" x14ac:dyDescent="0.2">
      <c r="A153" s="571">
        <v>33</v>
      </c>
      <c r="B153" s="572">
        <v>3425</v>
      </c>
      <c r="C153" s="572">
        <v>600078451</v>
      </c>
      <c r="D153" s="572">
        <v>72742551</v>
      </c>
      <c r="E153" s="573" t="s">
        <v>73</v>
      </c>
      <c r="F153" s="572">
        <v>3113</v>
      </c>
      <c r="G153" s="573" t="s">
        <v>318</v>
      </c>
      <c r="H153" s="736" t="s">
        <v>284</v>
      </c>
      <c r="I153" s="575">
        <f t="shared" si="354"/>
        <v>0</v>
      </c>
      <c r="J153" s="496">
        <v>0</v>
      </c>
      <c r="K153" s="131">
        <f t="shared" si="355"/>
        <v>0</v>
      </c>
      <c r="L153" s="131">
        <f t="shared" si="356"/>
        <v>0</v>
      </c>
      <c r="M153" s="496">
        <v>0</v>
      </c>
      <c r="N153" s="576">
        <f t="shared" si="357"/>
        <v>0</v>
      </c>
      <c r="O153" s="577">
        <v>0</v>
      </c>
      <c r="P153" s="578">
        <v>0</v>
      </c>
      <c r="Q153" s="579">
        <f t="shared" si="358"/>
        <v>0</v>
      </c>
      <c r="R153" s="496">
        <f>1341561+19280</f>
        <v>1360841</v>
      </c>
      <c r="S153" s="498">
        <v>0</v>
      </c>
      <c r="T153" s="498">
        <v>0</v>
      </c>
      <c r="U153" s="498">
        <f t="shared" si="331"/>
        <v>1360841</v>
      </c>
      <c r="V153" s="498">
        <v>0</v>
      </c>
      <c r="W153" s="498">
        <v>0</v>
      </c>
      <c r="X153" s="498">
        <v>0</v>
      </c>
      <c r="Y153" s="498">
        <f t="shared" si="332"/>
        <v>0</v>
      </c>
      <c r="Z153" s="498">
        <f t="shared" si="333"/>
        <v>1360841</v>
      </c>
      <c r="AA153" s="131">
        <f t="shared" si="359"/>
        <v>459964</v>
      </c>
      <c r="AB153" s="131">
        <f t="shared" si="334"/>
        <v>27217</v>
      </c>
      <c r="AC153" s="498">
        <v>0</v>
      </c>
      <c r="AD153" s="498">
        <v>0</v>
      </c>
      <c r="AE153" s="498">
        <f t="shared" si="335"/>
        <v>0</v>
      </c>
      <c r="AF153" s="498">
        <f t="shared" si="336"/>
        <v>1848022</v>
      </c>
      <c r="AG153" s="499">
        <v>0</v>
      </c>
      <c r="AH153" s="499">
        <v>0</v>
      </c>
      <c r="AI153" s="499">
        <f>3.86+0.04</f>
        <v>3.9</v>
      </c>
      <c r="AJ153" s="499">
        <v>0</v>
      </c>
      <c r="AK153" s="499">
        <v>0</v>
      </c>
      <c r="AL153" s="499">
        <f t="shared" si="337"/>
        <v>3.9</v>
      </c>
      <c r="AM153" s="499">
        <f t="shared" si="338"/>
        <v>0</v>
      </c>
      <c r="AN153" s="529">
        <f t="shared" si="339"/>
        <v>3.9</v>
      </c>
      <c r="AO153" s="579">
        <f>I153+AF153</f>
        <v>1848022</v>
      </c>
      <c r="AP153" s="498">
        <f>J153+U153</f>
        <v>1360841</v>
      </c>
      <c r="AQ153" s="498">
        <f t="shared" si="360"/>
        <v>0</v>
      </c>
      <c r="AR153" s="498">
        <f t="shared" si="361"/>
        <v>459964</v>
      </c>
      <c r="AS153" s="498">
        <f t="shared" si="361"/>
        <v>27217</v>
      </c>
      <c r="AT153" s="498">
        <f>M153+AE153</f>
        <v>0</v>
      </c>
      <c r="AU153" s="499">
        <f>N153+AN153</f>
        <v>3.9</v>
      </c>
      <c r="AV153" s="499">
        <f t="shared" si="362"/>
        <v>3.9</v>
      </c>
      <c r="AW153" s="500">
        <f t="shared" si="362"/>
        <v>0</v>
      </c>
      <c r="AX153" s="580"/>
    </row>
    <row r="154" spans="1:51" s="569" customFormat="1" ht="12.75" customHeight="1" x14ac:dyDescent="0.2">
      <c r="A154" s="571">
        <v>33</v>
      </c>
      <c r="B154" s="572">
        <v>3425</v>
      </c>
      <c r="C154" s="572">
        <v>600078451</v>
      </c>
      <c r="D154" s="572">
        <v>72742551</v>
      </c>
      <c r="E154" s="573" t="s">
        <v>73</v>
      </c>
      <c r="F154" s="572">
        <v>3143</v>
      </c>
      <c r="G154" s="573" t="s">
        <v>635</v>
      </c>
      <c r="H154" s="736" t="s">
        <v>283</v>
      </c>
      <c r="I154" s="575">
        <f t="shared" si="354"/>
        <v>1079665</v>
      </c>
      <c r="J154" s="496">
        <v>795041</v>
      </c>
      <c r="K154" s="131">
        <f t="shared" si="355"/>
        <v>268724</v>
      </c>
      <c r="L154" s="131">
        <v>15900</v>
      </c>
      <c r="M154" s="496">
        <v>0</v>
      </c>
      <c r="N154" s="576">
        <f t="shared" si="357"/>
        <v>1.77</v>
      </c>
      <c r="O154" s="577">
        <v>1.77</v>
      </c>
      <c r="P154" s="578">
        <v>0</v>
      </c>
      <c r="Q154" s="579">
        <f t="shared" si="358"/>
        <v>0</v>
      </c>
      <c r="R154" s="498">
        <v>0</v>
      </c>
      <c r="S154" s="498">
        <v>0</v>
      </c>
      <c r="T154" s="498">
        <v>0</v>
      </c>
      <c r="U154" s="498">
        <f t="shared" si="331"/>
        <v>0</v>
      </c>
      <c r="V154" s="498">
        <v>0</v>
      </c>
      <c r="W154" s="498">
        <v>0</v>
      </c>
      <c r="X154" s="498">
        <v>0</v>
      </c>
      <c r="Y154" s="498">
        <f t="shared" si="332"/>
        <v>0</v>
      </c>
      <c r="Z154" s="498">
        <f t="shared" si="333"/>
        <v>0</v>
      </c>
      <c r="AA154" s="131">
        <f t="shared" si="359"/>
        <v>0</v>
      </c>
      <c r="AB154" s="131">
        <f t="shared" si="334"/>
        <v>0</v>
      </c>
      <c r="AC154" s="498">
        <v>0</v>
      </c>
      <c r="AD154" s="498">
        <v>0</v>
      </c>
      <c r="AE154" s="498">
        <f t="shared" si="335"/>
        <v>0</v>
      </c>
      <c r="AF154" s="498">
        <f t="shared" si="336"/>
        <v>0</v>
      </c>
      <c r="AG154" s="499">
        <v>0</v>
      </c>
      <c r="AH154" s="499">
        <v>0</v>
      </c>
      <c r="AI154" s="499">
        <v>0</v>
      </c>
      <c r="AJ154" s="499">
        <v>0</v>
      </c>
      <c r="AK154" s="499">
        <v>0</v>
      </c>
      <c r="AL154" s="499">
        <f t="shared" si="337"/>
        <v>0</v>
      </c>
      <c r="AM154" s="499">
        <f t="shared" si="338"/>
        <v>0</v>
      </c>
      <c r="AN154" s="529">
        <f t="shared" si="339"/>
        <v>0</v>
      </c>
      <c r="AO154" s="579">
        <f>I154+AF154</f>
        <v>1079665</v>
      </c>
      <c r="AP154" s="498">
        <f>J154+U154</f>
        <v>795041</v>
      </c>
      <c r="AQ154" s="498">
        <f t="shared" si="360"/>
        <v>0</v>
      </c>
      <c r="AR154" s="498">
        <f t="shared" si="361"/>
        <v>268724</v>
      </c>
      <c r="AS154" s="498">
        <f t="shared" si="361"/>
        <v>15900</v>
      </c>
      <c r="AT154" s="498">
        <f>M154+AE154</f>
        <v>0</v>
      </c>
      <c r="AU154" s="499">
        <f>N154+AN154</f>
        <v>1.77</v>
      </c>
      <c r="AV154" s="499">
        <f t="shared" si="362"/>
        <v>1.77</v>
      </c>
      <c r="AW154" s="500">
        <f t="shared" si="362"/>
        <v>0</v>
      </c>
      <c r="AX154" s="580"/>
    </row>
    <row r="155" spans="1:51" s="569" customFormat="1" ht="12.75" customHeight="1" x14ac:dyDescent="0.2">
      <c r="A155" s="571">
        <v>33</v>
      </c>
      <c r="B155" s="572">
        <v>3425</v>
      </c>
      <c r="C155" s="572">
        <v>600078451</v>
      </c>
      <c r="D155" s="572">
        <v>72742551</v>
      </c>
      <c r="E155" s="573" t="s">
        <v>73</v>
      </c>
      <c r="F155" s="572">
        <v>3143</v>
      </c>
      <c r="G155" s="573" t="s">
        <v>636</v>
      </c>
      <c r="H155" s="736" t="s">
        <v>284</v>
      </c>
      <c r="I155" s="575">
        <f t="shared" si="354"/>
        <v>37217</v>
      </c>
      <c r="J155" s="496">
        <v>26235</v>
      </c>
      <c r="K155" s="131">
        <f t="shared" si="355"/>
        <v>8867</v>
      </c>
      <c r="L155" s="131">
        <f t="shared" ref="L155" si="363">ROUND(J155*2%,0)</f>
        <v>525</v>
      </c>
      <c r="M155" s="496">
        <v>1590</v>
      </c>
      <c r="N155" s="576">
        <f t="shared" si="357"/>
        <v>0.11</v>
      </c>
      <c r="O155" s="577">
        <v>0</v>
      </c>
      <c r="P155" s="578">
        <v>0.11</v>
      </c>
      <c r="Q155" s="579">
        <f t="shared" si="358"/>
        <v>0</v>
      </c>
      <c r="R155" s="498">
        <v>0</v>
      </c>
      <c r="S155" s="498">
        <v>0</v>
      </c>
      <c r="T155" s="498">
        <v>0</v>
      </c>
      <c r="U155" s="498">
        <f t="shared" si="331"/>
        <v>0</v>
      </c>
      <c r="V155" s="498">
        <v>0</v>
      </c>
      <c r="W155" s="498">
        <v>0</v>
      </c>
      <c r="X155" s="498">
        <v>0</v>
      </c>
      <c r="Y155" s="498">
        <f t="shared" si="332"/>
        <v>0</v>
      </c>
      <c r="Z155" s="498">
        <f t="shared" si="333"/>
        <v>0</v>
      </c>
      <c r="AA155" s="131">
        <f t="shared" si="359"/>
        <v>0</v>
      </c>
      <c r="AB155" s="131">
        <f t="shared" si="334"/>
        <v>0</v>
      </c>
      <c r="AC155" s="498">
        <v>0</v>
      </c>
      <c r="AD155" s="498">
        <v>0</v>
      </c>
      <c r="AE155" s="498">
        <f t="shared" si="335"/>
        <v>0</v>
      </c>
      <c r="AF155" s="498">
        <f t="shared" si="336"/>
        <v>0</v>
      </c>
      <c r="AG155" s="499">
        <v>0</v>
      </c>
      <c r="AH155" s="499">
        <v>0</v>
      </c>
      <c r="AI155" s="499">
        <v>0</v>
      </c>
      <c r="AJ155" s="499">
        <v>0</v>
      </c>
      <c r="AK155" s="499">
        <v>0</v>
      </c>
      <c r="AL155" s="499">
        <f t="shared" si="337"/>
        <v>0</v>
      </c>
      <c r="AM155" s="499">
        <f t="shared" si="338"/>
        <v>0</v>
      </c>
      <c r="AN155" s="529">
        <f t="shared" si="339"/>
        <v>0</v>
      </c>
      <c r="AO155" s="579">
        <f>I155+AF155</f>
        <v>37217</v>
      </c>
      <c r="AP155" s="498">
        <f>J155+U155</f>
        <v>26235</v>
      </c>
      <c r="AQ155" s="498">
        <f t="shared" si="360"/>
        <v>0</v>
      </c>
      <c r="AR155" s="498">
        <f t="shared" si="361"/>
        <v>8867</v>
      </c>
      <c r="AS155" s="498">
        <f t="shared" si="361"/>
        <v>525</v>
      </c>
      <c r="AT155" s="498">
        <f>M155+AE155</f>
        <v>1590</v>
      </c>
      <c r="AU155" s="499">
        <f>N155+AN155</f>
        <v>0.11</v>
      </c>
      <c r="AV155" s="499">
        <f t="shared" si="362"/>
        <v>0</v>
      </c>
      <c r="AW155" s="500">
        <f t="shared" si="362"/>
        <v>0.11</v>
      </c>
      <c r="AX155" s="580"/>
    </row>
    <row r="156" spans="1:51" s="569" customFormat="1" ht="12.75" customHeight="1" x14ac:dyDescent="0.2">
      <c r="A156" s="299">
        <v>33</v>
      </c>
      <c r="B156" s="23">
        <v>3425</v>
      </c>
      <c r="C156" s="298">
        <v>600078451</v>
      </c>
      <c r="D156" s="298">
        <v>72742551</v>
      </c>
      <c r="E156" s="570" t="s">
        <v>74</v>
      </c>
      <c r="F156" s="23"/>
      <c r="G156" s="570"/>
      <c r="H156" s="735"/>
      <c r="I156" s="35">
        <f t="shared" ref="I156:P156" si="364">SUM(I152:I155)</f>
        <v>13797075</v>
      </c>
      <c r="J156" s="24">
        <f t="shared" si="364"/>
        <v>9969702</v>
      </c>
      <c r="K156" s="24">
        <f t="shared" si="364"/>
        <v>3369759</v>
      </c>
      <c r="L156" s="24">
        <f t="shared" si="364"/>
        <v>199394</v>
      </c>
      <c r="M156" s="24">
        <f t="shared" si="364"/>
        <v>258220</v>
      </c>
      <c r="N156" s="25">
        <f t="shared" si="364"/>
        <v>19.252599999999997</v>
      </c>
      <c r="O156" s="391">
        <f t="shared" si="364"/>
        <v>14.588099999999999</v>
      </c>
      <c r="P156" s="456">
        <f t="shared" si="364"/>
        <v>4.6645000000000003</v>
      </c>
      <c r="Q156" s="35">
        <f t="shared" ref="Q156:AW156" si="365">SUM(Q152:Q155)</f>
        <v>-15360</v>
      </c>
      <c r="R156" s="24">
        <f t="shared" si="365"/>
        <v>1360841</v>
      </c>
      <c r="S156" s="24">
        <f t="shared" si="365"/>
        <v>0</v>
      </c>
      <c r="T156" s="24">
        <f t="shared" si="365"/>
        <v>0</v>
      </c>
      <c r="U156" s="24">
        <f t="shared" si="365"/>
        <v>1345481</v>
      </c>
      <c r="V156" s="24">
        <f t="shared" si="365"/>
        <v>15360</v>
      </c>
      <c r="W156" s="24">
        <f t="shared" si="365"/>
        <v>0</v>
      </c>
      <c r="X156" s="24">
        <f t="shared" si="365"/>
        <v>0</v>
      </c>
      <c r="Y156" s="24">
        <f t="shared" si="365"/>
        <v>15360</v>
      </c>
      <c r="Z156" s="24">
        <f t="shared" si="365"/>
        <v>1360841</v>
      </c>
      <c r="AA156" s="24">
        <f t="shared" si="365"/>
        <v>459964</v>
      </c>
      <c r="AB156" s="24">
        <f t="shared" si="365"/>
        <v>26910</v>
      </c>
      <c r="AC156" s="24">
        <f t="shared" si="365"/>
        <v>0</v>
      </c>
      <c r="AD156" s="24">
        <f t="shared" si="365"/>
        <v>0</v>
      </c>
      <c r="AE156" s="24">
        <f t="shared" si="365"/>
        <v>0</v>
      </c>
      <c r="AF156" s="24">
        <f t="shared" si="365"/>
        <v>1847715</v>
      </c>
      <c r="AG156" s="25">
        <f t="shared" si="365"/>
        <v>-0.03</v>
      </c>
      <c r="AH156" s="25">
        <f t="shared" si="365"/>
        <v>0</v>
      </c>
      <c r="AI156" s="25">
        <f t="shared" si="365"/>
        <v>3.9</v>
      </c>
      <c r="AJ156" s="25">
        <f t="shared" si="365"/>
        <v>0</v>
      </c>
      <c r="AK156" s="25">
        <f t="shared" si="365"/>
        <v>0</v>
      </c>
      <c r="AL156" s="25">
        <f t="shared" si="365"/>
        <v>3.87</v>
      </c>
      <c r="AM156" s="25">
        <f t="shared" si="365"/>
        <v>0</v>
      </c>
      <c r="AN156" s="392">
        <f t="shared" si="365"/>
        <v>3.87</v>
      </c>
      <c r="AO156" s="35">
        <f t="shared" si="365"/>
        <v>15644790</v>
      </c>
      <c r="AP156" s="24">
        <f t="shared" si="365"/>
        <v>11315183</v>
      </c>
      <c r="AQ156" s="24">
        <f t="shared" si="365"/>
        <v>15360</v>
      </c>
      <c r="AR156" s="24">
        <f t="shared" si="365"/>
        <v>3829723</v>
      </c>
      <c r="AS156" s="24">
        <f t="shared" si="365"/>
        <v>226304</v>
      </c>
      <c r="AT156" s="24">
        <f t="shared" si="365"/>
        <v>258220</v>
      </c>
      <c r="AU156" s="25">
        <f t="shared" si="365"/>
        <v>23.122599999999995</v>
      </c>
      <c r="AV156" s="25">
        <f t="shared" si="365"/>
        <v>18.458099999999998</v>
      </c>
      <c r="AW156" s="72">
        <f t="shared" si="365"/>
        <v>4.6645000000000003</v>
      </c>
      <c r="AX156" s="580"/>
    </row>
    <row r="157" spans="1:51" s="569" customFormat="1" ht="12.75" customHeight="1" x14ac:dyDescent="0.2">
      <c r="A157" s="571">
        <v>34</v>
      </c>
      <c r="B157" s="572">
        <v>3418</v>
      </c>
      <c r="C157" s="572">
        <v>600078001</v>
      </c>
      <c r="D157" s="572">
        <v>70695954</v>
      </c>
      <c r="E157" s="573" t="s">
        <v>75</v>
      </c>
      <c r="F157" s="572">
        <v>3111</v>
      </c>
      <c r="G157" s="573" t="s">
        <v>317</v>
      </c>
      <c r="H157" s="736" t="s">
        <v>283</v>
      </c>
      <c r="I157" s="575">
        <f t="shared" ref="I157:I159" si="366">SUM(J157:M157)</f>
        <v>1936767</v>
      </c>
      <c r="J157" s="496">
        <v>1419232</v>
      </c>
      <c r="K157" s="131">
        <f t="shared" ref="K157:K159" si="367">ROUND((J157)*33.8%,0)</f>
        <v>479700</v>
      </c>
      <c r="L157" s="131">
        <f t="shared" ref="L157:L159" si="368">ROUND(J157*2%,0)</f>
        <v>28385</v>
      </c>
      <c r="M157" s="496">
        <v>9450</v>
      </c>
      <c r="N157" s="576">
        <f t="shared" ref="N157:N159" si="369">SUM(O157:P157)</f>
        <v>3.1251999999999995</v>
      </c>
      <c r="O157" s="577">
        <v>2.2902999999999998</v>
      </c>
      <c r="P157" s="578">
        <v>0.83489999999999998</v>
      </c>
      <c r="Q157" s="579">
        <f t="shared" ref="Q157:Q159" si="370">V157*-1</f>
        <v>-8000</v>
      </c>
      <c r="R157" s="498">
        <v>0</v>
      </c>
      <c r="S157" s="498">
        <v>0</v>
      </c>
      <c r="T157" s="498">
        <v>0</v>
      </c>
      <c r="U157" s="498">
        <f t="shared" si="331"/>
        <v>-8000</v>
      </c>
      <c r="V157" s="498">
        <v>8000</v>
      </c>
      <c r="W157" s="498">
        <v>0</v>
      </c>
      <c r="X157" s="498">
        <v>0</v>
      </c>
      <c r="Y157" s="498">
        <f t="shared" si="332"/>
        <v>8000</v>
      </c>
      <c r="Z157" s="498">
        <f t="shared" si="333"/>
        <v>0</v>
      </c>
      <c r="AA157" s="131">
        <f t="shared" ref="AA157:AA158" si="371">ROUND((U157+V157+W155)*33.8%,0)</f>
        <v>0</v>
      </c>
      <c r="AB157" s="131">
        <f t="shared" si="334"/>
        <v>-160</v>
      </c>
      <c r="AC157" s="498">
        <v>0</v>
      </c>
      <c r="AD157" s="498">
        <v>0</v>
      </c>
      <c r="AE157" s="498">
        <f t="shared" si="335"/>
        <v>0</v>
      </c>
      <c r="AF157" s="498">
        <f t="shared" si="336"/>
        <v>-160</v>
      </c>
      <c r="AG157" s="499">
        <v>0</v>
      </c>
      <c r="AH157" s="499">
        <v>0</v>
      </c>
      <c r="AI157" s="499">
        <v>0</v>
      </c>
      <c r="AJ157" s="499">
        <v>0</v>
      </c>
      <c r="AK157" s="499">
        <v>0</v>
      </c>
      <c r="AL157" s="499">
        <f t="shared" si="337"/>
        <v>0</v>
      </c>
      <c r="AM157" s="499">
        <f t="shared" si="338"/>
        <v>0</v>
      </c>
      <c r="AN157" s="529">
        <f t="shared" si="339"/>
        <v>0</v>
      </c>
      <c r="AO157" s="579">
        <f>I157+AF157</f>
        <v>1936607</v>
      </c>
      <c r="AP157" s="498">
        <f>J157+U157</f>
        <v>1411232</v>
      </c>
      <c r="AQ157" s="498">
        <f t="shared" ref="AQ157:AQ159" si="372">Y157</f>
        <v>8000</v>
      </c>
      <c r="AR157" s="498">
        <f t="shared" ref="AR157:AS159" si="373">K157+AA157</f>
        <v>479700</v>
      </c>
      <c r="AS157" s="498">
        <f t="shared" si="373"/>
        <v>28225</v>
      </c>
      <c r="AT157" s="498">
        <f>M157+AE157</f>
        <v>9450</v>
      </c>
      <c r="AU157" s="499">
        <f>N157+AN157</f>
        <v>3.1251999999999995</v>
      </c>
      <c r="AV157" s="499">
        <f t="shared" ref="AV157:AW159" si="374">O157+AL157</f>
        <v>2.2902999999999998</v>
      </c>
      <c r="AW157" s="500">
        <f t="shared" si="374"/>
        <v>0.83489999999999998</v>
      </c>
      <c r="AX157" s="580"/>
    </row>
    <row r="158" spans="1:51" s="569" customFormat="1" ht="12.75" customHeight="1" x14ac:dyDescent="0.2">
      <c r="A158" s="571">
        <v>34</v>
      </c>
      <c r="B158" s="572">
        <v>3418</v>
      </c>
      <c r="C158" s="572">
        <v>600078001</v>
      </c>
      <c r="D158" s="572">
        <v>70695954</v>
      </c>
      <c r="E158" s="573" t="s">
        <v>75</v>
      </c>
      <c r="F158" s="572">
        <v>3111</v>
      </c>
      <c r="G158" s="573" t="s">
        <v>318</v>
      </c>
      <c r="H158" s="736" t="s">
        <v>284</v>
      </c>
      <c r="I158" s="575">
        <f t="shared" si="366"/>
        <v>0</v>
      </c>
      <c r="J158" s="496">
        <v>0</v>
      </c>
      <c r="K158" s="131">
        <f t="shared" si="367"/>
        <v>0</v>
      </c>
      <c r="L158" s="131">
        <f t="shared" si="368"/>
        <v>0</v>
      </c>
      <c r="M158" s="496">
        <v>0</v>
      </c>
      <c r="N158" s="576">
        <f t="shared" si="369"/>
        <v>0</v>
      </c>
      <c r="O158" s="577">
        <v>0</v>
      </c>
      <c r="P158" s="578">
        <v>0</v>
      </c>
      <c r="Q158" s="579">
        <f t="shared" si="370"/>
        <v>0</v>
      </c>
      <c r="R158" s="496">
        <v>173222</v>
      </c>
      <c r="S158" s="498">
        <v>0</v>
      </c>
      <c r="T158" s="498">
        <v>0</v>
      </c>
      <c r="U158" s="498">
        <f t="shared" ref="U158" si="375">SUM(Q158:T158)</f>
        <v>173222</v>
      </c>
      <c r="V158" s="498">
        <v>0</v>
      </c>
      <c r="W158" s="498">
        <v>0</v>
      </c>
      <c r="X158" s="498">
        <v>0</v>
      </c>
      <c r="Y158" s="498">
        <f t="shared" si="332"/>
        <v>0</v>
      </c>
      <c r="Z158" s="498">
        <f t="shared" si="333"/>
        <v>173222</v>
      </c>
      <c r="AA158" s="131">
        <f t="shared" si="371"/>
        <v>58549</v>
      </c>
      <c r="AB158" s="131">
        <f t="shared" si="334"/>
        <v>3464</v>
      </c>
      <c r="AC158" s="498">
        <v>0</v>
      </c>
      <c r="AD158" s="498">
        <v>0</v>
      </c>
      <c r="AE158" s="498">
        <f t="shared" si="335"/>
        <v>0</v>
      </c>
      <c r="AF158" s="498">
        <f t="shared" si="336"/>
        <v>235235</v>
      </c>
      <c r="AG158" s="499">
        <v>0</v>
      </c>
      <c r="AH158" s="499">
        <v>0</v>
      </c>
      <c r="AI158" s="499">
        <v>0.5</v>
      </c>
      <c r="AJ158" s="499">
        <v>0</v>
      </c>
      <c r="AK158" s="499">
        <v>0</v>
      </c>
      <c r="AL158" s="499">
        <f t="shared" si="337"/>
        <v>0.5</v>
      </c>
      <c r="AM158" s="499">
        <f t="shared" si="338"/>
        <v>0</v>
      </c>
      <c r="AN158" s="529">
        <f t="shared" si="339"/>
        <v>0.5</v>
      </c>
      <c r="AO158" s="579">
        <f>I158+AF158</f>
        <v>235235</v>
      </c>
      <c r="AP158" s="498">
        <f>J158+U158</f>
        <v>173222</v>
      </c>
      <c r="AQ158" s="498">
        <f t="shared" si="372"/>
        <v>0</v>
      </c>
      <c r="AR158" s="498">
        <f t="shared" si="373"/>
        <v>58549</v>
      </c>
      <c r="AS158" s="498">
        <f t="shared" si="373"/>
        <v>3464</v>
      </c>
      <c r="AT158" s="498">
        <f>M158+AE158</f>
        <v>0</v>
      </c>
      <c r="AU158" s="499">
        <f>N158+AN158</f>
        <v>0.5</v>
      </c>
      <c r="AV158" s="499">
        <f t="shared" si="374"/>
        <v>0.5</v>
      </c>
      <c r="AW158" s="500">
        <f t="shared" si="374"/>
        <v>0</v>
      </c>
      <c r="AX158" s="580"/>
    </row>
    <row r="159" spans="1:51" s="569" customFormat="1" ht="12.75" customHeight="1" x14ac:dyDescent="0.2">
      <c r="A159" s="571">
        <v>34</v>
      </c>
      <c r="B159" s="572">
        <v>3418</v>
      </c>
      <c r="C159" s="572">
        <v>600078001</v>
      </c>
      <c r="D159" s="572">
        <v>70695954</v>
      </c>
      <c r="E159" s="573" t="s">
        <v>75</v>
      </c>
      <c r="F159" s="572">
        <v>3141</v>
      </c>
      <c r="G159" s="573" t="s">
        <v>321</v>
      </c>
      <c r="H159" s="736" t="s">
        <v>284</v>
      </c>
      <c r="I159" s="575">
        <f t="shared" si="366"/>
        <v>337886</v>
      </c>
      <c r="J159" s="496">
        <v>247915</v>
      </c>
      <c r="K159" s="131">
        <f t="shared" si="367"/>
        <v>83795</v>
      </c>
      <c r="L159" s="131">
        <f t="shared" si="368"/>
        <v>4958</v>
      </c>
      <c r="M159" s="496">
        <v>1218</v>
      </c>
      <c r="N159" s="576">
        <f t="shared" si="369"/>
        <v>0.84</v>
      </c>
      <c r="O159" s="577">
        <v>0</v>
      </c>
      <c r="P159" s="578">
        <v>0.84</v>
      </c>
      <c r="Q159" s="579">
        <f t="shared" si="370"/>
        <v>-4000</v>
      </c>
      <c r="R159" s="498">
        <v>0</v>
      </c>
      <c r="S159" s="498">
        <v>0</v>
      </c>
      <c r="T159" s="498">
        <v>0</v>
      </c>
      <c r="U159" s="498">
        <f t="shared" si="331"/>
        <v>-4000</v>
      </c>
      <c r="V159" s="498">
        <v>4000</v>
      </c>
      <c r="W159" s="498">
        <v>0</v>
      </c>
      <c r="X159" s="498">
        <v>0</v>
      </c>
      <c r="Y159" s="498">
        <f t="shared" si="332"/>
        <v>4000</v>
      </c>
      <c r="Z159" s="498">
        <f t="shared" si="333"/>
        <v>0</v>
      </c>
      <c r="AA159" s="131">
        <f>ROUND((U159+V159+W156)*33.8%,0)</f>
        <v>0</v>
      </c>
      <c r="AB159" s="131">
        <f t="shared" si="334"/>
        <v>-80</v>
      </c>
      <c r="AC159" s="498">
        <v>0</v>
      </c>
      <c r="AD159" s="498">
        <v>0</v>
      </c>
      <c r="AE159" s="498">
        <f t="shared" si="335"/>
        <v>0</v>
      </c>
      <c r="AF159" s="498">
        <f t="shared" si="336"/>
        <v>-80</v>
      </c>
      <c r="AG159" s="499">
        <v>0</v>
      </c>
      <c r="AH159" s="499">
        <v>0</v>
      </c>
      <c r="AI159" s="499">
        <v>0</v>
      </c>
      <c r="AJ159" s="499">
        <v>0</v>
      </c>
      <c r="AK159" s="499">
        <v>0</v>
      </c>
      <c r="AL159" s="499">
        <f t="shared" si="337"/>
        <v>0</v>
      </c>
      <c r="AM159" s="499">
        <f t="shared" si="338"/>
        <v>0</v>
      </c>
      <c r="AN159" s="529">
        <f t="shared" si="339"/>
        <v>0</v>
      </c>
      <c r="AO159" s="579">
        <f>I159+AF159</f>
        <v>337806</v>
      </c>
      <c r="AP159" s="498">
        <f>J159+U159</f>
        <v>243915</v>
      </c>
      <c r="AQ159" s="498">
        <f t="shared" si="372"/>
        <v>4000</v>
      </c>
      <c r="AR159" s="498">
        <f t="shared" si="373"/>
        <v>83795</v>
      </c>
      <c r="AS159" s="498">
        <f t="shared" si="373"/>
        <v>4878</v>
      </c>
      <c r="AT159" s="498">
        <f>M159+AE159</f>
        <v>1218</v>
      </c>
      <c r="AU159" s="499">
        <f>N159+AN159</f>
        <v>0.84</v>
      </c>
      <c r="AV159" s="499">
        <f t="shared" si="374"/>
        <v>0</v>
      </c>
      <c r="AW159" s="500">
        <f t="shared" si="374"/>
        <v>0.84</v>
      </c>
      <c r="AX159" s="580"/>
      <c r="AY159" s="580"/>
    </row>
    <row r="160" spans="1:51" s="569" customFormat="1" ht="12.75" customHeight="1" x14ac:dyDescent="0.2">
      <c r="A160" s="299">
        <v>34</v>
      </c>
      <c r="B160" s="23">
        <v>3418</v>
      </c>
      <c r="C160" s="298">
        <v>600078001</v>
      </c>
      <c r="D160" s="298">
        <v>70695954</v>
      </c>
      <c r="E160" s="570" t="s">
        <v>76</v>
      </c>
      <c r="F160" s="23"/>
      <c r="G160" s="570"/>
      <c r="H160" s="735"/>
      <c r="I160" s="35">
        <f t="shared" ref="I160:P160" si="376">SUM(I157:I159)</f>
        <v>2274653</v>
      </c>
      <c r="J160" s="24">
        <f t="shared" si="376"/>
        <v>1667147</v>
      </c>
      <c r="K160" s="24">
        <f t="shared" si="376"/>
        <v>563495</v>
      </c>
      <c r="L160" s="24">
        <f t="shared" si="376"/>
        <v>33343</v>
      </c>
      <c r="M160" s="24">
        <f t="shared" si="376"/>
        <v>10668</v>
      </c>
      <c r="N160" s="25">
        <f t="shared" si="376"/>
        <v>3.9651999999999994</v>
      </c>
      <c r="O160" s="391">
        <f t="shared" si="376"/>
        <v>2.2902999999999998</v>
      </c>
      <c r="P160" s="456">
        <f t="shared" si="376"/>
        <v>1.6749000000000001</v>
      </c>
      <c r="Q160" s="35">
        <f t="shared" ref="Q160:AW160" si="377">SUM(Q157:Q159)</f>
        <v>-12000</v>
      </c>
      <c r="R160" s="24">
        <f t="shared" si="377"/>
        <v>173222</v>
      </c>
      <c r="S160" s="24">
        <f t="shared" si="377"/>
        <v>0</v>
      </c>
      <c r="T160" s="24">
        <f t="shared" si="377"/>
        <v>0</v>
      </c>
      <c r="U160" s="24">
        <f t="shared" si="377"/>
        <v>161222</v>
      </c>
      <c r="V160" s="24">
        <f t="shared" si="377"/>
        <v>12000</v>
      </c>
      <c r="W160" s="24">
        <f t="shared" si="377"/>
        <v>0</v>
      </c>
      <c r="X160" s="24">
        <f t="shared" si="377"/>
        <v>0</v>
      </c>
      <c r="Y160" s="24">
        <f t="shared" si="377"/>
        <v>12000</v>
      </c>
      <c r="Z160" s="24">
        <f t="shared" si="377"/>
        <v>173222</v>
      </c>
      <c r="AA160" s="24">
        <f t="shared" si="377"/>
        <v>58549</v>
      </c>
      <c r="AB160" s="24">
        <f t="shared" si="377"/>
        <v>3224</v>
      </c>
      <c r="AC160" s="24">
        <f t="shared" si="377"/>
        <v>0</v>
      </c>
      <c r="AD160" s="24">
        <f t="shared" si="377"/>
        <v>0</v>
      </c>
      <c r="AE160" s="24">
        <f t="shared" si="377"/>
        <v>0</v>
      </c>
      <c r="AF160" s="24">
        <f t="shared" si="377"/>
        <v>234995</v>
      </c>
      <c r="AG160" s="25">
        <f t="shared" si="377"/>
        <v>0</v>
      </c>
      <c r="AH160" s="25">
        <f t="shared" si="377"/>
        <v>0</v>
      </c>
      <c r="AI160" s="25">
        <f t="shared" si="377"/>
        <v>0.5</v>
      </c>
      <c r="AJ160" s="25">
        <f t="shared" si="377"/>
        <v>0</v>
      </c>
      <c r="AK160" s="25">
        <f t="shared" si="377"/>
        <v>0</v>
      </c>
      <c r="AL160" s="25">
        <f t="shared" si="377"/>
        <v>0.5</v>
      </c>
      <c r="AM160" s="25">
        <f t="shared" si="377"/>
        <v>0</v>
      </c>
      <c r="AN160" s="392">
        <f t="shared" si="377"/>
        <v>0.5</v>
      </c>
      <c r="AO160" s="35">
        <f t="shared" si="377"/>
        <v>2509648</v>
      </c>
      <c r="AP160" s="24">
        <f t="shared" si="377"/>
        <v>1828369</v>
      </c>
      <c r="AQ160" s="24">
        <f t="shared" si="377"/>
        <v>12000</v>
      </c>
      <c r="AR160" s="24">
        <f t="shared" si="377"/>
        <v>622044</v>
      </c>
      <c r="AS160" s="24">
        <f t="shared" si="377"/>
        <v>36567</v>
      </c>
      <c r="AT160" s="24">
        <f t="shared" si="377"/>
        <v>10668</v>
      </c>
      <c r="AU160" s="25">
        <f t="shared" si="377"/>
        <v>4.4651999999999994</v>
      </c>
      <c r="AV160" s="25">
        <f t="shared" si="377"/>
        <v>2.7902999999999998</v>
      </c>
      <c r="AW160" s="72">
        <f t="shared" si="377"/>
        <v>1.6749000000000001</v>
      </c>
      <c r="AX160" s="580"/>
    </row>
    <row r="161" spans="1:51" s="569" customFormat="1" ht="12.75" customHeight="1" x14ac:dyDescent="0.2">
      <c r="A161" s="571">
        <v>35</v>
      </c>
      <c r="B161" s="572">
        <v>3428</v>
      </c>
      <c r="C161" s="572">
        <v>600078311</v>
      </c>
      <c r="D161" s="572">
        <v>72742518</v>
      </c>
      <c r="E161" s="573" t="s">
        <v>77</v>
      </c>
      <c r="F161" s="572">
        <v>3111</v>
      </c>
      <c r="G161" s="573" t="s">
        <v>317</v>
      </c>
      <c r="H161" s="736" t="s">
        <v>283</v>
      </c>
      <c r="I161" s="575">
        <f t="shared" ref="I161:I166" si="378">SUM(J161:M161)</f>
        <v>2763500</v>
      </c>
      <c r="J161" s="496">
        <v>2023380</v>
      </c>
      <c r="K161" s="131">
        <f t="shared" ref="K161:K164" si="379">ROUND((J161)*33.8%,0)</f>
        <v>683902</v>
      </c>
      <c r="L161" s="131">
        <f t="shared" ref="L161:L166" si="380">ROUND(J161*2%,0)</f>
        <v>40468</v>
      </c>
      <c r="M161" s="496">
        <v>15750</v>
      </c>
      <c r="N161" s="576">
        <f t="shared" ref="N161:N166" si="381">SUM(O161:P161)</f>
        <v>4.9218000000000002</v>
      </c>
      <c r="O161" s="577">
        <v>4</v>
      </c>
      <c r="P161" s="578">
        <v>0.92179999999999995</v>
      </c>
      <c r="Q161" s="579">
        <f t="shared" ref="Q161:Q166" si="382">V161*-1</f>
        <v>0</v>
      </c>
      <c r="R161" s="498">
        <v>0</v>
      </c>
      <c r="S161" s="498">
        <v>0</v>
      </c>
      <c r="T161" s="498">
        <v>0</v>
      </c>
      <c r="U161" s="498">
        <f t="shared" si="331"/>
        <v>0</v>
      </c>
      <c r="V161" s="498">
        <v>0</v>
      </c>
      <c r="W161" s="498">
        <v>0</v>
      </c>
      <c r="X161" s="498">
        <v>0</v>
      </c>
      <c r="Y161" s="498">
        <f t="shared" si="332"/>
        <v>0</v>
      </c>
      <c r="Z161" s="498">
        <f t="shared" si="333"/>
        <v>0</v>
      </c>
      <c r="AA161" s="131">
        <f t="shared" ref="AA161:AA166" si="383">ROUND((U161+V161+W159)*33.8%,0)</f>
        <v>0</v>
      </c>
      <c r="AB161" s="131">
        <f t="shared" si="334"/>
        <v>0</v>
      </c>
      <c r="AC161" s="498">
        <v>0</v>
      </c>
      <c r="AD161" s="498">
        <v>0</v>
      </c>
      <c r="AE161" s="498">
        <f t="shared" si="335"/>
        <v>0</v>
      </c>
      <c r="AF161" s="498">
        <f t="shared" si="336"/>
        <v>0</v>
      </c>
      <c r="AG161" s="499">
        <v>0</v>
      </c>
      <c r="AH161" s="499">
        <v>0</v>
      </c>
      <c r="AI161" s="499">
        <v>0</v>
      </c>
      <c r="AJ161" s="499">
        <v>0</v>
      </c>
      <c r="AK161" s="499">
        <v>0</v>
      </c>
      <c r="AL161" s="499">
        <f t="shared" si="337"/>
        <v>0</v>
      </c>
      <c r="AM161" s="499">
        <f t="shared" si="338"/>
        <v>0</v>
      </c>
      <c r="AN161" s="529">
        <f t="shared" si="339"/>
        <v>0</v>
      </c>
      <c r="AO161" s="579">
        <f t="shared" ref="AO161:AO166" si="384">I161+AF161</f>
        <v>2763500</v>
      </c>
      <c r="AP161" s="498">
        <f t="shared" ref="AP161:AP166" si="385">J161+U161</f>
        <v>2023380</v>
      </c>
      <c r="AQ161" s="498">
        <f t="shared" ref="AQ161:AQ166" si="386">Y161</f>
        <v>0</v>
      </c>
      <c r="AR161" s="498">
        <f t="shared" ref="AR161:AS166" si="387">K161+AA161</f>
        <v>683902</v>
      </c>
      <c r="AS161" s="498">
        <f t="shared" si="387"/>
        <v>40468</v>
      </c>
      <c r="AT161" s="498">
        <f t="shared" ref="AT161:AT166" si="388">M161+AE161</f>
        <v>15750</v>
      </c>
      <c r="AU161" s="499">
        <f t="shared" ref="AU161:AU166" si="389">N161+AN161</f>
        <v>4.9218000000000002</v>
      </c>
      <c r="AV161" s="499">
        <f t="shared" ref="AV161:AW166" si="390">O161+AL161</f>
        <v>4</v>
      </c>
      <c r="AW161" s="500">
        <f t="shared" si="390"/>
        <v>0.92179999999999995</v>
      </c>
      <c r="AX161" s="580"/>
    </row>
    <row r="162" spans="1:51" s="569" customFormat="1" ht="12.75" customHeight="1" x14ac:dyDescent="0.2">
      <c r="A162" s="571">
        <v>35</v>
      </c>
      <c r="B162" s="572">
        <v>3428</v>
      </c>
      <c r="C162" s="572">
        <v>600078311</v>
      </c>
      <c r="D162" s="572">
        <v>72742518</v>
      </c>
      <c r="E162" s="573" t="s">
        <v>77</v>
      </c>
      <c r="F162" s="572">
        <v>3117</v>
      </c>
      <c r="G162" s="573" t="s">
        <v>320</v>
      </c>
      <c r="H162" s="736" t="s">
        <v>283</v>
      </c>
      <c r="I162" s="575">
        <f t="shared" si="378"/>
        <v>3485637</v>
      </c>
      <c r="J162" s="496">
        <v>2521412</v>
      </c>
      <c r="K162" s="131">
        <f t="shared" si="379"/>
        <v>852237</v>
      </c>
      <c r="L162" s="131">
        <f t="shared" si="380"/>
        <v>50428</v>
      </c>
      <c r="M162" s="496">
        <v>61560</v>
      </c>
      <c r="N162" s="576">
        <f t="shared" si="381"/>
        <v>5.1416000000000004</v>
      </c>
      <c r="O162" s="577">
        <v>3.5305</v>
      </c>
      <c r="P162" s="578">
        <v>1.6111</v>
      </c>
      <c r="Q162" s="579">
        <f t="shared" si="382"/>
        <v>0</v>
      </c>
      <c r="R162" s="498">
        <v>0</v>
      </c>
      <c r="S162" s="498">
        <v>0</v>
      </c>
      <c r="T162" s="498">
        <v>0</v>
      </c>
      <c r="U162" s="498">
        <f t="shared" si="331"/>
        <v>0</v>
      </c>
      <c r="V162" s="498">
        <v>0</v>
      </c>
      <c r="W162" s="498">
        <v>0</v>
      </c>
      <c r="X162" s="498">
        <v>0</v>
      </c>
      <c r="Y162" s="498">
        <f t="shared" si="332"/>
        <v>0</v>
      </c>
      <c r="Z162" s="498">
        <f t="shared" si="333"/>
        <v>0</v>
      </c>
      <c r="AA162" s="131">
        <f t="shared" si="383"/>
        <v>0</v>
      </c>
      <c r="AB162" s="131">
        <f t="shared" si="334"/>
        <v>0</v>
      </c>
      <c r="AC162" s="498">
        <v>0</v>
      </c>
      <c r="AD162" s="498">
        <v>0</v>
      </c>
      <c r="AE162" s="498">
        <f t="shared" si="335"/>
        <v>0</v>
      </c>
      <c r="AF162" s="498">
        <f t="shared" si="336"/>
        <v>0</v>
      </c>
      <c r="AG162" s="499">
        <v>0</v>
      </c>
      <c r="AH162" s="499">
        <v>0</v>
      </c>
      <c r="AI162" s="499">
        <v>0</v>
      </c>
      <c r="AJ162" s="499">
        <v>0</v>
      </c>
      <c r="AK162" s="499">
        <v>0</v>
      </c>
      <c r="AL162" s="499">
        <f t="shared" si="337"/>
        <v>0</v>
      </c>
      <c r="AM162" s="499">
        <f t="shared" si="338"/>
        <v>0</v>
      </c>
      <c r="AN162" s="529">
        <f t="shared" si="339"/>
        <v>0</v>
      </c>
      <c r="AO162" s="579">
        <f t="shared" si="384"/>
        <v>3485637</v>
      </c>
      <c r="AP162" s="498">
        <f t="shared" si="385"/>
        <v>2521412</v>
      </c>
      <c r="AQ162" s="498">
        <f t="shared" si="386"/>
        <v>0</v>
      </c>
      <c r="AR162" s="498">
        <f t="shared" si="387"/>
        <v>852237</v>
      </c>
      <c r="AS162" s="498">
        <f t="shared" si="387"/>
        <v>50428</v>
      </c>
      <c r="AT162" s="498">
        <f t="shared" si="388"/>
        <v>61560</v>
      </c>
      <c r="AU162" s="499">
        <f t="shared" si="389"/>
        <v>5.1416000000000004</v>
      </c>
      <c r="AV162" s="499">
        <f t="shared" si="390"/>
        <v>3.5305</v>
      </c>
      <c r="AW162" s="500">
        <f t="shared" si="390"/>
        <v>1.6111</v>
      </c>
      <c r="AX162" s="580"/>
    </row>
    <row r="163" spans="1:51" s="569" customFormat="1" x14ac:dyDescent="0.2">
      <c r="A163" s="571">
        <v>35</v>
      </c>
      <c r="B163" s="572">
        <v>3428</v>
      </c>
      <c r="C163" s="572">
        <v>600078311</v>
      </c>
      <c r="D163" s="572">
        <v>72742518</v>
      </c>
      <c r="E163" s="573" t="s">
        <v>77</v>
      </c>
      <c r="F163" s="572">
        <v>3117</v>
      </c>
      <c r="G163" s="573" t="s">
        <v>318</v>
      </c>
      <c r="H163" s="736" t="s">
        <v>284</v>
      </c>
      <c r="I163" s="575">
        <f t="shared" si="378"/>
        <v>0</v>
      </c>
      <c r="J163" s="496">
        <v>0</v>
      </c>
      <c r="K163" s="131">
        <f t="shared" si="379"/>
        <v>0</v>
      </c>
      <c r="L163" s="131">
        <f t="shared" si="380"/>
        <v>0</v>
      </c>
      <c r="M163" s="496">
        <v>0</v>
      </c>
      <c r="N163" s="576">
        <f t="shared" si="381"/>
        <v>0</v>
      </c>
      <c r="O163" s="577">
        <v>0</v>
      </c>
      <c r="P163" s="578">
        <v>0</v>
      </c>
      <c r="Q163" s="579">
        <f t="shared" si="382"/>
        <v>0</v>
      </c>
      <c r="R163" s="496">
        <f>975855-288703</f>
        <v>687152</v>
      </c>
      <c r="S163" s="498">
        <v>0</v>
      </c>
      <c r="T163" s="498">
        <v>0</v>
      </c>
      <c r="U163" s="498">
        <f t="shared" si="331"/>
        <v>687152</v>
      </c>
      <c r="V163" s="498">
        <v>0</v>
      </c>
      <c r="W163" s="498">
        <v>0</v>
      </c>
      <c r="X163" s="498">
        <v>0</v>
      </c>
      <c r="Y163" s="498">
        <f t="shared" si="332"/>
        <v>0</v>
      </c>
      <c r="Z163" s="498">
        <f t="shared" si="333"/>
        <v>687152</v>
      </c>
      <c r="AA163" s="131">
        <f t="shared" si="383"/>
        <v>232257</v>
      </c>
      <c r="AB163" s="131">
        <f t="shared" si="334"/>
        <v>13743</v>
      </c>
      <c r="AC163" s="498">
        <v>0</v>
      </c>
      <c r="AD163" s="498">
        <v>0</v>
      </c>
      <c r="AE163" s="498">
        <f t="shared" si="335"/>
        <v>0</v>
      </c>
      <c r="AF163" s="498">
        <f t="shared" si="336"/>
        <v>933152</v>
      </c>
      <c r="AG163" s="499">
        <v>0</v>
      </c>
      <c r="AH163" s="499">
        <v>0</v>
      </c>
      <c r="AI163" s="499">
        <f>2.8-0.83</f>
        <v>1.9699999999999998</v>
      </c>
      <c r="AJ163" s="499">
        <v>0</v>
      </c>
      <c r="AK163" s="499">
        <v>0</v>
      </c>
      <c r="AL163" s="499">
        <f t="shared" si="337"/>
        <v>1.9699999999999998</v>
      </c>
      <c r="AM163" s="499">
        <f t="shared" si="338"/>
        <v>0</v>
      </c>
      <c r="AN163" s="529">
        <f t="shared" si="339"/>
        <v>1.9699999999999998</v>
      </c>
      <c r="AO163" s="579">
        <f t="shared" si="384"/>
        <v>933152</v>
      </c>
      <c r="AP163" s="498">
        <f t="shared" si="385"/>
        <v>687152</v>
      </c>
      <c r="AQ163" s="498">
        <f t="shared" si="386"/>
        <v>0</v>
      </c>
      <c r="AR163" s="498">
        <f t="shared" si="387"/>
        <v>232257</v>
      </c>
      <c r="AS163" s="498">
        <f t="shared" si="387"/>
        <v>13743</v>
      </c>
      <c r="AT163" s="498">
        <f t="shared" si="388"/>
        <v>0</v>
      </c>
      <c r="AU163" s="499">
        <f t="shared" si="389"/>
        <v>1.9699999999999998</v>
      </c>
      <c r="AV163" s="499">
        <f t="shared" si="390"/>
        <v>1.9699999999999998</v>
      </c>
      <c r="AW163" s="500">
        <f t="shared" si="390"/>
        <v>0</v>
      </c>
      <c r="AX163" s="580"/>
    </row>
    <row r="164" spans="1:51" s="569" customFormat="1" ht="12.75" customHeight="1" x14ac:dyDescent="0.2">
      <c r="A164" s="571">
        <v>35</v>
      </c>
      <c r="B164" s="572">
        <v>3428</v>
      </c>
      <c r="C164" s="572">
        <v>600078311</v>
      </c>
      <c r="D164" s="572">
        <v>72742518</v>
      </c>
      <c r="E164" s="573" t="s">
        <v>77</v>
      </c>
      <c r="F164" s="572">
        <v>3141</v>
      </c>
      <c r="G164" s="573" t="s">
        <v>321</v>
      </c>
      <c r="H164" s="736" t="s">
        <v>284</v>
      </c>
      <c r="I164" s="575">
        <f t="shared" si="378"/>
        <v>881949</v>
      </c>
      <c r="J164" s="496">
        <v>646415</v>
      </c>
      <c r="K164" s="131">
        <f t="shared" si="379"/>
        <v>218488</v>
      </c>
      <c r="L164" s="131">
        <f t="shared" si="380"/>
        <v>12928</v>
      </c>
      <c r="M164" s="496">
        <v>4118</v>
      </c>
      <c r="N164" s="576">
        <f t="shared" si="381"/>
        <v>2.2000000000000002</v>
      </c>
      <c r="O164" s="577">
        <v>0</v>
      </c>
      <c r="P164" s="578">
        <v>2.2000000000000002</v>
      </c>
      <c r="Q164" s="579">
        <f t="shared" si="382"/>
        <v>0</v>
      </c>
      <c r="R164" s="498">
        <v>0</v>
      </c>
      <c r="S164" s="498">
        <v>0</v>
      </c>
      <c r="T164" s="498">
        <v>0</v>
      </c>
      <c r="U164" s="498">
        <f t="shared" si="331"/>
        <v>0</v>
      </c>
      <c r="V164" s="498">
        <v>0</v>
      </c>
      <c r="W164" s="498">
        <v>0</v>
      </c>
      <c r="X164" s="498">
        <v>0</v>
      </c>
      <c r="Y164" s="498">
        <f t="shared" si="332"/>
        <v>0</v>
      </c>
      <c r="Z164" s="498">
        <f t="shared" si="333"/>
        <v>0</v>
      </c>
      <c r="AA164" s="131">
        <f t="shared" si="383"/>
        <v>0</v>
      </c>
      <c r="AB164" s="131">
        <f t="shared" si="334"/>
        <v>0</v>
      </c>
      <c r="AC164" s="498">
        <v>0</v>
      </c>
      <c r="AD164" s="498">
        <v>0</v>
      </c>
      <c r="AE164" s="498">
        <f t="shared" si="335"/>
        <v>0</v>
      </c>
      <c r="AF164" s="498">
        <f t="shared" si="336"/>
        <v>0</v>
      </c>
      <c r="AG164" s="499">
        <v>0</v>
      </c>
      <c r="AH164" s="499">
        <v>0</v>
      </c>
      <c r="AI164" s="499">
        <v>0</v>
      </c>
      <c r="AJ164" s="499">
        <v>0</v>
      </c>
      <c r="AK164" s="499">
        <v>0</v>
      </c>
      <c r="AL164" s="499">
        <f t="shared" si="337"/>
        <v>0</v>
      </c>
      <c r="AM164" s="499">
        <f t="shared" si="338"/>
        <v>0</v>
      </c>
      <c r="AN164" s="529">
        <f t="shared" si="339"/>
        <v>0</v>
      </c>
      <c r="AO164" s="579">
        <f t="shared" si="384"/>
        <v>881949</v>
      </c>
      <c r="AP164" s="498">
        <f t="shared" si="385"/>
        <v>646415</v>
      </c>
      <c r="AQ164" s="498">
        <f t="shared" si="386"/>
        <v>0</v>
      </c>
      <c r="AR164" s="498">
        <f t="shared" si="387"/>
        <v>218488</v>
      </c>
      <c r="AS164" s="498">
        <f t="shared" si="387"/>
        <v>12928</v>
      </c>
      <c r="AT164" s="498">
        <f t="shared" si="388"/>
        <v>4118</v>
      </c>
      <c r="AU164" s="499">
        <f t="shared" si="389"/>
        <v>2.2000000000000002</v>
      </c>
      <c r="AV164" s="499">
        <f t="shared" si="390"/>
        <v>0</v>
      </c>
      <c r="AW164" s="500">
        <f t="shared" si="390"/>
        <v>2.2000000000000002</v>
      </c>
      <c r="AX164" s="580"/>
      <c r="AY164" s="580"/>
    </row>
    <row r="165" spans="1:51" s="569" customFormat="1" ht="12.75" customHeight="1" x14ac:dyDescent="0.2">
      <c r="A165" s="571">
        <v>35</v>
      </c>
      <c r="B165" s="572">
        <v>3428</v>
      </c>
      <c r="C165" s="572">
        <v>600078311</v>
      </c>
      <c r="D165" s="572">
        <v>72742518</v>
      </c>
      <c r="E165" s="573" t="s">
        <v>77</v>
      </c>
      <c r="F165" s="572">
        <v>3143</v>
      </c>
      <c r="G165" s="573" t="s">
        <v>635</v>
      </c>
      <c r="H165" s="736" t="s">
        <v>283</v>
      </c>
      <c r="I165" s="575">
        <f t="shared" si="378"/>
        <v>790646</v>
      </c>
      <c r="J165" s="496">
        <v>582213</v>
      </c>
      <c r="K165" s="131">
        <v>196789</v>
      </c>
      <c r="L165" s="131">
        <f t="shared" si="380"/>
        <v>11644</v>
      </c>
      <c r="M165" s="496">
        <v>0</v>
      </c>
      <c r="N165" s="576">
        <f t="shared" si="381"/>
        <v>1.1607000000000001</v>
      </c>
      <c r="O165" s="577">
        <v>1.1607000000000001</v>
      </c>
      <c r="P165" s="578">
        <v>0</v>
      </c>
      <c r="Q165" s="579">
        <f t="shared" si="382"/>
        <v>-12000</v>
      </c>
      <c r="R165" s="498">
        <v>0</v>
      </c>
      <c r="S165" s="498">
        <v>0</v>
      </c>
      <c r="T165" s="498">
        <v>0</v>
      </c>
      <c r="U165" s="498">
        <f t="shared" si="331"/>
        <v>-12000</v>
      </c>
      <c r="V165" s="498">
        <v>12000</v>
      </c>
      <c r="W165" s="498">
        <v>0</v>
      </c>
      <c r="X165" s="498">
        <v>0</v>
      </c>
      <c r="Y165" s="498">
        <f t="shared" si="332"/>
        <v>12000</v>
      </c>
      <c r="Z165" s="498">
        <f t="shared" si="333"/>
        <v>0</v>
      </c>
      <c r="AA165" s="131">
        <f t="shared" si="383"/>
        <v>0</v>
      </c>
      <c r="AB165" s="131">
        <f t="shared" si="334"/>
        <v>-240</v>
      </c>
      <c r="AC165" s="498">
        <v>0</v>
      </c>
      <c r="AD165" s="498">
        <v>0</v>
      </c>
      <c r="AE165" s="498">
        <f t="shared" si="335"/>
        <v>0</v>
      </c>
      <c r="AF165" s="498">
        <f t="shared" si="336"/>
        <v>-240</v>
      </c>
      <c r="AG165" s="499">
        <v>-0.03</v>
      </c>
      <c r="AH165" s="499">
        <v>0</v>
      </c>
      <c r="AI165" s="499">
        <v>0</v>
      </c>
      <c r="AJ165" s="499">
        <v>0</v>
      </c>
      <c r="AK165" s="499">
        <v>0</v>
      </c>
      <c r="AL165" s="499">
        <f t="shared" si="337"/>
        <v>-0.03</v>
      </c>
      <c r="AM165" s="499">
        <f t="shared" si="338"/>
        <v>0</v>
      </c>
      <c r="AN165" s="529">
        <f t="shared" si="339"/>
        <v>-0.03</v>
      </c>
      <c r="AO165" s="579">
        <f t="shared" si="384"/>
        <v>790406</v>
      </c>
      <c r="AP165" s="498">
        <f t="shared" si="385"/>
        <v>570213</v>
      </c>
      <c r="AQ165" s="498">
        <f t="shared" si="386"/>
        <v>12000</v>
      </c>
      <c r="AR165" s="498">
        <f t="shared" si="387"/>
        <v>196789</v>
      </c>
      <c r="AS165" s="498">
        <f t="shared" si="387"/>
        <v>11404</v>
      </c>
      <c r="AT165" s="498">
        <f t="shared" si="388"/>
        <v>0</v>
      </c>
      <c r="AU165" s="499">
        <f t="shared" si="389"/>
        <v>1.1307</v>
      </c>
      <c r="AV165" s="499">
        <f t="shared" si="390"/>
        <v>1.1307</v>
      </c>
      <c r="AW165" s="500">
        <f t="shared" si="390"/>
        <v>0</v>
      </c>
      <c r="AX165" s="580"/>
    </row>
    <row r="166" spans="1:51" s="569" customFormat="1" ht="12.75" customHeight="1" x14ac:dyDescent="0.2">
      <c r="A166" s="571">
        <v>35</v>
      </c>
      <c r="B166" s="572">
        <v>3428</v>
      </c>
      <c r="C166" s="572">
        <v>600078311</v>
      </c>
      <c r="D166" s="572">
        <v>72742518</v>
      </c>
      <c r="E166" s="573" t="s">
        <v>77</v>
      </c>
      <c r="F166" s="572">
        <v>3143</v>
      </c>
      <c r="G166" s="573" t="s">
        <v>636</v>
      </c>
      <c r="H166" s="736" t="s">
        <v>284</v>
      </c>
      <c r="I166" s="575">
        <f t="shared" si="378"/>
        <v>21066</v>
      </c>
      <c r="J166" s="496">
        <v>14850</v>
      </c>
      <c r="K166" s="131">
        <f t="shared" ref="K166" si="391">ROUND((J166)*33.8%,0)</f>
        <v>5019</v>
      </c>
      <c r="L166" s="131">
        <f t="shared" si="380"/>
        <v>297</v>
      </c>
      <c r="M166" s="496">
        <v>900</v>
      </c>
      <c r="N166" s="576">
        <f t="shared" si="381"/>
        <v>0.06</v>
      </c>
      <c r="O166" s="577">
        <v>0</v>
      </c>
      <c r="P166" s="578">
        <v>0.06</v>
      </c>
      <c r="Q166" s="579">
        <f t="shared" si="382"/>
        <v>0</v>
      </c>
      <c r="R166" s="498">
        <v>0</v>
      </c>
      <c r="S166" s="498">
        <v>0</v>
      </c>
      <c r="T166" s="498">
        <v>0</v>
      </c>
      <c r="U166" s="498">
        <f t="shared" si="331"/>
        <v>0</v>
      </c>
      <c r="V166" s="498">
        <v>0</v>
      </c>
      <c r="W166" s="498">
        <v>0</v>
      </c>
      <c r="X166" s="498">
        <v>0</v>
      </c>
      <c r="Y166" s="498">
        <f t="shared" si="332"/>
        <v>0</v>
      </c>
      <c r="Z166" s="498">
        <f t="shared" si="333"/>
        <v>0</v>
      </c>
      <c r="AA166" s="131">
        <f t="shared" si="383"/>
        <v>0</v>
      </c>
      <c r="AB166" s="131">
        <f t="shared" si="334"/>
        <v>0</v>
      </c>
      <c r="AC166" s="498">
        <v>0</v>
      </c>
      <c r="AD166" s="498">
        <v>0</v>
      </c>
      <c r="AE166" s="498">
        <f t="shared" si="335"/>
        <v>0</v>
      </c>
      <c r="AF166" s="498">
        <f t="shared" si="336"/>
        <v>0</v>
      </c>
      <c r="AG166" s="499">
        <v>0</v>
      </c>
      <c r="AH166" s="499">
        <v>0</v>
      </c>
      <c r="AI166" s="499">
        <v>0</v>
      </c>
      <c r="AJ166" s="499">
        <v>0</v>
      </c>
      <c r="AK166" s="499">
        <v>0</v>
      </c>
      <c r="AL166" s="499">
        <f t="shared" si="337"/>
        <v>0</v>
      </c>
      <c r="AM166" s="499">
        <f t="shared" si="338"/>
        <v>0</v>
      </c>
      <c r="AN166" s="529">
        <f t="shared" si="339"/>
        <v>0</v>
      </c>
      <c r="AO166" s="579">
        <f t="shared" si="384"/>
        <v>21066</v>
      </c>
      <c r="AP166" s="498">
        <f t="shared" si="385"/>
        <v>14850</v>
      </c>
      <c r="AQ166" s="498">
        <f t="shared" si="386"/>
        <v>0</v>
      </c>
      <c r="AR166" s="498">
        <f t="shared" si="387"/>
        <v>5019</v>
      </c>
      <c r="AS166" s="498">
        <f t="shared" si="387"/>
        <v>297</v>
      </c>
      <c r="AT166" s="498">
        <f t="shared" si="388"/>
        <v>900</v>
      </c>
      <c r="AU166" s="499">
        <f t="shared" si="389"/>
        <v>0.06</v>
      </c>
      <c r="AV166" s="499">
        <f t="shared" si="390"/>
        <v>0</v>
      </c>
      <c r="AW166" s="500">
        <f t="shared" si="390"/>
        <v>0.06</v>
      </c>
      <c r="AX166" s="580"/>
    </row>
    <row r="167" spans="1:51" s="569" customFormat="1" ht="12.75" customHeight="1" x14ac:dyDescent="0.2">
      <c r="A167" s="299">
        <v>35</v>
      </c>
      <c r="B167" s="23">
        <v>3428</v>
      </c>
      <c r="C167" s="298">
        <v>600078311</v>
      </c>
      <c r="D167" s="298">
        <v>72742518</v>
      </c>
      <c r="E167" s="570" t="s">
        <v>78</v>
      </c>
      <c r="F167" s="23"/>
      <c r="G167" s="570"/>
      <c r="H167" s="735"/>
      <c r="I167" s="35">
        <f t="shared" ref="I167:P167" si="392">SUM(I161:I166)</f>
        <v>7942798</v>
      </c>
      <c r="J167" s="24">
        <f t="shared" si="392"/>
        <v>5788270</v>
      </c>
      <c r="K167" s="24">
        <f t="shared" si="392"/>
        <v>1956435</v>
      </c>
      <c r="L167" s="24">
        <f t="shared" si="392"/>
        <v>115765</v>
      </c>
      <c r="M167" s="24">
        <f t="shared" si="392"/>
        <v>82328</v>
      </c>
      <c r="N167" s="25">
        <f t="shared" si="392"/>
        <v>13.484100000000002</v>
      </c>
      <c r="O167" s="391">
        <f t="shared" si="392"/>
        <v>8.6912000000000003</v>
      </c>
      <c r="P167" s="456">
        <f t="shared" si="392"/>
        <v>4.7928999999999995</v>
      </c>
      <c r="Q167" s="35">
        <f t="shared" ref="Q167:AW167" si="393">SUM(Q161:Q166)</f>
        <v>-12000</v>
      </c>
      <c r="R167" s="24">
        <f t="shared" si="393"/>
        <v>687152</v>
      </c>
      <c r="S167" s="24">
        <f t="shared" si="393"/>
        <v>0</v>
      </c>
      <c r="T167" s="24">
        <f t="shared" si="393"/>
        <v>0</v>
      </c>
      <c r="U167" s="24">
        <f t="shared" si="393"/>
        <v>675152</v>
      </c>
      <c r="V167" s="24">
        <f t="shared" si="393"/>
        <v>12000</v>
      </c>
      <c r="W167" s="24">
        <f t="shared" si="393"/>
        <v>0</v>
      </c>
      <c r="X167" s="24">
        <f t="shared" si="393"/>
        <v>0</v>
      </c>
      <c r="Y167" s="24">
        <f t="shared" si="393"/>
        <v>12000</v>
      </c>
      <c r="Z167" s="24">
        <f t="shared" si="393"/>
        <v>687152</v>
      </c>
      <c r="AA167" s="24">
        <f t="shared" si="393"/>
        <v>232257</v>
      </c>
      <c r="AB167" s="24">
        <f t="shared" si="393"/>
        <v>13503</v>
      </c>
      <c r="AC167" s="24">
        <f t="shared" si="393"/>
        <v>0</v>
      </c>
      <c r="AD167" s="24">
        <f t="shared" si="393"/>
        <v>0</v>
      </c>
      <c r="AE167" s="24">
        <f t="shared" si="393"/>
        <v>0</v>
      </c>
      <c r="AF167" s="24">
        <f t="shared" si="393"/>
        <v>932912</v>
      </c>
      <c r="AG167" s="25">
        <f t="shared" si="393"/>
        <v>-0.03</v>
      </c>
      <c r="AH167" s="25">
        <f t="shared" si="393"/>
        <v>0</v>
      </c>
      <c r="AI167" s="25">
        <f t="shared" si="393"/>
        <v>1.9699999999999998</v>
      </c>
      <c r="AJ167" s="25">
        <f t="shared" si="393"/>
        <v>0</v>
      </c>
      <c r="AK167" s="25">
        <f t="shared" si="393"/>
        <v>0</v>
      </c>
      <c r="AL167" s="25">
        <f t="shared" si="393"/>
        <v>1.9399999999999997</v>
      </c>
      <c r="AM167" s="25">
        <f t="shared" si="393"/>
        <v>0</v>
      </c>
      <c r="AN167" s="392">
        <f t="shared" si="393"/>
        <v>1.9399999999999997</v>
      </c>
      <c r="AO167" s="35">
        <f t="shared" si="393"/>
        <v>8875710</v>
      </c>
      <c r="AP167" s="24">
        <f t="shared" si="393"/>
        <v>6463422</v>
      </c>
      <c r="AQ167" s="24">
        <f t="shared" si="393"/>
        <v>12000</v>
      </c>
      <c r="AR167" s="24">
        <f t="shared" si="393"/>
        <v>2188692</v>
      </c>
      <c r="AS167" s="24">
        <f t="shared" si="393"/>
        <v>129268</v>
      </c>
      <c r="AT167" s="24">
        <f t="shared" si="393"/>
        <v>82328</v>
      </c>
      <c r="AU167" s="25">
        <f t="shared" si="393"/>
        <v>15.424100000000001</v>
      </c>
      <c r="AV167" s="25">
        <f t="shared" si="393"/>
        <v>10.6312</v>
      </c>
      <c r="AW167" s="72">
        <f t="shared" si="393"/>
        <v>4.7928999999999995</v>
      </c>
      <c r="AX167" s="580"/>
    </row>
    <row r="168" spans="1:51" s="569" customFormat="1" ht="12.75" customHeight="1" x14ac:dyDescent="0.2">
      <c r="A168" s="571">
        <v>36</v>
      </c>
      <c r="B168" s="572">
        <v>3433</v>
      </c>
      <c r="C168" s="572">
        <v>600078043</v>
      </c>
      <c r="D168" s="572">
        <v>70695130</v>
      </c>
      <c r="E168" s="573" t="s">
        <v>79</v>
      </c>
      <c r="F168" s="572">
        <v>3111</v>
      </c>
      <c r="G168" s="573" t="s">
        <v>317</v>
      </c>
      <c r="H168" s="736" t="s">
        <v>283</v>
      </c>
      <c r="I168" s="575">
        <f t="shared" ref="I168:I169" si="394">SUM(J168:M168)</f>
        <v>3332731</v>
      </c>
      <c r="J168" s="496">
        <v>2440229</v>
      </c>
      <c r="K168" s="131">
        <f>ROUND((J168)*33.8%,0)</f>
        <v>824797</v>
      </c>
      <c r="L168" s="131">
        <f>ROUND(J168*2%,0)</f>
        <v>48805</v>
      </c>
      <c r="M168" s="496">
        <v>18900</v>
      </c>
      <c r="N168" s="576">
        <f t="shared" ref="N168:N169" si="395">SUM(O168:P168)</f>
        <v>5.4897999999999998</v>
      </c>
      <c r="O168" s="577">
        <v>4</v>
      </c>
      <c r="P168" s="578">
        <v>1.4898</v>
      </c>
      <c r="Q168" s="579">
        <f t="shared" ref="Q168:Q169" si="396">V168*-1</f>
        <v>0</v>
      </c>
      <c r="R168" s="498">
        <v>0</v>
      </c>
      <c r="S168" s="498">
        <v>0</v>
      </c>
      <c r="T168" s="498">
        <v>0</v>
      </c>
      <c r="U168" s="498">
        <f t="shared" si="331"/>
        <v>0</v>
      </c>
      <c r="V168" s="498">
        <v>0</v>
      </c>
      <c r="W168" s="498">
        <v>0</v>
      </c>
      <c r="X168" s="498">
        <v>0</v>
      </c>
      <c r="Y168" s="498">
        <f t="shared" si="332"/>
        <v>0</v>
      </c>
      <c r="Z168" s="498">
        <f t="shared" si="333"/>
        <v>0</v>
      </c>
      <c r="AA168" s="131">
        <f t="shared" ref="AA168:AA169" si="397">ROUND((U168+V168+W166)*33.8%,0)</f>
        <v>0</v>
      </c>
      <c r="AB168" s="131">
        <f t="shared" si="334"/>
        <v>0</v>
      </c>
      <c r="AC168" s="498">
        <v>0</v>
      </c>
      <c r="AD168" s="498">
        <v>0</v>
      </c>
      <c r="AE168" s="498">
        <f t="shared" si="335"/>
        <v>0</v>
      </c>
      <c r="AF168" s="498">
        <f t="shared" si="336"/>
        <v>0</v>
      </c>
      <c r="AG168" s="499">
        <v>0</v>
      </c>
      <c r="AH168" s="499">
        <v>0</v>
      </c>
      <c r="AI168" s="499">
        <v>0</v>
      </c>
      <c r="AJ168" s="499">
        <v>0</v>
      </c>
      <c r="AK168" s="499">
        <v>0</v>
      </c>
      <c r="AL168" s="499">
        <f t="shared" si="337"/>
        <v>0</v>
      </c>
      <c r="AM168" s="499">
        <f t="shared" si="338"/>
        <v>0</v>
      </c>
      <c r="AN168" s="529">
        <f t="shared" si="339"/>
        <v>0</v>
      </c>
      <c r="AO168" s="579">
        <f>I168+AF168</f>
        <v>3332731</v>
      </c>
      <c r="AP168" s="498">
        <f>J168+U168</f>
        <v>2440229</v>
      </c>
      <c r="AQ168" s="498">
        <f t="shared" ref="AQ168:AQ169" si="398">Y168</f>
        <v>0</v>
      </c>
      <c r="AR168" s="498">
        <f>K168+AA168</f>
        <v>824797</v>
      </c>
      <c r="AS168" s="498">
        <f>L168+AB168</f>
        <v>48805</v>
      </c>
      <c r="AT168" s="498">
        <f>M168+AE168</f>
        <v>18900</v>
      </c>
      <c r="AU168" s="499">
        <f>N168+AN168</f>
        <v>5.4897999999999998</v>
      </c>
      <c r="AV168" s="499">
        <f>O168+AL168</f>
        <v>4</v>
      </c>
      <c r="AW168" s="500">
        <f>P168+AM168</f>
        <v>1.4898</v>
      </c>
      <c r="AX168" s="580"/>
    </row>
    <row r="169" spans="1:51" s="569" customFormat="1" ht="12.75" customHeight="1" x14ac:dyDescent="0.2">
      <c r="A169" s="571">
        <v>36</v>
      </c>
      <c r="B169" s="572">
        <v>3433</v>
      </c>
      <c r="C169" s="572">
        <v>600078043</v>
      </c>
      <c r="D169" s="572">
        <v>70695130</v>
      </c>
      <c r="E169" s="573" t="s">
        <v>79</v>
      </c>
      <c r="F169" s="572">
        <v>3141</v>
      </c>
      <c r="G169" s="573" t="s">
        <v>321</v>
      </c>
      <c r="H169" s="736" t="s">
        <v>284</v>
      </c>
      <c r="I169" s="575">
        <f t="shared" si="394"/>
        <v>564729</v>
      </c>
      <c r="J169" s="496">
        <v>414060</v>
      </c>
      <c r="K169" s="131">
        <f t="shared" ref="K169" si="399">ROUND((J169)*33.8%,0)</f>
        <v>139952</v>
      </c>
      <c r="L169" s="131">
        <f t="shared" ref="L169" si="400">ROUND(J169*2%,0)</f>
        <v>8281</v>
      </c>
      <c r="M169" s="496">
        <v>2436</v>
      </c>
      <c r="N169" s="576">
        <f t="shared" si="395"/>
        <v>1.41</v>
      </c>
      <c r="O169" s="577">
        <v>0</v>
      </c>
      <c r="P169" s="578">
        <v>1.41</v>
      </c>
      <c r="Q169" s="579">
        <f t="shared" si="396"/>
        <v>0</v>
      </c>
      <c r="R169" s="498">
        <v>0</v>
      </c>
      <c r="S169" s="498">
        <v>0</v>
      </c>
      <c r="T169" s="498">
        <v>0</v>
      </c>
      <c r="U169" s="498">
        <f t="shared" si="331"/>
        <v>0</v>
      </c>
      <c r="V169" s="498">
        <v>0</v>
      </c>
      <c r="W169" s="498">
        <v>0</v>
      </c>
      <c r="X169" s="498">
        <v>0</v>
      </c>
      <c r="Y169" s="498">
        <f t="shared" si="332"/>
        <v>0</v>
      </c>
      <c r="Z169" s="498">
        <f t="shared" si="333"/>
        <v>0</v>
      </c>
      <c r="AA169" s="131">
        <f t="shared" si="397"/>
        <v>0</v>
      </c>
      <c r="AB169" s="131">
        <f t="shared" si="334"/>
        <v>0</v>
      </c>
      <c r="AC169" s="498">
        <v>0</v>
      </c>
      <c r="AD169" s="498">
        <v>0</v>
      </c>
      <c r="AE169" s="498">
        <f t="shared" si="335"/>
        <v>0</v>
      </c>
      <c r="AF169" s="498">
        <f t="shared" si="336"/>
        <v>0</v>
      </c>
      <c r="AG169" s="499">
        <v>0</v>
      </c>
      <c r="AH169" s="499">
        <v>0</v>
      </c>
      <c r="AI169" s="499">
        <v>0</v>
      </c>
      <c r="AJ169" s="499">
        <v>0</v>
      </c>
      <c r="AK169" s="499">
        <v>0</v>
      </c>
      <c r="AL169" s="499">
        <f t="shared" si="337"/>
        <v>0</v>
      </c>
      <c r="AM169" s="499">
        <f t="shared" si="338"/>
        <v>0</v>
      </c>
      <c r="AN169" s="529">
        <f t="shared" si="339"/>
        <v>0</v>
      </c>
      <c r="AO169" s="579">
        <f>I169+AF169</f>
        <v>564729</v>
      </c>
      <c r="AP169" s="498">
        <f>J169+U169</f>
        <v>414060</v>
      </c>
      <c r="AQ169" s="498">
        <f t="shared" si="398"/>
        <v>0</v>
      </c>
      <c r="AR169" s="498">
        <f>K169+AA169</f>
        <v>139952</v>
      </c>
      <c r="AS169" s="498">
        <f>L169+AB169</f>
        <v>8281</v>
      </c>
      <c r="AT169" s="498">
        <f>M169+AE169</f>
        <v>2436</v>
      </c>
      <c r="AU169" s="499">
        <f>N169+AN169</f>
        <v>1.41</v>
      </c>
      <c r="AV169" s="499">
        <f>O169+AL169</f>
        <v>0</v>
      </c>
      <c r="AW169" s="500">
        <f>P169+AM169</f>
        <v>1.41</v>
      </c>
      <c r="AX169" s="580"/>
      <c r="AY169" s="580"/>
    </row>
    <row r="170" spans="1:51" s="569" customFormat="1" ht="12.75" customHeight="1" x14ac:dyDescent="0.2">
      <c r="A170" s="299">
        <v>36</v>
      </c>
      <c r="B170" s="23">
        <v>3433</v>
      </c>
      <c r="C170" s="298">
        <v>600078043</v>
      </c>
      <c r="D170" s="298">
        <v>70695130</v>
      </c>
      <c r="E170" s="570" t="s">
        <v>80</v>
      </c>
      <c r="F170" s="23"/>
      <c r="G170" s="570"/>
      <c r="H170" s="735"/>
      <c r="I170" s="35">
        <f t="shared" ref="I170:P170" si="401">SUM(I168:I169)</f>
        <v>3897460</v>
      </c>
      <c r="J170" s="24">
        <f t="shared" si="401"/>
        <v>2854289</v>
      </c>
      <c r="K170" s="24">
        <f t="shared" si="401"/>
        <v>964749</v>
      </c>
      <c r="L170" s="24">
        <f t="shared" si="401"/>
        <v>57086</v>
      </c>
      <c r="M170" s="24">
        <f t="shared" si="401"/>
        <v>21336</v>
      </c>
      <c r="N170" s="25">
        <f t="shared" si="401"/>
        <v>6.8997999999999999</v>
      </c>
      <c r="O170" s="391">
        <f t="shared" si="401"/>
        <v>4</v>
      </c>
      <c r="P170" s="456">
        <f t="shared" si="401"/>
        <v>2.8997999999999999</v>
      </c>
      <c r="Q170" s="35">
        <f t="shared" ref="Q170:AW170" si="402">SUM(Q168:Q169)</f>
        <v>0</v>
      </c>
      <c r="R170" s="24">
        <f t="shared" si="402"/>
        <v>0</v>
      </c>
      <c r="S170" s="24">
        <f t="shared" si="402"/>
        <v>0</v>
      </c>
      <c r="T170" s="24">
        <f t="shared" si="402"/>
        <v>0</v>
      </c>
      <c r="U170" s="24">
        <f t="shared" si="402"/>
        <v>0</v>
      </c>
      <c r="V170" s="24">
        <f t="shared" si="402"/>
        <v>0</v>
      </c>
      <c r="W170" s="24">
        <f t="shared" si="402"/>
        <v>0</v>
      </c>
      <c r="X170" s="24">
        <f t="shared" si="402"/>
        <v>0</v>
      </c>
      <c r="Y170" s="24">
        <f t="shared" si="402"/>
        <v>0</v>
      </c>
      <c r="Z170" s="24">
        <f t="shared" si="402"/>
        <v>0</v>
      </c>
      <c r="AA170" s="24">
        <f t="shared" si="402"/>
        <v>0</v>
      </c>
      <c r="AB170" s="24">
        <f t="shared" si="402"/>
        <v>0</v>
      </c>
      <c r="AC170" s="24">
        <f t="shared" si="402"/>
        <v>0</v>
      </c>
      <c r="AD170" s="24">
        <f t="shared" si="402"/>
        <v>0</v>
      </c>
      <c r="AE170" s="24">
        <f t="shared" si="402"/>
        <v>0</v>
      </c>
      <c r="AF170" s="24">
        <f t="shared" si="402"/>
        <v>0</v>
      </c>
      <c r="AG170" s="25">
        <f t="shared" si="402"/>
        <v>0</v>
      </c>
      <c r="AH170" s="25">
        <f t="shared" si="402"/>
        <v>0</v>
      </c>
      <c r="AI170" s="25">
        <f t="shared" si="402"/>
        <v>0</v>
      </c>
      <c r="AJ170" s="25">
        <f t="shared" si="402"/>
        <v>0</v>
      </c>
      <c r="AK170" s="25">
        <f t="shared" si="402"/>
        <v>0</v>
      </c>
      <c r="AL170" s="25">
        <f t="shared" si="402"/>
        <v>0</v>
      </c>
      <c r="AM170" s="25">
        <f t="shared" si="402"/>
        <v>0</v>
      </c>
      <c r="AN170" s="392">
        <f t="shared" si="402"/>
        <v>0</v>
      </c>
      <c r="AO170" s="35">
        <f t="shared" si="402"/>
        <v>3897460</v>
      </c>
      <c r="AP170" s="24">
        <f t="shared" si="402"/>
        <v>2854289</v>
      </c>
      <c r="AQ170" s="24">
        <f t="shared" si="402"/>
        <v>0</v>
      </c>
      <c r="AR170" s="24">
        <f t="shared" si="402"/>
        <v>964749</v>
      </c>
      <c r="AS170" s="24">
        <f t="shared" si="402"/>
        <v>57086</v>
      </c>
      <c r="AT170" s="24">
        <f t="shared" si="402"/>
        <v>21336</v>
      </c>
      <c r="AU170" s="25">
        <f t="shared" si="402"/>
        <v>6.8997999999999999</v>
      </c>
      <c r="AV170" s="25">
        <f t="shared" si="402"/>
        <v>4</v>
      </c>
      <c r="AW170" s="72">
        <f t="shared" si="402"/>
        <v>2.8997999999999999</v>
      </c>
      <c r="AX170" s="580"/>
    </row>
    <row r="171" spans="1:51" s="569" customFormat="1" ht="12.75" customHeight="1" x14ac:dyDescent="0.2">
      <c r="A171" s="571">
        <v>37</v>
      </c>
      <c r="B171" s="572">
        <v>3432</v>
      </c>
      <c r="C171" s="572">
        <v>600078329</v>
      </c>
      <c r="D171" s="572">
        <v>70695121</v>
      </c>
      <c r="E171" s="573" t="s">
        <v>81</v>
      </c>
      <c r="F171" s="572">
        <v>3117</v>
      </c>
      <c r="G171" s="573" t="s">
        <v>320</v>
      </c>
      <c r="H171" s="736" t="s">
        <v>283</v>
      </c>
      <c r="I171" s="575">
        <f t="shared" ref="I171:I175" si="403">SUM(J171:M171)</f>
        <v>5103960</v>
      </c>
      <c r="J171" s="496">
        <v>3675331</v>
      </c>
      <c r="K171" s="131">
        <f t="shared" ref="K171:K175" si="404">ROUND((J171)*33.8%,0)</f>
        <v>1242262</v>
      </c>
      <c r="L171" s="131">
        <f t="shared" ref="L171:L173" si="405">ROUND(J171*2%,0)</f>
        <v>73507</v>
      </c>
      <c r="M171" s="496">
        <v>112860</v>
      </c>
      <c r="N171" s="576">
        <f t="shared" ref="N171:N175" si="406">SUM(O171:P171)</f>
        <v>7.5343</v>
      </c>
      <c r="O171" s="577">
        <v>5.5</v>
      </c>
      <c r="P171" s="578">
        <v>2.0343</v>
      </c>
      <c r="Q171" s="579">
        <f t="shared" ref="Q171:Q175" si="407">V171*-1</f>
        <v>-16000</v>
      </c>
      <c r="R171" s="498">
        <v>0</v>
      </c>
      <c r="S171" s="498">
        <v>0</v>
      </c>
      <c r="T171" s="498">
        <v>0</v>
      </c>
      <c r="U171" s="498">
        <f t="shared" si="331"/>
        <v>-16000</v>
      </c>
      <c r="V171" s="498">
        <v>16000</v>
      </c>
      <c r="W171" s="498">
        <v>0</v>
      </c>
      <c r="X171" s="498">
        <v>0</v>
      </c>
      <c r="Y171" s="498">
        <f t="shared" si="332"/>
        <v>16000</v>
      </c>
      <c r="Z171" s="498">
        <f t="shared" si="333"/>
        <v>0</v>
      </c>
      <c r="AA171" s="131">
        <f t="shared" ref="AA171:AA175" si="408">ROUND((U171+V171+W169)*33.8%,0)</f>
        <v>0</v>
      </c>
      <c r="AB171" s="131">
        <f t="shared" si="334"/>
        <v>-320</v>
      </c>
      <c r="AC171" s="498">
        <v>0</v>
      </c>
      <c r="AD171" s="498">
        <v>0</v>
      </c>
      <c r="AE171" s="498">
        <f t="shared" si="335"/>
        <v>0</v>
      </c>
      <c r="AF171" s="498">
        <f t="shared" si="336"/>
        <v>-320</v>
      </c>
      <c r="AG171" s="499">
        <v>-0.03</v>
      </c>
      <c r="AH171" s="499">
        <v>0</v>
      </c>
      <c r="AI171" s="499">
        <v>0</v>
      </c>
      <c r="AJ171" s="499">
        <v>0</v>
      </c>
      <c r="AK171" s="499">
        <v>0</v>
      </c>
      <c r="AL171" s="499">
        <f t="shared" si="337"/>
        <v>-0.03</v>
      </c>
      <c r="AM171" s="499">
        <f t="shared" si="338"/>
        <v>0</v>
      </c>
      <c r="AN171" s="529">
        <f t="shared" si="339"/>
        <v>-0.03</v>
      </c>
      <c r="AO171" s="579">
        <f>I171+AF171</f>
        <v>5103640</v>
      </c>
      <c r="AP171" s="498">
        <f>J171+U171</f>
        <v>3659331</v>
      </c>
      <c r="AQ171" s="498">
        <f t="shared" ref="AQ171:AQ175" si="409">Y171</f>
        <v>16000</v>
      </c>
      <c r="AR171" s="498">
        <f t="shared" ref="AR171:AS175" si="410">K171+AA171</f>
        <v>1242262</v>
      </c>
      <c r="AS171" s="498">
        <f t="shared" si="410"/>
        <v>73187</v>
      </c>
      <c r="AT171" s="498">
        <f>M171+AE171</f>
        <v>112860</v>
      </c>
      <c r="AU171" s="499">
        <f>N171+AN171</f>
        <v>7.5042999999999997</v>
      </c>
      <c r="AV171" s="499">
        <f t="shared" ref="AV171:AW175" si="411">O171+AL171</f>
        <v>5.47</v>
      </c>
      <c r="AW171" s="500">
        <f t="shared" si="411"/>
        <v>2.0343</v>
      </c>
      <c r="AX171" s="580"/>
    </row>
    <row r="172" spans="1:51" s="569" customFormat="1" x14ac:dyDescent="0.2">
      <c r="A172" s="571">
        <v>37</v>
      </c>
      <c r="B172" s="572">
        <v>3432</v>
      </c>
      <c r="C172" s="572">
        <v>600078329</v>
      </c>
      <c r="D172" s="572">
        <v>70695121</v>
      </c>
      <c r="E172" s="573" t="s">
        <v>81</v>
      </c>
      <c r="F172" s="572">
        <v>3117</v>
      </c>
      <c r="G172" s="573" t="s">
        <v>318</v>
      </c>
      <c r="H172" s="736" t="s">
        <v>284</v>
      </c>
      <c r="I172" s="575">
        <f t="shared" si="403"/>
        <v>0</v>
      </c>
      <c r="J172" s="496">
        <v>0</v>
      </c>
      <c r="K172" s="131">
        <f t="shared" si="404"/>
        <v>0</v>
      </c>
      <c r="L172" s="131">
        <f t="shared" si="405"/>
        <v>0</v>
      </c>
      <c r="M172" s="496">
        <v>0</v>
      </c>
      <c r="N172" s="576">
        <f t="shared" si="406"/>
        <v>0</v>
      </c>
      <c r="O172" s="577">
        <v>0</v>
      </c>
      <c r="P172" s="578">
        <v>0</v>
      </c>
      <c r="Q172" s="579">
        <f t="shared" si="407"/>
        <v>0</v>
      </c>
      <c r="R172" s="496">
        <v>173222</v>
      </c>
      <c r="S172" s="498">
        <v>0</v>
      </c>
      <c r="T172" s="498">
        <v>0</v>
      </c>
      <c r="U172" s="498">
        <f t="shared" si="331"/>
        <v>173222</v>
      </c>
      <c r="V172" s="498">
        <v>0</v>
      </c>
      <c r="W172" s="498">
        <v>0</v>
      </c>
      <c r="X172" s="498">
        <v>0</v>
      </c>
      <c r="Y172" s="498">
        <f t="shared" si="332"/>
        <v>0</v>
      </c>
      <c r="Z172" s="498">
        <f t="shared" si="333"/>
        <v>173222</v>
      </c>
      <c r="AA172" s="131">
        <f t="shared" si="408"/>
        <v>58549</v>
      </c>
      <c r="AB172" s="131">
        <f t="shared" si="334"/>
        <v>3464</v>
      </c>
      <c r="AC172" s="498">
        <v>0</v>
      </c>
      <c r="AD172" s="498">
        <v>0</v>
      </c>
      <c r="AE172" s="498">
        <f t="shared" si="335"/>
        <v>0</v>
      </c>
      <c r="AF172" s="498">
        <f t="shared" si="336"/>
        <v>235235</v>
      </c>
      <c r="AG172" s="499">
        <v>0</v>
      </c>
      <c r="AH172" s="499">
        <v>0</v>
      </c>
      <c r="AI172" s="499">
        <v>0.5</v>
      </c>
      <c r="AJ172" s="499">
        <v>0</v>
      </c>
      <c r="AK172" s="499">
        <v>0</v>
      </c>
      <c r="AL172" s="499">
        <f t="shared" si="337"/>
        <v>0.5</v>
      </c>
      <c r="AM172" s="499">
        <f t="shared" si="338"/>
        <v>0</v>
      </c>
      <c r="AN172" s="529">
        <f t="shared" si="339"/>
        <v>0.5</v>
      </c>
      <c r="AO172" s="579">
        <f>I172+AF172</f>
        <v>235235</v>
      </c>
      <c r="AP172" s="498">
        <f>J172+U172</f>
        <v>173222</v>
      </c>
      <c r="AQ172" s="498">
        <f t="shared" si="409"/>
        <v>0</v>
      </c>
      <c r="AR172" s="498">
        <f t="shared" si="410"/>
        <v>58549</v>
      </c>
      <c r="AS172" s="498">
        <f t="shared" si="410"/>
        <v>3464</v>
      </c>
      <c r="AT172" s="498">
        <f>M172+AE172</f>
        <v>0</v>
      </c>
      <c r="AU172" s="499">
        <f>N172+AN172</f>
        <v>0.5</v>
      </c>
      <c r="AV172" s="499">
        <f t="shared" si="411"/>
        <v>0.5</v>
      </c>
      <c r="AW172" s="500">
        <f t="shared" si="411"/>
        <v>0</v>
      </c>
      <c r="AX172" s="580"/>
    </row>
    <row r="173" spans="1:51" s="569" customFormat="1" ht="12.75" customHeight="1" x14ac:dyDescent="0.2">
      <c r="A173" s="571">
        <v>37</v>
      </c>
      <c r="B173" s="572">
        <v>3432</v>
      </c>
      <c r="C173" s="572">
        <v>600078329</v>
      </c>
      <c r="D173" s="572">
        <v>70695121</v>
      </c>
      <c r="E173" s="573" t="s">
        <v>81</v>
      </c>
      <c r="F173" s="572">
        <v>3141</v>
      </c>
      <c r="G173" s="573" t="s">
        <v>321</v>
      </c>
      <c r="H173" s="736" t="s">
        <v>284</v>
      </c>
      <c r="I173" s="575">
        <f t="shared" si="403"/>
        <v>591064</v>
      </c>
      <c r="J173" s="496">
        <v>432470</v>
      </c>
      <c r="K173" s="131">
        <f t="shared" si="404"/>
        <v>146175</v>
      </c>
      <c r="L173" s="131">
        <f t="shared" si="405"/>
        <v>8649</v>
      </c>
      <c r="M173" s="496">
        <v>3770</v>
      </c>
      <c r="N173" s="576">
        <f t="shared" si="406"/>
        <v>1.47</v>
      </c>
      <c r="O173" s="577">
        <v>0</v>
      </c>
      <c r="P173" s="578">
        <v>1.47</v>
      </c>
      <c r="Q173" s="579">
        <f t="shared" si="407"/>
        <v>0</v>
      </c>
      <c r="R173" s="498">
        <v>0</v>
      </c>
      <c r="S173" s="498">
        <v>0</v>
      </c>
      <c r="T173" s="498">
        <v>0</v>
      </c>
      <c r="U173" s="498">
        <f t="shared" si="331"/>
        <v>0</v>
      </c>
      <c r="V173" s="498">
        <v>0</v>
      </c>
      <c r="W173" s="498">
        <v>0</v>
      </c>
      <c r="X173" s="498">
        <v>0</v>
      </c>
      <c r="Y173" s="498">
        <f t="shared" si="332"/>
        <v>0</v>
      </c>
      <c r="Z173" s="498">
        <f t="shared" si="333"/>
        <v>0</v>
      </c>
      <c r="AA173" s="131">
        <f t="shared" si="408"/>
        <v>0</v>
      </c>
      <c r="AB173" s="131">
        <f t="shared" si="334"/>
        <v>0</v>
      </c>
      <c r="AC173" s="498">
        <v>0</v>
      </c>
      <c r="AD173" s="498">
        <v>0</v>
      </c>
      <c r="AE173" s="498">
        <f t="shared" si="335"/>
        <v>0</v>
      </c>
      <c r="AF173" s="498">
        <f t="shared" si="336"/>
        <v>0</v>
      </c>
      <c r="AG173" s="499">
        <v>0</v>
      </c>
      <c r="AH173" s="499">
        <v>0</v>
      </c>
      <c r="AI173" s="499">
        <v>0</v>
      </c>
      <c r="AJ173" s="499">
        <v>0</v>
      </c>
      <c r="AK173" s="499">
        <v>0</v>
      </c>
      <c r="AL173" s="499">
        <f t="shared" si="337"/>
        <v>0</v>
      </c>
      <c r="AM173" s="499">
        <f t="shared" si="338"/>
        <v>0</v>
      </c>
      <c r="AN173" s="529">
        <f t="shared" si="339"/>
        <v>0</v>
      </c>
      <c r="AO173" s="579">
        <f>I173+AF173</f>
        <v>591064</v>
      </c>
      <c r="AP173" s="498">
        <f>J173+U173</f>
        <v>432470</v>
      </c>
      <c r="AQ173" s="498">
        <f t="shared" si="409"/>
        <v>0</v>
      </c>
      <c r="AR173" s="498">
        <f t="shared" si="410"/>
        <v>146175</v>
      </c>
      <c r="AS173" s="498">
        <f t="shared" si="410"/>
        <v>8649</v>
      </c>
      <c r="AT173" s="498">
        <f>M173+AE173</f>
        <v>3770</v>
      </c>
      <c r="AU173" s="499">
        <f>N173+AN173</f>
        <v>1.47</v>
      </c>
      <c r="AV173" s="499">
        <f t="shared" si="411"/>
        <v>0</v>
      </c>
      <c r="AW173" s="500">
        <f t="shared" si="411"/>
        <v>1.47</v>
      </c>
      <c r="AX173" s="580"/>
      <c r="AY173" s="580"/>
    </row>
    <row r="174" spans="1:51" s="569" customFormat="1" ht="12.75" customHeight="1" x14ac:dyDescent="0.2">
      <c r="A174" s="571">
        <v>37</v>
      </c>
      <c r="B174" s="572">
        <v>3432</v>
      </c>
      <c r="C174" s="572">
        <v>600078329</v>
      </c>
      <c r="D174" s="572">
        <v>70695121</v>
      </c>
      <c r="E174" s="573" t="s">
        <v>82</v>
      </c>
      <c r="F174" s="572">
        <v>3143</v>
      </c>
      <c r="G174" s="573" t="s">
        <v>635</v>
      </c>
      <c r="H174" s="736" t="s">
        <v>283</v>
      </c>
      <c r="I174" s="575">
        <f t="shared" si="403"/>
        <v>567009</v>
      </c>
      <c r="J174" s="496">
        <v>417533</v>
      </c>
      <c r="K174" s="131">
        <f t="shared" si="404"/>
        <v>141126</v>
      </c>
      <c r="L174" s="131">
        <v>8350</v>
      </c>
      <c r="M174" s="496">
        <v>0</v>
      </c>
      <c r="N174" s="576">
        <f t="shared" si="406"/>
        <v>0.82</v>
      </c>
      <c r="O174" s="577">
        <v>0.82</v>
      </c>
      <c r="P174" s="578">
        <v>0</v>
      </c>
      <c r="Q174" s="579">
        <f t="shared" si="407"/>
        <v>0</v>
      </c>
      <c r="R174" s="498">
        <v>0</v>
      </c>
      <c r="S174" s="498">
        <v>0</v>
      </c>
      <c r="T174" s="498">
        <v>0</v>
      </c>
      <c r="U174" s="498">
        <f t="shared" si="331"/>
        <v>0</v>
      </c>
      <c r="V174" s="498">
        <v>0</v>
      </c>
      <c r="W174" s="498">
        <v>0</v>
      </c>
      <c r="X174" s="498">
        <v>0</v>
      </c>
      <c r="Y174" s="498">
        <f t="shared" si="332"/>
        <v>0</v>
      </c>
      <c r="Z174" s="498">
        <f t="shared" si="333"/>
        <v>0</v>
      </c>
      <c r="AA174" s="131">
        <f t="shared" si="408"/>
        <v>0</v>
      </c>
      <c r="AB174" s="131">
        <f t="shared" si="334"/>
        <v>0</v>
      </c>
      <c r="AC174" s="498">
        <v>0</v>
      </c>
      <c r="AD174" s="498">
        <v>0</v>
      </c>
      <c r="AE174" s="498">
        <f t="shared" si="335"/>
        <v>0</v>
      </c>
      <c r="AF174" s="498">
        <f t="shared" si="336"/>
        <v>0</v>
      </c>
      <c r="AG174" s="499">
        <v>0</v>
      </c>
      <c r="AH174" s="499">
        <v>0</v>
      </c>
      <c r="AI174" s="499">
        <v>0</v>
      </c>
      <c r="AJ174" s="499">
        <v>0</v>
      </c>
      <c r="AK174" s="499">
        <v>0</v>
      </c>
      <c r="AL174" s="499">
        <f t="shared" si="337"/>
        <v>0</v>
      </c>
      <c r="AM174" s="499">
        <f t="shared" si="338"/>
        <v>0</v>
      </c>
      <c r="AN174" s="529">
        <f t="shared" si="339"/>
        <v>0</v>
      </c>
      <c r="AO174" s="579">
        <f>I174+AF174</f>
        <v>567009</v>
      </c>
      <c r="AP174" s="498">
        <f>J174+U174</f>
        <v>417533</v>
      </c>
      <c r="AQ174" s="498">
        <f t="shared" si="409"/>
        <v>0</v>
      </c>
      <c r="AR174" s="498">
        <f t="shared" si="410"/>
        <v>141126</v>
      </c>
      <c r="AS174" s="498">
        <f t="shared" si="410"/>
        <v>8350</v>
      </c>
      <c r="AT174" s="498">
        <f>M174+AE174</f>
        <v>0</v>
      </c>
      <c r="AU174" s="499">
        <f>N174+AN174</f>
        <v>0.82</v>
      </c>
      <c r="AV174" s="499">
        <f t="shared" si="411"/>
        <v>0.82</v>
      </c>
      <c r="AW174" s="500">
        <f t="shared" si="411"/>
        <v>0</v>
      </c>
      <c r="AX174" s="580"/>
    </row>
    <row r="175" spans="1:51" s="569" customFormat="1" ht="12.75" customHeight="1" x14ac:dyDescent="0.2">
      <c r="A175" s="571">
        <v>37</v>
      </c>
      <c r="B175" s="572">
        <v>3432</v>
      </c>
      <c r="C175" s="572">
        <v>600078329</v>
      </c>
      <c r="D175" s="572">
        <v>70695121</v>
      </c>
      <c r="E175" s="573" t="s">
        <v>82</v>
      </c>
      <c r="F175" s="572">
        <v>3143</v>
      </c>
      <c r="G175" s="573" t="s">
        <v>636</v>
      </c>
      <c r="H175" s="736" t="s">
        <v>284</v>
      </c>
      <c r="I175" s="575">
        <f t="shared" si="403"/>
        <v>17556</v>
      </c>
      <c r="J175" s="496">
        <v>12375</v>
      </c>
      <c r="K175" s="131">
        <f t="shared" si="404"/>
        <v>4183</v>
      </c>
      <c r="L175" s="131">
        <f t="shared" ref="L175" si="412">ROUND(J175*2%,0)</f>
        <v>248</v>
      </c>
      <c r="M175" s="496">
        <v>750</v>
      </c>
      <c r="N175" s="576">
        <f t="shared" si="406"/>
        <v>0.05</v>
      </c>
      <c r="O175" s="577">
        <v>0</v>
      </c>
      <c r="P175" s="578">
        <v>0.05</v>
      </c>
      <c r="Q175" s="579">
        <f t="shared" si="407"/>
        <v>0</v>
      </c>
      <c r="R175" s="498">
        <v>0</v>
      </c>
      <c r="S175" s="498">
        <v>0</v>
      </c>
      <c r="T175" s="498">
        <v>0</v>
      </c>
      <c r="U175" s="498">
        <f t="shared" si="331"/>
        <v>0</v>
      </c>
      <c r="V175" s="498">
        <v>0</v>
      </c>
      <c r="W175" s="498">
        <v>0</v>
      </c>
      <c r="X175" s="498">
        <v>0</v>
      </c>
      <c r="Y175" s="498">
        <f t="shared" si="332"/>
        <v>0</v>
      </c>
      <c r="Z175" s="498">
        <f t="shared" si="333"/>
        <v>0</v>
      </c>
      <c r="AA175" s="131">
        <f t="shared" si="408"/>
        <v>0</v>
      </c>
      <c r="AB175" s="131">
        <f t="shared" si="334"/>
        <v>0</v>
      </c>
      <c r="AC175" s="498">
        <v>0</v>
      </c>
      <c r="AD175" s="498">
        <v>0</v>
      </c>
      <c r="AE175" s="498">
        <f t="shared" si="335"/>
        <v>0</v>
      </c>
      <c r="AF175" s="498">
        <f t="shared" si="336"/>
        <v>0</v>
      </c>
      <c r="AG175" s="499">
        <v>0</v>
      </c>
      <c r="AH175" s="499">
        <v>0</v>
      </c>
      <c r="AI175" s="499">
        <v>0</v>
      </c>
      <c r="AJ175" s="499">
        <v>0</v>
      </c>
      <c r="AK175" s="499">
        <v>0</v>
      </c>
      <c r="AL175" s="499">
        <f t="shared" si="337"/>
        <v>0</v>
      </c>
      <c r="AM175" s="499">
        <f t="shared" si="338"/>
        <v>0</v>
      </c>
      <c r="AN175" s="529">
        <f t="shared" si="339"/>
        <v>0</v>
      </c>
      <c r="AO175" s="579">
        <f>I175+AF175</f>
        <v>17556</v>
      </c>
      <c r="AP175" s="498">
        <f>J175+U175</f>
        <v>12375</v>
      </c>
      <c r="AQ175" s="498">
        <f t="shared" si="409"/>
        <v>0</v>
      </c>
      <c r="AR175" s="498">
        <f t="shared" si="410"/>
        <v>4183</v>
      </c>
      <c r="AS175" s="498">
        <f t="shared" si="410"/>
        <v>248</v>
      </c>
      <c r="AT175" s="498">
        <f>M175+AE175</f>
        <v>750</v>
      </c>
      <c r="AU175" s="499">
        <f>N175+AN175</f>
        <v>0.05</v>
      </c>
      <c r="AV175" s="499">
        <f t="shared" si="411"/>
        <v>0</v>
      </c>
      <c r="AW175" s="500">
        <f t="shared" si="411"/>
        <v>0.05</v>
      </c>
      <c r="AX175" s="580"/>
    </row>
    <row r="176" spans="1:51" s="569" customFormat="1" ht="12.75" customHeight="1" x14ac:dyDescent="0.2">
      <c r="A176" s="299">
        <v>37</v>
      </c>
      <c r="B176" s="23">
        <v>3432</v>
      </c>
      <c r="C176" s="298">
        <v>600078329</v>
      </c>
      <c r="D176" s="298">
        <v>70695121</v>
      </c>
      <c r="E176" s="570" t="s">
        <v>83</v>
      </c>
      <c r="F176" s="23"/>
      <c r="G176" s="570"/>
      <c r="H176" s="735"/>
      <c r="I176" s="35">
        <f t="shared" ref="I176:P176" si="413">SUM(I171:I175)</f>
        <v>6279589</v>
      </c>
      <c r="J176" s="24">
        <f t="shared" si="413"/>
        <v>4537709</v>
      </c>
      <c r="K176" s="24">
        <f t="shared" si="413"/>
        <v>1533746</v>
      </c>
      <c r="L176" s="24">
        <f t="shared" si="413"/>
        <v>90754</v>
      </c>
      <c r="M176" s="24">
        <f t="shared" si="413"/>
        <v>117380</v>
      </c>
      <c r="N176" s="25">
        <f t="shared" si="413"/>
        <v>9.8743000000000016</v>
      </c>
      <c r="O176" s="391">
        <f t="shared" si="413"/>
        <v>6.32</v>
      </c>
      <c r="P176" s="456">
        <f t="shared" si="413"/>
        <v>3.5542999999999996</v>
      </c>
      <c r="Q176" s="35">
        <f t="shared" ref="Q176:AW176" si="414">SUM(Q171:Q175)</f>
        <v>-16000</v>
      </c>
      <c r="R176" s="24">
        <f t="shared" si="414"/>
        <v>173222</v>
      </c>
      <c r="S176" s="24">
        <f t="shared" si="414"/>
        <v>0</v>
      </c>
      <c r="T176" s="24">
        <f t="shared" si="414"/>
        <v>0</v>
      </c>
      <c r="U176" s="24">
        <f t="shared" si="414"/>
        <v>157222</v>
      </c>
      <c r="V176" s="24">
        <f t="shared" si="414"/>
        <v>16000</v>
      </c>
      <c r="W176" s="24">
        <f t="shared" si="414"/>
        <v>0</v>
      </c>
      <c r="X176" s="24">
        <f t="shared" si="414"/>
        <v>0</v>
      </c>
      <c r="Y176" s="24">
        <f t="shared" si="414"/>
        <v>16000</v>
      </c>
      <c r="Z176" s="24">
        <f t="shared" si="414"/>
        <v>173222</v>
      </c>
      <c r="AA176" s="24">
        <f t="shared" si="414"/>
        <v>58549</v>
      </c>
      <c r="AB176" s="24">
        <f t="shared" si="414"/>
        <v>3144</v>
      </c>
      <c r="AC176" s="24">
        <f t="shared" si="414"/>
        <v>0</v>
      </c>
      <c r="AD176" s="24">
        <f t="shared" si="414"/>
        <v>0</v>
      </c>
      <c r="AE176" s="24">
        <f t="shared" si="414"/>
        <v>0</v>
      </c>
      <c r="AF176" s="24">
        <f t="shared" si="414"/>
        <v>234915</v>
      </c>
      <c r="AG176" s="25">
        <f t="shared" si="414"/>
        <v>-0.03</v>
      </c>
      <c r="AH176" s="25">
        <f t="shared" si="414"/>
        <v>0</v>
      </c>
      <c r="AI176" s="25">
        <f t="shared" si="414"/>
        <v>0.5</v>
      </c>
      <c r="AJ176" s="25">
        <f t="shared" si="414"/>
        <v>0</v>
      </c>
      <c r="AK176" s="25">
        <f t="shared" si="414"/>
        <v>0</v>
      </c>
      <c r="AL176" s="25">
        <f t="shared" si="414"/>
        <v>0.47</v>
      </c>
      <c r="AM176" s="25">
        <f t="shared" si="414"/>
        <v>0</v>
      </c>
      <c r="AN176" s="392">
        <f t="shared" si="414"/>
        <v>0.47</v>
      </c>
      <c r="AO176" s="35">
        <f t="shared" si="414"/>
        <v>6514504</v>
      </c>
      <c r="AP176" s="24">
        <f t="shared" si="414"/>
        <v>4694931</v>
      </c>
      <c r="AQ176" s="24">
        <f t="shared" si="414"/>
        <v>16000</v>
      </c>
      <c r="AR176" s="24">
        <f t="shared" si="414"/>
        <v>1592295</v>
      </c>
      <c r="AS176" s="24">
        <f t="shared" si="414"/>
        <v>93898</v>
      </c>
      <c r="AT176" s="24">
        <f t="shared" si="414"/>
        <v>117380</v>
      </c>
      <c r="AU176" s="25">
        <f t="shared" si="414"/>
        <v>10.344300000000002</v>
      </c>
      <c r="AV176" s="25">
        <f t="shared" si="414"/>
        <v>6.79</v>
      </c>
      <c r="AW176" s="72">
        <f t="shared" si="414"/>
        <v>3.5542999999999996</v>
      </c>
      <c r="AX176" s="580"/>
    </row>
    <row r="177" spans="1:51" s="569" customFormat="1" ht="12.75" customHeight="1" x14ac:dyDescent="0.2">
      <c r="A177" s="571">
        <v>38</v>
      </c>
      <c r="B177" s="572">
        <v>3435</v>
      </c>
      <c r="C177" s="572">
        <v>650022131</v>
      </c>
      <c r="D177" s="572">
        <v>70981531</v>
      </c>
      <c r="E177" s="573" t="s">
        <v>84</v>
      </c>
      <c r="F177" s="572">
        <v>3111</v>
      </c>
      <c r="G177" s="573" t="s">
        <v>317</v>
      </c>
      <c r="H177" s="736" t="s">
        <v>283</v>
      </c>
      <c r="I177" s="575">
        <f t="shared" ref="I177:I182" si="415">SUM(J177:M177)</f>
        <v>7913539</v>
      </c>
      <c r="J177" s="496">
        <v>5787584</v>
      </c>
      <c r="K177" s="131">
        <f t="shared" ref="K177:K182" si="416">ROUND((J177)*33.8%,0)</f>
        <v>1956203</v>
      </c>
      <c r="L177" s="131">
        <f t="shared" ref="L177:L180" si="417">ROUND(J177*2%,0)</f>
        <v>115752</v>
      </c>
      <c r="M177" s="496">
        <v>54000</v>
      </c>
      <c r="N177" s="576">
        <f t="shared" ref="N177:N182" si="418">SUM(O177:P177)</f>
        <v>13.765499999999999</v>
      </c>
      <c r="O177" s="577">
        <v>11</v>
      </c>
      <c r="P177" s="578">
        <v>2.7654999999999998</v>
      </c>
      <c r="Q177" s="579">
        <f t="shared" ref="Q177:Q182" si="419">V177*-1</f>
        <v>0</v>
      </c>
      <c r="R177" s="498">
        <v>0</v>
      </c>
      <c r="S177" s="498">
        <v>0</v>
      </c>
      <c r="T177" s="498">
        <v>0</v>
      </c>
      <c r="U177" s="498">
        <f t="shared" si="331"/>
        <v>0</v>
      </c>
      <c r="V177" s="498">
        <v>0</v>
      </c>
      <c r="W177" s="498">
        <v>0</v>
      </c>
      <c r="X177" s="498">
        <v>0</v>
      </c>
      <c r="Y177" s="498">
        <f t="shared" si="332"/>
        <v>0</v>
      </c>
      <c r="Z177" s="498">
        <f t="shared" si="333"/>
        <v>0</v>
      </c>
      <c r="AA177" s="131">
        <f t="shared" ref="AA177:AA182" si="420">ROUND((U177+V177+W175)*33.8%,0)</f>
        <v>0</v>
      </c>
      <c r="AB177" s="131">
        <f t="shared" si="334"/>
        <v>0</v>
      </c>
      <c r="AC177" s="498">
        <v>0</v>
      </c>
      <c r="AD177" s="498">
        <v>0</v>
      </c>
      <c r="AE177" s="498">
        <f t="shared" si="335"/>
        <v>0</v>
      </c>
      <c r="AF177" s="498">
        <f t="shared" si="336"/>
        <v>0</v>
      </c>
      <c r="AG177" s="499">
        <v>0</v>
      </c>
      <c r="AH177" s="499">
        <v>0</v>
      </c>
      <c r="AI177" s="499">
        <v>0</v>
      </c>
      <c r="AJ177" s="499">
        <v>0</v>
      </c>
      <c r="AK177" s="499">
        <v>0</v>
      </c>
      <c r="AL177" s="499">
        <f t="shared" si="337"/>
        <v>0</v>
      </c>
      <c r="AM177" s="499">
        <f t="shared" si="338"/>
        <v>0</v>
      </c>
      <c r="AN177" s="529">
        <f t="shared" si="339"/>
        <v>0</v>
      </c>
      <c r="AO177" s="579">
        <f t="shared" ref="AO177:AO182" si="421">I177+AF177</f>
        <v>7913539</v>
      </c>
      <c r="AP177" s="498">
        <f t="shared" ref="AP177:AP182" si="422">J177+U177</f>
        <v>5787584</v>
      </c>
      <c r="AQ177" s="498">
        <f t="shared" ref="AQ177:AQ182" si="423">Y177</f>
        <v>0</v>
      </c>
      <c r="AR177" s="498">
        <f t="shared" ref="AR177:AS182" si="424">K177+AA177</f>
        <v>1956203</v>
      </c>
      <c r="AS177" s="498">
        <f t="shared" si="424"/>
        <v>115752</v>
      </c>
      <c r="AT177" s="498">
        <f t="shared" ref="AT177:AT182" si="425">M177+AE177</f>
        <v>54000</v>
      </c>
      <c r="AU177" s="499">
        <f t="shared" ref="AU177:AU182" si="426">N177+AN177</f>
        <v>13.765499999999999</v>
      </c>
      <c r="AV177" s="499">
        <f t="shared" ref="AV177:AW182" si="427">O177+AL177</f>
        <v>11</v>
      </c>
      <c r="AW177" s="500">
        <f t="shared" si="427"/>
        <v>2.7654999999999998</v>
      </c>
      <c r="AX177" s="580"/>
    </row>
    <row r="178" spans="1:51" s="569" customFormat="1" ht="12.75" customHeight="1" x14ac:dyDescent="0.2">
      <c r="A178" s="571">
        <v>38</v>
      </c>
      <c r="B178" s="572">
        <v>3435</v>
      </c>
      <c r="C178" s="572">
        <v>650022131</v>
      </c>
      <c r="D178" s="572">
        <v>70981531</v>
      </c>
      <c r="E178" s="573" t="s">
        <v>84</v>
      </c>
      <c r="F178" s="572">
        <v>3113</v>
      </c>
      <c r="G178" s="573" t="s">
        <v>320</v>
      </c>
      <c r="H178" s="736" t="s">
        <v>283</v>
      </c>
      <c r="I178" s="575">
        <f t="shared" si="415"/>
        <v>22905601</v>
      </c>
      <c r="J178" s="496">
        <v>16517239</v>
      </c>
      <c r="K178" s="131">
        <f t="shared" si="416"/>
        <v>5582827</v>
      </c>
      <c r="L178" s="131">
        <f t="shared" si="417"/>
        <v>330345</v>
      </c>
      <c r="M178" s="496">
        <v>475190</v>
      </c>
      <c r="N178" s="576">
        <f t="shared" si="418"/>
        <v>32.124700000000004</v>
      </c>
      <c r="O178" s="577">
        <v>23.8184</v>
      </c>
      <c r="P178" s="578">
        <v>8.3063000000000002</v>
      </c>
      <c r="Q178" s="579">
        <f t="shared" si="419"/>
        <v>-40000</v>
      </c>
      <c r="R178" s="498">
        <v>0</v>
      </c>
      <c r="S178" s="498">
        <v>0</v>
      </c>
      <c r="T178" s="498">
        <v>0</v>
      </c>
      <c r="U178" s="498">
        <f t="shared" si="331"/>
        <v>-40000</v>
      </c>
      <c r="V178" s="498">
        <v>40000</v>
      </c>
      <c r="W178" s="498">
        <v>0</v>
      </c>
      <c r="X178" s="498">
        <v>0</v>
      </c>
      <c r="Y178" s="498">
        <f t="shared" si="332"/>
        <v>40000</v>
      </c>
      <c r="Z178" s="498">
        <f t="shared" si="333"/>
        <v>0</v>
      </c>
      <c r="AA178" s="131">
        <f t="shared" si="420"/>
        <v>0</v>
      </c>
      <c r="AB178" s="131">
        <f t="shared" si="334"/>
        <v>-800</v>
      </c>
      <c r="AC178" s="498">
        <v>0</v>
      </c>
      <c r="AD178" s="498">
        <v>0</v>
      </c>
      <c r="AE178" s="498">
        <f t="shared" si="335"/>
        <v>0</v>
      </c>
      <c r="AF178" s="498">
        <f t="shared" si="336"/>
        <v>-800</v>
      </c>
      <c r="AG178" s="499">
        <v>0</v>
      </c>
      <c r="AH178" s="499">
        <v>-0.2</v>
      </c>
      <c r="AI178" s="499">
        <v>0</v>
      </c>
      <c r="AJ178" s="499">
        <v>0</v>
      </c>
      <c r="AK178" s="499">
        <v>0</v>
      </c>
      <c r="AL178" s="499">
        <f t="shared" si="337"/>
        <v>0</v>
      </c>
      <c r="AM178" s="499">
        <f t="shared" si="338"/>
        <v>-0.2</v>
      </c>
      <c r="AN178" s="529">
        <f t="shared" si="339"/>
        <v>-0.2</v>
      </c>
      <c r="AO178" s="579">
        <f t="shared" si="421"/>
        <v>22904801</v>
      </c>
      <c r="AP178" s="498">
        <f t="shared" si="422"/>
        <v>16477239</v>
      </c>
      <c r="AQ178" s="498">
        <f t="shared" si="423"/>
        <v>40000</v>
      </c>
      <c r="AR178" s="498">
        <f t="shared" si="424"/>
        <v>5582827</v>
      </c>
      <c r="AS178" s="498">
        <f t="shared" si="424"/>
        <v>329545</v>
      </c>
      <c r="AT178" s="498">
        <f t="shared" si="425"/>
        <v>475190</v>
      </c>
      <c r="AU178" s="499">
        <f t="shared" si="426"/>
        <v>31.924700000000005</v>
      </c>
      <c r="AV178" s="499">
        <f t="shared" si="427"/>
        <v>23.8184</v>
      </c>
      <c r="AW178" s="500">
        <f t="shared" si="427"/>
        <v>8.1063000000000009</v>
      </c>
      <c r="AX178" s="580"/>
    </row>
    <row r="179" spans="1:51" s="569" customFormat="1" x14ac:dyDescent="0.2">
      <c r="A179" s="571">
        <v>38</v>
      </c>
      <c r="B179" s="572">
        <v>3435</v>
      </c>
      <c r="C179" s="572">
        <v>650022131</v>
      </c>
      <c r="D179" s="572">
        <v>70981531</v>
      </c>
      <c r="E179" s="573" t="s">
        <v>84</v>
      </c>
      <c r="F179" s="572">
        <v>3113</v>
      </c>
      <c r="G179" s="573" t="s">
        <v>318</v>
      </c>
      <c r="H179" s="736" t="s">
        <v>284</v>
      </c>
      <c r="I179" s="575">
        <f t="shared" si="415"/>
        <v>0</v>
      </c>
      <c r="J179" s="496">
        <v>0</v>
      </c>
      <c r="K179" s="131">
        <f t="shared" si="416"/>
        <v>0</v>
      </c>
      <c r="L179" s="131">
        <f t="shared" si="417"/>
        <v>0</v>
      </c>
      <c r="M179" s="496">
        <v>0</v>
      </c>
      <c r="N179" s="576">
        <f t="shared" si="418"/>
        <v>0</v>
      </c>
      <c r="O179" s="577">
        <v>0</v>
      </c>
      <c r="P179" s="578">
        <v>0</v>
      </c>
      <c r="Q179" s="579">
        <f t="shared" si="419"/>
        <v>0</v>
      </c>
      <c r="R179" s="496">
        <f>3282393-21208</f>
        <v>3261185</v>
      </c>
      <c r="S179" s="498">
        <v>0</v>
      </c>
      <c r="T179" s="498">
        <v>0</v>
      </c>
      <c r="U179" s="498">
        <f t="shared" si="331"/>
        <v>3261185</v>
      </c>
      <c r="V179" s="498">
        <v>0</v>
      </c>
      <c r="W179" s="498">
        <v>0</v>
      </c>
      <c r="X179" s="498">
        <v>0</v>
      </c>
      <c r="Y179" s="498">
        <f t="shared" si="332"/>
        <v>0</v>
      </c>
      <c r="Z179" s="498">
        <f t="shared" si="333"/>
        <v>3261185</v>
      </c>
      <c r="AA179" s="131">
        <f t="shared" si="420"/>
        <v>1102281</v>
      </c>
      <c r="AB179" s="131">
        <f t="shared" si="334"/>
        <v>65224</v>
      </c>
      <c r="AC179" s="498">
        <f>1250+2750</f>
        <v>4000</v>
      </c>
      <c r="AD179" s="498">
        <v>0</v>
      </c>
      <c r="AE179" s="498">
        <f t="shared" si="335"/>
        <v>4000</v>
      </c>
      <c r="AF179" s="498">
        <f t="shared" si="336"/>
        <v>4432690</v>
      </c>
      <c r="AG179" s="499">
        <v>0</v>
      </c>
      <c r="AH179" s="499">
        <v>0</v>
      </c>
      <c r="AI179" s="499">
        <f>9.14-0.04</f>
        <v>9.1000000000000014</v>
      </c>
      <c r="AJ179" s="499">
        <v>0</v>
      </c>
      <c r="AK179" s="499">
        <v>0</v>
      </c>
      <c r="AL179" s="499">
        <f t="shared" si="337"/>
        <v>9.1000000000000014</v>
      </c>
      <c r="AM179" s="499">
        <f t="shared" si="338"/>
        <v>0</v>
      </c>
      <c r="AN179" s="529">
        <f t="shared" si="339"/>
        <v>9.1000000000000014</v>
      </c>
      <c r="AO179" s="579">
        <f t="shared" si="421"/>
        <v>4432690</v>
      </c>
      <c r="AP179" s="498">
        <f t="shared" si="422"/>
        <v>3261185</v>
      </c>
      <c r="AQ179" s="498">
        <f t="shared" si="423"/>
        <v>0</v>
      </c>
      <c r="AR179" s="498">
        <f t="shared" si="424"/>
        <v>1102281</v>
      </c>
      <c r="AS179" s="498">
        <f t="shared" si="424"/>
        <v>65224</v>
      </c>
      <c r="AT179" s="498">
        <f t="shared" si="425"/>
        <v>4000</v>
      </c>
      <c r="AU179" s="499">
        <f t="shared" si="426"/>
        <v>9.1000000000000014</v>
      </c>
      <c r="AV179" s="499">
        <f t="shared" si="427"/>
        <v>9.1000000000000014</v>
      </c>
      <c r="AW179" s="500">
        <f t="shared" si="427"/>
        <v>0</v>
      </c>
      <c r="AX179" s="580"/>
    </row>
    <row r="180" spans="1:51" s="569" customFormat="1" ht="12.75" customHeight="1" x14ac:dyDescent="0.2">
      <c r="A180" s="571">
        <v>38</v>
      </c>
      <c r="B180" s="572">
        <v>3435</v>
      </c>
      <c r="C180" s="572">
        <v>650022131</v>
      </c>
      <c r="D180" s="572">
        <v>70981531</v>
      </c>
      <c r="E180" s="573" t="s">
        <v>84</v>
      </c>
      <c r="F180" s="572">
        <v>3141</v>
      </c>
      <c r="G180" s="573" t="s">
        <v>321</v>
      </c>
      <c r="H180" s="736" t="s">
        <v>284</v>
      </c>
      <c r="I180" s="575">
        <f t="shared" si="415"/>
        <v>3027232</v>
      </c>
      <c r="J180" s="496">
        <v>2211929</v>
      </c>
      <c r="K180" s="131">
        <f t="shared" si="416"/>
        <v>747632</v>
      </c>
      <c r="L180" s="131">
        <f t="shared" si="417"/>
        <v>44239</v>
      </c>
      <c r="M180" s="496">
        <v>23432</v>
      </c>
      <c r="N180" s="576">
        <f t="shared" si="418"/>
        <v>7.53</v>
      </c>
      <c r="O180" s="577">
        <v>0</v>
      </c>
      <c r="P180" s="578">
        <v>7.53</v>
      </c>
      <c r="Q180" s="579">
        <f t="shared" si="419"/>
        <v>0</v>
      </c>
      <c r="R180" s="498">
        <v>0</v>
      </c>
      <c r="S180" s="498">
        <v>0</v>
      </c>
      <c r="T180" s="498">
        <v>0</v>
      </c>
      <c r="U180" s="498">
        <f t="shared" si="331"/>
        <v>0</v>
      </c>
      <c r="V180" s="498">
        <v>0</v>
      </c>
      <c r="W180" s="498">
        <v>0</v>
      </c>
      <c r="X180" s="498">
        <v>0</v>
      </c>
      <c r="Y180" s="498">
        <f t="shared" si="332"/>
        <v>0</v>
      </c>
      <c r="Z180" s="498">
        <f t="shared" si="333"/>
        <v>0</v>
      </c>
      <c r="AA180" s="131">
        <f t="shared" si="420"/>
        <v>0</v>
      </c>
      <c r="AB180" s="131">
        <f t="shared" si="334"/>
        <v>0</v>
      </c>
      <c r="AC180" s="498">
        <v>0</v>
      </c>
      <c r="AD180" s="498">
        <v>0</v>
      </c>
      <c r="AE180" s="498">
        <f t="shared" si="335"/>
        <v>0</v>
      </c>
      <c r="AF180" s="498">
        <f t="shared" si="336"/>
        <v>0</v>
      </c>
      <c r="AG180" s="499">
        <v>0</v>
      </c>
      <c r="AH180" s="499">
        <v>0</v>
      </c>
      <c r="AI180" s="499">
        <v>0</v>
      </c>
      <c r="AJ180" s="499">
        <v>0</v>
      </c>
      <c r="AK180" s="499">
        <v>0</v>
      </c>
      <c r="AL180" s="499">
        <f t="shared" si="337"/>
        <v>0</v>
      </c>
      <c r="AM180" s="499">
        <f t="shared" si="338"/>
        <v>0</v>
      </c>
      <c r="AN180" s="529">
        <f t="shared" si="339"/>
        <v>0</v>
      </c>
      <c r="AO180" s="579">
        <f t="shared" si="421"/>
        <v>3027232</v>
      </c>
      <c r="AP180" s="498">
        <f t="shared" si="422"/>
        <v>2211929</v>
      </c>
      <c r="AQ180" s="498">
        <f t="shared" si="423"/>
        <v>0</v>
      </c>
      <c r="AR180" s="498">
        <f t="shared" si="424"/>
        <v>747632</v>
      </c>
      <c r="AS180" s="498">
        <f t="shared" si="424"/>
        <v>44239</v>
      </c>
      <c r="AT180" s="498">
        <f t="shared" si="425"/>
        <v>23432</v>
      </c>
      <c r="AU180" s="499">
        <f t="shared" si="426"/>
        <v>7.53</v>
      </c>
      <c r="AV180" s="499">
        <f t="shared" si="427"/>
        <v>0</v>
      </c>
      <c r="AW180" s="500">
        <f t="shared" si="427"/>
        <v>7.53</v>
      </c>
      <c r="AX180" s="580"/>
      <c r="AY180" s="580"/>
    </row>
    <row r="181" spans="1:51" s="569" customFormat="1" ht="12.75" customHeight="1" x14ac:dyDescent="0.2">
      <c r="A181" s="571">
        <v>38</v>
      </c>
      <c r="B181" s="572">
        <v>3435</v>
      </c>
      <c r="C181" s="572">
        <v>650022131</v>
      </c>
      <c r="D181" s="572">
        <v>70981531</v>
      </c>
      <c r="E181" s="573" t="s">
        <v>84</v>
      </c>
      <c r="F181" s="572">
        <v>3143</v>
      </c>
      <c r="G181" s="573" t="s">
        <v>635</v>
      </c>
      <c r="H181" s="736" t="s">
        <v>283</v>
      </c>
      <c r="I181" s="575">
        <f t="shared" si="415"/>
        <v>1554406</v>
      </c>
      <c r="J181" s="496">
        <v>1144629</v>
      </c>
      <c r="K181" s="131">
        <f t="shared" si="416"/>
        <v>386885</v>
      </c>
      <c r="L181" s="131">
        <v>22892</v>
      </c>
      <c r="M181" s="496">
        <v>0</v>
      </c>
      <c r="N181" s="576">
        <f t="shared" si="418"/>
        <v>2.464</v>
      </c>
      <c r="O181" s="577">
        <v>2.464</v>
      </c>
      <c r="P181" s="578">
        <v>0</v>
      </c>
      <c r="Q181" s="579">
        <f t="shared" si="419"/>
        <v>0</v>
      </c>
      <c r="R181" s="498">
        <v>0</v>
      </c>
      <c r="S181" s="498">
        <v>0</v>
      </c>
      <c r="T181" s="498">
        <v>0</v>
      </c>
      <c r="U181" s="498">
        <f t="shared" si="331"/>
        <v>0</v>
      </c>
      <c r="V181" s="498">
        <v>0</v>
      </c>
      <c r="W181" s="498">
        <v>0</v>
      </c>
      <c r="X181" s="498">
        <v>0</v>
      </c>
      <c r="Y181" s="498">
        <f t="shared" si="332"/>
        <v>0</v>
      </c>
      <c r="Z181" s="498">
        <f t="shared" si="333"/>
        <v>0</v>
      </c>
      <c r="AA181" s="131">
        <f t="shared" si="420"/>
        <v>0</v>
      </c>
      <c r="AB181" s="131">
        <f t="shared" si="334"/>
        <v>0</v>
      </c>
      <c r="AC181" s="498">
        <v>0</v>
      </c>
      <c r="AD181" s="498">
        <v>0</v>
      </c>
      <c r="AE181" s="498">
        <f t="shared" si="335"/>
        <v>0</v>
      </c>
      <c r="AF181" s="498">
        <f t="shared" si="336"/>
        <v>0</v>
      </c>
      <c r="AG181" s="499">
        <v>0</v>
      </c>
      <c r="AH181" s="499">
        <v>0</v>
      </c>
      <c r="AI181" s="499">
        <v>0</v>
      </c>
      <c r="AJ181" s="499">
        <v>0</v>
      </c>
      <c r="AK181" s="499">
        <v>0</v>
      </c>
      <c r="AL181" s="499">
        <f t="shared" si="337"/>
        <v>0</v>
      </c>
      <c r="AM181" s="499">
        <f t="shared" si="338"/>
        <v>0</v>
      </c>
      <c r="AN181" s="529">
        <f t="shared" si="339"/>
        <v>0</v>
      </c>
      <c r="AO181" s="579">
        <f t="shared" si="421"/>
        <v>1554406</v>
      </c>
      <c r="AP181" s="498">
        <f t="shared" si="422"/>
        <v>1144629</v>
      </c>
      <c r="AQ181" s="498">
        <f t="shared" si="423"/>
        <v>0</v>
      </c>
      <c r="AR181" s="498">
        <f t="shared" si="424"/>
        <v>386885</v>
      </c>
      <c r="AS181" s="498">
        <f t="shared" si="424"/>
        <v>22892</v>
      </c>
      <c r="AT181" s="498">
        <f t="shared" si="425"/>
        <v>0</v>
      </c>
      <c r="AU181" s="499">
        <f t="shared" si="426"/>
        <v>2.464</v>
      </c>
      <c r="AV181" s="499">
        <f t="shared" si="427"/>
        <v>2.464</v>
      </c>
      <c r="AW181" s="500">
        <f t="shared" si="427"/>
        <v>0</v>
      </c>
      <c r="AX181" s="580"/>
    </row>
    <row r="182" spans="1:51" s="569" customFormat="1" ht="13.5" customHeight="1" x14ac:dyDescent="0.2">
      <c r="A182" s="571">
        <v>38</v>
      </c>
      <c r="B182" s="572">
        <v>3435</v>
      </c>
      <c r="C182" s="572">
        <v>650022131</v>
      </c>
      <c r="D182" s="572">
        <v>70981531</v>
      </c>
      <c r="E182" s="573" t="s">
        <v>84</v>
      </c>
      <c r="F182" s="572">
        <v>3143</v>
      </c>
      <c r="G182" s="573" t="s">
        <v>636</v>
      </c>
      <c r="H182" s="736" t="s">
        <v>284</v>
      </c>
      <c r="I182" s="575">
        <f t="shared" si="415"/>
        <v>46345</v>
      </c>
      <c r="J182" s="496">
        <v>32670</v>
      </c>
      <c r="K182" s="131">
        <f t="shared" si="416"/>
        <v>11042</v>
      </c>
      <c r="L182" s="131">
        <f t="shared" ref="L182" si="428">ROUND(J182*2%,0)</f>
        <v>653</v>
      </c>
      <c r="M182" s="496">
        <v>1980</v>
      </c>
      <c r="N182" s="576">
        <f t="shared" si="418"/>
        <v>0.14000000000000001</v>
      </c>
      <c r="O182" s="577">
        <v>0</v>
      </c>
      <c r="P182" s="578">
        <v>0.14000000000000001</v>
      </c>
      <c r="Q182" s="579">
        <f t="shared" si="419"/>
        <v>0</v>
      </c>
      <c r="R182" s="498">
        <v>0</v>
      </c>
      <c r="S182" s="498">
        <v>0</v>
      </c>
      <c r="T182" s="498">
        <v>0</v>
      </c>
      <c r="U182" s="498">
        <f t="shared" si="331"/>
        <v>0</v>
      </c>
      <c r="V182" s="498">
        <v>0</v>
      </c>
      <c r="W182" s="498">
        <v>0</v>
      </c>
      <c r="X182" s="498">
        <v>0</v>
      </c>
      <c r="Y182" s="498">
        <f t="shared" si="332"/>
        <v>0</v>
      </c>
      <c r="Z182" s="498">
        <f t="shared" si="333"/>
        <v>0</v>
      </c>
      <c r="AA182" s="131">
        <f t="shared" si="420"/>
        <v>0</v>
      </c>
      <c r="AB182" s="131">
        <f t="shared" si="334"/>
        <v>0</v>
      </c>
      <c r="AC182" s="498">
        <v>0</v>
      </c>
      <c r="AD182" s="498">
        <v>0</v>
      </c>
      <c r="AE182" s="498">
        <f t="shared" si="335"/>
        <v>0</v>
      </c>
      <c r="AF182" s="498">
        <f t="shared" si="336"/>
        <v>0</v>
      </c>
      <c r="AG182" s="499">
        <v>0</v>
      </c>
      <c r="AH182" s="499">
        <v>0</v>
      </c>
      <c r="AI182" s="499">
        <v>0</v>
      </c>
      <c r="AJ182" s="499">
        <v>0</v>
      </c>
      <c r="AK182" s="499">
        <v>0</v>
      </c>
      <c r="AL182" s="499">
        <f t="shared" si="337"/>
        <v>0</v>
      </c>
      <c r="AM182" s="499">
        <f t="shared" si="338"/>
        <v>0</v>
      </c>
      <c r="AN182" s="529">
        <f t="shared" si="339"/>
        <v>0</v>
      </c>
      <c r="AO182" s="579">
        <f t="shared" si="421"/>
        <v>46345</v>
      </c>
      <c r="AP182" s="498">
        <f t="shared" si="422"/>
        <v>32670</v>
      </c>
      <c r="AQ182" s="498">
        <f t="shared" si="423"/>
        <v>0</v>
      </c>
      <c r="AR182" s="498">
        <f t="shared" si="424"/>
        <v>11042</v>
      </c>
      <c r="AS182" s="498">
        <f t="shared" si="424"/>
        <v>653</v>
      </c>
      <c r="AT182" s="498">
        <f t="shared" si="425"/>
        <v>1980</v>
      </c>
      <c r="AU182" s="499">
        <f t="shared" si="426"/>
        <v>0.14000000000000001</v>
      </c>
      <c r="AV182" s="499">
        <f t="shared" si="427"/>
        <v>0</v>
      </c>
      <c r="AW182" s="500">
        <f t="shared" si="427"/>
        <v>0.14000000000000001</v>
      </c>
      <c r="AX182" s="580"/>
    </row>
    <row r="183" spans="1:51" s="569" customFormat="1" ht="13.5" customHeight="1" thickBot="1" x14ac:dyDescent="0.25">
      <c r="A183" s="303">
        <v>38</v>
      </c>
      <c r="B183" s="304">
        <v>3435</v>
      </c>
      <c r="C183" s="305">
        <v>650022131</v>
      </c>
      <c r="D183" s="305">
        <v>70981531</v>
      </c>
      <c r="E183" s="581" t="s">
        <v>85</v>
      </c>
      <c r="F183" s="304"/>
      <c r="G183" s="581"/>
      <c r="H183" s="737"/>
      <c r="I183" s="83">
        <f t="shared" ref="I183:P183" si="429">SUM(I177:I182)</f>
        <v>35447123</v>
      </c>
      <c r="J183" s="292">
        <f t="shared" si="429"/>
        <v>25694051</v>
      </c>
      <c r="K183" s="292">
        <f t="shared" si="429"/>
        <v>8684589</v>
      </c>
      <c r="L183" s="292">
        <f t="shared" si="429"/>
        <v>513881</v>
      </c>
      <c r="M183" s="292">
        <f t="shared" si="429"/>
        <v>554602</v>
      </c>
      <c r="N183" s="455">
        <f t="shared" si="429"/>
        <v>56.024200000000008</v>
      </c>
      <c r="O183" s="455">
        <f t="shared" si="429"/>
        <v>37.282399999999996</v>
      </c>
      <c r="P183" s="457">
        <f t="shared" si="429"/>
        <v>18.741800000000001</v>
      </c>
      <c r="Q183" s="83">
        <f t="shared" ref="Q183:AW183" si="430">SUM(Q177:Q182)</f>
        <v>-40000</v>
      </c>
      <c r="R183" s="84">
        <f t="shared" si="430"/>
        <v>3261185</v>
      </c>
      <c r="S183" s="84">
        <f t="shared" si="430"/>
        <v>0</v>
      </c>
      <c r="T183" s="84">
        <f t="shared" si="430"/>
        <v>0</v>
      </c>
      <c r="U183" s="84">
        <f t="shared" si="430"/>
        <v>3221185</v>
      </c>
      <c r="V183" s="84">
        <f t="shared" si="430"/>
        <v>40000</v>
      </c>
      <c r="W183" s="84">
        <f t="shared" si="430"/>
        <v>0</v>
      </c>
      <c r="X183" s="84">
        <f t="shared" si="430"/>
        <v>0</v>
      </c>
      <c r="Y183" s="84">
        <f t="shared" si="430"/>
        <v>40000</v>
      </c>
      <c r="Z183" s="84">
        <f t="shared" si="430"/>
        <v>3261185</v>
      </c>
      <c r="AA183" s="84">
        <f t="shared" si="430"/>
        <v>1102281</v>
      </c>
      <c r="AB183" s="84">
        <f t="shared" si="430"/>
        <v>64424</v>
      </c>
      <c r="AC183" s="84">
        <f t="shared" si="430"/>
        <v>4000</v>
      </c>
      <c r="AD183" s="84">
        <f t="shared" si="430"/>
        <v>0</v>
      </c>
      <c r="AE183" s="84">
        <f t="shared" si="430"/>
        <v>4000</v>
      </c>
      <c r="AF183" s="84">
        <f t="shared" si="430"/>
        <v>4431890</v>
      </c>
      <c r="AG183" s="86">
        <f t="shared" si="430"/>
        <v>0</v>
      </c>
      <c r="AH183" s="86">
        <f t="shared" si="430"/>
        <v>-0.2</v>
      </c>
      <c r="AI183" s="86">
        <f t="shared" si="430"/>
        <v>9.1000000000000014</v>
      </c>
      <c r="AJ183" s="86">
        <f t="shared" si="430"/>
        <v>0</v>
      </c>
      <c r="AK183" s="86">
        <f t="shared" si="430"/>
        <v>0</v>
      </c>
      <c r="AL183" s="86">
        <f t="shared" si="430"/>
        <v>9.1000000000000014</v>
      </c>
      <c r="AM183" s="86">
        <f t="shared" si="430"/>
        <v>-0.2</v>
      </c>
      <c r="AN183" s="458">
        <f t="shared" si="430"/>
        <v>8.9000000000000021</v>
      </c>
      <c r="AO183" s="83">
        <f t="shared" si="430"/>
        <v>39879013</v>
      </c>
      <c r="AP183" s="84">
        <f t="shared" si="430"/>
        <v>28915236</v>
      </c>
      <c r="AQ183" s="84">
        <f t="shared" si="430"/>
        <v>40000</v>
      </c>
      <c r="AR183" s="84">
        <f t="shared" si="430"/>
        <v>9786870</v>
      </c>
      <c r="AS183" s="84">
        <f t="shared" si="430"/>
        <v>578305</v>
      </c>
      <c r="AT183" s="84">
        <f t="shared" si="430"/>
        <v>558602</v>
      </c>
      <c r="AU183" s="86">
        <f t="shared" si="430"/>
        <v>64.924200000000013</v>
      </c>
      <c r="AV183" s="86">
        <f t="shared" si="430"/>
        <v>46.382399999999997</v>
      </c>
      <c r="AW183" s="87">
        <f t="shared" si="430"/>
        <v>18.541800000000002</v>
      </c>
      <c r="AX183" s="580"/>
    </row>
    <row r="184" spans="1:51" s="569" customFormat="1" ht="12.75" customHeight="1" thickBot="1" x14ac:dyDescent="0.25">
      <c r="A184" s="582"/>
      <c r="B184" s="583"/>
      <c r="C184" s="583"/>
      <c r="D184" s="583"/>
      <c r="E184" s="157" t="s">
        <v>797</v>
      </c>
      <c r="F184" s="583"/>
      <c r="G184" s="583"/>
      <c r="H184" s="738"/>
      <c r="I184" s="36">
        <f t="shared" ref="I184:AW184" si="431">I13+I16+I19+I22+I25+I28+I31+I34+I38+I42+I46+I50+I53+I57+I61+I64+I68+I71+I76+I82+I88+I94+I100+I106+I112+I118+I124+I130+I132+I140+I147+I151+I156+I160+I167+I170+I176+I183</f>
        <v>578254377</v>
      </c>
      <c r="J184" s="26">
        <f t="shared" si="431"/>
        <v>419533164</v>
      </c>
      <c r="K184" s="26">
        <f t="shared" si="431"/>
        <v>141802208</v>
      </c>
      <c r="L184" s="26">
        <f t="shared" si="431"/>
        <v>8390663</v>
      </c>
      <c r="M184" s="26">
        <f t="shared" si="431"/>
        <v>8528342</v>
      </c>
      <c r="N184" s="393">
        <f t="shared" si="431"/>
        <v>905.21600000000012</v>
      </c>
      <c r="O184" s="27">
        <f t="shared" si="431"/>
        <v>601.88800000000015</v>
      </c>
      <c r="P184" s="73">
        <f t="shared" si="431"/>
        <v>303.32799999999997</v>
      </c>
      <c r="Q184" s="36">
        <f t="shared" si="431"/>
        <v>-1513536</v>
      </c>
      <c r="R184" s="26">
        <f t="shared" si="431"/>
        <v>30139071</v>
      </c>
      <c r="S184" s="26">
        <f t="shared" si="431"/>
        <v>0</v>
      </c>
      <c r="T184" s="26">
        <f t="shared" si="431"/>
        <v>52826</v>
      </c>
      <c r="U184" s="26">
        <f t="shared" si="431"/>
        <v>28678361</v>
      </c>
      <c r="V184" s="26">
        <f t="shared" si="431"/>
        <v>1513536</v>
      </c>
      <c r="W184" s="26">
        <f t="shared" si="431"/>
        <v>0</v>
      </c>
      <c r="X184" s="26">
        <f t="shared" si="431"/>
        <v>0</v>
      </c>
      <c r="Y184" s="26">
        <f t="shared" si="431"/>
        <v>1513536</v>
      </c>
      <c r="Z184" s="26">
        <f t="shared" si="431"/>
        <v>30191897</v>
      </c>
      <c r="AA184" s="26">
        <f t="shared" si="431"/>
        <v>10204862</v>
      </c>
      <c r="AB184" s="26">
        <f t="shared" si="431"/>
        <v>573566</v>
      </c>
      <c r="AC184" s="26">
        <f t="shared" si="431"/>
        <v>9750</v>
      </c>
      <c r="AD184" s="26">
        <f t="shared" si="431"/>
        <v>0</v>
      </c>
      <c r="AE184" s="26">
        <f t="shared" si="431"/>
        <v>9750</v>
      </c>
      <c r="AF184" s="26">
        <f t="shared" si="431"/>
        <v>40980075</v>
      </c>
      <c r="AG184" s="27">
        <f t="shared" si="431"/>
        <v>-0.45000000000000007</v>
      </c>
      <c r="AH184" s="27">
        <f t="shared" si="431"/>
        <v>-3.4299999999999997</v>
      </c>
      <c r="AI184" s="27">
        <f t="shared" si="431"/>
        <v>85.920000000000016</v>
      </c>
      <c r="AJ184" s="27">
        <f t="shared" si="431"/>
        <v>0.13</v>
      </c>
      <c r="AK184" s="27">
        <f t="shared" si="431"/>
        <v>0</v>
      </c>
      <c r="AL184" s="27">
        <f t="shared" si="431"/>
        <v>85.6</v>
      </c>
      <c r="AM184" s="27">
        <f t="shared" si="431"/>
        <v>-3.4299999999999997</v>
      </c>
      <c r="AN184" s="394">
        <f t="shared" si="431"/>
        <v>82.17</v>
      </c>
      <c r="AO184" s="36">
        <f t="shared" si="431"/>
        <v>619234452</v>
      </c>
      <c r="AP184" s="26">
        <f t="shared" si="431"/>
        <v>448211525</v>
      </c>
      <c r="AQ184" s="26">
        <f t="shared" si="431"/>
        <v>1513536</v>
      </c>
      <c r="AR184" s="26">
        <f t="shared" si="431"/>
        <v>152007070</v>
      </c>
      <c r="AS184" s="26">
        <f t="shared" si="431"/>
        <v>8964229</v>
      </c>
      <c r="AT184" s="26">
        <f t="shared" si="431"/>
        <v>8538092</v>
      </c>
      <c r="AU184" s="27">
        <f t="shared" si="431"/>
        <v>987.38600000000008</v>
      </c>
      <c r="AV184" s="27">
        <f t="shared" si="431"/>
        <v>687.48800000000006</v>
      </c>
      <c r="AW184" s="73">
        <f t="shared" si="431"/>
        <v>299.89800000000002</v>
      </c>
      <c r="AX184" s="580"/>
    </row>
    <row r="185" spans="1:51" ht="13.5" customHeight="1" x14ac:dyDescent="0.2">
      <c r="D185" s="17"/>
      <c r="E185" s="12"/>
      <c r="F185" s="17"/>
      <c r="G185" s="12"/>
      <c r="H185" s="12"/>
      <c r="I185" s="584">
        <f>SUM(J184:M184)</f>
        <v>578254377</v>
      </c>
      <c r="J185" s="584"/>
      <c r="K185" s="584"/>
      <c r="L185" s="584"/>
      <c r="M185" s="584"/>
      <c r="N185" s="585">
        <f>SUM(O184:P184)</f>
        <v>905.21600000000012</v>
      </c>
      <c r="O185" s="585"/>
      <c r="P185" s="585"/>
      <c r="Q185" s="430"/>
      <c r="R185" s="430"/>
      <c r="S185" s="430"/>
      <c r="T185" s="430"/>
      <c r="U185" s="586">
        <f>SUM(Q184:T184)</f>
        <v>28678361</v>
      </c>
      <c r="V185" s="587"/>
      <c r="W185" s="587"/>
      <c r="X185" s="587"/>
      <c r="Y185" s="586">
        <f>SUM(V184:X184)</f>
        <v>1513536</v>
      </c>
      <c r="Z185" s="586">
        <f>U184+Y184</f>
        <v>30191897</v>
      </c>
      <c r="AA185" s="410"/>
      <c r="AB185" s="410"/>
      <c r="AC185" s="587"/>
      <c r="AD185" s="587"/>
      <c r="AE185" s="586">
        <f>SUM(AC184:AD184)</f>
        <v>9750</v>
      </c>
      <c r="AF185" s="586">
        <f>Z184+AA184+AB184+AE184</f>
        <v>40980075</v>
      </c>
      <c r="AG185" s="588"/>
      <c r="AH185" s="588"/>
      <c r="AI185" s="588"/>
      <c r="AJ185" s="588"/>
      <c r="AK185" s="588"/>
      <c r="AL185" s="589">
        <f>AG184+AI184+AJ184</f>
        <v>85.600000000000009</v>
      </c>
      <c r="AM185" s="589">
        <f>AH184+AK184</f>
        <v>-3.4299999999999997</v>
      </c>
      <c r="AN185" s="589">
        <f>SUM(AL184:AM184)</f>
        <v>82.169999999999987</v>
      </c>
      <c r="AO185" s="413">
        <f>SUM(AP184:AT184)</f>
        <v>619234452</v>
      </c>
      <c r="AP185" s="414"/>
      <c r="AQ185" s="414"/>
      <c r="AR185" s="414"/>
      <c r="AS185" s="414"/>
      <c r="AT185" s="414"/>
      <c r="AU185" s="430">
        <f>SUM(AV184:AW184)</f>
        <v>987.38600000000008</v>
      </c>
      <c r="AV185" s="1131"/>
      <c r="AW185" s="1131"/>
      <c r="AX185" s="580"/>
      <c r="AY185"/>
    </row>
    <row r="186" spans="1:51" ht="13.5" customHeight="1" thickBot="1" x14ac:dyDescent="0.25">
      <c r="D186" s="17"/>
      <c r="E186" s="12"/>
      <c r="F186" s="17"/>
      <c r="G186" s="12"/>
      <c r="H186" s="12"/>
      <c r="I186" s="162">
        <f ca="1">SUM(J187:M187)</f>
        <v>578254377</v>
      </c>
      <c r="J186" s="163"/>
      <c r="K186" s="163"/>
      <c r="L186" s="163"/>
      <c r="M186" s="163"/>
      <c r="N186" s="164">
        <f ca="1">SUM(O187:P187)</f>
        <v>905.21599999999989</v>
      </c>
      <c r="O186" s="336"/>
      <c r="P186" s="336"/>
      <c r="Q186" s="420"/>
      <c r="R186" s="420"/>
      <c r="S186" s="420"/>
      <c r="T186" s="420"/>
      <c r="U186" s="590">
        <f ca="1">SUM(Q187:T187)</f>
        <v>28678361</v>
      </c>
      <c r="V186" s="591"/>
      <c r="W186" s="591"/>
      <c r="X186" s="591"/>
      <c r="Y186" s="590">
        <f ca="1">SUM(V187:X187)</f>
        <v>1513536</v>
      </c>
      <c r="Z186" s="590">
        <f ca="1">U187+Y187</f>
        <v>30191897</v>
      </c>
      <c r="AA186" s="417"/>
      <c r="AB186" s="417"/>
      <c r="AC186" s="591"/>
      <c r="AD186" s="591"/>
      <c r="AE186" s="590">
        <f ca="1">SUM(AC187:AD187)</f>
        <v>9750</v>
      </c>
      <c r="AF186" s="590">
        <f ca="1">Z187+AA187+AB187+AE187</f>
        <v>40980075</v>
      </c>
      <c r="AG186" s="592"/>
      <c r="AH186" s="592"/>
      <c r="AI186" s="592"/>
      <c r="AJ186" s="592"/>
      <c r="AK186" s="592"/>
      <c r="AL186" s="593">
        <f ca="1">AG187+AI187+AJ187</f>
        <v>85.600000000000009</v>
      </c>
      <c r="AM186" s="593">
        <f ca="1">AH187+AK187</f>
        <v>-3.4299999999999993</v>
      </c>
      <c r="AN186" s="593">
        <f ca="1">SUM(AL187:AM187)</f>
        <v>82.17</v>
      </c>
      <c r="AO186" s="432">
        <f ca="1">SUM(AP187:AT187)</f>
        <v>619234452</v>
      </c>
      <c r="AP186" s="433"/>
      <c r="AQ186" s="433"/>
      <c r="AR186" s="433"/>
      <c r="AS186" s="433"/>
      <c r="AT186" s="433"/>
      <c r="AU186" s="420">
        <f ca="1">SUM(AV187:AW187)</f>
        <v>987.38600000000008</v>
      </c>
      <c r="AV186" s="623"/>
      <c r="AW186" s="623"/>
      <c r="AX186" s="580"/>
      <c r="AY186"/>
    </row>
    <row r="187" spans="1:51" ht="12.75" customHeight="1" thickBot="1" x14ac:dyDescent="0.25">
      <c r="D187" s="17"/>
      <c r="E187" s="12"/>
      <c r="F187" s="17"/>
      <c r="G187" s="12"/>
      <c r="H187" s="47" t="s">
        <v>0</v>
      </c>
      <c r="I187" s="271">
        <f t="shared" ref="I187:AW187" ca="1" si="432">SUM(I188:I197)</f>
        <v>578254377</v>
      </c>
      <c r="J187" s="63">
        <f t="shared" ca="1" si="432"/>
        <v>419533164</v>
      </c>
      <c r="K187" s="63">
        <f t="shared" ca="1" si="432"/>
        <v>141802208</v>
      </c>
      <c r="L187" s="63">
        <f t="shared" ca="1" si="432"/>
        <v>8390663</v>
      </c>
      <c r="M187" s="63">
        <f t="shared" ca="1" si="432"/>
        <v>8528342</v>
      </c>
      <c r="N187" s="64">
        <f t="shared" ca="1" si="432"/>
        <v>905.21600000000001</v>
      </c>
      <c r="O187" s="64">
        <f t="shared" ca="1" si="432"/>
        <v>601.88799999999992</v>
      </c>
      <c r="P187" s="65">
        <f t="shared" ca="1" si="432"/>
        <v>303.32800000000003</v>
      </c>
      <c r="Q187" s="289">
        <f t="shared" ca="1" si="432"/>
        <v>-1513536</v>
      </c>
      <c r="R187" s="289">
        <f t="shared" ca="1" si="432"/>
        <v>30139071</v>
      </c>
      <c r="S187" s="289">
        <f t="shared" ca="1" si="432"/>
        <v>0</v>
      </c>
      <c r="T187" s="289">
        <f t="shared" ca="1" si="432"/>
        <v>52826</v>
      </c>
      <c r="U187" s="289">
        <f t="shared" ca="1" si="432"/>
        <v>28678361</v>
      </c>
      <c r="V187" s="289">
        <f t="shared" ca="1" si="432"/>
        <v>1513536</v>
      </c>
      <c r="W187" s="289">
        <f t="shared" ca="1" si="432"/>
        <v>0</v>
      </c>
      <c r="X187" s="289">
        <f t="shared" ca="1" si="432"/>
        <v>0</v>
      </c>
      <c r="Y187" s="289">
        <f t="shared" ca="1" si="432"/>
        <v>1513536</v>
      </c>
      <c r="Z187" s="289">
        <f t="shared" ca="1" si="432"/>
        <v>30191897</v>
      </c>
      <c r="AA187" s="289">
        <f t="shared" ca="1" si="432"/>
        <v>10204862</v>
      </c>
      <c r="AB187" s="289">
        <f t="shared" ca="1" si="432"/>
        <v>573566</v>
      </c>
      <c r="AC187" s="289">
        <f t="shared" ca="1" si="432"/>
        <v>9750</v>
      </c>
      <c r="AD187" s="289">
        <f t="shared" ca="1" si="432"/>
        <v>0</v>
      </c>
      <c r="AE187" s="289">
        <f t="shared" ca="1" si="432"/>
        <v>9750</v>
      </c>
      <c r="AF187" s="289">
        <f t="shared" ca="1" si="432"/>
        <v>40980075</v>
      </c>
      <c r="AG187" s="459">
        <f t="shared" ca="1" si="432"/>
        <v>-0.45</v>
      </c>
      <c r="AH187" s="459">
        <f t="shared" ca="1" si="432"/>
        <v>-3.4299999999999993</v>
      </c>
      <c r="AI187" s="459">
        <f t="shared" ca="1" si="432"/>
        <v>85.920000000000016</v>
      </c>
      <c r="AJ187" s="459">
        <f t="shared" ca="1" si="432"/>
        <v>0.13</v>
      </c>
      <c r="AK187" s="459">
        <f t="shared" ca="1" si="432"/>
        <v>0</v>
      </c>
      <c r="AL187" s="459">
        <f t="shared" ca="1" si="432"/>
        <v>85.6</v>
      </c>
      <c r="AM187" s="459">
        <f t="shared" ca="1" si="432"/>
        <v>-3.4299999999999993</v>
      </c>
      <c r="AN187" s="442">
        <f t="shared" ca="1" si="432"/>
        <v>82.169999999999987</v>
      </c>
      <c r="AO187" s="271">
        <f t="shared" ca="1" si="432"/>
        <v>619234452</v>
      </c>
      <c r="AP187" s="289">
        <f t="shared" ca="1" si="432"/>
        <v>448211525</v>
      </c>
      <c r="AQ187" s="289">
        <f t="shared" ca="1" si="432"/>
        <v>1513536</v>
      </c>
      <c r="AR187" s="289">
        <f t="shared" ca="1" si="432"/>
        <v>152007070</v>
      </c>
      <c r="AS187" s="289">
        <f t="shared" ca="1" si="432"/>
        <v>8964229</v>
      </c>
      <c r="AT187" s="289">
        <f t="shared" ca="1" si="432"/>
        <v>8538092</v>
      </c>
      <c r="AU187" s="459">
        <f t="shared" ca="1" si="432"/>
        <v>987.38600000000008</v>
      </c>
      <c r="AV187" s="459">
        <f t="shared" ca="1" si="432"/>
        <v>687.48800000000006</v>
      </c>
      <c r="AW187" s="460">
        <f t="shared" ca="1" si="432"/>
        <v>299.89800000000002</v>
      </c>
      <c r="AX187" s="580"/>
      <c r="AY187"/>
    </row>
    <row r="188" spans="1:51" ht="12.75" customHeight="1" x14ac:dyDescent="0.2">
      <c r="D188" s="17"/>
      <c r="E188" s="12"/>
      <c r="F188" s="17"/>
      <c r="G188" s="12"/>
      <c r="H188" s="1">
        <v>3111</v>
      </c>
      <c r="I188" s="318">
        <f ca="1">SUMIF($F$12:$F$422,"=3111",I$12:I$378)</f>
        <v>150687861</v>
      </c>
      <c r="J188" s="319">
        <f ca="1">SUMIF($F$12:$F$422,"=3111",J$12:J$378)</f>
        <v>110282445</v>
      </c>
      <c r="K188" s="319">
        <f ca="1">SUMIF($F$12:$F$422,"=3111",K$12:K$378)</f>
        <v>37275466</v>
      </c>
      <c r="L188" s="319">
        <f ca="1">SUMIF($F$12:$F$422,"=3111",L$12:L$378)</f>
        <v>2205650</v>
      </c>
      <c r="M188" s="319">
        <f ca="1">SUMIF($F$12:$F$422,"=3111",M$12:M$378)</f>
        <v>924300</v>
      </c>
      <c r="N188" s="320">
        <f t="shared" ref="N188:AW188" ca="1" si="433">SUMIF($F$12:$F$426,"=3111",N$12:N$382)</f>
        <v>259.37020000000001</v>
      </c>
      <c r="O188" s="320">
        <f t="shared" ca="1" si="433"/>
        <v>192.99340000000001</v>
      </c>
      <c r="P188" s="321">
        <f t="shared" ca="1" si="433"/>
        <v>66.376799999999989</v>
      </c>
      <c r="Q188" s="322">
        <f t="shared" ca="1" si="433"/>
        <v>-510016</v>
      </c>
      <c r="R188" s="322">
        <f t="shared" ca="1" si="433"/>
        <v>2823497</v>
      </c>
      <c r="S188" s="322">
        <f t="shared" ca="1" si="433"/>
        <v>0</v>
      </c>
      <c r="T188" s="322">
        <f t="shared" ca="1" si="433"/>
        <v>112945</v>
      </c>
      <c r="U188" s="322">
        <f t="shared" ca="1" si="433"/>
        <v>2426426</v>
      </c>
      <c r="V188" s="322">
        <f t="shared" ca="1" si="433"/>
        <v>510016</v>
      </c>
      <c r="W188" s="322">
        <f t="shared" ca="1" si="433"/>
        <v>0</v>
      </c>
      <c r="X188" s="322">
        <f t="shared" ca="1" si="433"/>
        <v>0</v>
      </c>
      <c r="Y188" s="322">
        <f t="shared" ca="1" si="433"/>
        <v>510016</v>
      </c>
      <c r="Z188" s="322">
        <f t="shared" ca="1" si="433"/>
        <v>2936442</v>
      </c>
      <c r="AA188" s="322">
        <f t="shared" ca="1" si="433"/>
        <v>992518</v>
      </c>
      <c r="AB188" s="322">
        <f t="shared" ca="1" si="433"/>
        <v>48527</v>
      </c>
      <c r="AC188" s="322">
        <f t="shared" ca="1" si="433"/>
        <v>0</v>
      </c>
      <c r="AD188" s="322">
        <f t="shared" ca="1" si="433"/>
        <v>0</v>
      </c>
      <c r="AE188" s="322">
        <f t="shared" ca="1" si="433"/>
        <v>0</v>
      </c>
      <c r="AF188" s="322">
        <f t="shared" ca="1" si="433"/>
        <v>3977487</v>
      </c>
      <c r="AG188" s="446">
        <f t="shared" ca="1" si="433"/>
        <v>0</v>
      </c>
      <c r="AH188" s="446">
        <f t="shared" ca="1" si="433"/>
        <v>-1.8900000000000001</v>
      </c>
      <c r="AI188" s="446">
        <f t="shared" ca="1" si="433"/>
        <v>8.5</v>
      </c>
      <c r="AJ188" s="446">
        <f t="shared" ca="1" si="433"/>
        <v>0.24</v>
      </c>
      <c r="AK188" s="446">
        <f t="shared" ca="1" si="433"/>
        <v>0</v>
      </c>
      <c r="AL188" s="446">
        <f t="shared" ca="1" si="433"/>
        <v>8.74</v>
      </c>
      <c r="AM188" s="446">
        <f t="shared" ca="1" si="433"/>
        <v>-1.8900000000000001</v>
      </c>
      <c r="AN188" s="443">
        <f t="shared" ca="1" si="433"/>
        <v>6.8500000000000005</v>
      </c>
      <c r="AO188" s="318">
        <f t="shared" ca="1" si="433"/>
        <v>154665348</v>
      </c>
      <c r="AP188" s="322">
        <f t="shared" ca="1" si="433"/>
        <v>112708871</v>
      </c>
      <c r="AQ188" s="322">
        <f t="shared" ca="1" si="433"/>
        <v>510016</v>
      </c>
      <c r="AR188" s="322">
        <f t="shared" ca="1" si="433"/>
        <v>38267984</v>
      </c>
      <c r="AS188" s="322">
        <f t="shared" ca="1" si="433"/>
        <v>2254177</v>
      </c>
      <c r="AT188" s="322">
        <f t="shared" ca="1" si="433"/>
        <v>924300</v>
      </c>
      <c r="AU188" s="446">
        <f t="shared" ca="1" si="433"/>
        <v>266.22019999999998</v>
      </c>
      <c r="AV188" s="446">
        <f t="shared" ca="1" si="433"/>
        <v>201.73340000000002</v>
      </c>
      <c r="AW188" s="461">
        <f t="shared" ca="1" si="433"/>
        <v>64.486800000000002</v>
      </c>
      <c r="AX188" s="580"/>
      <c r="AY188" s="7"/>
    </row>
    <row r="189" spans="1:51" ht="12.75" customHeight="1" x14ac:dyDescent="0.2">
      <c r="D189" s="17"/>
      <c r="E189" s="12"/>
      <c r="F189" s="17"/>
      <c r="G189" s="12"/>
      <c r="H189" s="2">
        <v>3113</v>
      </c>
      <c r="I189" s="324">
        <f>SUMIF($F$12:$F$422,"=3113",I$12:I$422)</f>
        <v>302662235</v>
      </c>
      <c r="J189" s="325">
        <f>SUMIF($F$12:$F$422,"=3113",J$12:J$422)</f>
        <v>217829530</v>
      </c>
      <c r="K189" s="325">
        <f>SUMIF($F$12:$F$422,"=3113",K$12:K$422)</f>
        <v>73626383</v>
      </c>
      <c r="L189" s="325">
        <f>SUMIF($F$12:$F$422,"=3113",L$12:L$422)</f>
        <v>4356592</v>
      </c>
      <c r="M189" s="325">
        <f>SUMIF($F$12:$F$422,"=3113",M$12:M$422)</f>
        <v>6849730</v>
      </c>
      <c r="N189" s="326">
        <f t="shared" ref="N189:AW189" si="434">SUMIF($F$12:$F$426,"=3113",N$12:N$426)</f>
        <v>406.98830000000004</v>
      </c>
      <c r="O189" s="326">
        <f t="shared" si="434"/>
        <v>311.30400000000003</v>
      </c>
      <c r="P189" s="327">
        <f t="shared" si="434"/>
        <v>95.684300000000007</v>
      </c>
      <c r="Q189" s="328">
        <f t="shared" si="434"/>
        <v>-432320</v>
      </c>
      <c r="R189" s="328">
        <f t="shared" si="434"/>
        <v>26455200</v>
      </c>
      <c r="S189" s="328">
        <f t="shared" si="434"/>
        <v>0</v>
      </c>
      <c r="T189" s="328">
        <f t="shared" si="434"/>
        <v>-60119</v>
      </c>
      <c r="U189" s="328">
        <f t="shared" si="434"/>
        <v>25962761</v>
      </c>
      <c r="V189" s="328">
        <f t="shared" si="434"/>
        <v>432320</v>
      </c>
      <c r="W189" s="328">
        <f t="shared" si="434"/>
        <v>0</v>
      </c>
      <c r="X189" s="328">
        <f t="shared" si="434"/>
        <v>0</v>
      </c>
      <c r="Y189" s="328">
        <f t="shared" si="434"/>
        <v>432320</v>
      </c>
      <c r="Z189" s="328">
        <f t="shared" si="434"/>
        <v>26395081</v>
      </c>
      <c r="AA189" s="328">
        <f t="shared" si="434"/>
        <v>8921538</v>
      </c>
      <c r="AB189" s="328">
        <f t="shared" si="434"/>
        <v>519256</v>
      </c>
      <c r="AC189" s="328">
        <f t="shared" si="434"/>
        <v>9750</v>
      </c>
      <c r="AD189" s="328">
        <f t="shared" si="434"/>
        <v>0</v>
      </c>
      <c r="AE189" s="328">
        <f t="shared" si="434"/>
        <v>9750</v>
      </c>
      <c r="AF189" s="328">
        <f t="shared" si="434"/>
        <v>35845625</v>
      </c>
      <c r="AG189" s="447">
        <f t="shared" si="434"/>
        <v>-0.16</v>
      </c>
      <c r="AH189" s="447">
        <f t="shared" si="434"/>
        <v>-1.1199999999999999</v>
      </c>
      <c r="AI189" s="447">
        <f t="shared" si="434"/>
        <v>74.950000000000017</v>
      </c>
      <c r="AJ189" s="447">
        <f t="shared" si="434"/>
        <v>-0.11</v>
      </c>
      <c r="AK189" s="447">
        <f t="shared" si="434"/>
        <v>0</v>
      </c>
      <c r="AL189" s="447">
        <f t="shared" si="434"/>
        <v>74.680000000000007</v>
      </c>
      <c r="AM189" s="447">
        <f t="shared" si="434"/>
        <v>-1.1199999999999999</v>
      </c>
      <c r="AN189" s="444">
        <f t="shared" si="434"/>
        <v>73.56</v>
      </c>
      <c r="AO189" s="324">
        <f t="shared" si="434"/>
        <v>338507860</v>
      </c>
      <c r="AP189" s="328">
        <f t="shared" si="434"/>
        <v>243792291</v>
      </c>
      <c r="AQ189" s="328">
        <f t="shared" si="434"/>
        <v>432320</v>
      </c>
      <c r="AR189" s="328">
        <f t="shared" si="434"/>
        <v>82547921</v>
      </c>
      <c r="AS189" s="328">
        <f t="shared" si="434"/>
        <v>4875848</v>
      </c>
      <c r="AT189" s="328">
        <f t="shared" si="434"/>
        <v>6859480</v>
      </c>
      <c r="AU189" s="447">
        <f t="shared" si="434"/>
        <v>480.54830000000004</v>
      </c>
      <c r="AV189" s="447">
        <f t="shared" si="434"/>
        <v>385.98400000000004</v>
      </c>
      <c r="AW189" s="462">
        <f t="shared" si="434"/>
        <v>94.564300000000017</v>
      </c>
      <c r="AX189" s="580"/>
      <c r="AY189" s="7"/>
    </row>
    <row r="190" spans="1:51" ht="12.75" customHeight="1" x14ac:dyDescent="0.2">
      <c r="D190" s="17"/>
      <c r="E190" s="12"/>
      <c r="F190" s="17"/>
      <c r="G190" s="12"/>
      <c r="H190" s="2">
        <v>3114</v>
      </c>
      <c r="I190" s="324">
        <f>SUMIF($F$12:$F$422,"=3114",I$12:I$422)</f>
        <v>0</v>
      </c>
      <c r="J190" s="325">
        <f>SUMIF($F$12:$F$422,"=3114",J$12:J$422)</f>
        <v>0</v>
      </c>
      <c r="K190" s="325">
        <f>SUMIF($F$12:$F$422,"=3114",K$12:K$422)</f>
        <v>0</v>
      </c>
      <c r="L190" s="325">
        <f>SUMIF($F$12:$F$422,"=3114",L$12:L$422)</f>
        <v>0</v>
      </c>
      <c r="M190" s="325">
        <f>SUMIF($F$12:$F$422,"=3114",M$12:M$422)</f>
        <v>0</v>
      </c>
      <c r="N190" s="326">
        <f t="shared" ref="N190:AW190" si="435">SUMIF($F$12:$F$426,"=3114",N$12:N$426)</f>
        <v>0</v>
      </c>
      <c r="O190" s="326">
        <f t="shared" si="435"/>
        <v>0</v>
      </c>
      <c r="P190" s="327">
        <f t="shared" si="435"/>
        <v>0</v>
      </c>
      <c r="Q190" s="328">
        <f t="shared" si="435"/>
        <v>0</v>
      </c>
      <c r="R190" s="328">
        <f t="shared" si="435"/>
        <v>0</v>
      </c>
      <c r="S190" s="328">
        <f t="shared" si="435"/>
        <v>0</v>
      </c>
      <c r="T190" s="328">
        <f t="shared" si="435"/>
        <v>0</v>
      </c>
      <c r="U190" s="328">
        <f t="shared" si="435"/>
        <v>0</v>
      </c>
      <c r="V190" s="328">
        <f t="shared" si="435"/>
        <v>0</v>
      </c>
      <c r="W190" s="328">
        <f t="shared" si="435"/>
        <v>0</v>
      </c>
      <c r="X190" s="328">
        <f t="shared" si="435"/>
        <v>0</v>
      </c>
      <c r="Y190" s="328">
        <f t="shared" si="435"/>
        <v>0</v>
      </c>
      <c r="Z190" s="328">
        <f t="shared" si="435"/>
        <v>0</v>
      </c>
      <c r="AA190" s="328">
        <f t="shared" si="435"/>
        <v>0</v>
      </c>
      <c r="AB190" s="328">
        <f t="shared" si="435"/>
        <v>0</v>
      </c>
      <c r="AC190" s="328">
        <f t="shared" si="435"/>
        <v>0</v>
      </c>
      <c r="AD190" s="328">
        <f t="shared" si="435"/>
        <v>0</v>
      </c>
      <c r="AE190" s="328">
        <f t="shared" si="435"/>
        <v>0</v>
      </c>
      <c r="AF190" s="328">
        <f t="shared" si="435"/>
        <v>0</v>
      </c>
      <c r="AG190" s="447">
        <f t="shared" si="435"/>
        <v>0</v>
      </c>
      <c r="AH190" s="447">
        <f t="shared" si="435"/>
        <v>0</v>
      </c>
      <c r="AI190" s="447">
        <f t="shared" si="435"/>
        <v>0</v>
      </c>
      <c r="AJ190" s="447">
        <f t="shared" si="435"/>
        <v>0</v>
      </c>
      <c r="AK190" s="447">
        <f t="shared" si="435"/>
        <v>0</v>
      </c>
      <c r="AL190" s="447">
        <f t="shared" si="435"/>
        <v>0</v>
      </c>
      <c r="AM190" s="447">
        <f t="shared" si="435"/>
        <v>0</v>
      </c>
      <c r="AN190" s="444">
        <f t="shared" si="435"/>
        <v>0</v>
      </c>
      <c r="AO190" s="324">
        <f t="shared" si="435"/>
        <v>0</v>
      </c>
      <c r="AP190" s="328">
        <f t="shared" si="435"/>
        <v>0</v>
      </c>
      <c r="AQ190" s="328">
        <f t="shared" si="435"/>
        <v>0</v>
      </c>
      <c r="AR190" s="328">
        <f t="shared" si="435"/>
        <v>0</v>
      </c>
      <c r="AS190" s="328">
        <f t="shared" si="435"/>
        <v>0</v>
      </c>
      <c r="AT190" s="328">
        <f t="shared" si="435"/>
        <v>0</v>
      </c>
      <c r="AU190" s="447">
        <f t="shared" si="435"/>
        <v>0</v>
      </c>
      <c r="AV190" s="447">
        <f t="shared" si="435"/>
        <v>0</v>
      </c>
      <c r="AW190" s="462">
        <f t="shared" si="435"/>
        <v>0</v>
      </c>
      <c r="AX190" s="580"/>
      <c r="AY190" s="7"/>
    </row>
    <row r="191" spans="1:51" ht="12.75" customHeight="1" x14ac:dyDescent="0.2">
      <c r="D191" s="17"/>
      <c r="E191" s="12"/>
      <c r="F191" s="17"/>
      <c r="G191" s="12"/>
      <c r="H191" s="2">
        <v>3117</v>
      </c>
      <c r="I191" s="324">
        <f>SUMIF($F$12:$F$422,"=3117",I$12:I$422)</f>
        <v>8589597</v>
      </c>
      <c r="J191" s="325">
        <f>SUMIF($F$12:$F$422,"=3117",J$12:J$422)</f>
        <v>6196743</v>
      </c>
      <c r="K191" s="325">
        <f>SUMIF($F$12:$F$422,"=3117",K$12:K$422)</f>
        <v>2094499</v>
      </c>
      <c r="L191" s="325">
        <f>SUMIF($F$12:$F$422,"=3117",L$12:L$422)</f>
        <v>123935</v>
      </c>
      <c r="M191" s="325">
        <f>SUMIF($F$12:$F$422,"=3117",M$12:M$422)</f>
        <v>174420</v>
      </c>
      <c r="N191" s="326">
        <f t="shared" ref="N191:AW191" si="436">SUMIF($F$12:$F$426,"=3117",N$12:N$426)</f>
        <v>12.6759</v>
      </c>
      <c r="O191" s="326">
        <f t="shared" si="436"/>
        <v>9.0305</v>
      </c>
      <c r="P191" s="327">
        <f t="shared" si="436"/>
        <v>3.6454</v>
      </c>
      <c r="Q191" s="328">
        <f t="shared" si="436"/>
        <v>-16000</v>
      </c>
      <c r="R191" s="328">
        <f t="shared" si="436"/>
        <v>860374</v>
      </c>
      <c r="S191" s="328">
        <f t="shared" si="436"/>
        <v>0</v>
      </c>
      <c r="T191" s="328">
        <f t="shared" si="436"/>
        <v>0</v>
      </c>
      <c r="U191" s="328">
        <f t="shared" si="436"/>
        <v>844374</v>
      </c>
      <c r="V191" s="328">
        <f t="shared" si="436"/>
        <v>16000</v>
      </c>
      <c r="W191" s="328">
        <f t="shared" si="436"/>
        <v>0</v>
      </c>
      <c r="X191" s="328">
        <f t="shared" si="436"/>
        <v>0</v>
      </c>
      <c r="Y191" s="328">
        <f t="shared" si="436"/>
        <v>16000</v>
      </c>
      <c r="Z191" s="328">
        <f t="shared" si="436"/>
        <v>860374</v>
      </c>
      <c r="AA191" s="328">
        <f t="shared" si="436"/>
        <v>290806</v>
      </c>
      <c r="AB191" s="328">
        <f t="shared" si="436"/>
        <v>16887</v>
      </c>
      <c r="AC191" s="328">
        <f t="shared" si="436"/>
        <v>0</v>
      </c>
      <c r="AD191" s="328">
        <f t="shared" si="436"/>
        <v>0</v>
      </c>
      <c r="AE191" s="328">
        <f t="shared" si="436"/>
        <v>0</v>
      </c>
      <c r="AF191" s="328">
        <f t="shared" si="436"/>
        <v>1168067</v>
      </c>
      <c r="AG191" s="447">
        <f t="shared" si="436"/>
        <v>-0.03</v>
      </c>
      <c r="AH191" s="447">
        <f t="shared" si="436"/>
        <v>0</v>
      </c>
      <c r="AI191" s="447">
        <f t="shared" si="436"/>
        <v>2.4699999999999998</v>
      </c>
      <c r="AJ191" s="447">
        <f t="shared" si="436"/>
        <v>0</v>
      </c>
      <c r="AK191" s="447">
        <f t="shared" si="436"/>
        <v>0</v>
      </c>
      <c r="AL191" s="447">
        <f t="shared" si="436"/>
        <v>2.4399999999999995</v>
      </c>
      <c r="AM191" s="447">
        <f t="shared" si="436"/>
        <v>0</v>
      </c>
      <c r="AN191" s="444">
        <f t="shared" si="436"/>
        <v>2.4399999999999995</v>
      </c>
      <c r="AO191" s="324">
        <f t="shared" si="436"/>
        <v>9757664</v>
      </c>
      <c r="AP191" s="328">
        <f t="shared" si="436"/>
        <v>7041117</v>
      </c>
      <c r="AQ191" s="328">
        <f t="shared" si="436"/>
        <v>16000</v>
      </c>
      <c r="AR191" s="328">
        <f t="shared" si="436"/>
        <v>2385305</v>
      </c>
      <c r="AS191" s="328">
        <f t="shared" si="436"/>
        <v>140822</v>
      </c>
      <c r="AT191" s="328">
        <f t="shared" si="436"/>
        <v>174420</v>
      </c>
      <c r="AU191" s="447">
        <f t="shared" si="436"/>
        <v>15.1159</v>
      </c>
      <c r="AV191" s="447">
        <f t="shared" si="436"/>
        <v>11.470499999999999</v>
      </c>
      <c r="AW191" s="462">
        <f t="shared" si="436"/>
        <v>3.6454</v>
      </c>
      <c r="AX191" s="580"/>
      <c r="AY191" s="7"/>
    </row>
    <row r="192" spans="1:51" ht="12.75" customHeight="1" x14ac:dyDescent="0.2">
      <c r="D192" s="17"/>
      <c r="E192" s="12"/>
      <c r="F192" s="17"/>
      <c r="G192" s="12"/>
      <c r="H192" s="2">
        <v>3122</v>
      </c>
      <c r="I192" s="324">
        <f>SUMIF($F$12:$F$378,"=3122",I$12:I$378)</f>
        <v>0</v>
      </c>
      <c r="J192" s="325">
        <f>SUMIF($F$12:$F$378,"=3122",J$12:J$378)</f>
        <v>0</v>
      </c>
      <c r="K192" s="325">
        <f>SUMIF($F$12:$F$378,"=3122",K$12:K$378)</f>
        <v>0</v>
      </c>
      <c r="L192" s="325">
        <f>SUMIF($F$12:$F$378,"=3122",L$12:L$378)</f>
        <v>0</v>
      </c>
      <c r="M192" s="325">
        <f>SUMIF($F$12:$F$378,"=3122",M$12:M$378)</f>
        <v>0</v>
      </c>
      <c r="N192" s="326">
        <f t="shared" ref="N192:AW192" si="437">SUMIF($F$12:$F$382,"=3122",N$12:N$382)</f>
        <v>0</v>
      </c>
      <c r="O192" s="326">
        <f t="shared" si="437"/>
        <v>0</v>
      </c>
      <c r="P192" s="327">
        <f t="shared" si="437"/>
        <v>0</v>
      </c>
      <c r="Q192" s="328">
        <f t="shared" si="437"/>
        <v>0</v>
      </c>
      <c r="R192" s="328">
        <f t="shared" si="437"/>
        <v>0</v>
      </c>
      <c r="S192" s="328">
        <f t="shared" si="437"/>
        <v>0</v>
      </c>
      <c r="T192" s="328">
        <f t="shared" si="437"/>
        <v>0</v>
      </c>
      <c r="U192" s="328">
        <f t="shared" si="437"/>
        <v>0</v>
      </c>
      <c r="V192" s="328">
        <f t="shared" si="437"/>
        <v>0</v>
      </c>
      <c r="W192" s="328">
        <f t="shared" si="437"/>
        <v>0</v>
      </c>
      <c r="X192" s="328">
        <f t="shared" si="437"/>
        <v>0</v>
      </c>
      <c r="Y192" s="328">
        <f t="shared" si="437"/>
        <v>0</v>
      </c>
      <c r="Z192" s="328">
        <f t="shared" si="437"/>
        <v>0</v>
      </c>
      <c r="AA192" s="328">
        <f t="shared" si="437"/>
        <v>0</v>
      </c>
      <c r="AB192" s="328">
        <f t="shared" si="437"/>
        <v>0</v>
      </c>
      <c r="AC192" s="328">
        <f t="shared" si="437"/>
        <v>0</v>
      </c>
      <c r="AD192" s="328">
        <f t="shared" si="437"/>
        <v>0</v>
      </c>
      <c r="AE192" s="328">
        <f t="shared" si="437"/>
        <v>0</v>
      </c>
      <c r="AF192" s="328">
        <f t="shared" si="437"/>
        <v>0</v>
      </c>
      <c r="AG192" s="447">
        <f t="shared" si="437"/>
        <v>0</v>
      </c>
      <c r="AH192" s="447">
        <f t="shared" si="437"/>
        <v>0</v>
      </c>
      <c r="AI192" s="447">
        <f t="shared" si="437"/>
        <v>0</v>
      </c>
      <c r="AJ192" s="447">
        <f t="shared" si="437"/>
        <v>0</v>
      </c>
      <c r="AK192" s="447">
        <f t="shared" si="437"/>
        <v>0</v>
      </c>
      <c r="AL192" s="447">
        <f t="shared" si="437"/>
        <v>0</v>
      </c>
      <c r="AM192" s="447">
        <f t="shared" si="437"/>
        <v>0</v>
      </c>
      <c r="AN192" s="444">
        <f t="shared" si="437"/>
        <v>0</v>
      </c>
      <c r="AO192" s="324">
        <f t="shared" si="437"/>
        <v>0</v>
      </c>
      <c r="AP192" s="328">
        <f t="shared" si="437"/>
        <v>0</v>
      </c>
      <c r="AQ192" s="328">
        <f t="shared" si="437"/>
        <v>0</v>
      </c>
      <c r="AR192" s="328">
        <f t="shared" si="437"/>
        <v>0</v>
      </c>
      <c r="AS192" s="328">
        <f t="shared" si="437"/>
        <v>0</v>
      </c>
      <c r="AT192" s="328">
        <f t="shared" si="437"/>
        <v>0</v>
      </c>
      <c r="AU192" s="447">
        <f t="shared" si="437"/>
        <v>0</v>
      </c>
      <c r="AV192" s="447">
        <f t="shared" si="437"/>
        <v>0</v>
      </c>
      <c r="AW192" s="462">
        <f t="shared" si="437"/>
        <v>0</v>
      </c>
      <c r="AX192" s="580"/>
      <c r="AY192" s="7"/>
    </row>
    <row r="193" spans="4:51" ht="12.75" customHeight="1" x14ac:dyDescent="0.2">
      <c r="D193" s="17"/>
      <c r="E193" s="12"/>
      <c r="F193" s="17"/>
      <c r="G193" s="12"/>
      <c r="H193" s="2">
        <v>3124</v>
      </c>
      <c r="I193" s="324">
        <f>SUMIF($F$12:$F$378,"=3124",I$12:I$378)</f>
        <v>0</v>
      </c>
      <c r="J193" s="325">
        <f>SUMIF($F$12:$F$378,"=3124",J$12:J$378)</f>
        <v>0</v>
      </c>
      <c r="K193" s="325">
        <f>SUMIF($F$12:$F$378,"=3124",K$12:K$378)</f>
        <v>0</v>
      </c>
      <c r="L193" s="325">
        <f>SUMIF($F$12:$F$378,"=3124",L$12:L$378)</f>
        <v>0</v>
      </c>
      <c r="M193" s="325">
        <f>SUMIF($F$12:$F$378,"=3124",M$12:M$378)</f>
        <v>0</v>
      </c>
      <c r="N193" s="326">
        <f t="shared" ref="N193:AW193" si="438">SUMIF($F$12:$F$382,"=3124",N$12:N$382)</f>
        <v>0</v>
      </c>
      <c r="O193" s="326">
        <f t="shared" si="438"/>
        <v>0</v>
      </c>
      <c r="P193" s="327">
        <f t="shared" si="438"/>
        <v>0</v>
      </c>
      <c r="Q193" s="328">
        <f t="shared" si="438"/>
        <v>0</v>
      </c>
      <c r="R193" s="328">
        <f t="shared" si="438"/>
        <v>0</v>
      </c>
      <c r="S193" s="328">
        <f t="shared" si="438"/>
        <v>0</v>
      </c>
      <c r="T193" s="328">
        <f t="shared" si="438"/>
        <v>0</v>
      </c>
      <c r="U193" s="328">
        <f t="shared" si="438"/>
        <v>0</v>
      </c>
      <c r="V193" s="328">
        <f t="shared" si="438"/>
        <v>0</v>
      </c>
      <c r="W193" s="328">
        <f t="shared" si="438"/>
        <v>0</v>
      </c>
      <c r="X193" s="328">
        <f t="shared" si="438"/>
        <v>0</v>
      </c>
      <c r="Y193" s="328">
        <f t="shared" si="438"/>
        <v>0</v>
      </c>
      <c r="Z193" s="328">
        <f t="shared" si="438"/>
        <v>0</v>
      </c>
      <c r="AA193" s="328">
        <f t="shared" si="438"/>
        <v>0</v>
      </c>
      <c r="AB193" s="328">
        <f t="shared" si="438"/>
        <v>0</v>
      </c>
      <c r="AC193" s="328">
        <f t="shared" si="438"/>
        <v>0</v>
      </c>
      <c r="AD193" s="328">
        <f t="shared" si="438"/>
        <v>0</v>
      </c>
      <c r="AE193" s="328">
        <f t="shared" si="438"/>
        <v>0</v>
      </c>
      <c r="AF193" s="328">
        <f t="shared" si="438"/>
        <v>0</v>
      </c>
      <c r="AG193" s="447">
        <f t="shared" si="438"/>
        <v>0</v>
      </c>
      <c r="AH193" s="447">
        <f t="shared" si="438"/>
        <v>0</v>
      </c>
      <c r="AI193" s="447">
        <f t="shared" si="438"/>
        <v>0</v>
      </c>
      <c r="AJ193" s="447">
        <f t="shared" si="438"/>
        <v>0</v>
      </c>
      <c r="AK193" s="447">
        <f t="shared" si="438"/>
        <v>0</v>
      </c>
      <c r="AL193" s="447">
        <f t="shared" si="438"/>
        <v>0</v>
      </c>
      <c r="AM193" s="447">
        <f t="shared" si="438"/>
        <v>0</v>
      </c>
      <c r="AN193" s="444">
        <f t="shared" si="438"/>
        <v>0</v>
      </c>
      <c r="AO193" s="324">
        <f t="shared" si="438"/>
        <v>0</v>
      </c>
      <c r="AP193" s="328">
        <f t="shared" si="438"/>
        <v>0</v>
      </c>
      <c r="AQ193" s="328">
        <f t="shared" si="438"/>
        <v>0</v>
      </c>
      <c r="AR193" s="328">
        <f t="shared" si="438"/>
        <v>0</v>
      </c>
      <c r="AS193" s="328">
        <f t="shared" si="438"/>
        <v>0</v>
      </c>
      <c r="AT193" s="328">
        <f t="shared" si="438"/>
        <v>0</v>
      </c>
      <c r="AU193" s="447">
        <f t="shared" si="438"/>
        <v>0</v>
      </c>
      <c r="AV193" s="447">
        <f t="shared" si="438"/>
        <v>0</v>
      </c>
      <c r="AW193" s="462">
        <f t="shared" si="438"/>
        <v>0</v>
      </c>
      <c r="AX193" s="580"/>
      <c r="AY193" s="7"/>
    </row>
    <row r="194" spans="4:51" ht="12.75" customHeight="1" x14ac:dyDescent="0.2">
      <c r="D194" s="17"/>
      <c r="E194" s="12"/>
      <c r="F194" s="17"/>
      <c r="G194" s="12"/>
      <c r="H194" s="2">
        <v>3141</v>
      </c>
      <c r="I194" s="324">
        <f>SUMIF($F$12:$F$422,"=3141",I$12:I$422)</f>
        <v>50498684</v>
      </c>
      <c r="J194" s="325">
        <f>SUMIF($F$12:$F$422,"=3141",J$12:J$422)</f>
        <v>36915499</v>
      </c>
      <c r="K194" s="325">
        <f>SUMIF($F$12:$F$422,"=3141",K$12:K$422)</f>
        <v>12477439</v>
      </c>
      <c r="L194" s="325">
        <f>SUMIF($F$12:$F$422,"=3141",L$12:L$422)</f>
        <v>738310</v>
      </c>
      <c r="M194" s="325">
        <f>SUMIF($F$12:$F$422,"=3141",M$12:M$422)</f>
        <v>367436</v>
      </c>
      <c r="N194" s="326">
        <f t="shared" ref="N194:AW194" si="439">SUMIF($F$12:$F$426,"=3141",N$12:N$426)</f>
        <v>125.58</v>
      </c>
      <c r="O194" s="326">
        <f t="shared" si="439"/>
        <v>0</v>
      </c>
      <c r="P194" s="327">
        <f t="shared" si="439"/>
        <v>125.58</v>
      </c>
      <c r="Q194" s="328">
        <f t="shared" si="439"/>
        <v>-175200</v>
      </c>
      <c r="R194" s="328">
        <f t="shared" si="439"/>
        <v>0</v>
      </c>
      <c r="S194" s="328">
        <f t="shared" si="439"/>
        <v>0</v>
      </c>
      <c r="T194" s="328">
        <f t="shared" si="439"/>
        <v>0</v>
      </c>
      <c r="U194" s="328">
        <f t="shared" si="439"/>
        <v>-175200</v>
      </c>
      <c r="V194" s="328">
        <f t="shared" si="439"/>
        <v>175200</v>
      </c>
      <c r="W194" s="328">
        <f t="shared" si="439"/>
        <v>0</v>
      </c>
      <c r="X194" s="328">
        <f t="shared" si="439"/>
        <v>0</v>
      </c>
      <c r="Y194" s="328">
        <f t="shared" si="439"/>
        <v>175200</v>
      </c>
      <c r="Z194" s="328">
        <f t="shared" si="439"/>
        <v>0</v>
      </c>
      <c r="AA194" s="328">
        <f t="shared" si="439"/>
        <v>0</v>
      </c>
      <c r="AB194" s="328">
        <f t="shared" si="439"/>
        <v>-3504</v>
      </c>
      <c r="AC194" s="328">
        <f t="shared" si="439"/>
        <v>0</v>
      </c>
      <c r="AD194" s="328">
        <f t="shared" si="439"/>
        <v>0</v>
      </c>
      <c r="AE194" s="328">
        <f t="shared" si="439"/>
        <v>0</v>
      </c>
      <c r="AF194" s="328">
        <f t="shared" si="439"/>
        <v>-3504</v>
      </c>
      <c r="AG194" s="447">
        <f t="shared" si="439"/>
        <v>0</v>
      </c>
      <c r="AH194" s="447">
        <f t="shared" si="439"/>
        <v>-0.26</v>
      </c>
      <c r="AI194" s="447">
        <f t="shared" si="439"/>
        <v>0</v>
      </c>
      <c r="AJ194" s="447">
        <f t="shared" si="439"/>
        <v>0</v>
      </c>
      <c r="AK194" s="447">
        <f t="shared" si="439"/>
        <v>0</v>
      </c>
      <c r="AL194" s="447">
        <f t="shared" si="439"/>
        <v>0</v>
      </c>
      <c r="AM194" s="447">
        <f t="shared" si="439"/>
        <v>-0.26</v>
      </c>
      <c r="AN194" s="444">
        <f t="shared" si="439"/>
        <v>-0.26</v>
      </c>
      <c r="AO194" s="324">
        <f t="shared" si="439"/>
        <v>50495180</v>
      </c>
      <c r="AP194" s="328">
        <f t="shared" si="439"/>
        <v>36740299</v>
      </c>
      <c r="AQ194" s="328">
        <f t="shared" si="439"/>
        <v>175200</v>
      </c>
      <c r="AR194" s="328">
        <f t="shared" si="439"/>
        <v>12477439</v>
      </c>
      <c r="AS194" s="328">
        <f t="shared" si="439"/>
        <v>734806</v>
      </c>
      <c r="AT194" s="328">
        <f t="shared" si="439"/>
        <v>367436</v>
      </c>
      <c r="AU194" s="447">
        <f t="shared" si="439"/>
        <v>125.32000000000001</v>
      </c>
      <c r="AV194" s="447">
        <f t="shared" si="439"/>
        <v>0</v>
      </c>
      <c r="AW194" s="462">
        <f t="shared" si="439"/>
        <v>125.32000000000001</v>
      </c>
      <c r="AY194" s="7"/>
    </row>
    <row r="195" spans="4:51" ht="12.75" customHeight="1" x14ac:dyDescent="0.2">
      <c r="D195" s="17"/>
      <c r="E195" s="12"/>
      <c r="F195" s="17"/>
      <c r="G195" s="12"/>
      <c r="H195" s="2">
        <v>3143</v>
      </c>
      <c r="I195" s="324">
        <f>SUMIF($F$12:$F$422,"=3143",I$12:I$422)</f>
        <v>30699149</v>
      </c>
      <c r="J195" s="325">
        <f>SUMIF($F$12:$F$422,"=3143",J$12:J$422)</f>
        <v>22575313</v>
      </c>
      <c r="K195" s="325">
        <f>SUMIF($F$12:$F$422,"=3143",K$12:K$422)</f>
        <v>7630453</v>
      </c>
      <c r="L195" s="325">
        <f>SUMIF($F$12:$F$422,"=3143",L$12:L$422)</f>
        <v>451503</v>
      </c>
      <c r="M195" s="325">
        <f>SUMIF($F$12:$F$422,"=3143",M$12:M$422)</f>
        <v>41880</v>
      </c>
      <c r="N195" s="326">
        <f t="shared" ref="N195:AW195" si="440">SUMIF($F$12:$F$426,"=3143",N$12:N$426)</f>
        <v>48.67519999999999</v>
      </c>
      <c r="O195" s="326">
        <f t="shared" si="440"/>
        <v>45.755199999999995</v>
      </c>
      <c r="P195" s="327">
        <f t="shared" si="440"/>
        <v>2.92</v>
      </c>
      <c r="Q195" s="328">
        <f t="shared" si="440"/>
        <v>-48000</v>
      </c>
      <c r="R195" s="328">
        <f t="shared" si="440"/>
        <v>0</v>
      </c>
      <c r="S195" s="328">
        <f t="shared" si="440"/>
        <v>0</v>
      </c>
      <c r="T195" s="328">
        <f t="shared" si="440"/>
        <v>0</v>
      </c>
      <c r="U195" s="328">
        <f t="shared" si="440"/>
        <v>-48000</v>
      </c>
      <c r="V195" s="328">
        <f t="shared" si="440"/>
        <v>48000</v>
      </c>
      <c r="W195" s="328">
        <f t="shared" si="440"/>
        <v>0</v>
      </c>
      <c r="X195" s="328">
        <f t="shared" si="440"/>
        <v>0</v>
      </c>
      <c r="Y195" s="328">
        <f t="shared" si="440"/>
        <v>48000</v>
      </c>
      <c r="Z195" s="328">
        <f t="shared" si="440"/>
        <v>0</v>
      </c>
      <c r="AA195" s="328">
        <f t="shared" si="440"/>
        <v>0</v>
      </c>
      <c r="AB195" s="328">
        <f t="shared" si="440"/>
        <v>-960</v>
      </c>
      <c r="AC195" s="328">
        <f t="shared" si="440"/>
        <v>0</v>
      </c>
      <c r="AD195" s="328">
        <f t="shared" si="440"/>
        <v>0</v>
      </c>
      <c r="AE195" s="328">
        <f t="shared" si="440"/>
        <v>0</v>
      </c>
      <c r="AF195" s="328">
        <f t="shared" si="440"/>
        <v>-960</v>
      </c>
      <c r="AG195" s="447">
        <f t="shared" si="440"/>
        <v>-0.03</v>
      </c>
      <c r="AH195" s="447">
        <f t="shared" si="440"/>
        <v>0</v>
      </c>
      <c r="AI195" s="447">
        <f t="shared" si="440"/>
        <v>0</v>
      </c>
      <c r="AJ195" s="447">
        <f t="shared" si="440"/>
        <v>0</v>
      </c>
      <c r="AK195" s="447">
        <f t="shared" si="440"/>
        <v>0</v>
      </c>
      <c r="AL195" s="447">
        <f t="shared" si="440"/>
        <v>-0.03</v>
      </c>
      <c r="AM195" s="447">
        <f t="shared" si="440"/>
        <v>0</v>
      </c>
      <c r="AN195" s="444">
        <f t="shared" si="440"/>
        <v>-0.03</v>
      </c>
      <c r="AO195" s="324">
        <f t="shared" si="440"/>
        <v>30698189</v>
      </c>
      <c r="AP195" s="328">
        <f t="shared" si="440"/>
        <v>22527313</v>
      </c>
      <c r="AQ195" s="328">
        <f t="shared" si="440"/>
        <v>48000</v>
      </c>
      <c r="AR195" s="328">
        <f t="shared" si="440"/>
        <v>7630453</v>
      </c>
      <c r="AS195" s="328">
        <f t="shared" si="440"/>
        <v>450543</v>
      </c>
      <c r="AT195" s="328">
        <f t="shared" si="440"/>
        <v>41880</v>
      </c>
      <c r="AU195" s="447">
        <f t="shared" si="440"/>
        <v>48.645199999999988</v>
      </c>
      <c r="AV195" s="447">
        <f t="shared" si="440"/>
        <v>45.725199999999994</v>
      </c>
      <c r="AW195" s="462">
        <f t="shared" si="440"/>
        <v>2.92</v>
      </c>
      <c r="AY195" s="7"/>
    </row>
    <row r="196" spans="4:51" ht="13.5" customHeight="1" x14ac:dyDescent="0.2">
      <c r="D196" s="17"/>
      <c r="E196" s="12"/>
      <c r="F196" s="17"/>
      <c r="G196" s="12"/>
      <c r="H196" s="2">
        <v>3231</v>
      </c>
      <c r="I196" s="324">
        <f>SUMIF($F$12:$F$422,"=3231",I$12:I$422)</f>
        <v>28857440</v>
      </c>
      <c r="J196" s="325">
        <f>SUMIF($F$12:$F$422,"=3231",J$12:J$422)</f>
        <v>21178380</v>
      </c>
      <c r="K196" s="325">
        <f>SUMIF($F$12:$F$422,"=3231",K$12:K$422)</f>
        <v>7158292</v>
      </c>
      <c r="L196" s="325">
        <f>SUMIF($F$12:$F$422,"=3231",L$12:L$422)</f>
        <v>423568</v>
      </c>
      <c r="M196" s="325">
        <f>SUMIF($F$12:$F$422,"=3231",M$12:M$422)</f>
        <v>97200</v>
      </c>
      <c r="N196" s="326">
        <f t="shared" ref="N196:AW196" si="441">SUMIF($F$12:$F$426,"=3231",N$12:N$426)</f>
        <v>41.016399999999997</v>
      </c>
      <c r="O196" s="326">
        <f t="shared" si="441"/>
        <v>36.444899999999997</v>
      </c>
      <c r="P196" s="327">
        <f t="shared" si="441"/>
        <v>4.5715000000000003</v>
      </c>
      <c r="Q196" s="328">
        <f t="shared" si="441"/>
        <v>-240000</v>
      </c>
      <c r="R196" s="328">
        <f t="shared" si="441"/>
        <v>0</v>
      </c>
      <c r="S196" s="328">
        <f t="shared" si="441"/>
        <v>0</v>
      </c>
      <c r="T196" s="328">
        <f t="shared" si="441"/>
        <v>0</v>
      </c>
      <c r="U196" s="328">
        <f t="shared" si="441"/>
        <v>-240000</v>
      </c>
      <c r="V196" s="328">
        <f t="shared" si="441"/>
        <v>240000</v>
      </c>
      <c r="W196" s="328">
        <f t="shared" si="441"/>
        <v>0</v>
      </c>
      <c r="X196" s="328">
        <f t="shared" si="441"/>
        <v>0</v>
      </c>
      <c r="Y196" s="328">
        <f t="shared" si="441"/>
        <v>240000</v>
      </c>
      <c r="Z196" s="328">
        <f t="shared" si="441"/>
        <v>0</v>
      </c>
      <c r="AA196" s="328">
        <f t="shared" si="441"/>
        <v>0</v>
      </c>
      <c r="AB196" s="328">
        <f t="shared" si="441"/>
        <v>-4800</v>
      </c>
      <c r="AC196" s="328">
        <f t="shared" si="441"/>
        <v>0</v>
      </c>
      <c r="AD196" s="328">
        <f t="shared" si="441"/>
        <v>0</v>
      </c>
      <c r="AE196" s="328">
        <f t="shared" si="441"/>
        <v>0</v>
      </c>
      <c r="AF196" s="328">
        <f t="shared" si="441"/>
        <v>-4800</v>
      </c>
      <c r="AG196" s="447">
        <f t="shared" si="441"/>
        <v>-0.09</v>
      </c>
      <c r="AH196" s="447">
        <f t="shared" si="441"/>
        <v>-0.09</v>
      </c>
      <c r="AI196" s="447">
        <f t="shared" si="441"/>
        <v>0</v>
      </c>
      <c r="AJ196" s="447">
        <f t="shared" si="441"/>
        <v>0</v>
      </c>
      <c r="AK196" s="447">
        <f t="shared" si="441"/>
        <v>0</v>
      </c>
      <c r="AL196" s="447">
        <f t="shared" si="441"/>
        <v>-0.09</v>
      </c>
      <c r="AM196" s="447">
        <f t="shared" si="441"/>
        <v>-0.09</v>
      </c>
      <c r="AN196" s="444">
        <f t="shared" si="441"/>
        <v>-0.18</v>
      </c>
      <c r="AO196" s="324">
        <f t="shared" si="441"/>
        <v>28852640</v>
      </c>
      <c r="AP196" s="328">
        <f t="shared" si="441"/>
        <v>20938380</v>
      </c>
      <c r="AQ196" s="328">
        <f t="shared" si="441"/>
        <v>240000</v>
      </c>
      <c r="AR196" s="328">
        <f t="shared" si="441"/>
        <v>7158292</v>
      </c>
      <c r="AS196" s="328">
        <f t="shared" si="441"/>
        <v>418768</v>
      </c>
      <c r="AT196" s="328">
        <f t="shared" si="441"/>
        <v>97200</v>
      </c>
      <c r="AU196" s="447">
        <f t="shared" si="441"/>
        <v>40.836399999999998</v>
      </c>
      <c r="AV196" s="447">
        <f t="shared" si="441"/>
        <v>36.354899999999994</v>
      </c>
      <c r="AW196" s="462">
        <f t="shared" si="441"/>
        <v>4.4815000000000005</v>
      </c>
      <c r="AY196" s="7"/>
    </row>
    <row r="197" spans="4:51" ht="12.75" customHeight="1" thickBot="1" x14ac:dyDescent="0.25">
      <c r="D197" s="17"/>
      <c r="E197" s="12"/>
      <c r="F197" s="17"/>
      <c r="G197" s="12"/>
      <c r="H197" s="291">
        <v>3233</v>
      </c>
      <c r="I197" s="330">
        <f>SUMIF($F$12:$F$422,"=3233",I$12:I$422)</f>
        <v>6259411</v>
      </c>
      <c r="J197" s="331">
        <f>SUMIF($F$12:$F$422,"=3233",J$12:J$422)</f>
        <v>4555254</v>
      </c>
      <c r="K197" s="331">
        <f>SUMIF($F$12:$F$422,"=3233",K$12:K$422)</f>
        <v>1539676</v>
      </c>
      <c r="L197" s="331">
        <f>SUMIF($F$12:$F$422,"=3233",L$12:L$422)</f>
        <v>91105</v>
      </c>
      <c r="M197" s="331">
        <f>SUMIF($F$12:$F$422,"=3233",M$12:M$422)</f>
        <v>73376</v>
      </c>
      <c r="N197" s="332">
        <f t="shared" ref="N197:AW197" si="442">SUMIF($F$12:$F$426,"=3233",N$12:N$426)</f>
        <v>10.91</v>
      </c>
      <c r="O197" s="332">
        <f t="shared" si="442"/>
        <v>6.36</v>
      </c>
      <c r="P197" s="333">
        <f t="shared" si="442"/>
        <v>4.55</v>
      </c>
      <c r="Q197" s="334">
        <f t="shared" si="442"/>
        <v>-92000</v>
      </c>
      <c r="R197" s="334">
        <f t="shared" si="442"/>
        <v>0</v>
      </c>
      <c r="S197" s="334">
        <f t="shared" si="442"/>
        <v>0</v>
      </c>
      <c r="T197" s="334">
        <f t="shared" si="442"/>
        <v>0</v>
      </c>
      <c r="U197" s="334">
        <f t="shared" si="442"/>
        <v>-92000</v>
      </c>
      <c r="V197" s="334">
        <f t="shared" si="442"/>
        <v>92000</v>
      </c>
      <c r="W197" s="334">
        <f t="shared" si="442"/>
        <v>0</v>
      </c>
      <c r="X197" s="334">
        <f t="shared" si="442"/>
        <v>0</v>
      </c>
      <c r="Y197" s="334">
        <f t="shared" si="442"/>
        <v>92000</v>
      </c>
      <c r="Z197" s="334">
        <f t="shared" si="442"/>
        <v>0</v>
      </c>
      <c r="AA197" s="334">
        <f t="shared" si="442"/>
        <v>0</v>
      </c>
      <c r="AB197" s="334">
        <f t="shared" si="442"/>
        <v>-1840</v>
      </c>
      <c r="AC197" s="334">
        <f t="shared" si="442"/>
        <v>0</v>
      </c>
      <c r="AD197" s="334">
        <f t="shared" si="442"/>
        <v>0</v>
      </c>
      <c r="AE197" s="334">
        <f t="shared" si="442"/>
        <v>0</v>
      </c>
      <c r="AF197" s="334">
        <f t="shared" si="442"/>
        <v>-1840</v>
      </c>
      <c r="AG197" s="448">
        <f t="shared" si="442"/>
        <v>-0.14000000000000001</v>
      </c>
      <c r="AH197" s="448">
        <f t="shared" si="442"/>
        <v>-7.0000000000000007E-2</v>
      </c>
      <c r="AI197" s="448">
        <f t="shared" si="442"/>
        <v>0</v>
      </c>
      <c r="AJ197" s="448">
        <f t="shared" si="442"/>
        <v>0</v>
      </c>
      <c r="AK197" s="448">
        <f t="shared" si="442"/>
        <v>0</v>
      </c>
      <c r="AL197" s="448">
        <f t="shared" si="442"/>
        <v>-0.14000000000000001</v>
      </c>
      <c r="AM197" s="448">
        <f t="shared" si="442"/>
        <v>-7.0000000000000007E-2</v>
      </c>
      <c r="AN197" s="445">
        <f t="shared" si="442"/>
        <v>-0.21000000000000002</v>
      </c>
      <c r="AO197" s="330">
        <f t="shared" si="442"/>
        <v>6257571</v>
      </c>
      <c r="AP197" s="334">
        <f t="shared" si="442"/>
        <v>4463254</v>
      </c>
      <c r="AQ197" s="334">
        <f t="shared" si="442"/>
        <v>92000</v>
      </c>
      <c r="AR197" s="334">
        <f t="shared" si="442"/>
        <v>1539676</v>
      </c>
      <c r="AS197" s="334">
        <f t="shared" si="442"/>
        <v>89265</v>
      </c>
      <c r="AT197" s="334">
        <f t="shared" si="442"/>
        <v>73376</v>
      </c>
      <c r="AU197" s="448">
        <f t="shared" si="442"/>
        <v>10.7</v>
      </c>
      <c r="AV197" s="448">
        <f t="shared" si="442"/>
        <v>6.2200000000000006</v>
      </c>
      <c r="AW197" s="463">
        <f t="shared" si="442"/>
        <v>4.4799999999999995</v>
      </c>
      <c r="AY197" s="7"/>
    </row>
    <row r="198" spans="4:51" ht="12.75" customHeight="1" x14ac:dyDescent="0.2">
      <c r="D198" s="12"/>
      <c r="E198" s="12"/>
      <c r="F198" s="12"/>
      <c r="G198" s="12"/>
      <c r="H198" s="12"/>
      <c r="I198" s="28"/>
      <c r="J198" s="28"/>
      <c r="K198" s="28"/>
      <c r="L198" s="28"/>
      <c r="M198" s="28"/>
      <c r="N198" s="7"/>
      <c r="O198" s="7"/>
      <c r="P198" s="7"/>
      <c r="AY198"/>
    </row>
    <row r="199" spans="4:51" x14ac:dyDescent="0.2">
      <c r="AY199"/>
    </row>
    <row r="201" spans="4:51" x14ac:dyDescent="0.2">
      <c r="N201" s="16"/>
      <c r="O201" s="16"/>
      <c r="P201" s="16"/>
    </row>
    <row r="202" spans="4:51" x14ac:dyDescent="0.2">
      <c r="N202" s="16"/>
      <c r="O202" s="16"/>
      <c r="P202" s="16"/>
    </row>
  </sheetData>
  <mergeCells count="24">
    <mergeCell ref="AO6:AW7"/>
    <mergeCell ref="Z7:Z10"/>
    <mergeCell ref="AB7:AB10"/>
    <mergeCell ref="AC7:AE9"/>
    <mergeCell ref="AF7:AF10"/>
    <mergeCell ref="AG7:AN7"/>
    <mergeCell ref="AG8:AH9"/>
    <mergeCell ref="AI8:AI9"/>
    <mergeCell ref="AJ8:AK9"/>
    <mergeCell ref="AL8:AN9"/>
    <mergeCell ref="AO8:AO10"/>
    <mergeCell ref="AP8:AT9"/>
    <mergeCell ref="AU8:AU10"/>
    <mergeCell ref="AV8:AW9"/>
    <mergeCell ref="AA7:AA10"/>
    <mergeCell ref="A3:E3"/>
    <mergeCell ref="I8:I10"/>
    <mergeCell ref="I6:P7"/>
    <mergeCell ref="Q6:AN6"/>
    <mergeCell ref="Q7:U9"/>
    <mergeCell ref="V7:Y9"/>
    <mergeCell ref="J8:M9"/>
    <mergeCell ref="N8:N10"/>
    <mergeCell ref="O8:P9"/>
  </mergeCells>
  <pageMargins left="0.7" right="0.7" top="0.78740157499999996" bottom="0.78740157499999996" header="0.3" footer="0.3"/>
  <pageSetup paperSize="8" scale="34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116"/>
  <sheetViews>
    <sheetView workbookViewId="0">
      <pane xSplit="8" ySplit="11" topLeftCell="AL12" activePane="bottomRight" state="frozen"/>
      <selection activeCell="AU1" sqref="AU1:AW1048576"/>
      <selection pane="topRight" activeCell="AU1" sqref="AU1:AW1048576"/>
      <selection pane="bottomLeft" activeCell="AU1" sqref="AU1:AW1048576"/>
      <selection pane="bottomRight" activeCell="AQ19" sqref="AQ19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97" customWidth="1"/>
    <col min="8" max="8" width="8" customWidth="1"/>
    <col min="9" max="13" width="10.7109375" style="16" customWidth="1"/>
    <col min="14" max="14" width="11.7109375" style="15" customWidth="1"/>
    <col min="15" max="16" width="10.7109375" style="15" customWidth="1"/>
    <col min="17" max="17" width="10.7109375" style="16" customWidth="1"/>
    <col min="18" max="32" width="10.7109375" customWidth="1"/>
    <col min="33" max="40" width="10.7109375" style="15" customWidth="1"/>
    <col min="41" max="46" width="10.7109375" customWidth="1"/>
    <col min="47" max="47" width="11.7109375" style="15" customWidth="1"/>
    <col min="48" max="49" width="10.7109375" style="15" customWidth="1"/>
    <col min="221" max="221" width="7" customWidth="1"/>
    <col min="222" max="222" width="30.140625" customWidth="1"/>
    <col min="223" max="223" width="6.28515625" customWidth="1"/>
    <col min="224" max="224" width="31.42578125" customWidth="1"/>
    <col min="225" max="225" width="10.5703125" customWidth="1"/>
    <col min="226" max="226" width="10.42578125" customWidth="1"/>
    <col min="227" max="227" width="9.5703125" customWidth="1"/>
    <col min="228" max="228" width="8.42578125" customWidth="1"/>
    <col min="229" max="229" width="9" customWidth="1"/>
    <col min="230" max="230" width="10.42578125" customWidth="1"/>
    <col min="233" max="233" width="10.28515625" customWidth="1"/>
    <col min="477" max="477" width="7" customWidth="1"/>
    <col min="478" max="478" width="30.140625" customWidth="1"/>
    <col min="479" max="479" width="6.28515625" customWidth="1"/>
    <col min="480" max="480" width="31.42578125" customWidth="1"/>
    <col min="481" max="481" width="10.5703125" customWidth="1"/>
    <col min="482" max="482" width="10.42578125" customWidth="1"/>
    <col min="483" max="483" width="9.5703125" customWidth="1"/>
    <col min="484" max="484" width="8.42578125" customWidth="1"/>
    <col min="485" max="485" width="9" customWidth="1"/>
    <col min="486" max="486" width="10.42578125" customWidth="1"/>
    <col min="489" max="489" width="10.28515625" customWidth="1"/>
    <col min="733" max="733" width="7" customWidth="1"/>
    <col min="734" max="734" width="30.140625" customWidth="1"/>
    <col min="735" max="735" width="6.28515625" customWidth="1"/>
    <col min="736" max="736" width="31.42578125" customWidth="1"/>
    <col min="737" max="737" width="10.5703125" customWidth="1"/>
    <col min="738" max="738" width="10.42578125" customWidth="1"/>
    <col min="739" max="739" width="9.5703125" customWidth="1"/>
    <col min="740" max="740" width="8.42578125" customWidth="1"/>
    <col min="741" max="741" width="9" customWidth="1"/>
    <col min="742" max="742" width="10.42578125" customWidth="1"/>
    <col min="745" max="745" width="10.28515625" customWidth="1"/>
    <col min="989" max="989" width="7" customWidth="1"/>
    <col min="990" max="990" width="30.140625" customWidth="1"/>
    <col min="991" max="991" width="6.28515625" customWidth="1"/>
    <col min="992" max="992" width="31.42578125" customWidth="1"/>
    <col min="993" max="993" width="10.5703125" customWidth="1"/>
    <col min="994" max="994" width="10.42578125" customWidth="1"/>
    <col min="995" max="995" width="9.5703125" customWidth="1"/>
    <col min="996" max="996" width="8.42578125" customWidth="1"/>
    <col min="997" max="997" width="9" customWidth="1"/>
    <col min="998" max="998" width="10.42578125" customWidth="1"/>
    <col min="1001" max="1001" width="10.28515625" customWidth="1"/>
    <col min="1245" max="1245" width="7" customWidth="1"/>
    <col min="1246" max="1246" width="30.140625" customWidth="1"/>
    <col min="1247" max="1247" width="6.28515625" customWidth="1"/>
    <col min="1248" max="1248" width="31.42578125" customWidth="1"/>
    <col min="1249" max="1249" width="10.5703125" customWidth="1"/>
    <col min="1250" max="1250" width="10.42578125" customWidth="1"/>
    <col min="1251" max="1251" width="9.5703125" customWidth="1"/>
    <col min="1252" max="1252" width="8.42578125" customWidth="1"/>
    <col min="1253" max="1253" width="9" customWidth="1"/>
    <col min="1254" max="1254" width="10.42578125" customWidth="1"/>
    <col min="1257" max="1257" width="10.28515625" customWidth="1"/>
    <col min="1501" max="1501" width="7" customWidth="1"/>
    <col min="1502" max="1502" width="30.140625" customWidth="1"/>
    <col min="1503" max="1503" width="6.28515625" customWidth="1"/>
    <col min="1504" max="1504" width="31.42578125" customWidth="1"/>
    <col min="1505" max="1505" width="10.5703125" customWidth="1"/>
    <col min="1506" max="1506" width="10.42578125" customWidth="1"/>
    <col min="1507" max="1507" width="9.5703125" customWidth="1"/>
    <col min="1508" max="1508" width="8.42578125" customWidth="1"/>
    <col min="1509" max="1509" width="9" customWidth="1"/>
    <col min="1510" max="1510" width="10.42578125" customWidth="1"/>
    <col min="1513" max="1513" width="10.28515625" customWidth="1"/>
    <col min="1757" max="1757" width="7" customWidth="1"/>
    <col min="1758" max="1758" width="30.140625" customWidth="1"/>
    <col min="1759" max="1759" width="6.28515625" customWidth="1"/>
    <col min="1760" max="1760" width="31.42578125" customWidth="1"/>
    <col min="1761" max="1761" width="10.5703125" customWidth="1"/>
    <col min="1762" max="1762" width="10.42578125" customWidth="1"/>
    <col min="1763" max="1763" width="9.5703125" customWidth="1"/>
    <col min="1764" max="1764" width="8.42578125" customWidth="1"/>
    <col min="1765" max="1765" width="9" customWidth="1"/>
    <col min="1766" max="1766" width="10.42578125" customWidth="1"/>
    <col min="1769" max="1769" width="10.28515625" customWidth="1"/>
    <col min="2013" max="2013" width="7" customWidth="1"/>
    <col min="2014" max="2014" width="30.140625" customWidth="1"/>
    <col min="2015" max="2015" width="6.28515625" customWidth="1"/>
    <col min="2016" max="2016" width="31.42578125" customWidth="1"/>
    <col min="2017" max="2017" width="10.5703125" customWidth="1"/>
    <col min="2018" max="2018" width="10.42578125" customWidth="1"/>
    <col min="2019" max="2019" width="9.5703125" customWidth="1"/>
    <col min="2020" max="2020" width="8.42578125" customWidth="1"/>
    <col min="2021" max="2021" width="9" customWidth="1"/>
    <col min="2022" max="2022" width="10.42578125" customWidth="1"/>
    <col min="2025" max="2025" width="10.28515625" customWidth="1"/>
    <col min="2269" max="2269" width="7" customWidth="1"/>
    <col min="2270" max="2270" width="30.140625" customWidth="1"/>
    <col min="2271" max="2271" width="6.28515625" customWidth="1"/>
    <col min="2272" max="2272" width="31.42578125" customWidth="1"/>
    <col min="2273" max="2273" width="10.5703125" customWidth="1"/>
    <col min="2274" max="2274" width="10.42578125" customWidth="1"/>
    <col min="2275" max="2275" width="9.5703125" customWidth="1"/>
    <col min="2276" max="2276" width="8.42578125" customWidth="1"/>
    <col min="2277" max="2277" width="9" customWidth="1"/>
    <col min="2278" max="2278" width="10.42578125" customWidth="1"/>
    <col min="2281" max="2281" width="10.28515625" customWidth="1"/>
    <col min="2525" max="2525" width="7" customWidth="1"/>
    <col min="2526" max="2526" width="30.140625" customWidth="1"/>
    <col min="2527" max="2527" width="6.28515625" customWidth="1"/>
    <col min="2528" max="2528" width="31.42578125" customWidth="1"/>
    <col min="2529" max="2529" width="10.5703125" customWidth="1"/>
    <col min="2530" max="2530" width="10.42578125" customWidth="1"/>
    <col min="2531" max="2531" width="9.5703125" customWidth="1"/>
    <col min="2532" max="2532" width="8.42578125" customWidth="1"/>
    <col min="2533" max="2533" width="9" customWidth="1"/>
    <col min="2534" max="2534" width="10.42578125" customWidth="1"/>
    <col min="2537" max="2537" width="10.28515625" customWidth="1"/>
    <col min="2781" max="2781" width="7" customWidth="1"/>
    <col min="2782" max="2782" width="30.140625" customWidth="1"/>
    <col min="2783" max="2783" width="6.28515625" customWidth="1"/>
    <col min="2784" max="2784" width="31.42578125" customWidth="1"/>
    <col min="2785" max="2785" width="10.5703125" customWidth="1"/>
    <col min="2786" max="2786" width="10.42578125" customWidth="1"/>
    <col min="2787" max="2787" width="9.5703125" customWidth="1"/>
    <col min="2788" max="2788" width="8.42578125" customWidth="1"/>
    <col min="2789" max="2789" width="9" customWidth="1"/>
    <col min="2790" max="2790" width="10.42578125" customWidth="1"/>
    <col min="2793" max="2793" width="10.28515625" customWidth="1"/>
    <col min="3037" max="3037" width="7" customWidth="1"/>
    <col min="3038" max="3038" width="30.140625" customWidth="1"/>
    <col min="3039" max="3039" width="6.28515625" customWidth="1"/>
    <col min="3040" max="3040" width="31.42578125" customWidth="1"/>
    <col min="3041" max="3041" width="10.5703125" customWidth="1"/>
    <col min="3042" max="3042" width="10.42578125" customWidth="1"/>
    <col min="3043" max="3043" width="9.5703125" customWidth="1"/>
    <col min="3044" max="3044" width="8.42578125" customWidth="1"/>
    <col min="3045" max="3045" width="9" customWidth="1"/>
    <col min="3046" max="3046" width="10.42578125" customWidth="1"/>
    <col min="3049" max="3049" width="10.28515625" customWidth="1"/>
    <col min="3293" max="3293" width="7" customWidth="1"/>
    <col min="3294" max="3294" width="30.140625" customWidth="1"/>
    <col min="3295" max="3295" width="6.28515625" customWidth="1"/>
    <col min="3296" max="3296" width="31.42578125" customWidth="1"/>
    <col min="3297" max="3297" width="10.5703125" customWidth="1"/>
    <col min="3298" max="3298" width="10.42578125" customWidth="1"/>
    <col min="3299" max="3299" width="9.5703125" customWidth="1"/>
    <col min="3300" max="3300" width="8.42578125" customWidth="1"/>
    <col min="3301" max="3301" width="9" customWidth="1"/>
    <col min="3302" max="3302" width="10.42578125" customWidth="1"/>
    <col min="3305" max="3305" width="10.28515625" customWidth="1"/>
    <col min="3549" max="3549" width="7" customWidth="1"/>
    <col min="3550" max="3550" width="30.140625" customWidth="1"/>
    <col min="3551" max="3551" width="6.28515625" customWidth="1"/>
    <col min="3552" max="3552" width="31.42578125" customWidth="1"/>
    <col min="3553" max="3553" width="10.5703125" customWidth="1"/>
    <col min="3554" max="3554" width="10.42578125" customWidth="1"/>
    <col min="3555" max="3555" width="9.5703125" customWidth="1"/>
    <col min="3556" max="3556" width="8.42578125" customWidth="1"/>
    <col min="3557" max="3557" width="9" customWidth="1"/>
    <col min="3558" max="3558" width="10.42578125" customWidth="1"/>
    <col min="3561" max="3561" width="10.28515625" customWidth="1"/>
    <col min="3805" max="3805" width="7" customWidth="1"/>
    <col min="3806" max="3806" width="30.140625" customWidth="1"/>
    <col min="3807" max="3807" width="6.28515625" customWidth="1"/>
    <col min="3808" max="3808" width="31.42578125" customWidth="1"/>
    <col min="3809" max="3809" width="10.5703125" customWidth="1"/>
    <col min="3810" max="3810" width="10.42578125" customWidth="1"/>
    <col min="3811" max="3811" width="9.5703125" customWidth="1"/>
    <col min="3812" max="3812" width="8.42578125" customWidth="1"/>
    <col min="3813" max="3813" width="9" customWidth="1"/>
    <col min="3814" max="3814" width="10.42578125" customWidth="1"/>
    <col min="3817" max="3817" width="10.28515625" customWidth="1"/>
    <col min="4061" max="4061" width="7" customWidth="1"/>
    <col min="4062" max="4062" width="30.140625" customWidth="1"/>
    <col min="4063" max="4063" width="6.28515625" customWidth="1"/>
    <col min="4064" max="4064" width="31.42578125" customWidth="1"/>
    <col min="4065" max="4065" width="10.5703125" customWidth="1"/>
    <col min="4066" max="4066" width="10.42578125" customWidth="1"/>
    <col min="4067" max="4067" width="9.5703125" customWidth="1"/>
    <col min="4068" max="4068" width="8.42578125" customWidth="1"/>
    <col min="4069" max="4069" width="9" customWidth="1"/>
    <col min="4070" max="4070" width="10.42578125" customWidth="1"/>
    <col min="4073" max="4073" width="10.28515625" customWidth="1"/>
    <col min="4317" max="4317" width="7" customWidth="1"/>
    <col min="4318" max="4318" width="30.140625" customWidth="1"/>
    <col min="4319" max="4319" width="6.28515625" customWidth="1"/>
    <col min="4320" max="4320" width="31.42578125" customWidth="1"/>
    <col min="4321" max="4321" width="10.5703125" customWidth="1"/>
    <col min="4322" max="4322" width="10.42578125" customWidth="1"/>
    <col min="4323" max="4323" width="9.5703125" customWidth="1"/>
    <col min="4324" max="4324" width="8.42578125" customWidth="1"/>
    <col min="4325" max="4325" width="9" customWidth="1"/>
    <col min="4326" max="4326" width="10.42578125" customWidth="1"/>
    <col min="4329" max="4329" width="10.28515625" customWidth="1"/>
    <col min="4573" max="4573" width="7" customWidth="1"/>
    <col min="4574" max="4574" width="30.140625" customWidth="1"/>
    <col min="4575" max="4575" width="6.28515625" customWidth="1"/>
    <col min="4576" max="4576" width="31.42578125" customWidth="1"/>
    <col min="4577" max="4577" width="10.5703125" customWidth="1"/>
    <col min="4578" max="4578" width="10.42578125" customWidth="1"/>
    <col min="4579" max="4579" width="9.5703125" customWidth="1"/>
    <col min="4580" max="4580" width="8.42578125" customWidth="1"/>
    <col min="4581" max="4581" width="9" customWidth="1"/>
    <col min="4582" max="4582" width="10.42578125" customWidth="1"/>
    <col min="4585" max="4585" width="10.28515625" customWidth="1"/>
    <col min="4829" max="4829" width="7" customWidth="1"/>
    <col min="4830" max="4830" width="30.140625" customWidth="1"/>
    <col min="4831" max="4831" width="6.28515625" customWidth="1"/>
    <col min="4832" max="4832" width="31.42578125" customWidth="1"/>
    <col min="4833" max="4833" width="10.5703125" customWidth="1"/>
    <col min="4834" max="4834" width="10.42578125" customWidth="1"/>
    <col min="4835" max="4835" width="9.5703125" customWidth="1"/>
    <col min="4836" max="4836" width="8.42578125" customWidth="1"/>
    <col min="4837" max="4837" width="9" customWidth="1"/>
    <col min="4838" max="4838" width="10.42578125" customWidth="1"/>
    <col min="4841" max="4841" width="10.28515625" customWidth="1"/>
    <col min="5085" max="5085" width="7" customWidth="1"/>
    <col min="5086" max="5086" width="30.140625" customWidth="1"/>
    <col min="5087" max="5087" width="6.28515625" customWidth="1"/>
    <col min="5088" max="5088" width="31.42578125" customWidth="1"/>
    <col min="5089" max="5089" width="10.5703125" customWidth="1"/>
    <col min="5090" max="5090" width="10.42578125" customWidth="1"/>
    <col min="5091" max="5091" width="9.5703125" customWidth="1"/>
    <col min="5092" max="5092" width="8.42578125" customWidth="1"/>
    <col min="5093" max="5093" width="9" customWidth="1"/>
    <col min="5094" max="5094" width="10.42578125" customWidth="1"/>
    <col min="5097" max="5097" width="10.28515625" customWidth="1"/>
    <col min="5341" max="5341" width="7" customWidth="1"/>
    <col min="5342" max="5342" width="30.140625" customWidth="1"/>
    <col min="5343" max="5343" width="6.28515625" customWidth="1"/>
    <col min="5344" max="5344" width="31.42578125" customWidth="1"/>
    <col min="5345" max="5345" width="10.5703125" customWidth="1"/>
    <col min="5346" max="5346" width="10.42578125" customWidth="1"/>
    <col min="5347" max="5347" width="9.5703125" customWidth="1"/>
    <col min="5348" max="5348" width="8.42578125" customWidth="1"/>
    <col min="5349" max="5349" width="9" customWidth="1"/>
    <col min="5350" max="5350" width="10.42578125" customWidth="1"/>
    <col min="5353" max="5353" width="10.28515625" customWidth="1"/>
    <col min="5597" max="5597" width="7" customWidth="1"/>
    <col min="5598" max="5598" width="30.140625" customWidth="1"/>
    <col min="5599" max="5599" width="6.28515625" customWidth="1"/>
    <col min="5600" max="5600" width="31.42578125" customWidth="1"/>
    <col min="5601" max="5601" width="10.5703125" customWidth="1"/>
    <col min="5602" max="5602" width="10.42578125" customWidth="1"/>
    <col min="5603" max="5603" width="9.5703125" customWidth="1"/>
    <col min="5604" max="5604" width="8.42578125" customWidth="1"/>
    <col min="5605" max="5605" width="9" customWidth="1"/>
    <col min="5606" max="5606" width="10.42578125" customWidth="1"/>
    <col min="5609" max="5609" width="10.28515625" customWidth="1"/>
    <col min="5853" max="5853" width="7" customWidth="1"/>
    <col min="5854" max="5854" width="30.140625" customWidth="1"/>
    <col min="5855" max="5855" width="6.28515625" customWidth="1"/>
    <col min="5856" max="5856" width="31.42578125" customWidth="1"/>
    <col min="5857" max="5857" width="10.5703125" customWidth="1"/>
    <col min="5858" max="5858" width="10.42578125" customWidth="1"/>
    <col min="5859" max="5859" width="9.5703125" customWidth="1"/>
    <col min="5860" max="5860" width="8.42578125" customWidth="1"/>
    <col min="5861" max="5861" width="9" customWidth="1"/>
    <col min="5862" max="5862" width="10.42578125" customWidth="1"/>
    <col min="5865" max="5865" width="10.28515625" customWidth="1"/>
    <col min="6109" max="6109" width="7" customWidth="1"/>
    <col min="6110" max="6110" width="30.140625" customWidth="1"/>
    <col min="6111" max="6111" width="6.28515625" customWidth="1"/>
    <col min="6112" max="6112" width="31.42578125" customWidth="1"/>
    <col min="6113" max="6113" width="10.5703125" customWidth="1"/>
    <col min="6114" max="6114" width="10.42578125" customWidth="1"/>
    <col min="6115" max="6115" width="9.5703125" customWidth="1"/>
    <col min="6116" max="6116" width="8.42578125" customWidth="1"/>
    <col min="6117" max="6117" width="9" customWidth="1"/>
    <col min="6118" max="6118" width="10.42578125" customWidth="1"/>
    <col min="6121" max="6121" width="10.28515625" customWidth="1"/>
    <col min="6365" max="6365" width="7" customWidth="1"/>
    <col min="6366" max="6366" width="30.140625" customWidth="1"/>
    <col min="6367" max="6367" width="6.28515625" customWidth="1"/>
    <col min="6368" max="6368" width="31.42578125" customWidth="1"/>
    <col min="6369" max="6369" width="10.5703125" customWidth="1"/>
    <col min="6370" max="6370" width="10.42578125" customWidth="1"/>
    <col min="6371" max="6371" width="9.5703125" customWidth="1"/>
    <col min="6372" max="6372" width="8.42578125" customWidth="1"/>
    <col min="6373" max="6373" width="9" customWidth="1"/>
    <col min="6374" max="6374" width="10.42578125" customWidth="1"/>
    <col min="6377" max="6377" width="10.28515625" customWidth="1"/>
    <col min="6621" max="6621" width="7" customWidth="1"/>
    <col min="6622" max="6622" width="30.140625" customWidth="1"/>
    <col min="6623" max="6623" width="6.28515625" customWidth="1"/>
    <col min="6624" max="6624" width="31.42578125" customWidth="1"/>
    <col min="6625" max="6625" width="10.5703125" customWidth="1"/>
    <col min="6626" max="6626" width="10.42578125" customWidth="1"/>
    <col min="6627" max="6627" width="9.5703125" customWidth="1"/>
    <col min="6628" max="6628" width="8.42578125" customWidth="1"/>
    <col min="6629" max="6629" width="9" customWidth="1"/>
    <col min="6630" max="6630" width="10.42578125" customWidth="1"/>
    <col min="6633" max="6633" width="10.28515625" customWidth="1"/>
    <col min="6877" max="6877" width="7" customWidth="1"/>
    <col min="6878" max="6878" width="30.140625" customWidth="1"/>
    <col min="6879" max="6879" width="6.28515625" customWidth="1"/>
    <col min="6880" max="6880" width="31.42578125" customWidth="1"/>
    <col min="6881" max="6881" width="10.5703125" customWidth="1"/>
    <col min="6882" max="6882" width="10.42578125" customWidth="1"/>
    <col min="6883" max="6883" width="9.5703125" customWidth="1"/>
    <col min="6884" max="6884" width="8.42578125" customWidth="1"/>
    <col min="6885" max="6885" width="9" customWidth="1"/>
    <col min="6886" max="6886" width="10.42578125" customWidth="1"/>
    <col min="6889" max="6889" width="10.28515625" customWidth="1"/>
    <col min="7133" max="7133" width="7" customWidth="1"/>
    <col min="7134" max="7134" width="30.140625" customWidth="1"/>
    <col min="7135" max="7135" width="6.28515625" customWidth="1"/>
    <col min="7136" max="7136" width="31.42578125" customWidth="1"/>
    <col min="7137" max="7137" width="10.5703125" customWidth="1"/>
    <col min="7138" max="7138" width="10.42578125" customWidth="1"/>
    <col min="7139" max="7139" width="9.5703125" customWidth="1"/>
    <col min="7140" max="7140" width="8.42578125" customWidth="1"/>
    <col min="7141" max="7141" width="9" customWidth="1"/>
    <col min="7142" max="7142" width="10.42578125" customWidth="1"/>
    <col min="7145" max="7145" width="10.28515625" customWidth="1"/>
    <col min="7389" max="7389" width="7" customWidth="1"/>
    <col min="7390" max="7390" width="30.140625" customWidth="1"/>
    <col min="7391" max="7391" width="6.28515625" customWidth="1"/>
    <col min="7392" max="7392" width="31.42578125" customWidth="1"/>
    <col min="7393" max="7393" width="10.5703125" customWidth="1"/>
    <col min="7394" max="7394" width="10.42578125" customWidth="1"/>
    <col min="7395" max="7395" width="9.5703125" customWidth="1"/>
    <col min="7396" max="7396" width="8.42578125" customWidth="1"/>
    <col min="7397" max="7397" width="9" customWidth="1"/>
    <col min="7398" max="7398" width="10.42578125" customWidth="1"/>
    <col min="7401" max="7401" width="10.28515625" customWidth="1"/>
    <col min="7645" max="7645" width="7" customWidth="1"/>
    <col min="7646" max="7646" width="30.140625" customWidth="1"/>
    <col min="7647" max="7647" width="6.28515625" customWidth="1"/>
    <col min="7648" max="7648" width="31.42578125" customWidth="1"/>
    <col min="7649" max="7649" width="10.5703125" customWidth="1"/>
    <col min="7650" max="7650" width="10.42578125" customWidth="1"/>
    <col min="7651" max="7651" width="9.5703125" customWidth="1"/>
    <col min="7652" max="7652" width="8.42578125" customWidth="1"/>
    <col min="7653" max="7653" width="9" customWidth="1"/>
    <col min="7654" max="7654" width="10.42578125" customWidth="1"/>
    <col min="7657" max="7657" width="10.28515625" customWidth="1"/>
    <col min="7901" max="7901" width="7" customWidth="1"/>
    <col min="7902" max="7902" width="30.140625" customWidth="1"/>
    <col min="7903" max="7903" width="6.28515625" customWidth="1"/>
    <col min="7904" max="7904" width="31.42578125" customWidth="1"/>
    <col min="7905" max="7905" width="10.5703125" customWidth="1"/>
    <col min="7906" max="7906" width="10.42578125" customWidth="1"/>
    <col min="7907" max="7907" width="9.5703125" customWidth="1"/>
    <col min="7908" max="7908" width="8.42578125" customWidth="1"/>
    <col min="7909" max="7909" width="9" customWidth="1"/>
    <col min="7910" max="7910" width="10.42578125" customWidth="1"/>
    <col min="7913" max="7913" width="10.28515625" customWidth="1"/>
    <col min="8157" max="8157" width="7" customWidth="1"/>
    <col min="8158" max="8158" width="30.140625" customWidth="1"/>
    <col min="8159" max="8159" width="6.28515625" customWidth="1"/>
    <col min="8160" max="8160" width="31.42578125" customWidth="1"/>
    <col min="8161" max="8161" width="10.5703125" customWidth="1"/>
    <col min="8162" max="8162" width="10.42578125" customWidth="1"/>
    <col min="8163" max="8163" width="9.5703125" customWidth="1"/>
    <col min="8164" max="8164" width="8.42578125" customWidth="1"/>
    <col min="8165" max="8165" width="9" customWidth="1"/>
    <col min="8166" max="8166" width="10.42578125" customWidth="1"/>
    <col min="8169" max="8169" width="10.28515625" customWidth="1"/>
    <col min="8413" max="8413" width="7" customWidth="1"/>
    <col min="8414" max="8414" width="30.140625" customWidth="1"/>
    <col min="8415" max="8415" width="6.28515625" customWidth="1"/>
    <col min="8416" max="8416" width="31.42578125" customWidth="1"/>
    <col min="8417" max="8417" width="10.5703125" customWidth="1"/>
    <col min="8418" max="8418" width="10.42578125" customWidth="1"/>
    <col min="8419" max="8419" width="9.5703125" customWidth="1"/>
    <col min="8420" max="8420" width="8.42578125" customWidth="1"/>
    <col min="8421" max="8421" width="9" customWidth="1"/>
    <col min="8422" max="8422" width="10.42578125" customWidth="1"/>
    <col min="8425" max="8425" width="10.28515625" customWidth="1"/>
    <col min="8669" max="8669" width="7" customWidth="1"/>
    <col min="8670" max="8670" width="30.140625" customWidth="1"/>
    <col min="8671" max="8671" width="6.28515625" customWidth="1"/>
    <col min="8672" max="8672" width="31.42578125" customWidth="1"/>
    <col min="8673" max="8673" width="10.5703125" customWidth="1"/>
    <col min="8674" max="8674" width="10.42578125" customWidth="1"/>
    <col min="8675" max="8675" width="9.5703125" customWidth="1"/>
    <col min="8676" max="8676" width="8.42578125" customWidth="1"/>
    <col min="8677" max="8677" width="9" customWidth="1"/>
    <col min="8678" max="8678" width="10.42578125" customWidth="1"/>
    <col min="8681" max="8681" width="10.28515625" customWidth="1"/>
    <col min="8925" max="8925" width="7" customWidth="1"/>
    <col min="8926" max="8926" width="30.140625" customWidth="1"/>
    <col min="8927" max="8927" width="6.28515625" customWidth="1"/>
    <col min="8928" max="8928" width="31.42578125" customWidth="1"/>
    <col min="8929" max="8929" width="10.5703125" customWidth="1"/>
    <col min="8930" max="8930" width="10.42578125" customWidth="1"/>
    <col min="8931" max="8931" width="9.5703125" customWidth="1"/>
    <col min="8932" max="8932" width="8.42578125" customWidth="1"/>
    <col min="8933" max="8933" width="9" customWidth="1"/>
    <col min="8934" max="8934" width="10.42578125" customWidth="1"/>
    <col min="8937" max="8937" width="10.28515625" customWidth="1"/>
    <col min="9181" max="9181" width="7" customWidth="1"/>
    <col min="9182" max="9182" width="30.140625" customWidth="1"/>
    <col min="9183" max="9183" width="6.28515625" customWidth="1"/>
    <col min="9184" max="9184" width="31.42578125" customWidth="1"/>
    <col min="9185" max="9185" width="10.5703125" customWidth="1"/>
    <col min="9186" max="9186" width="10.42578125" customWidth="1"/>
    <col min="9187" max="9187" width="9.5703125" customWidth="1"/>
    <col min="9188" max="9188" width="8.42578125" customWidth="1"/>
    <col min="9189" max="9189" width="9" customWidth="1"/>
    <col min="9190" max="9190" width="10.42578125" customWidth="1"/>
    <col min="9193" max="9193" width="10.28515625" customWidth="1"/>
    <col min="9437" max="9437" width="7" customWidth="1"/>
    <col min="9438" max="9438" width="30.140625" customWidth="1"/>
    <col min="9439" max="9439" width="6.28515625" customWidth="1"/>
    <col min="9440" max="9440" width="31.42578125" customWidth="1"/>
    <col min="9441" max="9441" width="10.5703125" customWidth="1"/>
    <col min="9442" max="9442" width="10.42578125" customWidth="1"/>
    <col min="9443" max="9443" width="9.5703125" customWidth="1"/>
    <col min="9444" max="9444" width="8.42578125" customWidth="1"/>
    <col min="9445" max="9445" width="9" customWidth="1"/>
    <col min="9446" max="9446" width="10.42578125" customWidth="1"/>
    <col min="9449" max="9449" width="10.28515625" customWidth="1"/>
    <col min="9693" max="9693" width="7" customWidth="1"/>
    <col min="9694" max="9694" width="30.140625" customWidth="1"/>
    <col min="9695" max="9695" width="6.28515625" customWidth="1"/>
    <col min="9696" max="9696" width="31.42578125" customWidth="1"/>
    <col min="9697" max="9697" width="10.5703125" customWidth="1"/>
    <col min="9698" max="9698" width="10.42578125" customWidth="1"/>
    <col min="9699" max="9699" width="9.5703125" customWidth="1"/>
    <col min="9700" max="9700" width="8.42578125" customWidth="1"/>
    <col min="9701" max="9701" width="9" customWidth="1"/>
    <col min="9702" max="9702" width="10.42578125" customWidth="1"/>
    <col min="9705" max="9705" width="10.28515625" customWidth="1"/>
    <col min="9949" max="9949" width="7" customWidth="1"/>
    <col min="9950" max="9950" width="30.140625" customWidth="1"/>
    <col min="9951" max="9951" width="6.28515625" customWidth="1"/>
    <col min="9952" max="9952" width="31.42578125" customWidth="1"/>
    <col min="9953" max="9953" width="10.5703125" customWidth="1"/>
    <col min="9954" max="9954" width="10.42578125" customWidth="1"/>
    <col min="9955" max="9955" width="9.5703125" customWidth="1"/>
    <col min="9956" max="9956" width="8.42578125" customWidth="1"/>
    <col min="9957" max="9957" width="9" customWidth="1"/>
    <col min="9958" max="9958" width="10.42578125" customWidth="1"/>
    <col min="9961" max="9961" width="10.28515625" customWidth="1"/>
    <col min="10205" max="10205" width="7" customWidth="1"/>
    <col min="10206" max="10206" width="30.140625" customWidth="1"/>
    <col min="10207" max="10207" width="6.28515625" customWidth="1"/>
    <col min="10208" max="10208" width="31.42578125" customWidth="1"/>
    <col min="10209" max="10209" width="10.5703125" customWidth="1"/>
    <col min="10210" max="10210" width="10.42578125" customWidth="1"/>
    <col min="10211" max="10211" width="9.5703125" customWidth="1"/>
    <col min="10212" max="10212" width="8.42578125" customWidth="1"/>
    <col min="10213" max="10213" width="9" customWidth="1"/>
    <col min="10214" max="10214" width="10.42578125" customWidth="1"/>
    <col min="10217" max="10217" width="10.28515625" customWidth="1"/>
    <col min="10461" max="10461" width="7" customWidth="1"/>
    <col min="10462" max="10462" width="30.140625" customWidth="1"/>
    <col min="10463" max="10463" width="6.28515625" customWidth="1"/>
    <col min="10464" max="10464" width="31.42578125" customWidth="1"/>
    <col min="10465" max="10465" width="10.5703125" customWidth="1"/>
    <col min="10466" max="10466" width="10.42578125" customWidth="1"/>
    <col min="10467" max="10467" width="9.5703125" customWidth="1"/>
    <col min="10468" max="10468" width="8.42578125" customWidth="1"/>
    <col min="10469" max="10469" width="9" customWidth="1"/>
    <col min="10470" max="10470" width="10.42578125" customWidth="1"/>
    <col min="10473" max="10473" width="10.28515625" customWidth="1"/>
    <col min="10717" max="10717" width="7" customWidth="1"/>
    <col min="10718" max="10718" width="30.140625" customWidth="1"/>
    <col min="10719" max="10719" width="6.28515625" customWidth="1"/>
    <col min="10720" max="10720" width="31.42578125" customWidth="1"/>
    <col min="10721" max="10721" width="10.5703125" customWidth="1"/>
    <col min="10722" max="10722" width="10.42578125" customWidth="1"/>
    <col min="10723" max="10723" width="9.5703125" customWidth="1"/>
    <col min="10724" max="10724" width="8.42578125" customWidth="1"/>
    <col min="10725" max="10725" width="9" customWidth="1"/>
    <col min="10726" max="10726" width="10.42578125" customWidth="1"/>
    <col min="10729" max="10729" width="10.28515625" customWidth="1"/>
    <col min="10973" max="10973" width="7" customWidth="1"/>
    <col min="10974" max="10974" width="30.140625" customWidth="1"/>
    <col min="10975" max="10975" width="6.28515625" customWidth="1"/>
    <col min="10976" max="10976" width="31.42578125" customWidth="1"/>
    <col min="10977" max="10977" width="10.5703125" customWidth="1"/>
    <col min="10978" max="10978" width="10.42578125" customWidth="1"/>
    <col min="10979" max="10979" width="9.5703125" customWidth="1"/>
    <col min="10980" max="10980" width="8.42578125" customWidth="1"/>
    <col min="10981" max="10981" width="9" customWidth="1"/>
    <col min="10982" max="10982" width="10.42578125" customWidth="1"/>
    <col min="10985" max="10985" width="10.28515625" customWidth="1"/>
    <col min="11229" max="11229" width="7" customWidth="1"/>
    <col min="11230" max="11230" width="30.140625" customWidth="1"/>
    <col min="11231" max="11231" width="6.28515625" customWidth="1"/>
    <col min="11232" max="11232" width="31.42578125" customWidth="1"/>
    <col min="11233" max="11233" width="10.5703125" customWidth="1"/>
    <col min="11234" max="11234" width="10.42578125" customWidth="1"/>
    <col min="11235" max="11235" width="9.5703125" customWidth="1"/>
    <col min="11236" max="11236" width="8.42578125" customWidth="1"/>
    <col min="11237" max="11237" width="9" customWidth="1"/>
    <col min="11238" max="11238" width="10.42578125" customWidth="1"/>
    <col min="11241" max="11241" width="10.28515625" customWidth="1"/>
    <col min="11485" max="11485" width="7" customWidth="1"/>
    <col min="11486" max="11486" width="30.140625" customWidth="1"/>
    <col min="11487" max="11487" width="6.28515625" customWidth="1"/>
    <col min="11488" max="11488" width="31.42578125" customWidth="1"/>
    <col min="11489" max="11489" width="10.5703125" customWidth="1"/>
    <col min="11490" max="11490" width="10.42578125" customWidth="1"/>
    <col min="11491" max="11491" width="9.5703125" customWidth="1"/>
    <col min="11492" max="11492" width="8.42578125" customWidth="1"/>
    <col min="11493" max="11493" width="9" customWidth="1"/>
    <col min="11494" max="11494" width="10.42578125" customWidth="1"/>
    <col min="11497" max="11497" width="10.28515625" customWidth="1"/>
    <col min="11741" max="11741" width="7" customWidth="1"/>
    <col min="11742" max="11742" width="30.140625" customWidth="1"/>
    <col min="11743" max="11743" width="6.28515625" customWidth="1"/>
    <col min="11744" max="11744" width="31.42578125" customWidth="1"/>
    <col min="11745" max="11745" width="10.5703125" customWidth="1"/>
    <col min="11746" max="11746" width="10.42578125" customWidth="1"/>
    <col min="11747" max="11747" width="9.5703125" customWidth="1"/>
    <col min="11748" max="11748" width="8.42578125" customWidth="1"/>
    <col min="11749" max="11749" width="9" customWidth="1"/>
    <col min="11750" max="11750" width="10.42578125" customWidth="1"/>
    <col min="11753" max="11753" width="10.28515625" customWidth="1"/>
    <col min="11997" max="11997" width="7" customWidth="1"/>
    <col min="11998" max="11998" width="30.140625" customWidth="1"/>
    <col min="11999" max="11999" width="6.28515625" customWidth="1"/>
    <col min="12000" max="12000" width="31.42578125" customWidth="1"/>
    <col min="12001" max="12001" width="10.5703125" customWidth="1"/>
    <col min="12002" max="12002" width="10.42578125" customWidth="1"/>
    <col min="12003" max="12003" width="9.5703125" customWidth="1"/>
    <col min="12004" max="12004" width="8.42578125" customWidth="1"/>
    <col min="12005" max="12005" width="9" customWidth="1"/>
    <col min="12006" max="12006" width="10.42578125" customWidth="1"/>
    <col min="12009" max="12009" width="10.28515625" customWidth="1"/>
    <col min="12253" max="12253" width="7" customWidth="1"/>
    <col min="12254" max="12254" width="30.140625" customWidth="1"/>
    <col min="12255" max="12255" width="6.28515625" customWidth="1"/>
    <col min="12256" max="12256" width="31.42578125" customWidth="1"/>
    <col min="12257" max="12257" width="10.5703125" customWidth="1"/>
    <col min="12258" max="12258" width="10.42578125" customWidth="1"/>
    <col min="12259" max="12259" width="9.5703125" customWidth="1"/>
    <col min="12260" max="12260" width="8.42578125" customWidth="1"/>
    <col min="12261" max="12261" width="9" customWidth="1"/>
    <col min="12262" max="12262" width="10.42578125" customWidth="1"/>
    <col min="12265" max="12265" width="10.28515625" customWidth="1"/>
    <col min="12509" max="12509" width="7" customWidth="1"/>
    <col min="12510" max="12510" width="30.140625" customWidth="1"/>
    <col min="12511" max="12511" width="6.28515625" customWidth="1"/>
    <col min="12512" max="12512" width="31.42578125" customWidth="1"/>
    <col min="12513" max="12513" width="10.5703125" customWidth="1"/>
    <col min="12514" max="12514" width="10.42578125" customWidth="1"/>
    <col min="12515" max="12515" width="9.5703125" customWidth="1"/>
    <col min="12516" max="12516" width="8.42578125" customWidth="1"/>
    <col min="12517" max="12517" width="9" customWidth="1"/>
    <col min="12518" max="12518" width="10.42578125" customWidth="1"/>
    <col min="12521" max="12521" width="10.28515625" customWidth="1"/>
    <col min="12765" max="12765" width="7" customWidth="1"/>
    <col min="12766" max="12766" width="30.140625" customWidth="1"/>
    <col min="12767" max="12767" width="6.28515625" customWidth="1"/>
    <col min="12768" max="12768" width="31.42578125" customWidth="1"/>
    <col min="12769" max="12769" width="10.5703125" customWidth="1"/>
    <col min="12770" max="12770" width="10.42578125" customWidth="1"/>
    <col min="12771" max="12771" width="9.5703125" customWidth="1"/>
    <col min="12772" max="12772" width="8.42578125" customWidth="1"/>
    <col min="12773" max="12773" width="9" customWidth="1"/>
    <col min="12774" max="12774" width="10.42578125" customWidth="1"/>
    <col min="12777" max="12777" width="10.28515625" customWidth="1"/>
    <col min="13021" max="13021" width="7" customWidth="1"/>
    <col min="13022" max="13022" width="30.140625" customWidth="1"/>
    <col min="13023" max="13023" width="6.28515625" customWidth="1"/>
    <col min="13024" max="13024" width="31.42578125" customWidth="1"/>
    <col min="13025" max="13025" width="10.5703125" customWidth="1"/>
    <col min="13026" max="13026" width="10.42578125" customWidth="1"/>
    <col min="13027" max="13027" width="9.5703125" customWidth="1"/>
    <col min="13028" max="13028" width="8.42578125" customWidth="1"/>
    <col min="13029" max="13029" width="9" customWidth="1"/>
    <col min="13030" max="13030" width="10.42578125" customWidth="1"/>
    <col min="13033" max="13033" width="10.28515625" customWidth="1"/>
    <col min="13277" max="13277" width="7" customWidth="1"/>
    <col min="13278" max="13278" width="30.140625" customWidth="1"/>
    <col min="13279" max="13279" width="6.28515625" customWidth="1"/>
    <col min="13280" max="13280" width="31.42578125" customWidth="1"/>
    <col min="13281" max="13281" width="10.5703125" customWidth="1"/>
    <col min="13282" max="13282" width="10.42578125" customWidth="1"/>
    <col min="13283" max="13283" width="9.5703125" customWidth="1"/>
    <col min="13284" max="13284" width="8.42578125" customWidth="1"/>
    <col min="13285" max="13285" width="9" customWidth="1"/>
    <col min="13286" max="13286" width="10.42578125" customWidth="1"/>
    <col min="13289" max="13289" width="10.28515625" customWidth="1"/>
    <col min="13533" max="13533" width="7" customWidth="1"/>
    <col min="13534" max="13534" width="30.140625" customWidth="1"/>
    <col min="13535" max="13535" width="6.28515625" customWidth="1"/>
    <col min="13536" max="13536" width="31.42578125" customWidth="1"/>
    <col min="13537" max="13537" width="10.5703125" customWidth="1"/>
    <col min="13538" max="13538" width="10.42578125" customWidth="1"/>
    <col min="13539" max="13539" width="9.5703125" customWidth="1"/>
    <col min="13540" max="13540" width="8.42578125" customWidth="1"/>
    <col min="13541" max="13541" width="9" customWidth="1"/>
    <col min="13542" max="13542" width="10.42578125" customWidth="1"/>
    <col min="13545" max="13545" width="10.28515625" customWidth="1"/>
    <col min="13789" max="13789" width="7" customWidth="1"/>
    <col min="13790" max="13790" width="30.140625" customWidth="1"/>
    <col min="13791" max="13791" width="6.28515625" customWidth="1"/>
    <col min="13792" max="13792" width="31.42578125" customWidth="1"/>
    <col min="13793" max="13793" width="10.5703125" customWidth="1"/>
    <col min="13794" max="13794" width="10.42578125" customWidth="1"/>
    <col min="13795" max="13795" width="9.5703125" customWidth="1"/>
    <col min="13796" max="13796" width="8.42578125" customWidth="1"/>
    <col min="13797" max="13797" width="9" customWidth="1"/>
    <col min="13798" max="13798" width="10.42578125" customWidth="1"/>
    <col min="13801" max="13801" width="10.28515625" customWidth="1"/>
    <col min="14045" max="14045" width="7" customWidth="1"/>
    <col min="14046" max="14046" width="30.140625" customWidth="1"/>
    <col min="14047" max="14047" width="6.28515625" customWidth="1"/>
    <col min="14048" max="14048" width="31.42578125" customWidth="1"/>
    <col min="14049" max="14049" width="10.5703125" customWidth="1"/>
    <col min="14050" max="14050" width="10.42578125" customWidth="1"/>
    <col min="14051" max="14051" width="9.5703125" customWidth="1"/>
    <col min="14052" max="14052" width="8.42578125" customWidth="1"/>
    <col min="14053" max="14053" width="9" customWidth="1"/>
    <col min="14054" max="14054" width="10.42578125" customWidth="1"/>
    <col min="14057" max="14057" width="10.28515625" customWidth="1"/>
    <col min="14301" max="14301" width="7" customWidth="1"/>
    <col min="14302" max="14302" width="30.140625" customWidth="1"/>
    <col min="14303" max="14303" width="6.28515625" customWidth="1"/>
    <col min="14304" max="14304" width="31.42578125" customWidth="1"/>
    <col min="14305" max="14305" width="10.5703125" customWidth="1"/>
    <col min="14306" max="14306" width="10.42578125" customWidth="1"/>
    <col min="14307" max="14307" width="9.5703125" customWidth="1"/>
    <col min="14308" max="14308" width="8.42578125" customWidth="1"/>
    <col min="14309" max="14309" width="9" customWidth="1"/>
    <col min="14310" max="14310" width="10.42578125" customWidth="1"/>
    <col min="14313" max="14313" width="10.28515625" customWidth="1"/>
    <col min="14557" max="14557" width="7" customWidth="1"/>
    <col min="14558" max="14558" width="30.140625" customWidth="1"/>
    <col min="14559" max="14559" width="6.28515625" customWidth="1"/>
    <col min="14560" max="14560" width="31.42578125" customWidth="1"/>
    <col min="14561" max="14561" width="10.5703125" customWidth="1"/>
    <col min="14562" max="14562" width="10.42578125" customWidth="1"/>
    <col min="14563" max="14563" width="9.5703125" customWidth="1"/>
    <col min="14564" max="14564" width="8.42578125" customWidth="1"/>
    <col min="14565" max="14565" width="9" customWidth="1"/>
    <col min="14566" max="14566" width="10.42578125" customWidth="1"/>
    <col min="14569" max="14569" width="10.28515625" customWidth="1"/>
    <col min="14813" max="14813" width="7" customWidth="1"/>
    <col min="14814" max="14814" width="30.140625" customWidth="1"/>
    <col min="14815" max="14815" width="6.28515625" customWidth="1"/>
    <col min="14816" max="14816" width="31.42578125" customWidth="1"/>
    <col min="14817" max="14817" width="10.5703125" customWidth="1"/>
    <col min="14818" max="14818" width="10.42578125" customWidth="1"/>
    <col min="14819" max="14819" width="9.5703125" customWidth="1"/>
    <col min="14820" max="14820" width="8.42578125" customWidth="1"/>
    <col min="14821" max="14821" width="9" customWidth="1"/>
    <col min="14822" max="14822" width="10.42578125" customWidth="1"/>
    <col min="14825" max="14825" width="10.28515625" customWidth="1"/>
    <col min="15069" max="15069" width="7" customWidth="1"/>
    <col min="15070" max="15070" width="30.140625" customWidth="1"/>
    <col min="15071" max="15071" width="6.28515625" customWidth="1"/>
    <col min="15072" max="15072" width="31.42578125" customWidth="1"/>
    <col min="15073" max="15073" width="10.5703125" customWidth="1"/>
    <col min="15074" max="15074" width="10.42578125" customWidth="1"/>
    <col min="15075" max="15075" width="9.5703125" customWidth="1"/>
    <col min="15076" max="15076" width="8.42578125" customWidth="1"/>
    <col min="15077" max="15077" width="9" customWidth="1"/>
    <col min="15078" max="15078" width="10.42578125" customWidth="1"/>
    <col min="15081" max="15081" width="10.28515625" customWidth="1"/>
    <col min="15325" max="15325" width="7" customWidth="1"/>
    <col min="15326" max="15326" width="30.140625" customWidth="1"/>
    <col min="15327" max="15327" width="6.28515625" customWidth="1"/>
    <col min="15328" max="15328" width="31.42578125" customWidth="1"/>
    <col min="15329" max="15329" width="10.5703125" customWidth="1"/>
    <col min="15330" max="15330" width="10.42578125" customWidth="1"/>
    <col min="15331" max="15331" width="9.5703125" customWidth="1"/>
    <col min="15332" max="15332" width="8.42578125" customWidth="1"/>
    <col min="15333" max="15333" width="9" customWidth="1"/>
    <col min="15334" max="15334" width="10.42578125" customWidth="1"/>
    <col min="15337" max="15337" width="10.28515625" customWidth="1"/>
    <col min="15581" max="15581" width="7" customWidth="1"/>
    <col min="15582" max="15582" width="30.140625" customWidth="1"/>
    <col min="15583" max="15583" width="6.28515625" customWidth="1"/>
    <col min="15584" max="15584" width="31.42578125" customWidth="1"/>
    <col min="15585" max="15585" width="10.5703125" customWidth="1"/>
    <col min="15586" max="15586" width="10.42578125" customWidth="1"/>
    <col min="15587" max="15587" width="9.5703125" customWidth="1"/>
    <col min="15588" max="15588" width="8.42578125" customWidth="1"/>
    <col min="15589" max="15589" width="9" customWidth="1"/>
    <col min="15590" max="15590" width="10.42578125" customWidth="1"/>
    <col min="15593" max="15593" width="10.28515625" customWidth="1"/>
    <col min="15837" max="15837" width="7" customWidth="1"/>
    <col min="15838" max="15838" width="30.140625" customWidth="1"/>
    <col min="15839" max="15839" width="6.28515625" customWidth="1"/>
    <col min="15840" max="15840" width="31.42578125" customWidth="1"/>
    <col min="15841" max="15841" width="10.5703125" customWidth="1"/>
    <col min="15842" max="15842" width="10.42578125" customWidth="1"/>
    <col min="15843" max="15843" width="9.5703125" customWidth="1"/>
    <col min="15844" max="15844" width="8.42578125" customWidth="1"/>
    <col min="15845" max="15845" width="9" customWidth="1"/>
    <col min="15846" max="15846" width="10.42578125" customWidth="1"/>
    <col min="15849" max="15849" width="10.28515625" customWidth="1"/>
    <col min="16093" max="16093" width="7" customWidth="1"/>
    <col min="16094" max="16094" width="30.140625" customWidth="1"/>
    <col min="16095" max="16095" width="6.28515625" customWidth="1"/>
    <col min="16096" max="16096" width="31.42578125" customWidth="1"/>
    <col min="16097" max="16097" width="10.5703125" customWidth="1"/>
    <col min="16098" max="16098" width="10.42578125" customWidth="1"/>
    <col min="16099" max="16099" width="9.5703125" customWidth="1"/>
    <col min="16100" max="16100" width="8.42578125" customWidth="1"/>
    <col min="16101" max="16101" width="9" customWidth="1"/>
    <col min="16102" max="16102" width="10.42578125" customWidth="1"/>
    <col min="16105" max="16105" width="10.28515625" customWidth="1"/>
  </cols>
  <sheetData>
    <row r="1" spans="1:49" ht="15" x14ac:dyDescent="0.25">
      <c r="A1" s="708" t="s">
        <v>2</v>
      </c>
      <c r="B1" s="708"/>
      <c r="C1" s="97"/>
      <c r="D1" s="708"/>
      <c r="E1" s="708"/>
      <c r="F1" s="179"/>
      <c r="G1" s="179"/>
      <c r="H1" s="179"/>
      <c r="I1" s="709"/>
      <c r="J1" s="181"/>
      <c r="K1" s="181"/>
      <c r="L1" s="181"/>
      <c r="M1" s="181"/>
      <c r="N1" s="710"/>
      <c r="O1" s="182"/>
      <c r="P1" s="182"/>
      <c r="Q1" s="182"/>
      <c r="R1" s="112"/>
      <c r="S1" s="112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2"/>
      <c r="AH1" s="542"/>
      <c r="AI1" s="542"/>
      <c r="AJ1" s="113"/>
      <c r="AK1" s="113"/>
      <c r="AL1" s="113"/>
      <c r="AM1" s="113"/>
      <c r="AN1" s="113"/>
      <c r="AO1" s="112"/>
      <c r="AP1" s="112"/>
      <c r="AQ1" s="112"/>
      <c r="AR1" s="112"/>
      <c r="AS1" s="112"/>
      <c r="AT1" s="113"/>
      <c r="AU1" s="113"/>
      <c r="AV1" s="113"/>
      <c r="AW1" s="113"/>
    </row>
    <row r="2" spans="1:49" ht="15" x14ac:dyDescent="0.25">
      <c r="A2" s="708" t="s">
        <v>3</v>
      </c>
      <c r="B2" s="708"/>
      <c r="C2" s="97"/>
      <c r="D2" s="708"/>
      <c r="E2" s="708"/>
      <c r="F2" s="179"/>
      <c r="G2" s="179"/>
      <c r="H2" s="179"/>
      <c r="I2" s="543"/>
      <c r="J2" s="543"/>
      <c r="K2" s="543"/>
      <c r="L2" s="543"/>
      <c r="M2" s="543"/>
      <c r="N2" s="544"/>
      <c r="O2" s="544"/>
      <c r="P2" s="544"/>
      <c r="Q2" s="543"/>
      <c r="R2" s="543"/>
      <c r="S2" s="543"/>
      <c r="T2" s="543"/>
      <c r="U2" s="543"/>
      <c r="V2" s="543"/>
      <c r="W2" s="543"/>
      <c r="X2" s="543"/>
      <c r="Y2" s="543"/>
      <c r="Z2" s="543"/>
      <c r="AA2" s="543"/>
      <c r="AB2" s="543"/>
      <c r="AC2" s="543"/>
      <c r="AD2" s="543"/>
      <c r="AE2" s="543"/>
      <c r="AF2" s="544"/>
      <c r="AG2" s="544"/>
      <c r="AH2" s="544"/>
      <c r="AI2" s="544"/>
      <c r="AJ2" s="544"/>
      <c r="AK2" s="544"/>
      <c r="AL2" s="544"/>
      <c r="AM2" s="544"/>
      <c r="AN2" s="544"/>
      <c r="AO2" s="543"/>
      <c r="AP2" s="543"/>
      <c r="AQ2" s="543"/>
      <c r="AR2" s="543"/>
      <c r="AS2" s="543"/>
      <c r="AT2" s="544"/>
      <c r="AU2" s="544"/>
      <c r="AV2" s="544"/>
      <c r="AW2" s="113"/>
    </row>
    <row r="3" spans="1:49" ht="12.75" customHeight="1" x14ac:dyDescent="0.25">
      <c r="A3" s="1164" t="s">
        <v>4</v>
      </c>
      <c r="B3" s="1164"/>
      <c r="C3" s="1164"/>
      <c r="D3" s="1164"/>
      <c r="E3" s="1164"/>
      <c r="F3" s="179"/>
      <c r="G3" s="179"/>
      <c r="H3" s="179"/>
      <c r="I3" s="543"/>
      <c r="J3" s="543"/>
      <c r="K3" s="543"/>
      <c r="L3" s="543"/>
      <c r="M3" s="543"/>
      <c r="N3" s="544"/>
      <c r="O3" s="544"/>
      <c r="P3" s="544"/>
      <c r="Q3" s="545"/>
      <c r="R3" s="545"/>
      <c r="S3" s="545"/>
      <c r="T3" s="545"/>
      <c r="U3" s="545"/>
      <c r="V3" s="545"/>
      <c r="W3" s="545"/>
      <c r="X3" s="545"/>
      <c r="Y3" s="546"/>
      <c r="Z3" s="546"/>
      <c r="AA3" s="546"/>
      <c r="AB3" s="547"/>
      <c r="AC3" s="547"/>
      <c r="AD3" s="547"/>
      <c r="AE3" s="546"/>
      <c r="AF3" s="548"/>
      <c r="AG3" s="548"/>
      <c r="AH3" s="548"/>
      <c r="AI3" s="548"/>
      <c r="AJ3" s="548"/>
      <c r="AK3" s="548"/>
      <c r="AL3" s="548"/>
      <c r="AM3" s="548"/>
      <c r="AN3" s="544"/>
      <c r="AO3" s="543"/>
      <c r="AP3" s="543"/>
      <c r="AQ3" s="543"/>
      <c r="AR3" s="543"/>
      <c r="AS3" s="543"/>
      <c r="AT3" s="544"/>
      <c r="AU3" s="544"/>
      <c r="AV3" s="544"/>
      <c r="AW3" s="113"/>
    </row>
    <row r="4" spans="1:49" ht="12.75" customHeight="1" x14ac:dyDescent="0.25">
      <c r="A4" s="183"/>
      <c r="B4" s="708"/>
      <c r="C4" s="708"/>
      <c r="D4" s="708"/>
      <c r="E4" s="708"/>
      <c r="F4" s="179"/>
      <c r="G4" s="179"/>
      <c r="H4" s="179"/>
      <c r="I4" s="543"/>
      <c r="J4" s="543"/>
      <c r="K4" s="543"/>
      <c r="L4" s="543"/>
      <c r="M4" s="543"/>
      <c r="N4" s="544"/>
      <c r="O4" s="544"/>
      <c r="P4" s="544"/>
      <c r="Q4" s="545"/>
      <c r="R4" s="545"/>
      <c r="S4" s="545"/>
      <c r="T4" s="545"/>
      <c r="U4" s="545"/>
      <c r="V4" s="545"/>
      <c r="W4" s="545"/>
      <c r="X4" s="545"/>
      <c r="Y4" s="546"/>
      <c r="Z4" s="546"/>
      <c r="AA4" s="546"/>
      <c r="AB4" s="547"/>
      <c r="AC4" s="547"/>
      <c r="AD4" s="547"/>
      <c r="AE4" s="546"/>
      <c r="AF4" s="548"/>
      <c r="AG4" s="548"/>
      <c r="AH4" s="548"/>
      <c r="AI4" s="548"/>
      <c r="AJ4" s="548"/>
      <c r="AK4" s="548"/>
      <c r="AL4" s="548"/>
      <c r="AM4" s="548"/>
      <c r="AN4" s="544"/>
      <c r="AO4" s="543"/>
      <c r="AP4" s="543"/>
      <c r="AQ4" s="543"/>
      <c r="AR4" s="543"/>
      <c r="AS4" s="543"/>
      <c r="AT4" s="544"/>
      <c r="AU4" s="544"/>
      <c r="AV4" s="544"/>
      <c r="AW4" s="113"/>
    </row>
    <row r="5" spans="1:49" ht="16.5" thickBot="1" x14ac:dyDescent="0.3">
      <c r="A5" s="400" t="s">
        <v>838</v>
      </c>
      <c r="B5" s="163"/>
      <c r="C5" s="163"/>
      <c r="D5" s="163"/>
      <c r="E5" s="177"/>
      <c r="F5" s="177"/>
      <c r="G5" s="177"/>
      <c r="H5" s="177"/>
      <c r="I5" s="549"/>
      <c r="J5" s="549"/>
      <c r="K5" s="549"/>
      <c r="L5" s="549"/>
      <c r="M5" s="549"/>
      <c r="N5" s="550"/>
      <c r="O5" s="550"/>
      <c r="P5" s="550"/>
      <c r="Q5" s="545"/>
      <c r="R5" s="545"/>
      <c r="S5" s="545"/>
      <c r="T5" s="545"/>
      <c r="U5" s="112"/>
      <c r="V5" s="545"/>
      <c r="W5" s="545"/>
      <c r="X5" s="545"/>
      <c r="Y5" s="546"/>
      <c r="Z5" s="546"/>
      <c r="AA5" s="546"/>
      <c r="AB5" s="547"/>
      <c r="AC5" s="547"/>
      <c r="AD5" s="547"/>
      <c r="AE5" s="546"/>
      <c r="AF5" s="113"/>
      <c r="AG5" s="113"/>
      <c r="AH5" s="551"/>
      <c r="AI5" s="551"/>
      <c r="AJ5" s="551"/>
      <c r="AK5" s="551"/>
      <c r="AL5" s="551"/>
      <c r="AM5" s="551"/>
      <c r="AN5" s="550"/>
      <c r="AO5" s="549"/>
      <c r="AP5" s="549"/>
      <c r="AQ5" s="549"/>
      <c r="AR5" s="549"/>
      <c r="AS5" s="549"/>
      <c r="AT5" s="550"/>
      <c r="AU5" s="550"/>
      <c r="AV5" s="550"/>
      <c r="AW5" s="113"/>
    </row>
    <row r="6" spans="1:49" ht="15" x14ac:dyDescent="0.25">
      <c r="A6" s="179"/>
      <c r="B6" s="183"/>
      <c r="C6" s="183"/>
      <c r="D6" s="183"/>
      <c r="E6" s="179"/>
      <c r="F6" s="179"/>
      <c r="G6" s="179"/>
      <c r="H6" s="179"/>
      <c r="I6" s="1158" t="s">
        <v>837</v>
      </c>
      <c r="J6" s="1159"/>
      <c r="K6" s="1159"/>
      <c r="L6" s="1159"/>
      <c r="M6" s="1159"/>
      <c r="N6" s="1159"/>
      <c r="O6" s="1159"/>
      <c r="P6" s="1160"/>
      <c r="Q6" s="1182" t="s">
        <v>839</v>
      </c>
      <c r="R6" s="1183"/>
      <c r="S6" s="1183"/>
      <c r="T6" s="1183"/>
      <c r="U6" s="1183"/>
      <c r="V6" s="1183"/>
      <c r="W6" s="1183"/>
      <c r="X6" s="1183"/>
      <c r="Y6" s="1183"/>
      <c r="Z6" s="1183"/>
      <c r="AA6" s="1183"/>
      <c r="AB6" s="1183"/>
      <c r="AC6" s="1183"/>
      <c r="AD6" s="1183"/>
      <c r="AE6" s="1183"/>
      <c r="AF6" s="1183"/>
      <c r="AG6" s="1183"/>
      <c r="AH6" s="1183"/>
      <c r="AI6" s="1183"/>
      <c r="AJ6" s="1183"/>
      <c r="AK6" s="1183"/>
      <c r="AL6" s="1183"/>
      <c r="AM6" s="1183"/>
      <c r="AN6" s="1184"/>
      <c r="AO6" s="1185" t="s">
        <v>868</v>
      </c>
      <c r="AP6" s="1186"/>
      <c r="AQ6" s="1186"/>
      <c r="AR6" s="1186"/>
      <c r="AS6" s="1186"/>
      <c r="AT6" s="1186"/>
      <c r="AU6" s="1186"/>
      <c r="AV6" s="1186"/>
      <c r="AW6" s="1187"/>
    </row>
    <row r="7" spans="1:49" ht="16.5" customHeight="1" thickBot="1" x14ac:dyDescent="0.3">
      <c r="A7" s="183"/>
      <c r="B7" s="552"/>
      <c r="D7" s="553"/>
      <c r="E7" s="552"/>
      <c r="F7" s="179"/>
      <c r="G7" s="179"/>
      <c r="H7" s="179"/>
      <c r="I7" s="1161"/>
      <c r="J7" s="1162"/>
      <c r="K7" s="1162"/>
      <c r="L7" s="1162"/>
      <c r="M7" s="1162"/>
      <c r="N7" s="1162"/>
      <c r="O7" s="1162"/>
      <c r="P7" s="1163"/>
      <c r="Q7" s="1191" t="s">
        <v>289</v>
      </c>
      <c r="R7" s="1192"/>
      <c r="S7" s="1192"/>
      <c r="T7" s="1192"/>
      <c r="U7" s="1193"/>
      <c r="V7" s="1200" t="s">
        <v>290</v>
      </c>
      <c r="W7" s="1192"/>
      <c r="X7" s="1192"/>
      <c r="Y7" s="1193"/>
      <c r="Z7" s="1165" t="s">
        <v>291</v>
      </c>
      <c r="AA7" s="1165" t="s">
        <v>5</v>
      </c>
      <c r="AB7" s="1165" t="s">
        <v>292</v>
      </c>
      <c r="AC7" s="1203" t="s">
        <v>293</v>
      </c>
      <c r="AD7" s="1204"/>
      <c r="AE7" s="1205"/>
      <c r="AF7" s="1165" t="s">
        <v>315</v>
      </c>
      <c r="AG7" s="1212" t="s">
        <v>294</v>
      </c>
      <c r="AH7" s="1213"/>
      <c r="AI7" s="1213"/>
      <c r="AJ7" s="1213"/>
      <c r="AK7" s="1213"/>
      <c r="AL7" s="1213"/>
      <c r="AM7" s="1213"/>
      <c r="AN7" s="1214"/>
      <c r="AO7" s="1188"/>
      <c r="AP7" s="1189"/>
      <c r="AQ7" s="1189"/>
      <c r="AR7" s="1189"/>
      <c r="AS7" s="1189"/>
      <c r="AT7" s="1189"/>
      <c r="AU7" s="1189"/>
      <c r="AV7" s="1189"/>
      <c r="AW7" s="1190"/>
    </row>
    <row r="8" spans="1:49" ht="12.75" customHeight="1" x14ac:dyDescent="0.25">
      <c r="A8" s="240"/>
      <c r="B8" s="185"/>
      <c r="C8" s="185"/>
      <c r="D8" s="185"/>
      <c r="E8" s="185"/>
      <c r="F8" s="185"/>
      <c r="G8" s="185"/>
      <c r="H8" s="185"/>
      <c r="I8" s="1168" t="s">
        <v>6</v>
      </c>
      <c r="J8" s="1234" t="s">
        <v>827</v>
      </c>
      <c r="K8" s="1235"/>
      <c r="L8" s="1235"/>
      <c r="M8" s="1236"/>
      <c r="N8" s="1177" t="s">
        <v>286</v>
      </c>
      <c r="O8" s="1234" t="s">
        <v>828</v>
      </c>
      <c r="P8" s="1240"/>
      <c r="Q8" s="1194"/>
      <c r="R8" s="1233"/>
      <c r="S8" s="1233"/>
      <c r="T8" s="1233"/>
      <c r="U8" s="1196"/>
      <c r="V8" s="1201"/>
      <c r="W8" s="1233"/>
      <c r="X8" s="1233"/>
      <c r="Y8" s="1196"/>
      <c r="Z8" s="1166"/>
      <c r="AA8" s="1166"/>
      <c r="AB8" s="1166"/>
      <c r="AC8" s="1206"/>
      <c r="AD8" s="1242"/>
      <c r="AE8" s="1208"/>
      <c r="AF8" s="1166"/>
      <c r="AG8" s="1215" t="s">
        <v>295</v>
      </c>
      <c r="AH8" s="1216"/>
      <c r="AI8" s="1231" t="s">
        <v>296</v>
      </c>
      <c r="AJ8" s="1215" t="s">
        <v>297</v>
      </c>
      <c r="AK8" s="1216"/>
      <c r="AL8" s="1219" t="s">
        <v>298</v>
      </c>
      <c r="AM8" s="1220"/>
      <c r="AN8" s="1221"/>
      <c r="AO8" s="1168" t="s">
        <v>6</v>
      </c>
      <c r="AP8" s="1243" t="s">
        <v>827</v>
      </c>
      <c r="AQ8" s="1244"/>
      <c r="AR8" s="1244"/>
      <c r="AS8" s="1244"/>
      <c r="AT8" s="1245"/>
      <c r="AU8" s="1177" t="s">
        <v>286</v>
      </c>
      <c r="AV8" s="1234" t="s">
        <v>829</v>
      </c>
      <c r="AW8" s="1240"/>
    </row>
    <row r="9" spans="1:49" ht="13.5" thickBot="1" x14ac:dyDescent="0.25">
      <c r="A9" s="554" t="s">
        <v>819</v>
      </c>
      <c r="D9" s="554"/>
      <c r="F9" s="186"/>
      <c r="G9" s="555"/>
      <c r="H9" s="555"/>
      <c r="I9" s="1169"/>
      <c r="J9" s="1237"/>
      <c r="K9" s="1238"/>
      <c r="L9" s="1238"/>
      <c r="M9" s="1239"/>
      <c r="N9" s="1178"/>
      <c r="O9" s="1237"/>
      <c r="P9" s="1241"/>
      <c r="Q9" s="1197"/>
      <c r="R9" s="1198"/>
      <c r="S9" s="1198"/>
      <c r="T9" s="1198"/>
      <c r="U9" s="1199"/>
      <c r="V9" s="1202"/>
      <c r="W9" s="1198"/>
      <c r="X9" s="1198"/>
      <c r="Y9" s="1199"/>
      <c r="Z9" s="1166"/>
      <c r="AA9" s="1166"/>
      <c r="AB9" s="1166"/>
      <c r="AC9" s="1209"/>
      <c r="AD9" s="1210"/>
      <c r="AE9" s="1211"/>
      <c r="AF9" s="1166"/>
      <c r="AG9" s="1217"/>
      <c r="AH9" s="1218"/>
      <c r="AI9" s="1232"/>
      <c r="AJ9" s="1217"/>
      <c r="AK9" s="1218"/>
      <c r="AL9" s="1222"/>
      <c r="AM9" s="1223"/>
      <c r="AN9" s="1224"/>
      <c r="AO9" s="1169"/>
      <c r="AP9" s="1246"/>
      <c r="AQ9" s="1247"/>
      <c r="AR9" s="1247"/>
      <c r="AS9" s="1247"/>
      <c r="AT9" s="1248"/>
      <c r="AU9" s="1178"/>
      <c r="AV9" s="1237"/>
      <c r="AW9" s="1241"/>
    </row>
    <row r="10" spans="1:49" ht="37.5" customHeight="1" thickBot="1" x14ac:dyDescent="0.25">
      <c r="A10" s="189" t="s">
        <v>800</v>
      </c>
      <c r="B10" s="190" t="s">
        <v>566</v>
      </c>
      <c r="C10" s="190" t="s">
        <v>567</v>
      </c>
      <c r="D10" s="190" t="s">
        <v>270</v>
      </c>
      <c r="E10" s="310" t="s">
        <v>802</v>
      </c>
      <c r="F10" s="190" t="s">
        <v>0</v>
      </c>
      <c r="G10" s="594" t="s">
        <v>271</v>
      </c>
      <c r="H10" s="74" t="s">
        <v>282</v>
      </c>
      <c r="I10" s="1170"/>
      <c r="J10" s="75" t="s">
        <v>280</v>
      </c>
      <c r="K10" s="76" t="s">
        <v>5</v>
      </c>
      <c r="L10" s="76" t="s">
        <v>1</v>
      </c>
      <c r="M10" s="76" t="s">
        <v>7</v>
      </c>
      <c r="N10" s="1179"/>
      <c r="O10" s="711" t="s">
        <v>287</v>
      </c>
      <c r="P10" s="712" t="s">
        <v>288</v>
      </c>
      <c r="Q10" s="483" t="s">
        <v>299</v>
      </c>
      <c r="R10" s="81" t="s">
        <v>296</v>
      </c>
      <c r="S10" s="81" t="s">
        <v>815</v>
      </c>
      <c r="T10" s="81" t="s">
        <v>297</v>
      </c>
      <c r="U10" s="81" t="s">
        <v>791</v>
      </c>
      <c r="V10" s="85" t="s">
        <v>300</v>
      </c>
      <c r="W10" s="81" t="s">
        <v>826</v>
      </c>
      <c r="X10" s="85" t="s">
        <v>301</v>
      </c>
      <c r="Y10" s="81" t="s">
        <v>792</v>
      </c>
      <c r="Z10" s="1167"/>
      <c r="AA10" s="1167"/>
      <c r="AB10" s="1167"/>
      <c r="AC10" s="81" t="s">
        <v>296</v>
      </c>
      <c r="AD10" s="81" t="s">
        <v>302</v>
      </c>
      <c r="AE10" s="81" t="s">
        <v>793</v>
      </c>
      <c r="AF10" s="1167"/>
      <c r="AG10" s="713" t="s">
        <v>287</v>
      </c>
      <c r="AH10" s="714" t="s">
        <v>288</v>
      </c>
      <c r="AI10" s="713" t="s">
        <v>287</v>
      </c>
      <c r="AJ10" s="713" t="s">
        <v>287</v>
      </c>
      <c r="AK10" s="714" t="s">
        <v>288</v>
      </c>
      <c r="AL10" s="713" t="s">
        <v>287</v>
      </c>
      <c r="AM10" s="714" t="s">
        <v>288</v>
      </c>
      <c r="AN10" s="715" t="s">
        <v>311</v>
      </c>
      <c r="AO10" s="1170"/>
      <c r="AP10" s="79" t="s">
        <v>280</v>
      </c>
      <c r="AQ10" s="80" t="s">
        <v>290</v>
      </c>
      <c r="AR10" s="76" t="s">
        <v>5</v>
      </c>
      <c r="AS10" s="76" t="s">
        <v>1</v>
      </c>
      <c r="AT10" s="76" t="s">
        <v>7</v>
      </c>
      <c r="AU10" s="1179"/>
      <c r="AV10" s="711" t="s">
        <v>287</v>
      </c>
      <c r="AW10" s="712" t="s">
        <v>288</v>
      </c>
    </row>
    <row r="11" spans="1:49" s="247" customFormat="1" ht="11.25" customHeight="1" thickBot="1" x14ac:dyDescent="0.25">
      <c r="A11" s="263" t="s">
        <v>568</v>
      </c>
      <c r="B11" s="264" t="s">
        <v>569</v>
      </c>
      <c r="C11" s="264" t="s">
        <v>272</v>
      </c>
      <c r="D11" s="264" t="s">
        <v>273</v>
      </c>
      <c r="E11" s="264" t="s">
        <v>570</v>
      </c>
      <c r="F11" s="264" t="s">
        <v>0</v>
      </c>
      <c r="G11" s="264" t="s">
        <v>571</v>
      </c>
      <c r="H11" s="265" t="s">
        <v>796</v>
      </c>
      <c r="I11" s="266" t="s">
        <v>274</v>
      </c>
      <c r="J11" s="267" t="s">
        <v>275</v>
      </c>
      <c r="K11" s="267" t="s">
        <v>276</v>
      </c>
      <c r="L11" s="267" t="s">
        <v>277</v>
      </c>
      <c r="M11" s="267" t="s">
        <v>278</v>
      </c>
      <c r="N11" s="347" t="s">
        <v>279</v>
      </c>
      <c r="O11" s="274" t="s">
        <v>572</v>
      </c>
      <c r="P11" s="348" t="s">
        <v>573</v>
      </c>
      <c r="Q11" s="272" t="s">
        <v>303</v>
      </c>
      <c r="R11" s="484" t="s">
        <v>303</v>
      </c>
      <c r="S11" s="273" t="s">
        <v>303</v>
      </c>
      <c r="T11" s="273" t="s">
        <v>303</v>
      </c>
      <c r="U11" s="273" t="s">
        <v>303</v>
      </c>
      <c r="V11" s="273" t="s">
        <v>304</v>
      </c>
      <c r="W11" s="273" t="s">
        <v>304</v>
      </c>
      <c r="X11" s="273" t="s">
        <v>305</v>
      </c>
      <c r="Y11" s="273" t="s">
        <v>304</v>
      </c>
      <c r="Z11" s="273" t="s">
        <v>306</v>
      </c>
      <c r="AA11" s="273" t="s">
        <v>307</v>
      </c>
      <c r="AB11" s="273" t="s">
        <v>308</v>
      </c>
      <c r="AC11" s="273" t="s">
        <v>310</v>
      </c>
      <c r="AD11" s="273" t="s">
        <v>309</v>
      </c>
      <c r="AE11" s="273" t="s">
        <v>309</v>
      </c>
      <c r="AF11" s="273" t="s">
        <v>316</v>
      </c>
      <c r="AG11" s="274" t="s">
        <v>312</v>
      </c>
      <c r="AH11" s="274" t="s">
        <v>313</v>
      </c>
      <c r="AI11" s="274" t="s">
        <v>312</v>
      </c>
      <c r="AJ11" s="274" t="s">
        <v>312</v>
      </c>
      <c r="AK11" s="274" t="s">
        <v>313</v>
      </c>
      <c r="AL11" s="274" t="s">
        <v>312</v>
      </c>
      <c r="AM11" s="274" t="s">
        <v>313</v>
      </c>
      <c r="AN11" s="275" t="s">
        <v>314</v>
      </c>
      <c r="AO11" s="266" t="s">
        <v>274</v>
      </c>
      <c r="AP11" s="267" t="s">
        <v>275</v>
      </c>
      <c r="AQ11" s="267" t="s">
        <v>281</v>
      </c>
      <c r="AR11" s="267" t="s">
        <v>276</v>
      </c>
      <c r="AS11" s="267" t="s">
        <v>277</v>
      </c>
      <c r="AT11" s="267" t="s">
        <v>278</v>
      </c>
      <c r="AU11" s="481" t="s">
        <v>279</v>
      </c>
      <c r="AV11" s="481" t="s">
        <v>572</v>
      </c>
      <c r="AW11" s="482" t="s">
        <v>573</v>
      </c>
    </row>
    <row r="12" spans="1:49" x14ac:dyDescent="0.2">
      <c r="A12" s="595">
        <v>1</v>
      </c>
      <c r="B12" s="596">
        <v>3440</v>
      </c>
      <c r="C12" s="596">
        <v>600078078</v>
      </c>
      <c r="D12" s="596">
        <v>72743441</v>
      </c>
      <c r="E12" s="597" t="s">
        <v>86</v>
      </c>
      <c r="F12" s="596">
        <v>3111</v>
      </c>
      <c r="G12" s="598" t="s">
        <v>317</v>
      </c>
      <c r="H12" s="599" t="s">
        <v>283</v>
      </c>
      <c r="I12" s="575">
        <f>SUM(J12:M12)</f>
        <v>10399422</v>
      </c>
      <c r="J12" s="496">
        <v>7609516</v>
      </c>
      <c r="K12" s="131">
        <f>ROUND((J12)*33.8%,0)</f>
        <v>2572016</v>
      </c>
      <c r="L12" s="131">
        <f>ROUND(J12*2%,0)</f>
        <v>152190</v>
      </c>
      <c r="M12" s="316">
        <v>65700</v>
      </c>
      <c r="N12" s="561">
        <f>SUM(O12:P12)</f>
        <v>17.404499999999999</v>
      </c>
      <c r="O12" s="562">
        <v>12.4</v>
      </c>
      <c r="P12" s="563">
        <v>5.0045000000000002</v>
      </c>
      <c r="Q12" s="564">
        <f>V12*-1</f>
        <v>-112000</v>
      </c>
      <c r="R12" s="565">
        <v>0</v>
      </c>
      <c r="S12" s="565">
        <v>0</v>
      </c>
      <c r="T12" s="565">
        <v>0</v>
      </c>
      <c r="U12" s="565">
        <f>SUM(Q12:T12)</f>
        <v>-112000</v>
      </c>
      <c r="V12" s="565">
        <v>112000</v>
      </c>
      <c r="W12" s="565">
        <v>0</v>
      </c>
      <c r="X12" s="565">
        <v>0</v>
      </c>
      <c r="Y12" s="565">
        <f>SUM(V12:X12)</f>
        <v>112000</v>
      </c>
      <c r="Z12" s="565">
        <f>U12+Y12</f>
        <v>0</v>
      </c>
      <c r="AA12" s="280">
        <f>ROUND((U12+V12+W12)*33.8%,0)</f>
        <v>0</v>
      </c>
      <c r="AB12" s="280">
        <f>ROUND(U12*2%,0)</f>
        <v>-2240</v>
      </c>
      <c r="AC12" s="565">
        <v>0</v>
      </c>
      <c r="AD12" s="565">
        <v>0</v>
      </c>
      <c r="AE12" s="565">
        <f>SUM(AC12:AD12)</f>
        <v>0</v>
      </c>
      <c r="AF12" s="565">
        <f>Z12+AA12+AB12+AE12</f>
        <v>-2240</v>
      </c>
      <c r="AG12" s="566">
        <v>0</v>
      </c>
      <c r="AH12" s="566">
        <v>-0.3</v>
      </c>
      <c r="AI12" s="566">
        <v>0</v>
      </c>
      <c r="AJ12" s="566">
        <v>0</v>
      </c>
      <c r="AK12" s="566">
        <v>0</v>
      </c>
      <c r="AL12" s="566">
        <f>AG12+AI12+AJ12</f>
        <v>0</v>
      </c>
      <c r="AM12" s="566">
        <f>AH12+AK12</f>
        <v>-0.3</v>
      </c>
      <c r="AN12" s="567">
        <f>SUM(AL12:AM12)</f>
        <v>-0.3</v>
      </c>
      <c r="AO12" s="564">
        <f>I12+AF12</f>
        <v>10397182</v>
      </c>
      <c r="AP12" s="565">
        <f>J12+U12</f>
        <v>7497516</v>
      </c>
      <c r="AQ12" s="565">
        <f>Y12</f>
        <v>112000</v>
      </c>
      <c r="AR12" s="565">
        <f t="shared" ref="AR12:AS14" si="0">K12+AA12</f>
        <v>2572016</v>
      </c>
      <c r="AS12" s="565">
        <f t="shared" si="0"/>
        <v>149950</v>
      </c>
      <c r="AT12" s="565">
        <f>M12+AE12</f>
        <v>65700</v>
      </c>
      <c r="AU12" s="566">
        <f>N12+AN12</f>
        <v>17.104499999999998</v>
      </c>
      <c r="AV12" s="566">
        <f t="shared" ref="AV12:AW14" si="1">O12+AL12</f>
        <v>12.4</v>
      </c>
      <c r="AW12" s="568">
        <f t="shared" si="1"/>
        <v>4.7045000000000003</v>
      </c>
    </row>
    <row r="13" spans="1:49" x14ac:dyDescent="0.2">
      <c r="A13" s="525">
        <v>1</v>
      </c>
      <c r="B13" s="526">
        <v>3440</v>
      </c>
      <c r="C13" s="526">
        <v>600078078</v>
      </c>
      <c r="D13" s="526">
        <v>72743441</v>
      </c>
      <c r="E13" s="524" t="s">
        <v>86</v>
      </c>
      <c r="F13" s="526">
        <v>3111</v>
      </c>
      <c r="G13" s="527" t="s">
        <v>318</v>
      </c>
      <c r="H13" s="528" t="s">
        <v>284</v>
      </c>
      <c r="I13" s="575">
        <f>SUM(J13:M13)</f>
        <v>0</v>
      </c>
      <c r="J13" s="496">
        <v>0</v>
      </c>
      <c r="K13" s="131">
        <f>ROUND((J13)*33.8%,0)</f>
        <v>0</v>
      </c>
      <c r="L13" s="131">
        <f>ROUND(J13*2%,0)</f>
        <v>0</v>
      </c>
      <c r="M13" s="316">
        <v>0</v>
      </c>
      <c r="N13" s="576">
        <f>SUM(O13:P13)</f>
        <v>0</v>
      </c>
      <c r="O13" s="577">
        <v>0</v>
      </c>
      <c r="P13" s="578">
        <v>0</v>
      </c>
      <c r="Q13" s="497">
        <f>V13*-1</f>
        <v>0</v>
      </c>
      <c r="R13" s="496">
        <v>560076</v>
      </c>
      <c r="S13" s="497">
        <v>0</v>
      </c>
      <c r="T13" s="498">
        <v>0</v>
      </c>
      <c r="U13" s="498">
        <f t="shared" ref="U13:U78" si="2">SUM(Q13:T13)</f>
        <v>560076</v>
      </c>
      <c r="V13" s="498">
        <v>0</v>
      </c>
      <c r="W13" s="498">
        <v>0</v>
      </c>
      <c r="X13" s="498">
        <v>0</v>
      </c>
      <c r="Y13" s="498">
        <f>SUM(W13:X13)</f>
        <v>0</v>
      </c>
      <c r="Z13" s="498">
        <f t="shared" ref="Z13:Z77" si="3">U13+Y13</f>
        <v>560076</v>
      </c>
      <c r="AA13" s="131">
        <f>ROUND((U13+V13+W13)*33.8%,0)</f>
        <v>189306</v>
      </c>
      <c r="AB13" s="131">
        <f t="shared" ref="AB13:AB77" si="4">ROUND(U13*2%,0)</f>
        <v>11202</v>
      </c>
      <c r="AC13" s="498">
        <v>0</v>
      </c>
      <c r="AD13" s="498">
        <v>0</v>
      </c>
      <c r="AE13" s="498">
        <f t="shared" ref="AE13:AE77" si="5">SUM(AC13:AD13)</f>
        <v>0</v>
      </c>
      <c r="AF13" s="498">
        <f t="shared" ref="AF13:AF77" si="6">Z13+AA13+AB13+AE13</f>
        <v>760584</v>
      </c>
      <c r="AG13" s="499">
        <v>0</v>
      </c>
      <c r="AH13" s="499">
        <v>0</v>
      </c>
      <c r="AI13" s="499">
        <v>1.75</v>
      </c>
      <c r="AJ13" s="499">
        <v>0</v>
      </c>
      <c r="AK13" s="499">
        <v>0</v>
      </c>
      <c r="AL13" s="499">
        <f>AG13+AI13+AJ13</f>
        <v>1.75</v>
      </c>
      <c r="AM13" s="499">
        <f>AH13+AK13</f>
        <v>0</v>
      </c>
      <c r="AN13" s="529">
        <f t="shared" ref="AN13" si="7">SUM(AL13:AM13)</f>
        <v>1.75</v>
      </c>
      <c r="AO13" s="579">
        <f>I13+AF13</f>
        <v>760584</v>
      </c>
      <c r="AP13" s="498">
        <f>J13+U13</f>
        <v>560076</v>
      </c>
      <c r="AQ13" s="498">
        <f>Y13</f>
        <v>0</v>
      </c>
      <c r="AR13" s="498">
        <f t="shared" si="0"/>
        <v>189306</v>
      </c>
      <c r="AS13" s="498">
        <f t="shared" si="0"/>
        <v>11202</v>
      </c>
      <c r="AT13" s="498">
        <f>M13+AE13</f>
        <v>0</v>
      </c>
      <c r="AU13" s="499">
        <f>N13+AN13</f>
        <v>1.75</v>
      </c>
      <c r="AV13" s="499">
        <f t="shared" si="1"/>
        <v>1.75</v>
      </c>
      <c r="AW13" s="500">
        <f t="shared" si="1"/>
        <v>0</v>
      </c>
    </row>
    <row r="14" spans="1:49" x14ac:dyDescent="0.2">
      <c r="A14" s="525">
        <v>1</v>
      </c>
      <c r="B14" s="526">
        <v>3440</v>
      </c>
      <c r="C14" s="526">
        <v>600078078</v>
      </c>
      <c r="D14" s="526">
        <v>72743441</v>
      </c>
      <c r="E14" s="524" t="s">
        <v>86</v>
      </c>
      <c r="F14" s="526">
        <v>3141</v>
      </c>
      <c r="G14" s="527" t="s">
        <v>321</v>
      </c>
      <c r="H14" s="528" t="s">
        <v>284</v>
      </c>
      <c r="I14" s="575">
        <f>SUM(J14:M14)</f>
        <v>1830712</v>
      </c>
      <c r="J14" s="496">
        <v>1341527</v>
      </c>
      <c r="K14" s="131">
        <f>ROUND((J14)*33.8%,0)</f>
        <v>453436</v>
      </c>
      <c r="L14" s="131">
        <f>ROUND(J14*2%,0)</f>
        <v>26831</v>
      </c>
      <c r="M14" s="316">
        <v>8918</v>
      </c>
      <c r="N14" s="576">
        <f>SUM(O14:P14)</f>
        <v>4.57</v>
      </c>
      <c r="O14" s="577">
        <v>0</v>
      </c>
      <c r="P14" s="578">
        <v>4.57</v>
      </c>
      <c r="Q14" s="497">
        <f>V14*-1</f>
        <v>-48000</v>
      </c>
      <c r="R14" s="498">
        <v>0</v>
      </c>
      <c r="S14" s="498">
        <v>0</v>
      </c>
      <c r="T14" s="498">
        <v>0</v>
      </c>
      <c r="U14" s="498">
        <f t="shared" si="2"/>
        <v>-48000</v>
      </c>
      <c r="V14" s="498">
        <v>48000</v>
      </c>
      <c r="W14" s="498">
        <v>0</v>
      </c>
      <c r="X14" s="498">
        <v>0</v>
      </c>
      <c r="Y14" s="498">
        <f t="shared" ref="Y14:Y78" si="8">SUM(V14:X14)</f>
        <v>48000</v>
      </c>
      <c r="Z14" s="498">
        <f t="shared" si="3"/>
        <v>0</v>
      </c>
      <c r="AA14" s="131">
        <f>ROUND((U14+V14+W14)*33.8%,0)</f>
        <v>0</v>
      </c>
      <c r="AB14" s="131">
        <f t="shared" si="4"/>
        <v>-960</v>
      </c>
      <c r="AC14" s="498">
        <v>0</v>
      </c>
      <c r="AD14" s="498">
        <v>0</v>
      </c>
      <c r="AE14" s="498">
        <f t="shared" si="5"/>
        <v>0</v>
      </c>
      <c r="AF14" s="498">
        <f t="shared" si="6"/>
        <v>-960</v>
      </c>
      <c r="AG14" s="499">
        <v>0</v>
      </c>
      <c r="AH14" s="499">
        <v>-0.13</v>
      </c>
      <c r="AI14" s="499">
        <v>0</v>
      </c>
      <c r="AJ14" s="499">
        <v>0</v>
      </c>
      <c r="AK14" s="499">
        <v>0</v>
      </c>
      <c r="AL14" s="499">
        <f t="shared" ref="AL14:AL78" si="9">AG14+AI14+AJ14</f>
        <v>0</v>
      </c>
      <c r="AM14" s="499">
        <f t="shared" ref="AM14:AM78" si="10">AH14+AK14</f>
        <v>-0.13</v>
      </c>
      <c r="AN14" s="529">
        <f t="shared" ref="AN14:AN78" si="11">SUM(AL14:AM14)</f>
        <v>-0.13</v>
      </c>
      <c r="AO14" s="579">
        <f>I14+AF14</f>
        <v>1829752</v>
      </c>
      <c r="AP14" s="498">
        <f>J14+U14</f>
        <v>1293527</v>
      </c>
      <c r="AQ14" s="498">
        <f>Y14</f>
        <v>48000</v>
      </c>
      <c r="AR14" s="498">
        <f t="shared" si="0"/>
        <v>453436</v>
      </c>
      <c r="AS14" s="498">
        <f t="shared" si="0"/>
        <v>25871</v>
      </c>
      <c r="AT14" s="498">
        <f>M14+AE14</f>
        <v>8918</v>
      </c>
      <c r="AU14" s="499">
        <f>N14+AN14</f>
        <v>4.4400000000000004</v>
      </c>
      <c r="AV14" s="499">
        <f t="shared" si="1"/>
        <v>0</v>
      </c>
      <c r="AW14" s="500">
        <f t="shared" si="1"/>
        <v>4.4400000000000004</v>
      </c>
    </row>
    <row r="15" spans="1:49" x14ac:dyDescent="0.2">
      <c r="A15" s="302">
        <v>1</v>
      </c>
      <c r="B15" s="32">
        <v>3440</v>
      </c>
      <c r="C15" s="32">
        <v>600078078</v>
      </c>
      <c r="D15" s="32">
        <v>72743441</v>
      </c>
      <c r="E15" s="311" t="s">
        <v>87</v>
      </c>
      <c r="F15" s="32"/>
      <c r="G15" s="301"/>
      <c r="H15" s="454"/>
      <c r="I15" s="6">
        <f t="shared" ref="I15:AW15" si="12">SUM(I12:I14)</f>
        <v>12230134</v>
      </c>
      <c r="J15" s="10">
        <f t="shared" si="12"/>
        <v>8951043</v>
      </c>
      <c r="K15" s="10">
        <f t="shared" si="12"/>
        <v>3025452</v>
      </c>
      <c r="L15" s="10">
        <f t="shared" si="12"/>
        <v>179021</v>
      </c>
      <c r="M15" s="10">
        <f t="shared" si="12"/>
        <v>74618</v>
      </c>
      <c r="N15" s="11">
        <f t="shared" si="12"/>
        <v>21.974499999999999</v>
      </c>
      <c r="O15" s="11">
        <f t="shared" si="12"/>
        <v>12.4</v>
      </c>
      <c r="P15" s="93">
        <f t="shared" si="12"/>
        <v>9.5745000000000005</v>
      </c>
      <c r="Q15" s="296">
        <f t="shared" si="12"/>
        <v>-160000</v>
      </c>
      <c r="R15" s="10">
        <f t="shared" si="12"/>
        <v>560076</v>
      </c>
      <c r="S15" s="10">
        <f t="shared" si="12"/>
        <v>0</v>
      </c>
      <c r="T15" s="10">
        <f t="shared" si="12"/>
        <v>0</v>
      </c>
      <c r="U15" s="10">
        <f t="shared" si="12"/>
        <v>400076</v>
      </c>
      <c r="V15" s="10">
        <f t="shared" si="12"/>
        <v>160000</v>
      </c>
      <c r="W15" s="10">
        <f t="shared" si="12"/>
        <v>0</v>
      </c>
      <c r="X15" s="10">
        <f t="shared" si="12"/>
        <v>0</v>
      </c>
      <c r="Y15" s="10">
        <f t="shared" si="12"/>
        <v>160000</v>
      </c>
      <c r="Z15" s="10">
        <f t="shared" si="12"/>
        <v>560076</v>
      </c>
      <c r="AA15" s="10">
        <f t="shared" si="12"/>
        <v>189306</v>
      </c>
      <c r="AB15" s="10">
        <f t="shared" si="12"/>
        <v>8002</v>
      </c>
      <c r="AC15" s="10">
        <f t="shared" si="12"/>
        <v>0</v>
      </c>
      <c r="AD15" s="10">
        <f t="shared" si="12"/>
        <v>0</v>
      </c>
      <c r="AE15" s="10">
        <f t="shared" si="12"/>
        <v>0</v>
      </c>
      <c r="AF15" s="10">
        <f t="shared" si="12"/>
        <v>757384</v>
      </c>
      <c r="AG15" s="11">
        <f t="shared" si="12"/>
        <v>0</v>
      </c>
      <c r="AH15" s="11">
        <f t="shared" si="12"/>
        <v>-0.43</v>
      </c>
      <c r="AI15" s="11">
        <f t="shared" si="12"/>
        <v>1.75</v>
      </c>
      <c r="AJ15" s="11">
        <f t="shared" si="12"/>
        <v>0</v>
      </c>
      <c r="AK15" s="11">
        <f t="shared" si="12"/>
        <v>0</v>
      </c>
      <c r="AL15" s="11">
        <f t="shared" si="12"/>
        <v>1.75</v>
      </c>
      <c r="AM15" s="11">
        <f t="shared" si="12"/>
        <v>-0.43</v>
      </c>
      <c r="AN15" s="38">
        <f t="shared" si="12"/>
        <v>1.3199999999999998</v>
      </c>
      <c r="AO15" s="6">
        <f t="shared" si="12"/>
        <v>12987518</v>
      </c>
      <c r="AP15" s="10">
        <f t="shared" si="12"/>
        <v>9351119</v>
      </c>
      <c r="AQ15" s="10">
        <f t="shared" si="12"/>
        <v>160000</v>
      </c>
      <c r="AR15" s="10">
        <f t="shared" si="12"/>
        <v>3214758</v>
      </c>
      <c r="AS15" s="10">
        <f t="shared" si="12"/>
        <v>187023</v>
      </c>
      <c r="AT15" s="10">
        <f t="shared" si="12"/>
        <v>74618</v>
      </c>
      <c r="AU15" s="11">
        <f t="shared" si="12"/>
        <v>23.294499999999999</v>
      </c>
      <c r="AV15" s="11">
        <f t="shared" si="12"/>
        <v>14.15</v>
      </c>
      <c r="AW15" s="93">
        <f t="shared" si="12"/>
        <v>9.1445000000000007</v>
      </c>
    </row>
    <row r="16" spans="1:49" x14ac:dyDescent="0.2">
      <c r="A16" s="525">
        <v>2</v>
      </c>
      <c r="B16" s="526">
        <v>3458</v>
      </c>
      <c r="C16" s="526">
        <v>600029069</v>
      </c>
      <c r="D16" s="526">
        <v>75121557</v>
      </c>
      <c r="E16" s="524" t="s">
        <v>88</v>
      </c>
      <c r="F16" s="526">
        <v>3233</v>
      </c>
      <c r="G16" s="527" t="s">
        <v>324</v>
      </c>
      <c r="H16" s="528" t="s">
        <v>284</v>
      </c>
      <c r="I16" s="575">
        <f>SUM(J16:M16)</f>
        <v>3288605</v>
      </c>
      <c r="J16" s="496">
        <v>2399303</v>
      </c>
      <c r="K16" s="131">
        <f>ROUND((J16)*33.8%,0)</f>
        <v>810964</v>
      </c>
      <c r="L16" s="131">
        <f>ROUND(J16*2%,0)</f>
        <v>47986</v>
      </c>
      <c r="M16" s="316">
        <v>30352</v>
      </c>
      <c r="N16" s="576">
        <f>SUM(O16:P16)</f>
        <v>5.51</v>
      </c>
      <c r="O16" s="577">
        <v>3.63</v>
      </c>
      <c r="P16" s="578">
        <v>1.88</v>
      </c>
      <c r="Q16" s="497">
        <f>V16*-1</f>
        <v>-80000</v>
      </c>
      <c r="R16" s="498">
        <v>0</v>
      </c>
      <c r="S16" s="498">
        <v>0</v>
      </c>
      <c r="T16" s="498">
        <v>0</v>
      </c>
      <c r="U16" s="498">
        <f t="shared" si="2"/>
        <v>-80000</v>
      </c>
      <c r="V16" s="498">
        <v>80000</v>
      </c>
      <c r="W16" s="498">
        <v>0</v>
      </c>
      <c r="X16" s="498">
        <v>0</v>
      </c>
      <c r="Y16" s="498">
        <f t="shared" si="8"/>
        <v>80000</v>
      </c>
      <c r="Z16" s="498">
        <f t="shared" si="3"/>
        <v>0</v>
      </c>
      <c r="AA16" s="131">
        <f>ROUND((U16+V16+W16)*33.8%,0)</f>
        <v>0</v>
      </c>
      <c r="AB16" s="131">
        <f t="shared" si="4"/>
        <v>-1600</v>
      </c>
      <c r="AC16" s="498">
        <v>0</v>
      </c>
      <c r="AD16" s="498">
        <v>0</v>
      </c>
      <c r="AE16" s="498">
        <f t="shared" si="5"/>
        <v>0</v>
      </c>
      <c r="AF16" s="498">
        <f t="shared" si="6"/>
        <v>-1600</v>
      </c>
      <c r="AG16" s="499">
        <v>-0.16</v>
      </c>
      <c r="AH16" s="499">
        <v>0</v>
      </c>
      <c r="AI16" s="499">
        <v>0</v>
      </c>
      <c r="AJ16" s="499">
        <v>0</v>
      </c>
      <c r="AK16" s="499">
        <v>0</v>
      </c>
      <c r="AL16" s="499">
        <f t="shared" si="9"/>
        <v>-0.16</v>
      </c>
      <c r="AM16" s="499">
        <f t="shared" si="10"/>
        <v>0</v>
      </c>
      <c r="AN16" s="529">
        <f t="shared" si="11"/>
        <v>-0.16</v>
      </c>
      <c r="AO16" s="579">
        <f>I16+AF16</f>
        <v>3287005</v>
      </c>
      <c r="AP16" s="498">
        <f>J16+U16</f>
        <v>2319303</v>
      </c>
      <c r="AQ16" s="498">
        <f>Y16</f>
        <v>80000</v>
      </c>
      <c r="AR16" s="498">
        <f>K16+AA16</f>
        <v>810964</v>
      </c>
      <c r="AS16" s="498">
        <f>L16+AB16</f>
        <v>46386</v>
      </c>
      <c r="AT16" s="498">
        <f>M16+AE16</f>
        <v>30352</v>
      </c>
      <c r="AU16" s="499">
        <f>N16+AN16</f>
        <v>5.35</v>
      </c>
      <c r="AV16" s="499">
        <f>O16+AL16</f>
        <v>3.4699999999999998</v>
      </c>
      <c r="AW16" s="500">
        <f>P16+AM16</f>
        <v>1.88</v>
      </c>
    </row>
    <row r="17" spans="1:49" x14ac:dyDescent="0.2">
      <c r="A17" s="302">
        <v>2</v>
      </c>
      <c r="B17" s="32">
        <v>3458</v>
      </c>
      <c r="C17" s="32">
        <v>600029069</v>
      </c>
      <c r="D17" s="32">
        <v>75121557</v>
      </c>
      <c r="E17" s="311" t="s">
        <v>89</v>
      </c>
      <c r="F17" s="32"/>
      <c r="G17" s="301"/>
      <c r="H17" s="454"/>
      <c r="I17" s="6">
        <f t="shared" ref="I17:AW17" si="13">SUM(I16)</f>
        <v>3288605</v>
      </c>
      <c r="J17" s="10">
        <f t="shared" si="13"/>
        <v>2399303</v>
      </c>
      <c r="K17" s="10">
        <f t="shared" si="13"/>
        <v>810964</v>
      </c>
      <c r="L17" s="10">
        <f t="shared" si="13"/>
        <v>47986</v>
      </c>
      <c r="M17" s="10">
        <f t="shared" si="13"/>
        <v>30352</v>
      </c>
      <c r="N17" s="11">
        <f t="shared" si="13"/>
        <v>5.51</v>
      </c>
      <c r="O17" s="11">
        <f t="shared" si="13"/>
        <v>3.63</v>
      </c>
      <c r="P17" s="93">
        <f t="shared" si="13"/>
        <v>1.88</v>
      </c>
      <c r="Q17" s="296">
        <f t="shared" si="13"/>
        <v>-80000</v>
      </c>
      <c r="R17" s="10">
        <f t="shared" si="13"/>
        <v>0</v>
      </c>
      <c r="S17" s="10">
        <f t="shared" si="13"/>
        <v>0</v>
      </c>
      <c r="T17" s="10">
        <f t="shared" si="13"/>
        <v>0</v>
      </c>
      <c r="U17" s="10">
        <f t="shared" si="13"/>
        <v>-80000</v>
      </c>
      <c r="V17" s="10">
        <f t="shared" si="13"/>
        <v>80000</v>
      </c>
      <c r="W17" s="10">
        <f t="shared" si="13"/>
        <v>0</v>
      </c>
      <c r="X17" s="10">
        <f t="shared" si="13"/>
        <v>0</v>
      </c>
      <c r="Y17" s="10">
        <f t="shared" si="13"/>
        <v>80000</v>
      </c>
      <c r="Z17" s="10">
        <f t="shared" si="13"/>
        <v>0</v>
      </c>
      <c r="AA17" s="10">
        <f t="shared" si="13"/>
        <v>0</v>
      </c>
      <c r="AB17" s="10">
        <f t="shared" si="13"/>
        <v>-1600</v>
      </c>
      <c r="AC17" s="10">
        <f t="shared" si="13"/>
        <v>0</v>
      </c>
      <c r="AD17" s="10">
        <f t="shared" si="13"/>
        <v>0</v>
      </c>
      <c r="AE17" s="10">
        <f t="shared" si="13"/>
        <v>0</v>
      </c>
      <c r="AF17" s="10">
        <f t="shared" si="13"/>
        <v>-1600</v>
      </c>
      <c r="AG17" s="11">
        <f t="shared" si="13"/>
        <v>-0.16</v>
      </c>
      <c r="AH17" s="11">
        <f t="shared" si="13"/>
        <v>0</v>
      </c>
      <c r="AI17" s="11">
        <f t="shared" si="13"/>
        <v>0</v>
      </c>
      <c r="AJ17" s="11">
        <f t="shared" si="13"/>
        <v>0</v>
      </c>
      <c r="AK17" s="11">
        <f t="shared" si="13"/>
        <v>0</v>
      </c>
      <c r="AL17" s="11">
        <f t="shared" si="13"/>
        <v>-0.16</v>
      </c>
      <c r="AM17" s="11">
        <f t="shared" si="13"/>
        <v>0</v>
      </c>
      <c r="AN17" s="38">
        <f t="shared" si="13"/>
        <v>-0.16</v>
      </c>
      <c r="AO17" s="6">
        <f t="shared" si="13"/>
        <v>3287005</v>
      </c>
      <c r="AP17" s="10">
        <f t="shared" si="13"/>
        <v>2319303</v>
      </c>
      <c r="AQ17" s="10">
        <f t="shared" si="13"/>
        <v>80000</v>
      </c>
      <c r="AR17" s="10">
        <f t="shared" si="13"/>
        <v>810964</v>
      </c>
      <c r="AS17" s="10">
        <f t="shared" si="13"/>
        <v>46386</v>
      </c>
      <c r="AT17" s="10">
        <f t="shared" si="13"/>
        <v>30352</v>
      </c>
      <c r="AU17" s="11">
        <f t="shared" si="13"/>
        <v>5.35</v>
      </c>
      <c r="AV17" s="11">
        <f t="shared" si="13"/>
        <v>3.4699999999999998</v>
      </c>
      <c r="AW17" s="93">
        <f t="shared" si="13"/>
        <v>1.88</v>
      </c>
    </row>
    <row r="18" spans="1:49" x14ac:dyDescent="0.2">
      <c r="A18" s="525">
        <v>3</v>
      </c>
      <c r="B18" s="526">
        <v>3439</v>
      </c>
      <c r="C18" s="526">
        <v>600010473</v>
      </c>
      <c r="D18" s="526">
        <v>43256791</v>
      </c>
      <c r="E18" s="524" t="s">
        <v>812</v>
      </c>
      <c r="F18" s="526">
        <v>3113</v>
      </c>
      <c r="G18" s="527" t="s">
        <v>320</v>
      </c>
      <c r="H18" s="528" t="s">
        <v>283</v>
      </c>
      <c r="I18" s="575">
        <f t="shared" ref="I18" si="14">SUM(J18:M18)</f>
        <v>18641296</v>
      </c>
      <c r="J18" s="496">
        <v>13242214</v>
      </c>
      <c r="K18" s="131">
        <f t="shared" ref="K18:K22" si="15">ROUND((J18)*33.8%,0)</f>
        <v>4475868</v>
      </c>
      <c r="L18" s="131">
        <f t="shared" ref="L18:L22" si="16">ROUND(J18*2%,0)</f>
        <v>264844</v>
      </c>
      <c r="M18" s="316">
        <v>658370</v>
      </c>
      <c r="N18" s="576">
        <f t="shared" ref="N18:N22" si="17">SUM(O18:P18)</f>
        <v>26.536899999999999</v>
      </c>
      <c r="O18" s="577">
        <v>21.13</v>
      </c>
      <c r="P18" s="578">
        <v>5.4069000000000003</v>
      </c>
      <c r="Q18" s="497">
        <f t="shared" ref="Q18:Q22" si="18">V18*-1</f>
        <v>-68000</v>
      </c>
      <c r="R18" s="498">
        <v>0</v>
      </c>
      <c r="S18" s="498">
        <v>0</v>
      </c>
      <c r="T18" s="498">
        <v>0</v>
      </c>
      <c r="U18" s="498">
        <f t="shared" si="2"/>
        <v>-68000</v>
      </c>
      <c r="V18" s="498">
        <v>68000</v>
      </c>
      <c r="W18" s="498">
        <v>0</v>
      </c>
      <c r="X18" s="498">
        <v>0</v>
      </c>
      <c r="Y18" s="498">
        <f t="shared" si="8"/>
        <v>68000</v>
      </c>
      <c r="Z18" s="498">
        <f t="shared" si="3"/>
        <v>0</v>
      </c>
      <c r="AA18" s="131">
        <f t="shared" ref="AA18:AA82" si="19">ROUND((U18+V18+W18)*33.8%,0)</f>
        <v>0</v>
      </c>
      <c r="AB18" s="131">
        <f t="shared" si="4"/>
        <v>-1360</v>
      </c>
      <c r="AC18" s="498">
        <v>0</v>
      </c>
      <c r="AD18" s="498">
        <v>0</v>
      </c>
      <c r="AE18" s="498">
        <f t="shared" si="5"/>
        <v>0</v>
      </c>
      <c r="AF18" s="498">
        <f t="shared" si="6"/>
        <v>-1360</v>
      </c>
      <c r="AG18" s="499">
        <v>-0.03</v>
      </c>
      <c r="AH18" s="499">
        <v>-0.16</v>
      </c>
      <c r="AI18" s="499">
        <v>0</v>
      </c>
      <c r="AJ18" s="499">
        <v>0</v>
      </c>
      <c r="AK18" s="499">
        <v>0</v>
      </c>
      <c r="AL18" s="499">
        <f t="shared" si="9"/>
        <v>-0.03</v>
      </c>
      <c r="AM18" s="499">
        <f t="shared" si="10"/>
        <v>-0.16</v>
      </c>
      <c r="AN18" s="529">
        <f t="shared" si="11"/>
        <v>-0.19</v>
      </c>
      <c r="AO18" s="579">
        <f>I18+AF18</f>
        <v>18639936</v>
      </c>
      <c r="AP18" s="498">
        <f>J18+U18</f>
        <v>13174214</v>
      </c>
      <c r="AQ18" s="498">
        <f t="shared" ref="AQ18:AQ22" si="20">Y18</f>
        <v>68000</v>
      </c>
      <c r="AR18" s="498">
        <f t="shared" ref="AR18:AS22" si="21">K18+AA18</f>
        <v>4475868</v>
      </c>
      <c r="AS18" s="498">
        <f t="shared" si="21"/>
        <v>263484</v>
      </c>
      <c r="AT18" s="498">
        <f>M18+AE18</f>
        <v>658370</v>
      </c>
      <c r="AU18" s="499">
        <f>N18+AN18</f>
        <v>26.346899999999998</v>
      </c>
      <c r="AV18" s="499">
        <f t="shared" ref="AV18:AW22" si="22">O18+AL18</f>
        <v>21.099999999999998</v>
      </c>
      <c r="AW18" s="500">
        <f t="shared" si="22"/>
        <v>5.2469000000000001</v>
      </c>
    </row>
    <row r="19" spans="1:49" x14ac:dyDescent="0.2">
      <c r="A19" s="525">
        <v>3</v>
      </c>
      <c r="B19" s="526">
        <v>3439</v>
      </c>
      <c r="C19" s="526">
        <v>600010473</v>
      </c>
      <c r="D19" s="526">
        <v>43256791</v>
      </c>
      <c r="E19" s="524" t="s">
        <v>812</v>
      </c>
      <c r="F19" s="526">
        <v>3113</v>
      </c>
      <c r="G19" s="527" t="s">
        <v>318</v>
      </c>
      <c r="H19" s="528" t="s">
        <v>284</v>
      </c>
      <c r="I19" s="575">
        <f>SUM(J19:M19)</f>
        <v>0</v>
      </c>
      <c r="J19" s="496">
        <v>0</v>
      </c>
      <c r="K19" s="131">
        <f t="shared" si="15"/>
        <v>0</v>
      </c>
      <c r="L19" s="131">
        <f t="shared" si="16"/>
        <v>0</v>
      </c>
      <c r="M19" s="316">
        <v>0</v>
      </c>
      <c r="N19" s="576">
        <f t="shared" si="17"/>
        <v>0</v>
      </c>
      <c r="O19" s="577">
        <v>0</v>
      </c>
      <c r="P19" s="578">
        <v>0</v>
      </c>
      <c r="Q19" s="497">
        <f t="shared" si="18"/>
        <v>0</v>
      </c>
      <c r="R19" s="496">
        <f>4398710-238180</f>
        <v>4160530</v>
      </c>
      <c r="S19" s="498">
        <v>0</v>
      </c>
      <c r="T19" s="498">
        <v>0</v>
      </c>
      <c r="U19" s="498">
        <f t="shared" si="2"/>
        <v>4160530</v>
      </c>
      <c r="V19" s="498">
        <v>0</v>
      </c>
      <c r="W19" s="498">
        <v>0</v>
      </c>
      <c r="X19" s="498">
        <v>0</v>
      </c>
      <c r="Y19" s="498">
        <f t="shared" si="8"/>
        <v>0</v>
      </c>
      <c r="Z19" s="498">
        <f t="shared" si="3"/>
        <v>4160530</v>
      </c>
      <c r="AA19" s="131">
        <f t="shared" si="19"/>
        <v>1406259</v>
      </c>
      <c r="AB19" s="131">
        <f t="shared" si="4"/>
        <v>83211</v>
      </c>
      <c r="AC19" s="498">
        <f>3250+10500</f>
        <v>13750</v>
      </c>
      <c r="AD19" s="498">
        <v>0</v>
      </c>
      <c r="AE19" s="498">
        <f t="shared" si="5"/>
        <v>13750</v>
      </c>
      <c r="AF19" s="498">
        <f t="shared" si="6"/>
        <v>5663750</v>
      </c>
      <c r="AG19" s="499">
        <v>0</v>
      </c>
      <c r="AH19" s="499">
        <v>0</v>
      </c>
      <c r="AI19" s="499">
        <f>11.7-0.69</f>
        <v>11.01</v>
      </c>
      <c r="AJ19" s="499">
        <v>0</v>
      </c>
      <c r="AK19" s="499">
        <v>0</v>
      </c>
      <c r="AL19" s="499">
        <f t="shared" si="9"/>
        <v>11.01</v>
      </c>
      <c r="AM19" s="499">
        <f t="shared" si="10"/>
        <v>0</v>
      </c>
      <c r="AN19" s="529">
        <f t="shared" si="11"/>
        <v>11.01</v>
      </c>
      <c r="AO19" s="579">
        <f>I19+AF19</f>
        <v>5663750</v>
      </c>
      <c r="AP19" s="498">
        <f>J19+U19</f>
        <v>4160530</v>
      </c>
      <c r="AQ19" s="498">
        <f t="shared" si="20"/>
        <v>0</v>
      </c>
      <c r="AR19" s="498">
        <f t="shared" si="21"/>
        <v>1406259</v>
      </c>
      <c r="AS19" s="498">
        <f t="shared" si="21"/>
        <v>83211</v>
      </c>
      <c r="AT19" s="498">
        <f>M19+AE19</f>
        <v>13750</v>
      </c>
      <c r="AU19" s="499">
        <f>N19+AN19</f>
        <v>11.01</v>
      </c>
      <c r="AV19" s="499">
        <f t="shared" si="22"/>
        <v>11.01</v>
      </c>
      <c r="AW19" s="500">
        <f t="shared" si="22"/>
        <v>0</v>
      </c>
    </row>
    <row r="20" spans="1:49" x14ac:dyDescent="0.2">
      <c r="A20" s="525">
        <v>3</v>
      </c>
      <c r="B20" s="526">
        <v>3439</v>
      </c>
      <c r="C20" s="526">
        <v>600010473</v>
      </c>
      <c r="D20" s="526">
        <v>43256791</v>
      </c>
      <c r="E20" s="524" t="s">
        <v>812</v>
      </c>
      <c r="F20" s="526">
        <v>3143</v>
      </c>
      <c r="G20" s="527" t="s">
        <v>635</v>
      </c>
      <c r="H20" s="574" t="s">
        <v>283</v>
      </c>
      <c r="I20" s="575">
        <f t="shared" ref="I20:I22" si="23">SUM(J20:M20)</f>
        <v>1592291</v>
      </c>
      <c r="J20" s="496">
        <v>1172526</v>
      </c>
      <c r="K20" s="131">
        <f t="shared" si="15"/>
        <v>396314</v>
      </c>
      <c r="L20" s="131">
        <f t="shared" si="16"/>
        <v>23451</v>
      </c>
      <c r="M20" s="316">
        <v>0</v>
      </c>
      <c r="N20" s="576">
        <f t="shared" si="17"/>
        <v>2.4700000000000002</v>
      </c>
      <c r="O20" s="577">
        <v>2.4700000000000002</v>
      </c>
      <c r="P20" s="578">
        <v>0</v>
      </c>
      <c r="Q20" s="497">
        <f t="shared" si="18"/>
        <v>-4000</v>
      </c>
      <c r="R20" s="498">
        <v>0</v>
      </c>
      <c r="S20" s="498">
        <v>0</v>
      </c>
      <c r="T20" s="498">
        <v>0</v>
      </c>
      <c r="U20" s="498">
        <f t="shared" si="2"/>
        <v>-4000</v>
      </c>
      <c r="V20" s="498">
        <v>4000</v>
      </c>
      <c r="W20" s="498">
        <v>0</v>
      </c>
      <c r="X20" s="498">
        <v>0</v>
      </c>
      <c r="Y20" s="498">
        <f t="shared" si="8"/>
        <v>4000</v>
      </c>
      <c r="Z20" s="498">
        <f t="shared" si="3"/>
        <v>0</v>
      </c>
      <c r="AA20" s="131">
        <f t="shared" si="19"/>
        <v>0</v>
      </c>
      <c r="AB20" s="131">
        <f t="shared" si="4"/>
        <v>-80</v>
      </c>
      <c r="AC20" s="498">
        <v>0</v>
      </c>
      <c r="AD20" s="498">
        <v>0</v>
      </c>
      <c r="AE20" s="498">
        <f t="shared" si="5"/>
        <v>0</v>
      </c>
      <c r="AF20" s="498">
        <f t="shared" si="6"/>
        <v>-80</v>
      </c>
      <c r="AG20" s="499">
        <v>0</v>
      </c>
      <c r="AH20" s="499">
        <v>0</v>
      </c>
      <c r="AI20" s="499">
        <v>0</v>
      </c>
      <c r="AJ20" s="499">
        <v>0</v>
      </c>
      <c r="AK20" s="499">
        <v>0</v>
      </c>
      <c r="AL20" s="499">
        <f t="shared" si="9"/>
        <v>0</v>
      </c>
      <c r="AM20" s="499">
        <f t="shared" si="10"/>
        <v>0</v>
      </c>
      <c r="AN20" s="529">
        <f t="shared" si="11"/>
        <v>0</v>
      </c>
      <c r="AO20" s="579">
        <f>I20+AF20</f>
        <v>1592211</v>
      </c>
      <c r="AP20" s="498">
        <f>J20+U20</f>
        <v>1168526</v>
      </c>
      <c r="AQ20" s="498">
        <f t="shared" si="20"/>
        <v>4000</v>
      </c>
      <c r="AR20" s="498">
        <f t="shared" si="21"/>
        <v>396314</v>
      </c>
      <c r="AS20" s="498">
        <f t="shared" si="21"/>
        <v>23371</v>
      </c>
      <c r="AT20" s="498">
        <f>M20+AE20</f>
        <v>0</v>
      </c>
      <c r="AU20" s="499">
        <f>N20+AN20</f>
        <v>2.4700000000000002</v>
      </c>
      <c r="AV20" s="499">
        <f t="shared" si="22"/>
        <v>2.4700000000000002</v>
      </c>
      <c r="AW20" s="500">
        <f t="shared" si="22"/>
        <v>0</v>
      </c>
    </row>
    <row r="21" spans="1:49" x14ac:dyDescent="0.2">
      <c r="A21" s="525">
        <v>3</v>
      </c>
      <c r="B21" s="526">
        <v>3439</v>
      </c>
      <c r="C21" s="526">
        <v>600010473</v>
      </c>
      <c r="D21" s="526">
        <v>43256791</v>
      </c>
      <c r="E21" s="524" t="s">
        <v>812</v>
      </c>
      <c r="F21" s="526">
        <v>3143</v>
      </c>
      <c r="G21" s="527" t="s">
        <v>636</v>
      </c>
      <c r="H21" s="574" t="s">
        <v>284</v>
      </c>
      <c r="I21" s="575">
        <f t="shared" si="23"/>
        <v>58986</v>
      </c>
      <c r="J21" s="496">
        <v>41580</v>
      </c>
      <c r="K21" s="131">
        <f t="shared" si="15"/>
        <v>14054</v>
      </c>
      <c r="L21" s="131">
        <f t="shared" si="16"/>
        <v>832</v>
      </c>
      <c r="M21" s="316">
        <v>2520</v>
      </c>
      <c r="N21" s="576">
        <f t="shared" si="17"/>
        <v>0.17</v>
      </c>
      <c r="O21" s="577">
        <v>0</v>
      </c>
      <c r="P21" s="578">
        <v>0.17</v>
      </c>
      <c r="Q21" s="497">
        <f t="shared" si="18"/>
        <v>0</v>
      </c>
      <c r="R21" s="498">
        <v>0</v>
      </c>
      <c r="S21" s="498">
        <v>0</v>
      </c>
      <c r="T21" s="498">
        <v>0</v>
      </c>
      <c r="U21" s="498">
        <f t="shared" si="2"/>
        <v>0</v>
      </c>
      <c r="V21" s="498">
        <v>0</v>
      </c>
      <c r="W21" s="498">
        <v>0</v>
      </c>
      <c r="X21" s="498">
        <v>0</v>
      </c>
      <c r="Y21" s="498">
        <f t="shared" si="8"/>
        <v>0</v>
      </c>
      <c r="Z21" s="498">
        <f t="shared" si="3"/>
        <v>0</v>
      </c>
      <c r="AA21" s="131">
        <f t="shared" si="19"/>
        <v>0</v>
      </c>
      <c r="AB21" s="131">
        <f t="shared" si="4"/>
        <v>0</v>
      </c>
      <c r="AC21" s="498">
        <v>0</v>
      </c>
      <c r="AD21" s="498">
        <v>0</v>
      </c>
      <c r="AE21" s="498">
        <f t="shared" si="5"/>
        <v>0</v>
      </c>
      <c r="AF21" s="498">
        <f t="shared" si="6"/>
        <v>0</v>
      </c>
      <c r="AG21" s="499">
        <v>0</v>
      </c>
      <c r="AH21" s="499">
        <v>0</v>
      </c>
      <c r="AI21" s="499">
        <v>0</v>
      </c>
      <c r="AJ21" s="499">
        <v>0</v>
      </c>
      <c r="AK21" s="499">
        <v>0</v>
      </c>
      <c r="AL21" s="499">
        <f t="shared" si="9"/>
        <v>0</v>
      </c>
      <c r="AM21" s="499">
        <f t="shared" si="10"/>
        <v>0</v>
      </c>
      <c r="AN21" s="529">
        <f t="shared" si="11"/>
        <v>0</v>
      </c>
      <c r="AO21" s="579">
        <f>I21+AF21</f>
        <v>58986</v>
      </c>
      <c r="AP21" s="498">
        <f>J21+U21</f>
        <v>41580</v>
      </c>
      <c r="AQ21" s="498">
        <f t="shared" si="20"/>
        <v>0</v>
      </c>
      <c r="AR21" s="498">
        <f t="shared" si="21"/>
        <v>14054</v>
      </c>
      <c r="AS21" s="498">
        <f t="shared" si="21"/>
        <v>832</v>
      </c>
      <c r="AT21" s="498">
        <f>M21+AE21</f>
        <v>2520</v>
      </c>
      <c r="AU21" s="499">
        <f>N21+AN21</f>
        <v>0.17</v>
      </c>
      <c r="AV21" s="499">
        <f t="shared" si="22"/>
        <v>0</v>
      </c>
      <c r="AW21" s="500">
        <f t="shared" si="22"/>
        <v>0.17</v>
      </c>
    </row>
    <row r="22" spans="1:49" x14ac:dyDescent="0.2">
      <c r="A22" s="525">
        <v>3</v>
      </c>
      <c r="B22" s="526">
        <v>3439</v>
      </c>
      <c r="C22" s="526">
        <v>600010473</v>
      </c>
      <c r="D22" s="526">
        <v>43256791</v>
      </c>
      <c r="E22" s="524" t="s">
        <v>812</v>
      </c>
      <c r="F22" s="526">
        <v>3143</v>
      </c>
      <c r="G22" s="527" t="s">
        <v>323</v>
      </c>
      <c r="H22" s="528" t="s">
        <v>284</v>
      </c>
      <c r="I22" s="575">
        <f t="shared" si="23"/>
        <v>279499</v>
      </c>
      <c r="J22" s="496">
        <v>205043</v>
      </c>
      <c r="K22" s="131">
        <f t="shared" si="15"/>
        <v>69305</v>
      </c>
      <c r="L22" s="131">
        <f t="shared" si="16"/>
        <v>4101</v>
      </c>
      <c r="M22" s="316">
        <v>1050</v>
      </c>
      <c r="N22" s="576">
        <f t="shared" si="17"/>
        <v>0.47000000000000003</v>
      </c>
      <c r="O22" s="577">
        <v>0.4</v>
      </c>
      <c r="P22" s="578">
        <v>7.0000000000000007E-2</v>
      </c>
      <c r="Q22" s="497">
        <f t="shared" si="18"/>
        <v>-32000</v>
      </c>
      <c r="R22" s="498">
        <v>0</v>
      </c>
      <c r="S22" s="498">
        <v>0</v>
      </c>
      <c r="T22" s="498">
        <v>0</v>
      </c>
      <c r="U22" s="498">
        <f t="shared" si="2"/>
        <v>-32000</v>
      </c>
      <c r="V22" s="498">
        <v>32000</v>
      </c>
      <c r="W22" s="498">
        <v>0</v>
      </c>
      <c r="X22" s="498">
        <v>0</v>
      </c>
      <c r="Y22" s="498">
        <f t="shared" si="8"/>
        <v>32000</v>
      </c>
      <c r="Z22" s="498">
        <f t="shared" si="3"/>
        <v>0</v>
      </c>
      <c r="AA22" s="131">
        <f t="shared" si="19"/>
        <v>0</v>
      </c>
      <c r="AB22" s="131">
        <f t="shared" si="4"/>
        <v>-640</v>
      </c>
      <c r="AC22" s="498">
        <v>0</v>
      </c>
      <c r="AD22" s="498">
        <v>0</v>
      </c>
      <c r="AE22" s="498">
        <f t="shared" si="5"/>
        <v>0</v>
      </c>
      <c r="AF22" s="498">
        <f t="shared" si="6"/>
        <v>-640</v>
      </c>
      <c r="AG22" s="499">
        <v>-0.08</v>
      </c>
      <c r="AH22" s="499">
        <v>0</v>
      </c>
      <c r="AI22" s="499">
        <v>0</v>
      </c>
      <c r="AJ22" s="499">
        <v>0</v>
      </c>
      <c r="AK22" s="499">
        <v>0</v>
      </c>
      <c r="AL22" s="499">
        <f t="shared" si="9"/>
        <v>-0.08</v>
      </c>
      <c r="AM22" s="499">
        <f t="shared" si="10"/>
        <v>0</v>
      </c>
      <c r="AN22" s="529">
        <f t="shared" si="11"/>
        <v>-0.08</v>
      </c>
      <c r="AO22" s="579">
        <f>I22+AF22</f>
        <v>278859</v>
      </c>
      <c r="AP22" s="498">
        <f>J22+U22</f>
        <v>173043</v>
      </c>
      <c r="AQ22" s="498">
        <f t="shared" si="20"/>
        <v>32000</v>
      </c>
      <c r="AR22" s="498">
        <f t="shared" si="21"/>
        <v>69305</v>
      </c>
      <c r="AS22" s="498">
        <f t="shared" si="21"/>
        <v>3461</v>
      </c>
      <c r="AT22" s="498">
        <f>M22+AE22</f>
        <v>1050</v>
      </c>
      <c r="AU22" s="499">
        <f>N22+AN22</f>
        <v>0.39</v>
      </c>
      <c r="AV22" s="499">
        <f t="shared" si="22"/>
        <v>0.32</v>
      </c>
      <c r="AW22" s="500">
        <f t="shared" si="22"/>
        <v>7.0000000000000007E-2</v>
      </c>
    </row>
    <row r="23" spans="1:49" x14ac:dyDescent="0.2">
      <c r="A23" s="302">
        <v>3</v>
      </c>
      <c r="B23" s="32">
        <v>3439</v>
      </c>
      <c r="C23" s="32">
        <v>600010473</v>
      </c>
      <c r="D23" s="32">
        <v>43256791</v>
      </c>
      <c r="E23" s="311" t="s">
        <v>90</v>
      </c>
      <c r="F23" s="32"/>
      <c r="G23" s="301"/>
      <c r="H23" s="454"/>
      <c r="I23" s="5">
        <f t="shared" ref="I23:AW23" si="24">SUM(I18:I22)</f>
        <v>20572072</v>
      </c>
      <c r="J23" s="8">
        <f t="shared" si="24"/>
        <v>14661363</v>
      </c>
      <c r="K23" s="8">
        <f t="shared" si="24"/>
        <v>4955541</v>
      </c>
      <c r="L23" s="8">
        <f t="shared" si="24"/>
        <v>293228</v>
      </c>
      <c r="M23" s="8">
        <f t="shared" si="24"/>
        <v>661940</v>
      </c>
      <c r="N23" s="9">
        <f t="shared" si="24"/>
        <v>29.646899999999999</v>
      </c>
      <c r="O23" s="9">
        <f t="shared" si="24"/>
        <v>23.999999999999996</v>
      </c>
      <c r="P23" s="92">
        <f t="shared" si="24"/>
        <v>5.6469000000000005</v>
      </c>
      <c r="Q23" s="295">
        <f t="shared" si="24"/>
        <v>-104000</v>
      </c>
      <c r="R23" s="8">
        <f t="shared" si="24"/>
        <v>4160530</v>
      </c>
      <c r="S23" s="8">
        <f t="shared" si="24"/>
        <v>0</v>
      </c>
      <c r="T23" s="8">
        <f t="shared" si="24"/>
        <v>0</v>
      </c>
      <c r="U23" s="8">
        <f t="shared" si="24"/>
        <v>4056530</v>
      </c>
      <c r="V23" s="8">
        <f t="shared" si="24"/>
        <v>104000</v>
      </c>
      <c r="W23" s="8">
        <f t="shared" si="24"/>
        <v>0</v>
      </c>
      <c r="X23" s="8">
        <f t="shared" si="24"/>
        <v>0</v>
      </c>
      <c r="Y23" s="8">
        <f t="shared" si="24"/>
        <v>104000</v>
      </c>
      <c r="Z23" s="8">
        <f t="shared" si="24"/>
        <v>4160530</v>
      </c>
      <c r="AA23" s="8">
        <f t="shared" si="24"/>
        <v>1406259</v>
      </c>
      <c r="AB23" s="8">
        <f t="shared" si="24"/>
        <v>81131</v>
      </c>
      <c r="AC23" s="8">
        <f t="shared" si="24"/>
        <v>13750</v>
      </c>
      <c r="AD23" s="8">
        <f t="shared" si="24"/>
        <v>0</v>
      </c>
      <c r="AE23" s="8">
        <f t="shared" si="24"/>
        <v>13750</v>
      </c>
      <c r="AF23" s="8">
        <f t="shared" si="24"/>
        <v>5661670</v>
      </c>
      <c r="AG23" s="9">
        <f t="shared" si="24"/>
        <v>-0.11</v>
      </c>
      <c r="AH23" s="9">
        <f t="shared" si="24"/>
        <v>-0.16</v>
      </c>
      <c r="AI23" s="9">
        <f t="shared" si="24"/>
        <v>11.01</v>
      </c>
      <c r="AJ23" s="9">
        <f t="shared" si="24"/>
        <v>0</v>
      </c>
      <c r="AK23" s="9">
        <f t="shared" si="24"/>
        <v>0</v>
      </c>
      <c r="AL23" s="9">
        <f t="shared" si="24"/>
        <v>10.9</v>
      </c>
      <c r="AM23" s="9">
        <f t="shared" si="24"/>
        <v>-0.16</v>
      </c>
      <c r="AN23" s="39">
        <f t="shared" si="24"/>
        <v>10.74</v>
      </c>
      <c r="AO23" s="5">
        <f t="shared" si="24"/>
        <v>26233742</v>
      </c>
      <c r="AP23" s="8">
        <f t="shared" si="24"/>
        <v>18717893</v>
      </c>
      <c r="AQ23" s="8">
        <f t="shared" si="24"/>
        <v>104000</v>
      </c>
      <c r="AR23" s="8">
        <f t="shared" si="24"/>
        <v>6361800</v>
      </c>
      <c r="AS23" s="8">
        <f t="shared" si="24"/>
        <v>374359</v>
      </c>
      <c r="AT23" s="8">
        <f t="shared" si="24"/>
        <v>675690</v>
      </c>
      <c r="AU23" s="9">
        <f t="shared" si="24"/>
        <v>40.386899999999997</v>
      </c>
      <c r="AV23" s="9">
        <f t="shared" si="24"/>
        <v>34.9</v>
      </c>
      <c r="AW23" s="92">
        <f t="shared" si="24"/>
        <v>5.4869000000000003</v>
      </c>
    </row>
    <row r="24" spans="1:49" x14ac:dyDescent="0.2">
      <c r="A24" s="525">
        <v>4</v>
      </c>
      <c r="B24" s="526">
        <v>3438</v>
      </c>
      <c r="C24" s="526">
        <v>600078493</v>
      </c>
      <c r="D24" s="526">
        <v>43257089</v>
      </c>
      <c r="E24" s="524" t="s">
        <v>91</v>
      </c>
      <c r="F24" s="526">
        <v>3113</v>
      </c>
      <c r="G24" s="527" t="s">
        <v>320</v>
      </c>
      <c r="H24" s="528" t="s">
        <v>283</v>
      </c>
      <c r="I24" s="575">
        <f t="shared" ref="I24" si="25">SUM(J24:M24)</f>
        <v>25349841</v>
      </c>
      <c r="J24" s="496">
        <v>18271694</v>
      </c>
      <c r="K24" s="131">
        <f t="shared" ref="K24:K25" si="26">ROUND((J24)*33.8%,0)</f>
        <v>6175833</v>
      </c>
      <c r="L24" s="131">
        <f t="shared" ref="L24:L27" si="27">ROUND(J24*2%,0)</f>
        <v>365434</v>
      </c>
      <c r="M24" s="316">
        <v>536880</v>
      </c>
      <c r="N24" s="576">
        <f t="shared" ref="N24:N27" si="28">SUM(O24:P24)</f>
        <v>35.252800000000001</v>
      </c>
      <c r="O24" s="577">
        <v>27.363399999999999</v>
      </c>
      <c r="P24" s="578">
        <v>7.8894000000000002</v>
      </c>
      <c r="Q24" s="497">
        <f t="shared" ref="Q24:Q27" si="29">V24*-1</f>
        <v>-60000</v>
      </c>
      <c r="R24" s="498">
        <v>0</v>
      </c>
      <c r="S24" s="498">
        <v>0</v>
      </c>
      <c r="T24" s="498">
        <v>27408</v>
      </c>
      <c r="U24" s="498">
        <f t="shared" si="2"/>
        <v>-32592</v>
      </c>
      <c r="V24" s="498">
        <v>60000</v>
      </c>
      <c r="W24" s="498">
        <v>0</v>
      </c>
      <c r="X24" s="498">
        <v>0</v>
      </c>
      <c r="Y24" s="498">
        <f t="shared" si="8"/>
        <v>60000</v>
      </c>
      <c r="Z24" s="498">
        <f t="shared" si="3"/>
        <v>27408</v>
      </c>
      <c r="AA24" s="131">
        <f t="shared" si="19"/>
        <v>9264</v>
      </c>
      <c r="AB24" s="131">
        <f t="shared" si="4"/>
        <v>-652</v>
      </c>
      <c r="AC24" s="498">
        <v>0</v>
      </c>
      <c r="AD24" s="498">
        <v>0</v>
      </c>
      <c r="AE24" s="498">
        <f t="shared" si="5"/>
        <v>0</v>
      </c>
      <c r="AF24" s="498">
        <f t="shared" si="6"/>
        <v>36020</v>
      </c>
      <c r="AG24" s="499">
        <v>-0.02</v>
      </c>
      <c r="AH24" s="499">
        <v>0</v>
      </c>
      <c r="AI24" s="499">
        <v>0</v>
      </c>
      <c r="AJ24" s="499">
        <v>0.05</v>
      </c>
      <c r="AK24" s="499">
        <v>0</v>
      </c>
      <c r="AL24" s="499">
        <f t="shared" si="9"/>
        <v>3.0000000000000002E-2</v>
      </c>
      <c r="AM24" s="499">
        <f t="shared" si="10"/>
        <v>0</v>
      </c>
      <c r="AN24" s="529">
        <f t="shared" si="11"/>
        <v>3.0000000000000002E-2</v>
      </c>
      <c r="AO24" s="579">
        <f>I24+AF24</f>
        <v>25385861</v>
      </c>
      <c r="AP24" s="498">
        <f>J24+U24</f>
        <v>18239102</v>
      </c>
      <c r="AQ24" s="498">
        <f t="shared" ref="AQ24:AQ27" si="30">Y24</f>
        <v>60000</v>
      </c>
      <c r="AR24" s="498">
        <f t="shared" ref="AR24:AS27" si="31">K24+AA24</f>
        <v>6185097</v>
      </c>
      <c r="AS24" s="498">
        <f t="shared" si="31"/>
        <v>364782</v>
      </c>
      <c r="AT24" s="498">
        <f>M24+AE24</f>
        <v>536880</v>
      </c>
      <c r="AU24" s="499">
        <f>N24+AN24</f>
        <v>35.282800000000002</v>
      </c>
      <c r="AV24" s="499">
        <f t="shared" ref="AV24:AW27" si="32">O24+AL24</f>
        <v>27.3934</v>
      </c>
      <c r="AW24" s="500">
        <f t="shared" si="32"/>
        <v>7.8894000000000002</v>
      </c>
    </row>
    <row r="25" spans="1:49" x14ac:dyDescent="0.2">
      <c r="A25" s="525">
        <v>4</v>
      </c>
      <c r="B25" s="526">
        <v>3438</v>
      </c>
      <c r="C25" s="526">
        <v>600078493</v>
      </c>
      <c r="D25" s="526">
        <v>43257089</v>
      </c>
      <c r="E25" s="524" t="s">
        <v>91</v>
      </c>
      <c r="F25" s="526">
        <v>3113</v>
      </c>
      <c r="G25" s="527" t="s">
        <v>318</v>
      </c>
      <c r="H25" s="528" t="s">
        <v>284</v>
      </c>
      <c r="I25" s="575">
        <f>SUM(J25:M25)</f>
        <v>0</v>
      </c>
      <c r="J25" s="496">
        <v>0</v>
      </c>
      <c r="K25" s="131">
        <f t="shared" si="26"/>
        <v>0</v>
      </c>
      <c r="L25" s="131">
        <f t="shared" si="27"/>
        <v>0</v>
      </c>
      <c r="M25" s="316">
        <v>0</v>
      </c>
      <c r="N25" s="576">
        <f t="shared" si="28"/>
        <v>0</v>
      </c>
      <c r="O25" s="577">
        <v>0</v>
      </c>
      <c r="P25" s="578">
        <v>0</v>
      </c>
      <c r="Q25" s="497">
        <f t="shared" si="29"/>
        <v>0</v>
      </c>
      <c r="R25" s="496">
        <v>2174904</v>
      </c>
      <c r="S25" s="498">
        <v>0</v>
      </c>
      <c r="T25" s="498">
        <v>0</v>
      </c>
      <c r="U25" s="498">
        <f t="shared" si="2"/>
        <v>2174904</v>
      </c>
      <c r="V25" s="498">
        <v>0</v>
      </c>
      <c r="W25" s="498">
        <v>0</v>
      </c>
      <c r="X25" s="498">
        <v>0</v>
      </c>
      <c r="Y25" s="498">
        <f t="shared" si="8"/>
        <v>0</v>
      </c>
      <c r="Z25" s="498">
        <f t="shared" si="3"/>
        <v>2174904</v>
      </c>
      <c r="AA25" s="131">
        <f t="shared" si="19"/>
        <v>735118</v>
      </c>
      <c r="AB25" s="131">
        <f t="shared" si="4"/>
        <v>43498</v>
      </c>
      <c r="AC25" s="498">
        <v>0</v>
      </c>
      <c r="AD25" s="498">
        <v>0</v>
      </c>
      <c r="AE25" s="498">
        <f t="shared" si="5"/>
        <v>0</v>
      </c>
      <c r="AF25" s="498">
        <f t="shared" si="6"/>
        <v>2953520</v>
      </c>
      <c r="AG25" s="499">
        <v>0</v>
      </c>
      <c r="AH25" s="499">
        <v>0</v>
      </c>
      <c r="AI25" s="499">
        <v>6.06</v>
      </c>
      <c r="AJ25" s="499">
        <v>0</v>
      </c>
      <c r="AK25" s="499">
        <v>0</v>
      </c>
      <c r="AL25" s="499">
        <f t="shared" si="9"/>
        <v>6.06</v>
      </c>
      <c r="AM25" s="499">
        <f t="shared" si="10"/>
        <v>0</v>
      </c>
      <c r="AN25" s="529">
        <f t="shared" si="11"/>
        <v>6.06</v>
      </c>
      <c r="AO25" s="579">
        <f>I25+AF25</f>
        <v>2953520</v>
      </c>
      <c r="AP25" s="498">
        <f>J25+U25</f>
        <v>2174904</v>
      </c>
      <c r="AQ25" s="498">
        <f t="shared" si="30"/>
        <v>0</v>
      </c>
      <c r="AR25" s="498">
        <f t="shared" si="31"/>
        <v>735118</v>
      </c>
      <c r="AS25" s="498">
        <f t="shared" si="31"/>
        <v>43498</v>
      </c>
      <c r="AT25" s="498">
        <f>M25+AE25</f>
        <v>0</v>
      </c>
      <c r="AU25" s="499">
        <f>N25+AN25</f>
        <v>6.06</v>
      </c>
      <c r="AV25" s="499">
        <f t="shared" si="32"/>
        <v>6.06</v>
      </c>
      <c r="AW25" s="500">
        <f t="shared" si="32"/>
        <v>0</v>
      </c>
    </row>
    <row r="26" spans="1:49" x14ac:dyDescent="0.2">
      <c r="A26" s="525">
        <v>4</v>
      </c>
      <c r="B26" s="526">
        <v>3438</v>
      </c>
      <c r="C26" s="526">
        <v>600078493</v>
      </c>
      <c r="D26" s="526">
        <v>43257089</v>
      </c>
      <c r="E26" s="524" t="s">
        <v>91</v>
      </c>
      <c r="F26" s="526">
        <v>3143</v>
      </c>
      <c r="G26" s="527" t="s">
        <v>635</v>
      </c>
      <c r="H26" s="574" t="s">
        <v>283</v>
      </c>
      <c r="I26" s="575">
        <f t="shared" ref="I26" si="33">SUM(J26:M26)</f>
        <v>1689209</v>
      </c>
      <c r="J26" s="496">
        <v>1243895</v>
      </c>
      <c r="K26" s="131">
        <v>420436</v>
      </c>
      <c r="L26" s="131">
        <f t="shared" si="27"/>
        <v>24878</v>
      </c>
      <c r="M26" s="316">
        <v>0</v>
      </c>
      <c r="N26" s="576">
        <f t="shared" si="28"/>
        <v>2.6606999999999998</v>
      </c>
      <c r="O26" s="577">
        <v>2.6606999999999998</v>
      </c>
      <c r="P26" s="578">
        <v>0</v>
      </c>
      <c r="Q26" s="497">
        <f t="shared" si="29"/>
        <v>0</v>
      </c>
      <c r="R26" s="498">
        <v>0</v>
      </c>
      <c r="S26" s="498">
        <v>0</v>
      </c>
      <c r="T26" s="498">
        <v>0</v>
      </c>
      <c r="U26" s="498">
        <f t="shared" si="2"/>
        <v>0</v>
      </c>
      <c r="V26" s="498">
        <v>0</v>
      </c>
      <c r="W26" s="498">
        <v>0</v>
      </c>
      <c r="X26" s="498">
        <v>0</v>
      </c>
      <c r="Y26" s="498">
        <f t="shared" si="8"/>
        <v>0</v>
      </c>
      <c r="Z26" s="498">
        <f t="shared" si="3"/>
        <v>0</v>
      </c>
      <c r="AA26" s="131">
        <f t="shared" si="19"/>
        <v>0</v>
      </c>
      <c r="AB26" s="131">
        <f t="shared" si="4"/>
        <v>0</v>
      </c>
      <c r="AC26" s="498">
        <v>0</v>
      </c>
      <c r="AD26" s="498">
        <v>0</v>
      </c>
      <c r="AE26" s="498">
        <f t="shared" si="5"/>
        <v>0</v>
      </c>
      <c r="AF26" s="498">
        <f t="shared" si="6"/>
        <v>0</v>
      </c>
      <c r="AG26" s="499">
        <v>0</v>
      </c>
      <c r="AH26" s="499">
        <v>0</v>
      </c>
      <c r="AI26" s="499">
        <v>0</v>
      </c>
      <c r="AJ26" s="499">
        <v>0</v>
      </c>
      <c r="AK26" s="499">
        <v>0</v>
      </c>
      <c r="AL26" s="499">
        <f t="shared" si="9"/>
        <v>0</v>
      </c>
      <c r="AM26" s="499">
        <f t="shared" si="10"/>
        <v>0</v>
      </c>
      <c r="AN26" s="529">
        <f t="shared" si="11"/>
        <v>0</v>
      </c>
      <c r="AO26" s="579">
        <f>I26+AF26</f>
        <v>1689209</v>
      </c>
      <c r="AP26" s="498">
        <f>J26+U26</f>
        <v>1243895</v>
      </c>
      <c r="AQ26" s="498">
        <f t="shared" si="30"/>
        <v>0</v>
      </c>
      <c r="AR26" s="498">
        <f t="shared" si="31"/>
        <v>420436</v>
      </c>
      <c r="AS26" s="498">
        <f t="shared" si="31"/>
        <v>24878</v>
      </c>
      <c r="AT26" s="498">
        <f>M26+AE26</f>
        <v>0</v>
      </c>
      <c r="AU26" s="499">
        <f>N26+AN26</f>
        <v>2.6606999999999998</v>
      </c>
      <c r="AV26" s="499">
        <f t="shared" si="32"/>
        <v>2.6606999999999998</v>
      </c>
      <c r="AW26" s="500">
        <f t="shared" si="32"/>
        <v>0</v>
      </c>
    </row>
    <row r="27" spans="1:49" x14ac:dyDescent="0.2">
      <c r="A27" s="525">
        <v>4</v>
      </c>
      <c r="B27" s="526">
        <v>3438</v>
      </c>
      <c r="C27" s="526">
        <v>600078493</v>
      </c>
      <c r="D27" s="526">
        <v>43257089</v>
      </c>
      <c r="E27" s="524" t="s">
        <v>91</v>
      </c>
      <c r="F27" s="526">
        <v>3143</v>
      </c>
      <c r="G27" s="527" t="s">
        <v>636</v>
      </c>
      <c r="H27" s="574" t="s">
        <v>284</v>
      </c>
      <c r="I27" s="575">
        <f>SUM(J27:M27)</f>
        <v>44240</v>
      </c>
      <c r="J27" s="496">
        <v>31185</v>
      </c>
      <c r="K27" s="131">
        <f t="shared" ref="K27" si="34">ROUND((J27)*33.8%,0)</f>
        <v>10541</v>
      </c>
      <c r="L27" s="131">
        <f t="shared" si="27"/>
        <v>624</v>
      </c>
      <c r="M27" s="316">
        <v>1890</v>
      </c>
      <c r="N27" s="576">
        <f t="shared" si="28"/>
        <v>0.13</v>
      </c>
      <c r="O27" s="577">
        <v>0</v>
      </c>
      <c r="P27" s="578">
        <v>0.13</v>
      </c>
      <c r="Q27" s="497">
        <f t="shared" si="29"/>
        <v>0</v>
      </c>
      <c r="R27" s="498">
        <v>0</v>
      </c>
      <c r="S27" s="498">
        <v>0</v>
      </c>
      <c r="T27" s="498">
        <v>0</v>
      </c>
      <c r="U27" s="498">
        <f t="shared" si="2"/>
        <v>0</v>
      </c>
      <c r="V27" s="498">
        <v>0</v>
      </c>
      <c r="W27" s="498">
        <v>0</v>
      </c>
      <c r="X27" s="498">
        <v>0</v>
      </c>
      <c r="Y27" s="498">
        <f t="shared" si="8"/>
        <v>0</v>
      </c>
      <c r="Z27" s="498">
        <f t="shared" si="3"/>
        <v>0</v>
      </c>
      <c r="AA27" s="131">
        <f t="shared" si="19"/>
        <v>0</v>
      </c>
      <c r="AB27" s="131">
        <f t="shared" si="4"/>
        <v>0</v>
      </c>
      <c r="AC27" s="498">
        <v>0</v>
      </c>
      <c r="AD27" s="498">
        <v>0</v>
      </c>
      <c r="AE27" s="498">
        <f t="shared" si="5"/>
        <v>0</v>
      </c>
      <c r="AF27" s="498">
        <f t="shared" si="6"/>
        <v>0</v>
      </c>
      <c r="AG27" s="499">
        <v>0</v>
      </c>
      <c r="AH27" s="499">
        <v>0</v>
      </c>
      <c r="AI27" s="499">
        <v>0</v>
      </c>
      <c r="AJ27" s="499">
        <v>0</v>
      </c>
      <c r="AK27" s="499">
        <v>0</v>
      </c>
      <c r="AL27" s="499">
        <f t="shared" si="9"/>
        <v>0</v>
      </c>
      <c r="AM27" s="499">
        <f t="shared" si="10"/>
        <v>0</v>
      </c>
      <c r="AN27" s="529">
        <f t="shared" si="11"/>
        <v>0</v>
      </c>
      <c r="AO27" s="579">
        <f>I27+AF27</f>
        <v>44240</v>
      </c>
      <c r="AP27" s="498">
        <f>J27+U27</f>
        <v>31185</v>
      </c>
      <c r="AQ27" s="498">
        <f t="shared" si="30"/>
        <v>0</v>
      </c>
      <c r="AR27" s="498">
        <f t="shared" si="31"/>
        <v>10541</v>
      </c>
      <c r="AS27" s="498">
        <f t="shared" si="31"/>
        <v>624</v>
      </c>
      <c r="AT27" s="498">
        <f>M27+AE27</f>
        <v>1890</v>
      </c>
      <c r="AU27" s="499">
        <f>N27+AN27</f>
        <v>0.13</v>
      </c>
      <c r="AV27" s="499">
        <f t="shared" si="32"/>
        <v>0</v>
      </c>
      <c r="AW27" s="500">
        <f t="shared" si="32"/>
        <v>0.13</v>
      </c>
    </row>
    <row r="28" spans="1:49" x14ac:dyDescent="0.2">
      <c r="A28" s="302">
        <v>4</v>
      </c>
      <c r="B28" s="32">
        <v>3438</v>
      </c>
      <c r="C28" s="32">
        <v>600078493</v>
      </c>
      <c r="D28" s="32">
        <v>43257089</v>
      </c>
      <c r="E28" s="311" t="s">
        <v>92</v>
      </c>
      <c r="F28" s="32"/>
      <c r="G28" s="301"/>
      <c r="H28" s="454"/>
      <c r="I28" s="5">
        <f t="shared" ref="I28:P28" si="35">SUM(I24:I27)</f>
        <v>27083290</v>
      </c>
      <c r="J28" s="8">
        <f t="shared" si="35"/>
        <v>19546774</v>
      </c>
      <c r="K28" s="8">
        <f t="shared" si="35"/>
        <v>6606810</v>
      </c>
      <c r="L28" s="8">
        <f t="shared" si="35"/>
        <v>390936</v>
      </c>
      <c r="M28" s="8">
        <f t="shared" si="35"/>
        <v>538770</v>
      </c>
      <c r="N28" s="9">
        <f t="shared" si="35"/>
        <v>38.043500000000002</v>
      </c>
      <c r="O28" s="9">
        <f t="shared" si="35"/>
        <v>30.024099999999997</v>
      </c>
      <c r="P28" s="92">
        <f t="shared" si="35"/>
        <v>8.019400000000001</v>
      </c>
      <c r="Q28" s="295">
        <f t="shared" ref="Q28:AW28" si="36">SUM(Q24:Q27)</f>
        <v>-60000</v>
      </c>
      <c r="R28" s="8">
        <f t="shared" si="36"/>
        <v>2174904</v>
      </c>
      <c r="S28" s="8">
        <f t="shared" si="36"/>
        <v>0</v>
      </c>
      <c r="T28" s="8">
        <f t="shared" si="36"/>
        <v>27408</v>
      </c>
      <c r="U28" s="8">
        <f t="shared" si="36"/>
        <v>2142312</v>
      </c>
      <c r="V28" s="8">
        <f t="shared" si="36"/>
        <v>60000</v>
      </c>
      <c r="W28" s="8">
        <f t="shared" si="36"/>
        <v>0</v>
      </c>
      <c r="X28" s="8">
        <f t="shared" si="36"/>
        <v>0</v>
      </c>
      <c r="Y28" s="8">
        <f t="shared" si="36"/>
        <v>60000</v>
      </c>
      <c r="Z28" s="8">
        <f t="shared" si="36"/>
        <v>2202312</v>
      </c>
      <c r="AA28" s="8">
        <f t="shared" si="36"/>
        <v>744382</v>
      </c>
      <c r="AB28" s="8">
        <f t="shared" si="36"/>
        <v>42846</v>
      </c>
      <c r="AC28" s="8">
        <f t="shared" si="36"/>
        <v>0</v>
      </c>
      <c r="AD28" s="8">
        <f t="shared" si="36"/>
        <v>0</v>
      </c>
      <c r="AE28" s="8">
        <f t="shared" si="36"/>
        <v>0</v>
      </c>
      <c r="AF28" s="8">
        <f t="shared" si="36"/>
        <v>2989540</v>
      </c>
      <c r="AG28" s="9">
        <f t="shared" si="36"/>
        <v>-0.02</v>
      </c>
      <c r="AH28" s="9">
        <f t="shared" si="36"/>
        <v>0</v>
      </c>
      <c r="AI28" s="9">
        <f t="shared" si="36"/>
        <v>6.06</v>
      </c>
      <c r="AJ28" s="9">
        <f t="shared" si="36"/>
        <v>0.05</v>
      </c>
      <c r="AK28" s="9">
        <f t="shared" si="36"/>
        <v>0</v>
      </c>
      <c r="AL28" s="9">
        <f t="shared" si="36"/>
        <v>6.09</v>
      </c>
      <c r="AM28" s="9">
        <f t="shared" si="36"/>
        <v>0</v>
      </c>
      <c r="AN28" s="39">
        <f t="shared" si="36"/>
        <v>6.09</v>
      </c>
      <c r="AO28" s="5">
        <f t="shared" si="36"/>
        <v>30072830</v>
      </c>
      <c r="AP28" s="8">
        <f t="shared" si="36"/>
        <v>21689086</v>
      </c>
      <c r="AQ28" s="8">
        <f t="shared" si="36"/>
        <v>60000</v>
      </c>
      <c r="AR28" s="8">
        <f t="shared" si="36"/>
        <v>7351192</v>
      </c>
      <c r="AS28" s="8">
        <f t="shared" si="36"/>
        <v>433782</v>
      </c>
      <c r="AT28" s="8">
        <f t="shared" si="36"/>
        <v>538770</v>
      </c>
      <c r="AU28" s="9">
        <f t="shared" si="36"/>
        <v>44.133500000000005</v>
      </c>
      <c r="AV28" s="9">
        <f t="shared" si="36"/>
        <v>36.114100000000001</v>
      </c>
      <c r="AW28" s="92">
        <f t="shared" si="36"/>
        <v>8.019400000000001</v>
      </c>
    </row>
    <row r="29" spans="1:49" s="3" customFormat="1" x14ac:dyDescent="0.2">
      <c r="A29" s="525">
        <v>5</v>
      </c>
      <c r="B29" s="526">
        <v>3459</v>
      </c>
      <c r="C29" s="526">
        <v>651040264</v>
      </c>
      <c r="D29" s="526">
        <v>75121531</v>
      </c>
      <c r="E29" s="524" t="s">
        <v>93</v>
      </c>
      <c r="F29" s="526">
        <v>3231</v>
      </c>
      <c r="G29" s="527" t="s">
        <v>322</v>
      </c>
      <c r="H29" s="574" t="s">
        <v>283</v>
      </c>
      <c r="I29" s="575">
        <f>SUM(J29:M29)</f>
        <v>13250645</v>
      </c>
      <c r="J29" s="496">
        <v>9726200</v>
      </c>
      <c r="K29" s="131">
        <f>ROUND((J29)*33.8%,0)</f>
        <v>3287456</v>
      </c>
      <c r="L29" s="131">
        <f>ROUND(J29*2%,0)</f>
        <v>194524</v>
      </c>
      <c r="M29" s="316">
        <v>42465</v>
      </c>
      <c r="N29" s="576">
        <f>SUM(O29:P29)</f>
        <v>18.822200000000002</v>
      </c>
      <c r="O29" s="577">
        <v>16.758800000000001</v>
      </c>
      <c r="P29" s="578">
        <v>2.0634000000000001</v>
      </c>
      <c r="Q29" s="497">
        <f>V29*-1</f>
        <v>-136000</v>
      </c>
      <c r="R29" s="498">
        <v>0</v>
      </c>
      <c r="S29" s="498">
        <v>0</v>
      </c>
      <c r="T29" s="498">
        <v>0</v>
      </c>
      <c r="U29" s="498">
        <f t="shared" si="2"/>
        <v>-136000</v>
      </c>
      <c r="V29" s="498">
        <v>136000</v>
      </c>
      <c r="W29" s="498">
        <v>0</v>
      </c>
      <c r="X29" s="498">
        <v>0</v>
      </c>
      <c r="Y29" s="498">
        <f t="shared" si="8"/>
        <v>136000</v>
      </c>
      <c r="Z29" s="498">
        <f t="shared" si="3"/>
        <v>0</v>
      </c>
      <c r="AA29" s="131">
        <f t="shared" si="19"/>
        <v>0</v>
      </c>
      <c r="AB29" s="131">
        <f t="shared" si="4"/>
        <v>-2720</v>
      </c>
      <c r="AC29" s="498">
        <v>0</v>
      </c>
      <c r="AD29" s="498">
        <v>0</v>
      </c>
      <c r="AE29" s="498">
        <f t="shared" si="5"/>
        <v>0</v>
      </c>
      <c r="AF29" s="498">
        <f t="shared" si="6"/>
        <v>-2720</v>
      </c>
      <c r="AG29" s="499">
        <v>-0.11</v>
      </c>
      <c r="AH29" s="499">
        <v>-0.27</v>
      </c>
      <c r="AI29" s="499">
        <v>0</v>
      </c>
      <c r="AJ29" s="499">
        <v>0</v>
      </c>
      <c r="AK29" s="499">
        <v>0</v>
      </c>
      <c r="AL29" s="499">
        <f t="shared" si="9"/>
        <v>-0.11</v>
      </c>
      <c r="AM29" s="499">
        <f t="shared" si="10"/>
        <v>-0.27</v>
      </c>
      <c r="AN29" s="529">
        <f t="shared" si="11"/>
        <v>-0.38</v>
      </c>
      <c r="AO29" s="579">
        <f>I29+AF29</f>
        <v>13247925</v>
      </c>
      <c r="AP29" s="498">
        <f>J29+U29</f>
        <v>9590200</v>
      </c>
      <c r="AQ29" s="498">
        <f>Y29</f>
        <v>136000</v>
      </c>
      <c r="AR29" s="498">
        <f>K29+AA29</f>
        <v>3287456</v>
      </c>
      <c r="AS29" s="498">
        <f>L29+AB29</f>
        <v>191804</v>
      </c>
      <c r="AT29" s="498">
        <f>M29+AE29</f>
        <v>42465</v>
      </c>
      <c r="AU29" s="499">
        <f>N29+AN29</f>
        <v>18.442200000000003</v>
      </c>
      <c r="AV29" s="499">
        <f>O29+AL29</f>
        <v>16.648800000000001</v>
      </c>
      <c r="AW29" s="500">
        <f>P29+AM29</f>
        <v>1.7934000000000001</v>
      </c>
    </row>
    <row r="30" spans="1:49" s="3" customFormat="1" x14ac:dyDescent="0.2">
      <c r="A30" s="302">
        <v>5</v>
      </c>
      <c r="B30" s="32">
        <v>3459</v>
      </c>
      <c r="C30" s="32">
        <v>651040264</v>
      </c>
      <c r="D30" s="32">
        <v>75121531</v>
      </c>
      <c r="E30" s="311" t="s">
        <v>94</v>
      </c>
      <c r="F30" s="32"/>
      <c r="G30" s="301"/>
      <c r="H30" s="454"/>
      <c r="I30" s="6">
        <f t="shared" ref="I30:AW30" si="37">SUM(I29)</f>
        <v>13250645</v>
      </c>
      <c r="J30" s="10">
        <f t="shared" si="37"/>
        <v>9726200</v>
      </c>
      <c r="K30" s="10">
        <f t="shared" si="37"/>
        <v>3287456</v>
      </c>
      <c r="L30" s="10">
        <f t="shared" si="37"/>
        <v>194524</v>
      </c>
      <c r="M30" s="10">
        <f t="shared" si="37"/>
        <v>42465</v>
      </c>
      <c r="N30" s="11">
        <f t="shared" si="37"/>
        <v>18.822200000000002</v>
      </c>
      <c r="O30" s="11">
        <f t="shared" si="37"/>
        <v>16.758800000000001</v>
      </c>
      <c r="P30" s="93">
        <f t="shared" si="37"/>
        <v>2.0634000000000001</v>
      </c>
      <c r="Q30" s="296">
        <f t="shared" si="37"/>
        <v>-136000</v>
      </c>
      <c r="R30" s="10">
        <f t="shared" si="37"/>
        <v>0</v>
      </c>
      <c r="S30" s="10">
        <f t="shared" si="37"/>
        <v>0</v>
      </c>
      <c r="T30" s="10">
        <f t="shared" si="37"/>
        <v>0</v>
      </c>
      <c r="U30" s="10">
        <f t="shared" si="37"/>
        <v>-136000</v>
      </c>
      <c r="V30" s="10">
        <f t="shared" si="37"/>
        <v>136000</v>
      </c>
      <c r="W30" s="10">
        <f t="shared" si="37"/>
        <v>0</v>
      </c>
      <c r="X30" s="10">
        <f t="shared" si="37"/>
        <v>0</v>
      </c>
      <c r="Y30" s="10">
        <f t="shared" si="37"/>
        <v>136000</v>
      </c>
      <c r="Z30" s="10">
        <f t="shared" si="37"/>
        <v>0</v>
      </c>
      <c r="AA30" s="10">
        <f t="shared" si="37"/>
        <v>0</v>
      </c>
      <c r="AB30" s="10">
        <f t="shared" si="37"/>
        <v>-2720</v>
      </c>
      <c r="AC30" s="10">
        <f t="shared" si="37"/>
        <v>0</v>
      </c>
      <c r="AD30" s="10">
        <f t="shared" si="37"/>
        <v>0</v>
      </c>
      <c r="AE30" s="10">
        <f t="shared" si="37"/>
        <v>0</v>
      </c>
      <c r="AF30" s="10">
        <f t="shared" si="37"/>
        <v>-2720</v>
      </c>
      <c r="AG30" s="11">
        <f t="shared" si="37"/>
        <v>-0.11</v>
      </c>
      <c r="AH30" s="11">
        <f t="shared" si="37"/>
        <v>-0.27</v>
      </c>
      <c r="AI30" s="11">
        <f t="shared" si="37"/>
        <v>0</v>
      </c>
      <c r="AJ30" s="11">
        <f t="shared" si="37"/>
        <v>0</v>
      </c>
      <c r="AK30" s="11">
        <f t="shared" si="37"/>
        <v>0</v>
      </c>
      <c r="AL30" s="11">
        <f t="shared" si="37"/>
        <v>-0.11</v>
      </c>
      <c r="AM30" s="11">
        <f t="shared" si="37"/>
        <v>-0.27</v>
      </c>
      <c r="AN30" s="38">
        <f t="shared" si="37"/>
        <v>-0.38</v>
      </c>
      <c r="AO30" s="6">
        <f t="shared" si="37"/>
        <v>13247925</v>
      </c>
      <c r="AP30" s="10">
        <f t="shared" si="37"/>
        <v>9590200</v>
      </c>
      <c r="AQ30" s="10">
        <f t="shared" si="37"/>
        <v>136000</v>
      </c>
      <c r="AR30" s="10">
        <f t="shared" si="37"/>
        <v>3287456</v>
      </c>
      <c r="AS30" s="10">
        <f t="shared" si="37"/>
        <v>191804</v>
      </c>
      <c r="AT30" s="10">
        <f t="shared" si="37"/>
        <v>42465</v>
      </c>
      <c r="AU30" s="11">
        <f t="shared" si="37"/>
        <v>18.442200000000003</v>
      </c>
      <c r="AV30" s="11">
        <f t="shared" si="37"/>
        <v>16.648800000000001</v>
      </c>
      <c r="AW30" s="93">
        <f t="shared" si="37"/>
        <v>1.7934000000000001</v>
      </c>
    </row>
    <row r="31" spans="1:49" s="3" customFormat="1" x14ac:dyDescent="0.2">
      <c r="A31" s="525">
        <v>6</v>
      </c>
      <c r="B31" s="526">
        <v>3401</v>
      </c>
      <c r="C31" s="526">
        <v>650023404</v>
      </c>
      <c r="D31" s="526">
        <v>70981477</v>
      </c>
      <c r="E31" s="524" t="s">
        <v>95</v>
      </c>
      <c r="F31" s="526">
        <v>3111</v>
      </c>
      <c r="G31" s="527" t="s">
        <v>317</v>
      </c>
      <c r="H31" s="528" t="s">
        <v>283</v>
      </c>
      <c r="I31" s="575">
        <f t="shared" ref="I31" si="38">SUM(J31:M31)</f>
        <v>1512546</v>
      </c>
      <c r="J31" s="496">
        <v>1106845</v>
      </c>
      <c r="K31" s="131">
        <f t="shared" ref="K31:K34" si="39">ROUND((J31)*33.8%,0)</f>
        <v>374114</v>
      </c>
      <c r="L31" s="131">
        <f t="shared" ref="L31:L34" si="40">ROUND(J31*2%,0)</f>
        <v>22137</v>
      </c>
      <c r="M31" s="316">
        <v>9450</v>
      </c>
      <c r="N31" s="576">
        <f t="shared" ref="N31:N36" si="41">SUM(O31:P31)</f>
        <v>2.5108999999999999</v>
      </c>
      <c r="O31" s="577">
        <v>2</v>
      </c>
      <c r="P31" s="578">
        <v>0.51090000000000002</v>
      </c>
      <c r="Q31" s="497">
        <f t="shared" ref="Q31:Q36" si="42">V31*-1</f>
        <v>-24000</v>
      </c>
      <c r="R31" s="498">
        <v>0</v>
      </c>
      <c r="S31" s="498">
        <v>0</v>
      </c>
      <c r="T31" s="498">
        <v>0</v>
      </c>
      <c r="U31" s="498">
        <f t="shared" si="2"/>
        <v>-24000</v>
      </c>
      <c r="V31" s="498">
        <v>24000</v>
      </c>
      <c r="W31" s="498">
        <v>0</v>
      </c>
      <c r="X31" s="498">
        <v>0</v>
      </c>
      <c r="Y31" s="498">
        <f t="shared" si="8"/>
        <v>24000</v>
      </c>
      <c r="Z31" s="498">
        <f t="shared" si="3"/>
        <v>0</v>
      </c>
      <c r="AA31" s="131">
        <f t="shared" si="19"/>
        <v>0</v>
      </c>
      <c r="AB31" s="131">
        <f t="shared" si="4"/>
        <v>-480</v>
      </c>
      <c r="AC31" s="498">
        <v>0</v>
      </c>
      <c r="AD31" s="498">
        <v>0</v>
      </c>
      <c r="AE31" s="498">
        <f t="shared" si="5"/>
        <v>0</v>
      </c>
      <c r="AF31" s="498">
        <f t="shared" si="6"/>
        <v>-480</v>
      </c>
      <c r="AG31" s="499">
        <v>0</v>
      </c>
      <c r="AH31" s="499">
        <v>-0.06</v>
      </c>
      <c r="AI31" s="499">
        <v>0</v>
      </c>
      <c r="AJ31" s="499">
        <v>0</v>
      </c>
      <c r="AK31" s="499">
        <v>0</v>
      </c>
      <c r="AL31" s="499">
        <f t="shared" si="9"/>
        <v>0</v>
      </c>
      <c r="AM31" s="499">
        <f t="shared" si="10"/>
        <v>-0.06</v>
      </c>
      <c r="AN31" s="529">
        <f t="shared" si="11"/>
        <v>-0.06</v>
      </c>
      <c r="AO31" s="579">
        <f t="shared" ref="AO31:AO36" si="43">I31+AF31</f>
        <v>1512066</v>
      </c>
      <c r="AP31" s="498">
        <f t="shared" ref="AP31:AP36" si="44">J31+U31</f>
        <v>1082845</v>
      </c>
      <c r="AQ31" s="498">
        <f t="shared" ref="AQ31:AQ36" si="45">Y31</f>
        <v>24000</v>
      </c>
      <c r="AR31" s="498">
        <f t="shared" ref="AR31:AS36" si="46">K31+AA31</f>
        <v>374114</v>
      </c>
      <c r="AS31" s="498">
        <f t="shared" si="46"/>
        <v>21657</v>
      </c>
      <c r="AT31" s="498">
        <f t="shared" ref="AT31:AT36" si="47">M31+AE31</f>
        <v>9450</v>
      </c>
      <c r="AU31" s="499">
        <f t="shared" ref="AU31:AU36" si="48">N31+AN31</f>
        <v>2.4508999999999999</v>
      </c>
      <c r="AV31" s="499">
        <f t="shared" ref="AV31:AW36" si="49">O31+AL31</f>
        <v>2</v>
      </c>
      <c r="AW31" s="500">
        <f t="shared" si="49"/>
        <v>0.45090000000000002</v>
      </c>
    </row>
    <row r="32" spans="1:49" x14ac:dyDescent="0.2">
      <c r="A32" s="525">
        <v>6</v>
      </c>
      <c r="B32" s="526">
        <v>3401</v>
      </c>
      <c r="C32" s="526">
        <v>650023404</v>
      </c>
      <c r="D32" s="526">
        <v>70981477</v>
      </c>
      <c r="E32" s="524" t="s">
        <v>95</v>
      </c>
      <c r="F32" s="526">
        <v>3117</v>
      </c>
      <c r="G32" s="527" t="s">
        <v>320</v>
      </c>
      <c r="H32" s="528" t="s">
        <v>283</v>
      </c>
      <c r="I32" s="575">
        <f>SUM(J32:M32)</f>
        <v>3072643</v>
      </c>
      <c r="J32" s="496">
        <v>2217292</v>
      </c>
      <c r="K32" s="131">
        <f t="shared" si="39"/>
        <v>749445</v>
      </c>
      <c r="L32" s="131">
        <f t="shared" si="40"/>
        <v>44346</v>
      </c>
      <c r="M32" s="316">
        <v>61560</v>
      </c>
      <c r="N32" s="576">
        <f t="shared" si="41"/>
        <v>4.6673</v>
      </c>
      <c r="O32" s="577">
        <v>2.8929</v>
      </c>
      <c r="P32" s="578">
        <v>1.7744</v>
      </c>
      <c r="Q32" s="497">
        <f t="shared" si="42"/>
        <v>-24000</v>
      </c>
      <c r="R32" s="498">
        <v>0</v>
      </c>
      <c r="S32" s="498">
        <v>0</v>
      </c>
      <c r="T32" s="498">
        <v>0</v>
      </c>
      <c r="U32" s="498">
        <f t="shared" si="2"/>
        <v>-24000</v>
      </c>
      <c r="V32" s="498">
        <v>24000</v>
      </c>
      <c r="W32" s="498">
        <v>0</v>
      </c>
      <c r="X32" s="498">
        <v>0</v>
      </c>
      <c r="Y32" s="498">
        <f t="shared" si="8"/>
        <v>24000</v>
      </c>
      <c r="Z32" s="498">
        <f t="shared" si="3"/>
        <v>0</v>
      </c>
      <c r="AA32" s="131">
        <f t="shared" si="19"/>
        <v>0</v>
      </c>
      <c r="AB32" s="131">
        <f t="shared" si="4"/>
        <v>-480</v>
      </c>
      <c r="AC32" s="498">
        <v>0</v>
      </c>
      <c r="AD32" s="498">
        <v>0</v>
      </c>
      <c r="AE32" s="498">
        <f t="shared" si="5"/>
        <v>0</v>
      </c>
      <c r="AF32" s="498">
        <f t="shared" si="6"/>
        <v>-480</v>
      </c>
      <c r="AG32" s="499">
        <v>0</v>
      </c>
      <c r="AH32" s="499">
        <v>-0.06</v>
      </c>
      <c r="AI32" s="499">
        <v>0</v>
      </c>
      <c r="AJ32" s="499">
        <v>0</v>
      </c>
      <c r="AK32" s="499">
        <v>0</v>
      </c>
      <c r="AL32" s="499">
        <f t="shared" si="9"/>
        <v>0</v>
      </c>
      <c r="AM32" s="499">
        <f t="shared" si="10"/>
        <v>-0.06</v>
      </c>
      <c r="AN32" s="529">
        <f t="shared" si="11"/>
        <v>-0.06</v>
      </c>
      <c r="AO32" s="579">
        <f t="shared" si="43"/>
        <v>3072163</v>
      </c>
      <c r="AP32" s="498">
        <f t="shared" si="44"/>
        <v>2193292</v>
      </c>
      <c r="AQ32" s="498">
        <f t="shared" si="45"/>
        <v>24000</v>
      </c>
      <c r="AR32" s="498">
        <f>K32+AA32</f>
        <v>749445</v>
      </c>
      <c r="AS32" s="498">
        <f>L32+AB32</f>
        <v>43866</v>
      </c>
      <c r="AT32" s="498">
        <f t="shared" si="47"/>
        <v>61560</v>
      </c>
      <c r="AU32" s="499">
        <f t="shared" si="48"/>
        <v>4.6073000000000004</v>
      </c>
      <c r="AV32" s="499">
        <f>O32+AL32</f>
        <v>2.8929</v>
      </c>
      <c r="AW32" s="500">
        <f>P32+AM32</f>
        <v>1.7143999999999999</v>
      </c>
    </row>
    <row r="33" spans="1:49" x14ac:dyDescent="0.2">
      <c r="A33" s="525">
        <v>6</v>
      </c>
      <c r="B33" s="526">
        <v>3401</v>
      </c>
      <c r="C33" s="526">
        <v>650023404</v>
      </c>
      <c r="D33" s="526">
        <v>70981477</v>
      </c>
      <c r="E33" s="524" t="s">
        <v>95</v>
      </c>
      <c r="F33" s="526">
        <v>3117</v>
      </c>
      <c r="G33" s="527" t="s">
        <v>325</v>
      </c>
      <c r="H33" s="528" t="s">
        <v>284</v>
      </c>
      <c r="I33" s="575">
        <f>SUM(J33:M33)</f>
        <v>0</v>
      </c>
      <c r="J33" s="496">
        <v>0</v>
      </c>
      <c r="K33" s="131">
        <f t="shared" si="39"/>
        <v>0</v>
      </c>
      <c r="L33" s="131">
        <f t="shared" si="40"/>
        <v>0</v>
      </c>
      <c r="M33" s="316">
        <v>0</v>
      </c>
      <c r="N33" s="576">
        <f t="shared" si="41"/>
        <v>0</v>
      </c>
      <c r="O33" s="577">
        <v>0</v>
      </c>
      <c r="P33" s="578">
        <v>0</v>
      </c>
      <c r="Q33" s="497">
        <f t="shared" si="42"/>
        <v>0</v>
      </c>
      <c r="R33" s="498">
        <v>144352</v>
      </c>
      <c r="S33" s="498">
        <v>0</v>
      </c>
      <c r="T33" s="498">
        <v>0</v>
      </c>
      <c r="U33" s="498">
        <f t="shared" si="2"/>
        <v>144352</v>
      </c>
      <c r="V33" s="498">
        <v>0</v>
      </c>
      <c r="W33" s="498">
        <v>0</v>
      </c>
      <c r="X33" s="498">
        <v>0</v>
      </c>
      <c r="Y33" s="498">
        <f t="shared" ref="Y33" si="50">SUM(V33:X33)</f>
        <v>0</v>
      </c>
      <c r="Z33" s="498">
        <f t="shared" si="3"/>
        <v>144352</v>
      </c>
      <c r="AA33" s="131">
        <f t="shared" si="19"/>
        <v>48791</v>
      </c>
      <c r="AB33" s="131">
        <f t="shared" si="4"/>
        <v>2887</v>
      </c>
      <c r="AC33" s="498">
        <v>0</v>
      </c>
      <c r="AD33" s="498">
        <v>0</v>
      </c>
      <c r="AE33" s="498">
        <f t="shared" si="5"/>
        <v>0</v>
      </c>
      <c r="AF33" s="498">
        <f t="shared" si="6"/>
        <v>196030</v>
      </c>
      <c r="AG33" s="499">
        <v>0</v>
      </c>
      <c r="AH33" s="499">
        <v>0</v>
      </c>
      <c r="AI33" s="499">
        <v>0.42</v>
      </c>
      <c r="AJ33" s="499">
        <v>0</v>
      </c>
      <c r="AK33" s="499">
        <v>0</v>
      </c>
      <c r="AL33" s="499">
        <f t="shared" si="9"/>
        <v>0.42</v>
      </c>
      <c r="AM33" s="499">
        <f t="shared" si="10"/>
        <v>0</v>
      </c>
      <c r="AN33" s="529">
        <f t="shared" si="11"/>
        <v>0.42</v>
      </c>
      <c r="AO33" s="579">
        <f t="shared" si="43"/>
        <v>196030</v>
      </c>
      <c r="AP33" s="498">
        <f t="shared" si="44"/>
        <v>144352</v>
      </c>
      <c r="AQ33" s="498">
        <f t="shared" si="45"/>
        <v>0</v>
      </c>
      <c r="AR33" s="498">
        <f>K33+AA33</f>
        <v>48791</v>
      </c>
      <c r="AS33" s="498">
        <f>L33+AB33</f>
        <v>2887</v>
      </c>
      <c r="AT33" s="498">
        <f t="shared" si="47"/>
        <v>0</v>
      </c>
      <c r="AU33" s="499">
        <f t="shared" si="48"/>
        <v>0.42</v>
      </c>
      <c r="AV33" s="499">
        <f>O33+AL33</f>
        <v>0.42</v>
      </c>
      <c r="AW33" s="500">
        <f>P33+AM33</f>
        <v>0</v>
      </c>
    </row>
    <row r="34" spans="1:49" x14ac:dyDescent="0.2">
      <c r="A34" s="525">
        <v>6</v>
      </c>
      <c r="B34" s="526">
        <v>3401</v>
      </c>
      <c r="C34" s="526">
        <v>650023404</v>
      </c>
      <c r="D34" s="526">
        <v>70981477</v>
      </c>
      <c r="E34" s="524" t="s">
        <v>95</v>
      </c>
      <c r="F34" s="526">
        <v>3141</v>
      </c>
      <c r="G34" s="527" t="s">
        <v>321</v>
      </c>
      <c r="H34" s="528" t="s">
        <v>284</v>
      </c>
      <c r="I34" s="575">
        <f>SUM(J34:M34)</f>
        <v>723548</v>
      </c>
      <c r="J34" s="496">
        <v>530370</v>
      </c>
      <c r="K34" s="131">
        <f t="shared" si="39"/>
        <v>179265</v>
      </c>
      <c r="L34" s="131">
        <f t="shared" si="40"/>
        <v>10607</v>
      </c>
      <c r="M34" s="316">
        <v>3306</v>
      </c>
      <c r="N34" s="576">
        <f t="shared" si="41"/>
        <v>1.8</v>
      </c>
      <c r="O34" s="577">
        <v>0</v>
      </c>
      <c r="P34" s="578">
        <v>1.8</v>
      </c>
      <c r="Q34" s="497">
        <f t="shared" si="42"/>
        <v>-8000</v>
      </c>
      <c r="R34" s="498">
        <v>0</v>
      </c>
      <c r="S34" s="498">
        <v>0</v>
      </c>
      <c r="T34" s="498">
        <v>0</v>
      </c>
      <c r="U34" s="498">
        <f t="shared" si="2"/>
        <v>-8000</v>
      </c>
      <c r="V34" s="498">
        <v>8000</v>
      </c>
      <c r="W34" s="498">
        <v>0</v>
      </c>
      <c r="X34" s="498">
        <v>0</v>
      </c>
      <c r="Y34" s="498">
        <f t="shared" si="8"/>
        <v>8000</v>
      </c>
      <c r="Z34" s="498">
        <f t="shared" si="3"/>
        <v>0</v>
      </c>
      <c r="AA34" s="131">
        <f t="shared" si="19"/>
        <v>0</v>
      </c>
      <c r="AB34" s="131">
        <f t="shared" si="4"/>
        <v>-160</v>
      </c>
      <c r="AC34" s="498">
        <v>0</v>
      </c>
      <c r="AD34" s="498">
        <v>0</v>
      </c>
      <c r="AE34" s="498">
        <f t="shared" si="5"/>
        <v>0</v>
      </c>
      <c r="AF34" s="498">
        <f t="shared" si="6"/>
        <v>-160</v>
      </c>
      <c r="AG34" s="499">
        <v>0</v>
      </c>
      <c r="AH34" s="499">
        <v>0</v>
      </c>
      <c r="AI34" s="499">
        <v>0</v>
      </c>
      <c r="AJ34" s="499">
        <v>0</v>
      </c>
      <c r="AK34" s="499">
        <v>0</v>
      </c>
      <c r="AL34" s="499">
        <f t="shared" si="9"/>
        <v>0</v>
      </c>
      <c r="AM34" s="499">
        <f t="shared" si="10"/>
        <v>0</v>
      </c>
      <c r="AN34" s="529">
        <f t="shared" si="11"/>
        <v>0</v>
      </c>
      <c r="AO34" s="579">
        <f t="shared" si="43"/>
        <v>723388</v>
      </c>
      <c r="AP34" s="498">
        <f t="shared" si="44"/>
        <v>522370</v>
      </c>
      <c r="AQ34" s="498">
        <f t="shared" si="45"/>
        <v>8000</v>
      </c>
      <c r="AR34" s="498">
        <f t="shared" si="46"/>
        <v>179265</v>
      </c>
      <c r="AS34" s="498">
        <f t="shared" si="46"/>
        <v>10447</v>
      </c>
      <c r="AT34" s="498">
        <f t="shared" si="47"/>
        <v>3306</v>
      </c>
      <c r="AU34" s="499">
        <f t="shared" si="48"/>
        <v>1.8</v>
      </c>
      <c r="AV34" s="499">
        <f t="shared" si="49"/>
        <v>0</v>
      </c>
      <c r="AW34" s="500">
        <f t="shared" si="49"/>
        <v>1.8</v>
      </c>
    </row>
    <row r="35" spans="1:49" x14ac:dyDescent="0.2">
      <c r="A35" s="525">
        <v>6</v>
      </c>
      <c r="B35" s="526">
        <v>3401</v>
      </c>
      <c r="C35" s="526">
        <v>650023404</v>
      </c>
      <c r="D35" s="526">
        <v>70981477</v>
      </c>
      <c r="E35" s="524" t="s">
        <v>95</v>
      </c>
      <c r="F35" s="526">
        <v>3143</v>
      </c>
      <c r="G35" s="527" t="s">
        <v>635</v>
      </c>
      <c r="H35" s="574" t="s">
        <v>283</v>
      </c>
      <c r="I35" s="575">
        <f t="shared" ref="I35" si="51">SUM(J35:M35)</f>
        <v>716520</v>
      </c>
      <c r="J35" s="496">
        <v>527630</v>
      </c>
      <c r="K35" s="131">
        <v>178338</v>
      </c>
      <c r="L35" s="131">
        <v>10552</v>
      </c>
      <c r="M35" s="316">
        <v>0</v>
      </c>
      <c r="N35" s="576">
        <f t="shared" si="41"/>
        <v>1</v>
      </c>
      <c r="O35" s="577">
        <v>1</v>
      </c>
      <c r="P35" s="578">
        <v>0</v>
      </c>
      <c r="Q35" s="497">
        <f t="shared" si="42"/>
        <v>-8000</v>
      </c>
      <c r="R35" s="498">
        <v>0</v>
      </c>
      <c r="S35" s="498">
        <v>0</v>
      </c>
      <c r="T35" s="498">
        <v>0</v>
      </c>
      <c r="U35" s="498">
        <f t="shared" si="2"/>
        <v>-8000</v>
      </c>
      <c r="V35" s="498">
        <v>8000</v>
      </c>
      <c r="W35" s="498">
        <v>0</v>
      </c>
      <c r="X35" s="498">
        <v>0</v>
      </c>
      <c r="Y35" s="498">
        <f t="shared" si="8"/>
        <v>8000</v>
      </c>
      <c r="Z35" s="498">
        <f t="shared" si="3"/>
        <v>0</v>
      </c>
      <c r="AA35" s="131">
        <f t="shared" si="19"/>
        <v>0</v>
      </c>
      <c r="AB35" s="131">
        <f t="shared" si="4"/>
        <v>-160</v>
      </c>
      <c r="AC35" s="498">
        <v>0</v>
      </c>
      <c r="AD35" s="498">
        <v>0</v>
      </c>
      <c r="AE35" s="498">
        <f t="shared" si="5"/>
        <v>0</v>
      </c>
      <c r="AF35" s="498">
        <f t="shared" si="6"/>
        <v>-160</v>
      </c>
      <c r="AG35" s="499">
        <v>0</v>
      </c>
      <c r="AH35" s="499">
        <v>0</v>
      </c>
      <c r="AI35" s="499">
        <v>0</v>
      </c>
      <c r="AJ35" s="499">
        <v>0</v>
      </c>
      <c r="AK35" s="499">
        <v>0</v>
      </c>
      <c r="AL35" s="499">
        <f t="shared" si="9"/>
        <v>0</v>
      </c>
      <c r="AM35" s="499">
        <f t="shared" si="10"/>
        <v>0</v>
      </c>
      <c r="AN35" s="529">
        <f t="shared" si="11"/>
        <v>0</v>
      </c>
      <c r="AO35" s="579">
        <f t="shared" si="43"/>
        <v>716360</v>
      </c>
      <c r="AP35" s="498">
        <f t="shared" si="44"/>
        <v>519630</v>
      </c>
      <c r="AQ35" s="498">
        <f t="shared" si="45"/>
        <v>8000</v>
      </c>
      <c r="AR35" s="498">
        <f t="shared" si="46"/>
        <v>178338</v>
      </c>
      <c r="AS35" s="498">
        <f t="shared" si="46"/>
        <v>10392</v>
      </c>
      <c r="AT35" s="498">
        <f t="shared" si="47"/>
        <v>0</v>
      </c>
      <c r="AU35" s="499">
        <f t="shared" si="48"/>
        <v>1</v>
      </c>
      <c r="AV35" s="499">
        <f t="shared" si="49"/>
        <v>1</v>
      </c>
      <c r="AW35" s="500">
        <f t="shared" si="49"/>
        <v>0</v>
      </c>
    </row>
    <row r="36" spans="1:49" x14ac:dyDescent="0.2">
      <c r="A36" s="525">
        <v>6</v>
      </c>
      <c r="B36" s="526">
        <v>3401</v>
      </c>
      <c r="C36" s="526">
        <v>650023404</v>
      </c>
      <c r="D36" s="526">
        <v>70981477</v>
      </c>
      <c r="E36" s="524" t="s">
        <v>95</v>
      </c>
      <c r="F36" s="526">
        <v>3143</v>
      </c>
      <c r="G36" s="527" t="s">
        <v>636</v>
      </c>
      <c r="H36" s="574" t="s">
        <v>284</v>
      </c>
      <c r="I36" s="575">
        <f>SUM(J36:M36)</f>
        <v>20364</v>
      </c>
      <c r="J36" s="496">
        <v>14355</v>
      </c>
      <c r="K36" s="131">
        <f t="shared" ref="K36" si="52">ROUND((J36)*33.8%,0)</f>
        <v>4852</v>
      </c>
      <c r="L36" s="131">
        <f t="shared" ref="L36" si="53">ROUND(J36*2%,0)</f>
        <v>287</v>
      </c>
      <c r="M36" s="316">
        <v>870</v>
      </c>
      <c r="N36" s="576">
        <f t="shared" si="41"/>
        <v>0.06</v>
      </c>
      <c r="O36" s="577">
        <v>0</v>
      </c>
      <c r="P36" s="578">
        <v>0.06</v>
      </c>
      <c r="Q36" s="497">
        <f t="shared" si="42"/>
        <v>0</v>
      </c>
      <c r="R36" s="498">
        <v>0</v>
      </c>
      <c r="S36" s="498">
        <v>0</v>
      </c>
      <c r="T36" s="498">
        <v>0</v>
      </c>
      <c r="U36" s="498">
        <f t="shared" si="2"/>
        <v>0</v>
      </c>
      <c r="V36" s="498">
        <v>0</v>
      </c>
      <c r="W36" s="498">
        <v>0</v>
      </c>
      <c r="X36" s="498">
        <v>0</v>
      </c>
      <c r="Y36" s="498">
        <f t="shared" si="8"/>
        <v>0</v>
      </c>
      <c r="Z36" s="498">
        <f t="shared" si="3"/>
        <v>0</v>
      </c>
      <c r="AA36" s="131">
        <f t="shared" si="19"/>
        <v>0</v>
      </c>
      <c r="AB36" s="131">
        <f t="shared" si="4"/>
        <v>0</v>
      </c>
      <c r="AC36" s="498">
        <v>0</v>
      </c>
      <c r="AD36" s="498">
        <v>0</v>
      </c>
      <c r="AE36" s="498">
        <f t="shared" si="5"/>
        <v>0</v>
      </c>
      <c r="AF36" s="498">
        <f t="shared" si="6"/>
        <v>0</v>
      </c>
      <c r="AG36" s="499">
        <v>0</v>
      </c>
      <c r="AH36" s="499">
        <v>0</v>
      </c>
      <c r="AI36" s="499">
        <v>0</v>
      </c>
      <c r="AJ36" s="499">
        <v>0</v>
      </c>
      <c r="AK36" s="499">
        <v>0</v>
      </c>
      <c r="AL36" s="499">
        <f t="shared" si="9"/>
        <v>0</v>
      </c>
      <c r="AM36" s="499">
        <f t="shared" si="10"/>
        <v>0</v>
      </c>
      <c r="AN36" s="529">
        <f t="shared" si="11"/>
        <v>0</v>
      </c>
      <c r="AO36" s="579">
        <f t="shared" si="43"/>
        <v>20364</v>
      </c>
      <c r="AP36" s="498">
        <f t="shared" si="44"/>
        <v>14355</v>
      </c>
      <c r="AQ36" s="498">
        <f t="shared" si="45"/>
        <v>0</v>
      </c>
      <c r="AR36" s="498">
        <f t="shared" si="46"/>
        <v>4852</v>
      </c>
      <c r="AS36" s="498">
        <f t="shared" si="46"/>
        <v>287</v>
      </c>
      <c r="AT36" s="498">
        <f t="shared" si="47"/>
        <v>870</v>
      </c>
      <c r="AU36" s="499">
        <f t="shared" si="48"/>
        <v>0.06</v>
      </c>
      <c r="AV36" s="499">
        <f t="shared" si="49"/>
        <v>0</v>
      </c>
      <c r="AW36" s="500">
        <f t="shared" si="49"/>
        <v>0.06</v>
      </c>
    </row>
    <row r="37" spans="1:49" x14ac:dyDescent="0.2">
      <c r="A37" s="302">
        <v>6</v>
      </c>
      <c r="B37" s="32">
        <v>3401</v>
      </c>
      <c r="C37" s="32">
        <v>650023404</v>
      </c>
      <c r="D37" s="32">
        <v>70981477</v>
      </c>
      <c r="E37" s="311" t="s">
        <v>96</v>
      </c>
      <c r="F37" s="32"/>
      <c r="G37" s="301"/>
      <c r="H37" s="454"/>
      <c r="I37" s="6">
        <f t="shared" ref="I37:P37" si="54">SUM(I31:I36)</f>
        <v>6045621</v>
      </c>
      <c r="J37" s="10">
        <f t="shared" si="54"/>
        <v>4396492</v>
      </c>
      <c r="K37" s="10">
        <f t="shared" si="54"/>
        <v>1486014</v>
      </c>
      <c r="L37" s="10">
        <f t="shared" si="54"/>
        <v>87929</v>
      </c>
      <c r="M37" s="10">
        <f t="shared" si="54"/>
        <v>75186</v>
      </c>
      <c r="N37" s="11">
        <f t="shared" si="54"/>
        <v>10.038200000000002</v>
      </c>
      <c r="O37" s="11">
        <f t="shared" si="54"/>
        <v>5.8929</v>
      </c>
      <c r="P37" s="93">
        <f t="shared" si="54"/>
        <v>4.1452999999999998</v>
      </c>
      <c r="Q37" s="296">
        <f t="shared" ref="Q37:AW37" si="55">SUM(Q31:Q36)</f>
        <v>-64000</v>
      </c>
      <c r="R37" s="10">
        <f t="shared" si="55"/>
        <v>144352</v>
      </c>
      <c r="S37" s="10">
        <f t="shared" si="55"/>
        <v>0</v>
      </c>
      <c r="T37" s="10">
        <f t="shared" si="55"/>
        <v>0</v>
      </c>
      <c r="U37" s="10">
        <f t="shared" si="55"/>
        <v>80352</v>
      </c>
      <c r="V37" s="10">
        <f t="shared" si="55"/>
        <v>64000</v>
      </c>
      <c r="W37" s="10">
        <f t="shared" si="55"/>
        <v>0</v>
      </c>
      <c r="X37" s="10">
        <f t="shared" si="55"/>
        <v>0</v>
      </c>
      <c r="Y37" s="10">
        <f t="shared" si="55"/>
        <v>64000</v>
      </c>
      <c r="Z37" s="10">
        <f t="shared" si="55"/>
        <v>144352</v>
      </c>
      <c r="AA37" s="10">
        <f t="shared" si="55"/>
        <v>48791</v>
      </c>
      <c r="AB37" s="10">
        <f t="shared" si="55"/>
        <v>1607</v>
      </c>
      <c r="AC37" s="10">
        <f t="shared" si="55"/>
        <v>0</v>
      </c>
      <c r="AD37" s="10">
        <f t="shared" si="55"/>
        <v>0</v>
      </c>
      <c r="AE37" s="10">
        <f t="shared" si="55"/>
        <v>0</v>
      </c>
      <c r="AF37" s="10">
        <f t="shared" si="55"/>
        <v>194750</v>
      </c>
      <c r="AG37" s="11">
        <f t="shared" si="55"/>
        <v>0</v>
      </c>
      <c r="AH37" s="11">
        <f t="shared" si="55"/>
        <v>-0.12</v>
      </c>
      <c r="AI37" s="11">
        <f t="shared" si="55"/>
        <v>0.42</v>
      </c>
      <c r="AJ37" s="11">
        <f t="shared" si="55"/>
        <v>0</v>
      </c>
      <c r="AK37" s="11">
        <f t="shared" si="55"/>
        <v>0</v>
      </c>
      <c r="AL37" s="11">
        <f t="shared" si="55"/>
        <v>0.42</v>
      </c>
      <c r="AM37" s="11">
        <f t="shared" si="55"/>
        <v>-0.12</v>
      </c>
      <c r="AN37" s="38">
        <f t="shared" si="55"/>
        <v>0.3</v>
      </c>
      <c r="AO37" s="6">
        <f t="shared" si="55"/>
        <v>6240371</v>
      </c>
      <c r="AP37" s="10">
        <f t="shared" si="55"/>
        <v>4476844</v>
      </c>
      <c r="AQ37" s="10">
        <f t="shared" si="55"/>
        <v>64000</v>
      </c>
      <c r="AR37" s="10">
        <f t="shared" si="55"/>
        <v>1534805</v>
      </c>
      <c r="AS37" s="10">
        <f t="shared" si="55"/>
        <v>89536</v>
      </c>
      <c r="AT37" s="10">
        <f t="shared" si="55"/>
        <v>75186</v>
      </c>
      <c r="AU37" s="11">
        <f t="shared" si="55"/>
        <v>10.338200000000001</v>
      </c>
      <c r="AV37" s="11">
        <f t="shared" si="55"/>
        <v>6.3129</v>
      </c>
      <c r="AW37" s="93">
        <f t="shared" si="55"/>
        <v>4.0252999999999997</v>
      </c>
    </row>
    <row r="38" spans="1:49" x14ac:dyDescent="0.2">
      <c r="A38" s="525">
        <v>7</v>
      </c>
      <c r="B38" s="526">
        <v>3404</v>
      </c>
      <c r="C38" s="526">
        <v>650023021</v>
      </c>
      <c r="D38" s="526">
        <v>70982597</v>
      </c>
      <c r="E38" s="524" t="s">
        <v>97</v>
      </c>
      <c r="F38" s="526">
        <v>3111</v>
      </c>
      <c r="G38" s="527" t="s">
        <v>317</v>
      </c>
      <c r="H38" s="528" t="s">
        <v>283</v>
      </c>
      <c r="I38" s="575">
        <f t="shared" ref="I38:I42" si="56">SUM(J38:M38)</f>
        <v>5962850</v>
      </c>
      <c r="J38" s="496">
        <v>4364065</v>
      </c>
      <c r="K38" s="131">
        <f t="shared" ref="K38:K43" si="57">ROUND((J38)*33.8%,0)</f>
        <v>1475054</v>
      </c>
      <c r="L38" s="131">
        <f t="shared" ref="L38:L43" si="58">ROUND(J38*2%,0)</f>
        <v>87281</v>
      </c>
      <c r="M38" s="316">
        <v>36450</v>
      </c>
      <c r="N38" s="576">
        <f t="shared" ref="N38:N43" si="59">SUM(O38:P38)</f>
        <v>9.9726999999999997</v>
      </c>
      <c r="O38" s="577">
        <v>8.1289999999999996</v>
      </c>
      <c r="P38" s="578">
        <v>1.8436999999999999</v>
      </c>
      <c r="Q38" s="497">
        <f t="shared" ref="Q38:Q43" si="60">V38*-1</f>
        <v>0</v>
      </c>
      <c r="R38" s="498">
        <v>0</v>
      </c>
      <c r="S38" s="498">
        <v>0</v>
      </c>
      <c r="T38" s="498">
        <v>0</v>
      </c>
      <c r="U38" s="498">
        <f t="shared" si="2"/>
        <v>0</v>
      </c>
      <c r="V38" s="498">
        <v>0</v>
      </c>
      <c r="W38" s="498">
        <v>0</v>
      </c>
      <c r="X38" s="498">
        <v>0</v>
      </c>
      <c r="Y38" s="498">
        <f t="shared" si="8"/>
        <v>0</v>
      </c>
      <c r="Z38" s="498">
        <f t="shared" si="3"/>
        <v>0</v>
      </c>
      <c r="AA38" s="131">
        <f t="shared" si="19"/>
        <v>0</v>
      </c>
      <c r="AB38" s="131">
        <f t="shared" si="4"/>
        <v>0</v>
      </c>
      <c r="AC38" s="498">
        <v>0</v>
      </c>
      <c r="AD38" s="498">
        <v>0</v>
      </c>
      <c r="AE38" s="498">
        <f t="shared" si="5"/>
        <v>0</v>
      </c>
      <c r="AF38" s="498">
        <f t="shared" si="6"/>
        <v>0</v>
      </c>
      <c r="AG38" s="499">
        <v>0</v>
      </c>
      <c r="AH38" s="499">
        <v>0</v>
      </c>
      <c r="AI38" s="499">
        <v>0</v>
      </c>
      <c r="AJ38" s="499">
        <v>0</v>
      </c>
      <c r="AK38" s="499">
        <v>0</v>
      </c>
      <c r="AL38" s="499">
        <f t="shared" si="9"/>
        <v>0</v>
      </c>
      <c r="AM38" s="499">
        <f t="shared" si="10"/>
        <v>0</v>
      </c>
      <c r="AN38" s="529">
        <f t="shared" si="11"/>
        <v>0</v>
      </c>
      <c r="AO38" s="579">
        <f t="shared" ref="AO38:AO43" si="61">I38+AF38</f>
        <v>5962850</v>
      </c>
      <c r="AP38" s="498">
        <f t="shared" ref="AP38:AP43" si="62">J38+U38</f>
        <v>4364065</v>
      </c>
      <c r="AQ38" s="498">
        <f t="shared" ref="AQ38:AQ43" si="63">Y38</f>
        <v>0</v>
      </c>
      <c r="AR38" s="498">
        <f t="shared" ref="AR38:AS43" si="64">K38+AA38</f>
        <v>1475054</v>
      </c>
      <c r="AS38" s="498">
        <f t="shared" si="64"/>
        <v>87281</v>
      </c>
      <c r="AT38" s="498">
        <f t="shared" ref="AT38:AT43" si="65">M38+AE38</f>
        <v>36450</v>
      </c>
      <c r="AU38" s="499">
        <f t="shared" ref="AU38:AU43" si="66">N38+AN38</f>
        <v>9.9726999999999997</v>
      </c>
      <c r="AV38" s="499">
        <f t="shared" ref="AV38:AW43" si="67">O38+AL38</f>
        <v>8.1289999999999996</v>
      </c>
      <c r="AW38" s="500">
        <f t="shared" si="67"/>
        <v>1.8436999999999999</v>
      </c>
    </row>
    <row r="39" spans="1:49" x14ac:dyDescent="0.2">
      <c r="A39" s="525">
        <v>7</v>
      </c>
      <c r="B39" s="526">
        <v>3404</v>
      </c>
      <c r="C39" s="526">
        <v>650023021</v>
      </c>
      <c r="D39" s="526">
        <v>70982597</v>
      </c>
      <c r="E39" s="524" t="s">
        <v>97</v>
      </c>
      <c r="F39" s="526">
        <v>3113</v>
      </c>
      <c r="G39" s="527" t="s">
        <v>320</v>
      </c>
      <c r="H39" s="528" t="s">
        <v>283</v>
      </c>
      <c r="I39" s="575">
        <f t="shared" si="56"/>
        <v>18303613</v>
      </c>
      <c r="J39" s="496">
        <v>13218905</v>
      </c>
      <c r="K39" s="131">
        <f t="shared" si="57"/>
        <v>4467990</v>
      </c>
      <c r="L39" s="131">
        <f t="shared" si="58"/>
        <v>264378</v>
      </c>
      <c r="M39" s="316">
        <v>352340</v>
      </c>
      <c r="N39" s="576">
        <f t="shared" si="59"/>
        <v>26.759599999999999</v>
      </c>
      <c r="O39" s="577">
        <v>19.454499999999999</v>
      </c>
      <c r="P39" s="578">
        <v>7.3050999999999995</v>
      </c>
      <c r="Q39" s="497">
        <f t="shared" si="60"/>
        <v>0</v>
      </c>
      <c r="R39" s="498">
        <v>0</v>
      </c>
      <c r="S39" s="498">
        <v>0</v>
      </c>
      <c r="T39" s="498">
        <v>236000</v>
      </c>
      <c r="U39" s="498">
        <f t="shared" si="2"/>
        <v>236000</v>
      </c>
      <c r="V39" s="498">
        <v>0</v>
      </c>
      <c r="W39" s="498">
        <v>73088</v>
      </c>
      <c r="X39" s="498">
        <v>0</v>
      </c>
      <c r="Y39" s="498">
        <f t="shared" si="8"/>
        <v>73088</v>
      </c>
      <c r="Z39" s="498">
        <f t="shared" si="3"/>
        <v>309088</v>
      </c>
      <c r="AA39" s="131">
        <f t="shared" si="19"/>
        <v>104472</v>
      </c>
      <c r="AB39" s="131">
        <f t="shared" si="4"/>
        <v>4720</v>
      </c>
      <c r="AC39" s="498">
        <v>0</v>
      </c>
      <c r="AD39" s="498">
        <v>16180</v>
      </c>
      <c r="AE39" s="498">
        <f t="shared" si="5"/>
        <v>16180</v>
      </c>
      <c r="AF39" s="498">
        <f t="shared" si="6"/>
        <v>434460</v>
      </c>
      <c r="AG39" s="499">
        <v>0</v>
      </c>
      <c r="AH39" s="499">
        <v>0</v>
      </c>
      <c r="AI39" s="499">
        <v>0</v>
      </c>
      <c r="AJ39" s="499">
        <v>0.42</v>
      </c>
      <c r="AK39" s="499">
        <v>0</v>
      </c>
      <c r="AL39" s="499">
        <f t="shared" si="9"/>
        <v>0.42</v>
      </c>
      <c r="AM39" s="499">
        <f t="shared" si="10"/>
        <v>0</v>
      </c>
      <c r="AN39" s="529">
        <f t="shared" si="11"/>
        <v>0.42</v>
      </c>
      <c r="AO39" s="579">
        <f t="shared" si="61"/>
        <v>18738073</v>
      </c>
      <c r="AP39" s="498">
        <f t="shared" si="62"/>
        <v>13454905</v>
      </c>
      <c r="AQ39" s="498">
        <f t="shared" si="63"/>
        <v>73088</v>
      </c>
      <c r="AR39" s="498">
        <f t="shared" si="64"/>
        <v>4572462</v>
      </c>
      <c r="AS39" s="498">
        <f t="shared" si="64"/>
        <v>269098</v>
      </c>
      <c r="AT39" s="498">
        <f t="shared" si="65"/>
        <v>368520</v>
      </c>
      <c r="AU39" s="499">
        <f t="shared" si="66"/>
        <v>27.179600000000001</v>
      </c>
      <c r="AV39" s="499">
        <f t="shared" si="67"/>
        <v>19.874500000000001</v>
      </c>
      <c r="AW39" s="500">
        <f t="shared" si="67"/>
        <v>7.3050999999999995</v>
      </c>
    </row>
    <row r="40" spans="1:49" x14ac:dyDescent="0.2">
      <c r="A40" s="525">
        <v>7</v>
      </c>
      <c r="B40" s="526">
        <v>3404</v>
      </c>
      <c r="C40" s="526">
        <v>650023021</v>
      </c>
      <c r="D40" s="526">
        <v>70982597</v>
      </c>
      <c r="E40" s="524" t="s">
        <v>97</v>
      </c>
      <c r="F40" s="526">
        <v>3113</v>
      </c>
      <c r="G40" s="527" t="s">
        <v>318</v>
      </c>
      <c r="H40" s="528" t="s">
        <v>284</v>
      </c>
      <c r="I40" s="575">
        <f t="shared" si="56"/>
        <v>0</v>
      </c>
      <c r="J40" s="496">
        <v>0</v>
      </c>
      <c r="K40" s="131">
        <f t="shared" si="57"/>
        <v>0</v>
      </c>
      <c r="L40" s="131">
        <f t="shared" si="58"/>
        <v>0</v>
      </c>
      <c r="M40" s="316">
        <v>0</v>
      </c>
      <c r="N40" s="576">
        <f t="shared" si="59"/>
        <v>0</v>
      </c>
      <c r="O40" s="577">
        <v>0</v>
      </c>
      <c r="P40" s="578">
        <v>0</v>
      </c>
      <c r="Q40" s="497">
        <f t="shared" si="60"/>
        <v>0</v>
      </c>
      <c r="R40" s="496">
        <v>2440669</v>
      </c>
      <c r="S40" s="498">
        <v>0</v>
      </c>
      <c r="T40" s="498">
        <v>0</v>
      </c>
      <c r="U40" s="498">
        <f t="shared" si="2"/>
        <v>2440669</v>
      </c>
      <c r="V40" s="498">
        <v>0</v>
      </c>
      <c r="W40" s="498">
        <v>0</v>
      </c>
      <c r="X40" s="498">
        <v>0</v>
      </c>
      <c r="Y40" s="498">
        <f t="shared" si="8"/>
        <v>0</v>
      </c>
      <c r="Z40" s="498">
        <f t="shared" si="3"/>
        <v>2440669</v>
      </c>
      <c r="AA40" s="131">
        <f t="shared" si="19"/>
        <v>824946</v>
      </c>
      <c r="AB40" s="131">
        <f t="shared" si="4"/>
        <v>48813</v>
      </c>
      <c r="AC40" s="498">
        <v>2500</v>
      </c>
      <c r="AD40" s="498">
        <v>0</v>
      </c>
      <c r="AE40" s="498">
        <f t="shared" si="5"/>
        <v>2500</v>
      </c>
      <c r="AF40" s="498">
        <f t="shared" si="6"/>
        <v>3316928</v>
      </c>
      <c r="AG40" s="499">
        <v>0</v>
      </c>
      <c r="AH40" s="499">
        <v>0</v>
      </c>
      <c r="AI40" s="499">
        <v>6.98</v>
      </c>
      <c r="AJ40" s="499">
        <v>0</v>
      </c>
      <c r="AK40" s="499">
        <v>0</v>
      </c>
      <c r="AL40" s="499">
        <f t="shared" si="9"/>
        <v>6.98</v>
      </c>
      <c r="AM40" s="499">
        <f t="shared" si="10"/>
        <v>0</v>
      </c>
      <c r="AN40" s="529">
        <f t="shared" si="11"/>
        <v>6.98</v>
      </c>
      <c r="AO40" s="579">
        <f t="shared" si="61"/>
        <v>3316928</v>
      </c>
      <c r="AP40" s="498">
        <f t="shared" si="62"/>
        <v>2440669</v>
      </c>
      <c r="AQ40" s="498">
        <f t="shared" si="63"/>
        <v>0</v>
      </c>
      <c r="AR40" s="498">
        <f t="shared" si="64"/>
        <v>824946</v>
      </c>
      <c r="AS40" s="498">
        <f t="shared" si="64"/>
        <v>48813</v>
      </c>
      <c r="AT40" s="498">
        <f t="shared" si="65"/>
        <v>2500</v>
      </c>
      <c r="AU40" s="499">
        <f t="shared" si="66"/>
        <v>6.98</v>
      </c>
      <c r="AV40" s="499">
        <f t="shared" si="67"/>
        <v>6.98</v>
      </c>
      <c r="AW40" s="500">
        <f t="shared" si="67"/>
        <v>0</v>
      </c>
    </row>
    <row r="41" spans="1:49" x14ac:dyDescent="0.2">
      <c r="A41" s="525">
        <v>7</v>
      </c>
      <c r="B41" s="526">
        <v>3404</v>
      </c>
      <c r="C41" s="526">
        <v>650023021</v>
      </c>
      <c r="D41" s="526">
        <v>70982597</v>
      </c>
      <c r="E41" s="524" t="s">
        <v>97</v>
      </c>
      <c r="F41" s="526">
        <v>3141</v>
      </c>
      <c r="G41" s="527" t="s">
        <v>321</v>
      </c>
      <c r="H41" s="528" t="s">
        <v>284</v>
      </c>
      <c r="I41" s="575">
        <f t="shared" si="56"/>
        <v>2389099</v>
      </c>
      <c r="J41" s="496">
        <v>1746104</v>
      </c>
      <c r="K41" s="131">
        <f t="shared" si="57"/>
        <v>590183</v>
      </c>
      <c r="L41" s="131">
        <f t="shared" si="58"/>
        <v>34922</v>
      </c>
      <c r="M41" s="316">
        <v>17890</v>
      </c>
      <c r="N41" s="576">
        <f t="shared" si="59"/>
        <v>5.93</v>
      </c>
      <c r="O41" s="577">
        <v>0</v>
      </c>
      <c r="P41" s="578">
        <v>5.93</v>
      </c>
      <c r="Q41" s="497">
        <f t="shared" si="60"/>
        <v>0</v>
      </c>
      <c r="R41" s="498">
        <v>0</v>
      </c>
      <c r="S41" s="498">
        <v>0</v>
      </c>
      <c r="T41" s="498">
        <v>0</v>
      </c>
      <c r="U41" s="498">
        <f t="shared" si="2"/>
        <v>0</v>
      </c>
      <c r="V41" s="498">
        <v>0</v>
      </c>
      <c r="W41" s="498">
        <v>0</v>
      </c>
      <c r="X41" s="498">
        <v>0</v>
      </c>
      <c r="Y41" s="498">
        <f t="shared" si="8"/>
        <v>0</v>
      </c>
      <c r="Z41" s="498">
        <f t="shared" si="3"/>
        <v>0</v>
      </c>
      <c r="AA41" s="131">
        <f t="shared" si="19"/>
        <v>0</v>
      </c>
      <c r="AB41" s="131">
        <f t="shared" si="4"/>
        <v>0</v>
      </c>
      <c r="AC41" s="498">
        <v>0</v>
      </c>
      <c r="AD41" s="498">
        <v>0</v>
      </c>
      <c r="AE41" s="498">
        <f t="shared" si="5"/>
        <v>0</v>
      </c>
      <c r="AF41" s="498">
        <f t="shared" si="6"/>
        <v>0</v>
      </c>
      <c r="AG41" s="499">
        <v>0</v>
      </c>
      <c r="AH41" s="499">
        <v>0</v>
      </c>
      <c r="AI41" s="499">
        <v>0</v>
      </c>
      <c r="AJ41" s="499">
        <v>0</v>
      </c>
      <c r="AK41" s="499">
        <v>0</v>
      </c>
      <c r="AL41" s="499">
        <f t="shared" si="9"/>
        <v>0</v>
      </c>
      <c r="AM41" s="499">
        <f t="shared" si="10"/>
        <v>0</v>
      </c>
      <c r="AN41" s="529">
        <f t="shared" si="11"/>
        <v>0</v>
      </c>
      <c r="AO41" s="579">
        <f t="shared" si="61"/>
        <v>2389099</v>
      </c>
      <c r="AP41" s="498">
        <f t="shared" si="62"/>
        <v>1746104</v>
      </c>
      <c r="AQ41" s="498">
        <f t="shared" si="63"/>
        <v>0</v>
      </c>
      <c r="AR41" s="498">
        <f t="shared" si="64"/>
        <v>590183</v>
      </c>
      <c r="AS41" s="498">
        <f t="shared" si="64"/>
        <v>34922</v>
      </c>
      <c r="AT41" s="498">
        <f t="shared" si="65"/>
        <v>17890</v>
      </c>
      <c r="AU41" s="499">
        <f t="shared" si="66"/>
        <v>5.93</v>
      </c>
      <c r="AV41" s="499">
        <f t="shared" si="67"/>
        <v>0</v>
      </c>
      <c r="AW41" s="500">
        <f t="shared" si="67"/>
        <v>5.93</v>
      </c>
    </row>
    <row r="42" spans="1:49" s="3" customFormat="1" x14ac:dyDescent="0.2">
      <c r="A42" s="525">
        <v>7</v>
      </c>
      <c r="B42" s="526">
        <v>3404</v>
      </c>
      <c r="C42" s="526">
        <v>650023021</v>
      </c>
      <c r="D42" s="526">
        <v>70982597</v>
      </c>
      <c r="E42" s="524" t="s">
        <v>97</v>
      </c>
      <c r="F42" s="526">
        <v>3143</v>
      </c>
      <c r="G42" s="527" t="s">
        <v>635</v>
      </c>
      <c r="H42" s="574" t="s">
        <v>283</v>
      </c>
      <c r="I42" s="575">
        <f t="shared" si="56"/>
        <v>1368902</v>
      </c>
      <c r="J42" s="496">
        <v>1008028</v>
      </c>
      <c r="K42" s="131">
        <f t="shared" si="57"/>
        <v>340713</v>
      </c>
      <c r="L42" s="131">
        <f t="shared" si="58"/>
        <v>20161</v>
      </c>
      <c r="M42" s="316">
        <v>0</v>
      </c>
      <c r="N42" s="576">
        <f t="shared" si="59"/>
        <v>2</v>
      </c>
      <c r="O42" s="577">
        <v>2</v>
      </c>
      <c r="P42" s="578">
        <v>0</v>
      </c>
      <c r="Q42" s="497">
        <f t="shared" si="60"/>
        <v>0</v>
      </c>
      <c r="R42" s="498">
        <v>0</v>
      </c>
      <c r="S42" s="498">
        <v>0</v>
      </c>
      <c r="T42" s="498">
        <v>0</v>
      </c>
      <c r="U42" s="498">
        <f t="shared" si="2"/>
        <v>0</v>
      </c>
      <c r="V42" s="498">
        <v>0</v>
      </c>
      <c r="W42" s="498">
        <v>0</v>
      </c>
      <c r="X42" s="498">
        <v>0</v>
      </c>
      <c r="Y42" s="498">
        <f t="shared" si="8"/>
        <v>0</v>
      </c>
      <c r="Z42" s="498">
        <f t="shared" si="3"/>
        <v>0</v>
      </c>
      <c r="AA42" s="131">
        <f t="shared" si="19"/>
        <v>0</v>
      </c>
      <c r="AB42" s="131">
        <f t="shared" si="4"/>
        <v>0</v>
      </c>
      <c r="AC42" s="498">
        <v>0</v>
      </c>
      <c r="AD42" s="498">
        <v>0</v>
      </c>
      <c r="AE42" s="498">
        <f t="shared" si="5"/>
        <v>0</v>
      </c>
      <c r="AF42" s="498">
        <f t="shared" si="6"/>
        <v>0</v>
      </c>
      <c r="AG42" s="499">
        <v>0</v>
      </c>
      <c r="AH42" s="499">
        <v>0</v>
      </c>
      <c r="AI42" s="499">
        <v>0</v>
      </c>
      <c r="AJ42" s="499">
        <v>0</v>
      </c>
      <c r="AK42" s="499">
        <v>0</v>
      </c>
      <c r="AL42" s="499">
        <f t="shared" si="9"/>
        <v>0</v>
      </c>
      <c r="AM42" s="499">
        <f t="shared" si="10"/>
        <v>0</v>
      </c>
      <c r="AN42" s="529">
        <f t="shared" si="11"/>
        <v>0</v>
      </c>
      <c r="AO42" s="579">
        <f t="shared" si="61"/>
        <v>1368902</v>
      </c>
      <c r="AP42" s="498">
        <f t="shared" si="62"/>
        <v>1008028</v>
      </c>
      <c r="AQ42" s="498">
        <f t="shared" si="63"/>
        <v>0</v>
      </c>
      <c r="AR42" s="498">
        <f t="shared" si="64"/>
        <v>340713</v>
      </c>
      <c r="AS42" s="498">
        <f t="shared" si="64"/>
        <v>20161</v>
      </c>
      <c r="AT42" s="498">
        <f t="shared" si="65"/>
        <v>0</v>
      </c>
      <c r="AU42" s="499">
        <f t="shared" si="66"/>
        <v>2</v>
      </c>
      <c r="AV42" s="499">
        <f t="shared" si="67"/>
        <v>2</v>
      </c>
      <c r="AW42" s="500">
        <f t="shared" si="67"/>
        <v>0</v>
      </c>
    </row>
    <row r="43" spans="1:49" s="3" customFormat="1" x14ac:dyDescent="0.2">
      <c r="A43" s="525">
        <v>7</v>
      </c>
      <c r="B43" s="526">
        <v>3404</v>
      </c>
      <c r="C43" s="526">
        <v>650023021</v>
      </c>
      <c r="D43" s="526">
        <v>70982597</v>
      </c>
      <c r="E43" s="524" t="s">
        <v>97</v>
      </c>
      <c r="F43" s="526">
        <v>3143</v>
      </c>
      <c r="G43" s="527" t="s">
        <v>636</v>
      </c>
      <c r="H43" s="574" t="s">
        <v>284</v>
      </c>
      <c r="I43" s="575">
        <f>SUM(J43:M43)</f>
        <v>38622</v>
      </c>
      <c r="J43" s="496">
        <v>27225</v>
      </c>
      <c r="K43" s="131">
        <f t="shared" si="57"/>
        <v>9202</v>
      </c>
      <c r="L43" s="131">
        <f t="shared" si="58"/>
        <v>545</v>
      </c>
      <c r="M43" s="316">
        <v>1650</v>
      </c>
      <c r="N43" s="576">
        <f t="shared" si="59"/>
        <v>0.11</v>
      </c>
      <c r="O43" s="577">
        <v>0</v>
      </c>
      <c r="P43" s="578">
        <v>0.11</v>
      </c>
      <c r="Q43" s="497">
        <f t="shared" si="60"/>
        <v>0</v>
      </c>
      <c r="R43" s="498">
        <v>0</v>
      </c>
      <c r="S43" s="498">
        <v>0</v>
      </c>
      <c r="T43" s="498">
        <v>0</v>
      </c>
      <c r="U43" s="498">
        <f t="shared" si="2"/>
        <v>0</v>
      </c>
      <c r="V43" s="498">
        <v>0</v>
      </c>
      <c r="W43" s="498">
        <v>0</v>
      </c>
      <c r="X43" s="498">
        <v>0</v>
      </c>
      <c r="Y43" s="498">
        <f t="shared" si="8"/>
        <v>0</v>
      </c>
      <c r="Z43" s="498">
        <f t="shared" si="3"/>
        <v>0</v>
      </c>
      <c r="AA43" s="131">
        <f t="shared" si="19"/>
        <v>0</v>
      </c>
      <c r="AB43" s="131">
        <f t="shared" si="4"/>
        <v>0</v>
      </c>
      <c r="AC43" s="498">
        <v>0</v>
      </c>
      <c r="AD43" s="498">
        <v>0</v>
      </c>
      <c r="AE43" s="498">
        <f t="shared" si="5"/>
        <v>0</v>
      </c>
      <c r="AF43" s="498">
        <f t="shared" si="6"/>
        <v>0</v>
      </c>
      <c r="AG43" s="499">
        <v>0</v>
      </c>
      <c r="AH43" s="499">
        <v>0</v>
      </c>
      <c r="AI43" s="499">
        <v>0</v>
      </c>
      <c r="AJ43" s="499">
        <v>0</v>
      </c>
      <c r="AK43" s="499">
        <v>0</v>
      </c>
      <c r="AL43" s="499">
        <f t="shared" si="9"/>
        <v>0</v>
      </c>
      <c r="AM43" s="499">
        <f t="shared" si="10"/>
        <v>0</v>
      </c>
      <c r="AN43" s="529">
        <f t="shared" si="11"/>
        <v>0</v>
      </c>
      <c r="AO43" s="579">
        <f t="shared" si="61"/>
        <v>38622</v>
      </c>
      <c r="AP43" s="498">
        <f t="shared" si="62"/>
        <v>27225</v>
      </c>
      <c r="AQ43" s="498">
        <f t="shared" si="63"/>
        <v>0</v>
      </c>
      <c r="AR43" s="498">
        <f t="shared" si="64"/>
        <v>9202</v>
      </c>
      <c r="AS43" s="498">
        <f t="shared" si="64"/>
        <v>545</v>
      </c>
      <c r="AT43" s="498">
        <f t="shared" si="65"/>
        <v>1650</v>
      </c>
      <c r="AU43" s="499">
        <f t="shared" si="66"/>
        <v>0.11</v>
      </c>
      <c r="AV43" s="499">
        <f t="shared" si="67"/>
        <v>0</v>
      </c>
      <c r="AW43" s="500">
        <f t="shared" si="67"/>
        <v>0.11</v>
      </c>
    </row>
    <row r="44" spans="1:49" x14ac:dyDescent="0.2">
      <c r="A44" s="302">
        <v>7</v>
      </c>
      <c r="B44" s="32">
        <v>3404</v>
      </c>
      <c r="C44" s="32">
        <v>650023021</v>
      </c>
      <c r="D44" s="32">
        <v>70982597</v>
      </c>
      <c r="E44" s="311" t="s">
        <v>98</v>
      </c>
      <c r="F44" s="32"/>
      <c r="G44" s="301"/>
      <c r="H44" s="454"/>
      <c r="I44" s="6">
        <f t="shared" ref="I44:AW44" si="68">SUM(I38:I43)</f>
        <v>28063086</v>
      </c>
      <c r="J44" s="10">
        <f t="shared" si="68"/>
        <v>20364327</v>
      </c>
      <c r="K44" s="10">
        <f t="shared" si="68"/>
        <v>6883142</v>
      </c>
      <c r="L44" s="10">
        <f t="shared" si="68"/>
        <v>407287</v>
      </c>
      <c r="M44" s="10">
        <f t="shared" si="68"/>
        <v>408330</v>
      </c>
      <c r="N44" s="11">
        <f t="shared" si="68"/>
        <v>44.772299999999994</v>
      </c>
      <c r="O44" s="11">
        <f t="shared" si="68"/>
        <v>29.583500000000001</v>
      </c>
      <c r="P44" s="93">
        <f t="shared" si="68"/>
        <v>15.188799999999999</v>
      </c>
      <c r="Q44" s="296">
        <f t="shared" si="68"/>
        <v>0</v>
      </c>
      <c r="R44" s="10">
        <f t="shared" si="68"/>
        <v>2440669</v>
      </c>
      <c r="S44" s="10">
        <f t="shared" si="68"/>
        <v>0</v>
      </c>
      <c r="T44" s="10">
        <f t="shared" si="68"/>
        <v>236000</v>
      </c>
      <c r="U44" s="10">
        <f t="shared" si="68"/>
        <v>2676669</v>
      </c>
      <c r="V44" s="10">
        <f t="shared" si="68"/>
        <v>0</v>
      </c>
      <c r="W44" s="10">
        <f t="shared" si="68"/>
        <v>73088</v>
      </c>
      <c r="X44" s="10">
        <f t="shared" si="68"/>
        <v>0</v>
      </c>
      <c r="Y44" s="10">
        <f t="shared" si="68"/>
        <v>73088</v>
      </c>
      <c r="Z44" s="10">
        <f t="shared" si="68"/>
        <v>2749757</v>
      </c>
      <c r="AA44" s="10">
        <f t="shared" si="68"/>
        <v>929418</v>
      </c>
      <c r="AB44" s="10">
        <f t="shared" si="68"/>
        <v>53533</v>
      </c>
      <c r="AC44" s="10">
        <f t="shared" si="68"/>
        <v>2500</v>
      </c>
      <c r="AD44" s="10">
        <f t="shared" si="68"/>
        <v>16180</v>
      </c>
      <c r="AE44" s="10">
        <f t="shared" si="68"/>
        <v>18680</v>
      </c>
      <c r="AF44" s="10">
        <f t="shared" si="68"/>
        <v>3751388</v>
      </c>
      <c r="AG44" s="11">
        <f t="shared" si="68"/>
        <v>0</v>
      </c>
      <c r="AH44" s="11">
        <f t="shared" si="68"/>
        <v>0</v>
      </c>
      <c r="AI44" s="11">
        <f t="shared" si="68"/>
        <v>6.98</v>
      </c>
      <c r="AJ44" s="11">
        <f t="shared" si="68"/>
        <v>0.42</v>
      </c>
      <c r="AK44" s="11">
        <f t="shared" si="68"/>
        <v>0</v>
      </c>
      <c r="AL44" s="11">
        <f t="shared" si="68"/>
        <v>7.4</v>
      </c>
      <c r="AM44" s="11">
        <f t="shared" si="68"/>
        <v>0</v>
      </c>
      <c r="AN44" s="38">
        <f t="shared" si="68"/>
        <v>7.4</v>
      </c>
      <c r="AO44" s="6">
        <f t="shared" si="68"/>
        <v>31814474</v>
      </c>
      <c r="AP44" s="10">
        <f t="shared" si="68"/>
        <v>23040996</v>
      </c>
      <c r="AQ44" s="10">
        <f t="shared" si="68"/>
        <v>73088</v>
      </c>
      <c r="AR44" s="10">
        <f t="shared" si="68"/>
        <v>7812560</v>
      </c>
      <c r="AS44" s="10">
        <f t="shared" si="68"/>
        <v>460820</v>
      </c>
      <c r="AT44" s="10">
        <f t="shared" si="68"/>
        <v>427010</v>
      </c>
      <c r="AU44" s="11">
        <f t="shared" si="68"/>
        <v>52.1723</v>
      </c>
      <c r="AV44" s="11">
        <f t="shared" si="68"/>
        <v>36.983500000000006</v>
      </c>
      <c r="AW44" s="93">
        <f t="shared" si="68"/>
        <v>15.188799999999999</v>
      </c>
    </row>
    <row r="45" spans="1:49" x14ac:dyDescent="0.2">
      <c r="A45" s="525">
        <v>8</v>
      </c>
      <c r="B45" s="526">
        <v>3477</v>
      </c>
      <c r="C45" s="526">
        <v>600098451</v>
      </c>
      <c r="D45" s="526">
        <v>70695491</v>
      </c>
      <c r="E45" s="524" t="s">
        <v>99</v>
      </c>
      <c r="F45" s="526">
        <v>3111</v>
      </c>
      <c r="G45" s="527" t="s">
        <v>317</v>
      </c>
      <c r="H45" s="528" t="s">
        <v>283</v>
      </c>
      <c r="I45" s="575">
        <f t="shared" ref="I45:I47" si="69">SUM(J45:M45)</f>
        <v>3962884</v>
      </c>
      <c r="J45" s="496">
        <v>2901608</v>
      </c>
      <c r="K45" s="131">
        <f t="shared" ref="K45:K47" si="70">ROUND((J45)*33.8%,0)</f>
        <v>980744</v>
      </c>
      <c r="L45" s="131">
        <f t="shared" ref="L45:L47" si="71">ROUND(J45*2%,0)</f>
        <v>58032</v>
      </c>
      <c r="M45" s="316">
        <v>22500</v>
      </c>
      <c r="N45" s="576">
        <f t="shared" ref="N45:N47" si="72">SUM(O45:P45)</f>
        <v>6.9841999999999995</v>
      </c>
      <c r="O45" s="577">
        <v>5</v>
      </c>
      <c r="P45" s="578">
        <v>1.9842</v>
      </c>
      <c r="Q45" s="497">
        <f t="shared" ref="Q45:Q47" si="73">V45*-1</f>
        <v>0</v>
      </c>
      <c r="R45" s="498">
        <v>0</v>
      </c>
      <c r="S45" s="498">
        <v>0</v>
      </c>
      <c r="T45" s="498">
        <v>0</v>
      </c>
      <c r="U45" s="498">
        <f t="shared" si="2"/>
        <v>0</v>
      </c>
      <c r="V45" s="498">
        <v>0</v>
      </c>
      <c r="W45" s="498">
        <v>0</v>
      </c>
      <c r="X45" s="498">
        <v>0</v>
      </c>
      <c r="Y45" s="498">
        <f t="shared" si="8"/>
        <v>0</v>
      </c>
      <c r="Z45" s="498">
        <f t="shared" si="3"/>
        <v>0</v>
      </c>
      <c r="AA45" s="131">
        <f t="shared" si="19"/>
        <v>0</v>
      </c>
      <c r="AB45" s="131">
        <f t="shared" si="4"/>
        <v>0</v>
      </c>
      <c r="AC45" s="498">
        <v>0</v>
      </c>
      <c r="AD45" s="498">
        <v>0</v>
      </c>
      <c r="AE45" s="498">
        <f t="shared" si="5"/>
        <v>0</v>
      </c>
      <c r="AF45" s="498">
        <f t="shared" si="6"/>
        <v>0</v>
      </c>
      <c r="AG45" s="499">
        <v>0</v>
      </c>
      <c r="AH45" s="499">
        <v>0</v>
      </c>
      <c r="AI45" s="499">
        <v>0</v>
      </c>
      <c r="AJ45" s="499">
        <v>0</v>
      </c>
      <c r="AK45" s="499">
        <v>0</v>
      </c>
      <c r="AL45" s="499">
        <f t="shared" si="9"/>
        <v>0</v>
      </c>
      <c r="AM45" s="499">
        <f t="shared" si="10"/>
        <v>0</v>
      </c>
      <c r="AN45" s="529">
        <f t="shared" si="11"/>
        <v>0</v>
      </c>
      <c r="AO45" s="579">
        <f>I45+AF45</f>
        <v>3962884</v>
      </c>
      <c r="AP45" s="498">
        <f>J45+U45</f>
        <v>2901608</v>
      </c>
      <c r="AQ45" s="498">
        <f t="shared" ref="AQ45:AQ47" si="74">Y45</f>
        <v>0</v>
      </c>
      <c r="AR45" s="498">
        <f t="shared" ref="AR45:AS47" si="75">K45+AA45</f>
        <v>980744</v>
      </c>
      <c r="AS45" s="498">
        <f t="shared" si="75"/>
        <v>58032</v>
      </c>
      <c r="AT45" s="498">
        <f>M45+AE45</f>
        <v>22500</v>
      </c>
      <c r="AU45" s="499">
        <f>N45+AN45</f>
        <v>6.9841999999999995</v>
      </c>
      <c r="AV45" s="499">
        <f t="shared" ref="AV45:AW47" si="76">O45+AL45</f>
        <v>5</v>
      </c>
      <c r="AW45" s="500">
        <f t="shared" si="76"/>
        <v>1.9842</v>
      </c>
    </row>
    <row r="46" spans="1:49" x14ac:dyDescent="0.2">
      <c r="A46" s="525">
        <v>8</v>
      </c>
      <c r="B46" s="526">
        <v>3477</v>
      </c>
      <c r="C46" s="526">
        <v>600098451</v>
      </c>
      <c r="D46" s="526">
        <v>70695491</v>
      </c>
      <c r="E46" s="524" t="s">
        <v>99</v>
      </c>
      <c r="F46" s="526">
        <v>3111</v>
      </c>
      <c r="G46" s="527" t="s">
        <v>318</v>
      </c>
      <c r="H46" s="528" t="s">
        <v>284</v>
      </c>
      <c r="I46" s="575">
        <f t="shared" si="69"/>
        <v>0</v>
      </c>
      <c r="J46" s="496">
        <v>0</v>
      </c>
      <c r="K46" s="131">
        <f t="shared" si="70"/>
        <v>0</v>
      </c>
      <c r="L46" s="131">
        <f t="shared" si="71"/>
        <v>0</v>
      </c>
      <c r="M46" s="316">
        <v>0</v>
      </c>
      <c r="N46" s="576">
        <f t="shared" si="72"/>
        <v>0</v>
      </c>
      <c r="O46" s="577">
        <v>0</v>
      </c>
      <c r="P46" s="578">
        <v>0</v>
      </c>
      <c r="Q46" s="497">
        <f t="shared" si="73"/>
        <v>0</v>
      </c>
      <c r="R46" s="496">
        <v>346443</v>
      </c>
      <c r="S46" s="498">
        <v>0</v>
      </c>
      <c r="T46" s="498">
        <v>0</v>
      </c>
      <c r="U46" s="498">
        <f t="shared" si="2"/>
        <v>346443</v>
      </c>
      <c r="V46" s="498">
        <v>0</v>
      </c>
      <c r="W46" s="498">
        <v>0</v>
      </c>
      <c r="X46" s="498">
        <v>0</v>
      </c>
      <c r="Y46" s="498">
        <f t="shared" si="8"/>
        <v>0</v>
      </c>
      <c r="Z46" s="498">
        <f t="shared" si="3"/>
        <v>346443</v>
      </c>
      <c r="AA46" s="131">
        <f t="shared" si="19"/>
        <v>117098</v>
      </c>
      <c r="AB46" s="131">
        <f t="shared" si="4"/>
        <v>6929</v>
      </c>
      <c r="AC46" s="498">
        <v>0</v>
      </c>
      <c r="AD46" s="498">
        <v>0</v>
      </c>
      <c r="AE46" s="498">
        <f t="shared" si="5"/>
        <v>0</v>
      </c>
      <c r="AF46" s="498">
        <f t="shared" si="6"/>
        <v>470470</v>
      </c>
      <c r="AG46" s="499">
        <v>0</v>
      </c>
      <c r="AH46" s="499">
        <v>0</v>
      </c>
      <c r="AI46" s="499">
        <v>1</v>
      </c>
      <c r="AJ46" s="499">
        <v>0</v>
      </c>
      <c r="AK46" s="499">
        <v>0</v>
      </c>
      <c r="AL46" s="499">
        <f t="shared" si="9"/>
        <v>1</v>
      </c>
      <c r="AM46" s="499">
        <f t="shared" si="10"/>
        <v>0</v>
      </c>
      <c r="AN46" s="529">
        <f t="shared" si="11"/>
        <v>1</v>
      </c>
      <c r="AO46" s="579">
        <f>I46+AF46</f>
        <v>470470</v>
      </c>
      <c r="AP46" s="498">
        <f>J46+U46</f>
        <v>346443</v>
      </c>
      <c r="AQ46" s="498">
        <f t="shared" si="74"/>
        <v>0</v>
      </c>
      <c r="AR46" s="498">
        <f t="shared" si="75"/>
        <v>117098</v>
      </c>
      <c r="AS46" s="498">
        <f t="shared" si="75"/>
        <v>6929</v>
      </c>
      <c r="AT46" s="498">
        <f>M46+AE46</f>
        <v>0</v>
      </c>
      <c r="AU46" s="499">
        <f>N46+AN46</f>
        <v>1</v>
      </c>
      <c r="AV46" s="499">
        <f t="shared" si="76"/>
        <v>1</v>
      </c>
      <c r="AW46" s="500">
        <f t="shared" si="76"/>
        <v>0</v>
      </c>
    </row>
    <row r="47" spans="1:49" x14ac:dyDescent="0.2">
      <c r="A47" s="525">
        <v>8</v>
      </c>
      <c r="B47" s="526">
        <v>3477</v>
      </c>
      <c r="C47" s="526">
        <v>600098451</v>
      </c>
      <c r="D47" s="526">
        <v>70695491</v>
      </c>
      <c r="E47" s="524" t="s">
        <v>99</v>
      </c>
      <c r="F47" s="526">
        <v>3141</v>
      </c>
      <c r="G47" s="527" t="s">
        <v>321</v>
      </c>
      <c r="H47" s="528" t="s">
        <v>284</v>
      </c>
      <c r="I47" s="575">
        <f t="shared" si="69"/>
        <v>636990</v>
      </c>
      <c r="J47" s="496">
        <v>466929</v>
      </c>
      <c r="K47" s="131">
        <f t="shared" si="70"/>
        <v>157822</v>
      </c>
      <c r="L47" s="131">
        <f t="shared" si="71"/>
        <v>9339</v>
      </c>
      <c r="M47" s="316">
        <v>2900</v>
      </c>
      <c r="N47" s="576">
        <f t="shared" si="72"/>
        <v>1.59</v>
      </c>
      <c r="O47" s="577">
        <v>0</v>
      </c>
      <c r="P47" s="578">
        <v>1.59</v>
      </c>
      <c r="Q47" s="497">
        <f t="shared" si="73"/>
        <v>0</v>
      </c>
      <c r="R47" s="498">
        <v>0</v>
      </c>
      <c r="S47" s="498">
        <v>0</v>
      </c>
      <c r="T47" s="498">
        <v>0</v>
      </c>
      <c r="U47" s="498">
        <f t="shared" si="2"/>
        <v>0</v>
      </c>
      <c r="V47" s="498">
        <v>0</v>
      </c>
      <c r="W47" s="498">
        <v>0</v>
      </c>
      <c r="X47" s="498">
        <v>0</v>
      </c>
      <c r="Y47" s="498">
        <f t="shared" si="8"/>
        <v>0</v>
      </c>
      <c r="Z47" s="498">
        <f t="shared" si="3"/>
        <v>0</v>
      </c>
      <c r="AA47" s="131">
        <f t="shared" si="19"/>
        <v>0</v>
      </c>
      <c r="AB47" s="131">
        <f t="shared" si="4"/>
        <v>0</v>
      </c>
      <c r="AC47" s="498">
        <v>0</v>
      </c>
      <c r="AD47" s="498">
        <v>0</v>
      </c>
      <c r="AE47" s="498">
        <f t="shared" si="5"/>
        <v>0</v>
      </c>
      <c r="AF47" s="498">
        <f t="shared" si="6"/>
        <v>0</v>
      </c>
      <c r="AG47" s="499">
        <v>0</v>
      </c>
      <c r="AH47" s="499">
        <v>0</v>
      </c>
      <c r="AI47" s="499">
        <v>0</v>
      </c>
      <c r="AJ47" s="499">
        <v>0</v>
      </c>
      <c r="AK47" s="499">
        <v>0</v>
      </c>
      <c r="AL47" s="499">
        <f t="shared" si="9"/>
        <v>0</v>
      </c>
      <c r="AM47" s="499">
        <f t="shared" si="10"/>
        <v>0</v>
      </c>
      <c r="AN47" s="529">
        <f t="shared" si="11"/>
        <v>0</v>
      </c>
      <c r="AO47" s="579">
        <f>I47+AF47</f>
        <v>636990</v>
      </c>
      <c r="AP47" s="498">
        <f>J47+U47</f>
        <v>466929</v>
      </c>
      <c r="AQ47" s="498">
        <f t="shared" si="74"/>
        <v>0</v>
      </c>
      <c r="AR47" s="498">
        <f t="shared" si="75"/>
        <v>157822</v>
      </c>
      <c r="AS47" s="498">
        <f t="shared" si="75"/>
        <v>9339</v>
      </c>
      <c r="AT47" s="498">
        <f>M47+AE47</f>
        <v>2900</v>
      </c>
      <c r="AU47" s="499">
        <f>N47+AN47</f>
        <v>1.59</v>
      </c>
      <c r="AV47" s="499">
        <f t="shared" si="76"/>
        <v>0</v>
      </c>
      <c r="AW47" s="500">
        <f t="shared" si="76"/>
        <v>1.59</v>
      </c>
    </row>
    <row r="48" spans="1:49" x14ac:dyDescent="0.2">
      <c r="A48" s="302">
        <v>8</v>
      </c>
      <c r="B48" s="32">
        <v>3477</v>
      </c>
      <c r="C48" s="32">
        <v>600098451</v>
      </c>
      <c r="D48" s="32">
        <v>70695491</v>
      </c>
      <c r="E48" s="311" t="s">
        <v>100</v>
      </c>
      <c r="F48" s="32"/>
      <c r="G48" s="301"/>
      <c r="H48" s="454"/>
      <c r="I48" s="5">
        <f t="shared" ref="I48:P48" si="77">SUM(I45:I47)</f>
        <v>4599874</v>
      </c>
      <c r="J48" s="8">
        <f t="shared" si="77"/>
        <v>3368537</v>
      </c>
      <c r="K48" s="8">
        <f t="shared" si="77"/>
        <v>1138566</v>
      </c>
      <c r="L48" s="8">
        <f t="shared" si="77"/>
        <v>67371</v>
      </c>
      <c r="M48" s="8">
        <f t="shared" si="77"/>
        <v>25400</v>
      </c>
      <c r="N48" s="9">
        <f t="shared" si="77"/>
        <v>8.5741999999999994</v>
      </c>
      <c r="O48" s="9">
        <f t="shared" si="77"/>
        <v>5</v>
      </c>
      <c r="P48" s="92">
        <f t="shared" si="77"/>
        <v>3.5742000000000003</v>
      </c>
      <c r="Q48" s="295">
        <f t="shared" ref="Q48:AW48" si="78">SUM(Q45:Q47)</f>
        <v>0</v>
      </c>
      <c r="R48" s="8">
        <f t="shared" si="78"/>
        <v>346443</v>
      </c>
      <c r="S48" s="8">
        <f t="shared" si="78"/>
        <v>0</v>
      </c>
      <c r="T48" s="8">
        <f t="shared" si="78"/>
        <v>0</v>
      </c>
      <c r="U48" s="8">
        <f t="shared" si="78"/>
        <v>346443</v>
      </c>
      <c r="V48" s="8">
        <f t="shared" si="78"/>
        <v>0</v>
      </c>
      <c r="W48" s="8">
        <f t="shared" si="78"/>
        <v>0</v>
      </c>
      <c r="X48" s="8">
        <f t="shared" si="78"/>
        <v>0</v>
      </c>
      <c r="Y48" s="8">
        <f t="shared" si="78"/>
        <v>0</v>
      </c>
      <c r="Z48" s="8">
        <f t="shared" si="78"/>
        <v>346443</v>
      </c>
      <c r="AA48" s="8">
        <f t="shared" si="78"/>
        <v>117098</v>
      </c>
      <c r="AB48" s="8">
        <f t="shared" si="78"/>
        <v>6929</v>
      </c>
      <c r="AC48" s="8">
        <f t="shared" si="78"/>
        <v>0</v>
      </c>
      <c r="AD48" s="8">
        <f t="shared" si="78"/>
        <v>0</v>
      </c>
      <c r="AE48" s="8">
        <f t="shared" si="78"/>
        <v>0</v>
      </c>
      <c r="AF48" s="8">
        <f t="shared" si="78"/>
        <v>470470</v>
      </c>
      <c r="AG48" s="9">
        <f t="shared" si="78"/>
        <v>0</v>
      </c>
      <c r="AH48" s="9">
        <f t="shared" si="78"/>
        <v>0</v>
      </c>
      <c r="AI48" s="9">
        <f t="shared" si="78"/>
        <v>1</v>
      </c>
      <c r="AJ48" s="9">
        <f t="shared" si="78"/>
        <v>0</v>
      </c>
      <c r="AK48" s="9">
        <f t="shared" si="78"/>
        <v>0</v>
      </c>
      <c r="AL48" s="9">
        <f t="shared" si="78"/>
        <v>1</v>
      </c>
      <c r="AM48" s="9">
        <f t="shared" si="78"/>
        <v>0</v>
      </c>
      <c r="AN48" s="39">
        <f t="shared" si="78"/>
        <v>1</v>
      </c>
      <c r="AO48" s="5">
        <f t="shared" si="78"/>
        <v>5070344</v>
      </c>
      <c r="AP48" s="8">
        <f t="shared" si="78"/>
        <v>3714980</v>
      </c>
      <c r="AQ48" s="8">
        <f t="shared" si="78"/>
        <v>0</v>
      </c>
      <c r="AR48" s="8">
        <f t="shared" si="78"/>
        <v>1255664</v>
      </c>
      <c r="AS48" s="8">
        <f t="shared" si="78"/>
        <v>74300</v>
      </c>
      <c r="AT48" s="8">
        <f t="shared" si="78"/>
        <v>25400</v>
      </c>
      <c r="AU48" s="9">
        <f t="shared" si="78"/>
        <v>9.5741999999999994</v>
      </c>
      <c r="AV48" s="9">
        <f t="shared" si="78"/>
        <v>6</v>
      </c>
      <c r="AW48" s="92">
        <f t="shared" si="78"/>
        <v>3.5742000000000003</v>
      </c>
    </row>
    <row r="49" spans="1:49" x14ac:dyDescent="0.2">
      <c r="A49" s="525">
        <v>9</v>
      </c>
      <c r="B49" s="526">
        <v>3476</v>
      </c>
      <c r="C49" s="526">
        <v>600099164</v>
      </c>
      <c r="D49" s="526">
        <v>854808</v>
      </c>
      <c r="E49" s="524" t="s">
        <v>101</v>
      </c>
      <c r="F49" s="526">
        <v>3113</v>
      </c>
      <c r="G49" s="527" t="s">
        <v>320</v>
      </c>
      <c r="H49" s="528" t="s">
        <v>283</v>
      </c>
      <c r="I49" s="575">
        <f t="shared" ref="I49:I52" si="79">SUM(J49:M49)</f>
        <v>9994636</v>
      </c>
      <c r="J49" s="496">
        <v>7224783</v>
      </c>
      <c r="K49" s="131">
        <f t="shared" ref="K49:K53" si="80">ROUND((J49)*33.8%,0)</f>
        <v>2441977</v>
      </c>
      <c r="L49" s="131">
        <f t="shared" ref="L49:L51" si="81">ROUND(J49*2%,0)</f>
        <v>144496</v>
      </c>
      <c r="M49" s="316">
        <v>183380</v>
      </c>
      <c r="N49" s="576">
        <f t="shared" ref="N49:N53" si="82">SUM(O49:P49)</f>
        <v>14.292300000000001</v>
      </c>
      <c r="O49" s="577">
        <v>11.1523</v>
      </c>
      <c r="P49" s="578">
        <v>3.1399999999999997</v>
      </c>
      <c r="Q49" s="497">
        <f t="shared" ref="Q49:Q53" si="83">V49*-1</f>
        <v>0</v>
      </c>
      <c r="R49" s="498">
        <v>0</v>
      </c>
      <c r="S49" s="498">
        <v>0</v>
      </c>
      <c r="T49" s="498">
        <v>0</v>
      </c>
      <c r="U49" s="498">
        <f t="shared" si="2"/>
        <v>0</v>
      </c>
      <c r="V49" s="498">
        <v>0</v>
      </c>
      <c r="W49" s="498">
        <v>0</v>
      </c>
      <c r="X49" s="498">
        <v>0</v>
      </c>
      <c r="Y49" s="498">
        <f t="shared" si="8"/>
        <v>0</v>
      </c>
      <c r="Z49" s="498">
        <f t="shared" si="3"/>
        <v>0</v>
      </c>
      <c r="AA49" s="131">
        <f t="shared" si="19"/>
        <v>0</v>
      </c>
      <c r="AB49" s="131">
        <f t="shared" si="4"/>
        <v>0</v>
      </c>
      <c r="AC49" s="498">
        <v>0</v>
      </c>
      <c r="AD49" s="498">
        <v>0</v>
      </c>
      <c r="AE49" s="498">
        <f t="shared" si="5"/>
        <v>0</v>
      </c>
      <c r="AF49" s="498">
        <f t="shared" si="6"/>
        <v>0</v>
      </c>
      <c r="AG49" s="499">
        <v>0</v>
      </c>
      <c r="AH49" s="499">
        <v>0</v>
      </c>
      <c r="AI49" s="499">
        <v>0</v>
      </c>
      <c r="AJ49" s="499">
        <v>0</v>
      </c>
      <c r="AK49" s="499">
        <v>0</v>
      </c>
      <c r="AL49" s="499">
        <f t="shared" si="9"/>
        <v>0</v>
      </c>
      <c r="AM49" s="499">
        <f t="shared" si="10"/>
        <v>0</v>
      </c>
      <c r="AN49" s="529">
        <f t="shared" si="11"/>
        <v>0</v>
      </c>
      <c r="AO49" s="579">
        <f>I49+AF49</f>
        <v>9994636</v>
      </c>
      <c r="AP49" s="498">
        <f>J49+U49</f>
        <v>7224783</v>
      </c>
      <c r="AQ49" s="498">
        <f t="shared" ref="AQ49:AQ53" si="84">Y49</f>
        <v>0</v>
      </c>
      <c r="AR49" s="498">
        <f t="shared" ref="AR49:AS53" si="85">K49+AA49</f>
        <v>2441977</v>
      </c>
      <c r="AS49" s="498">
        <f t="shared" si="85"/>
        <v>144496</v>
      </c>
      <c r="AT49" s="498">
        <f>M49+AE49</f>
        <v>183380</v>
      </c>
      <c r="AU49" s="499">
        <f>N49+AN49</f>
        <v>14.292300000000001</v>
      </c>
      <c r="AV49" s="499">
        <f t="shared" ref="AV49:AW53" si="86">O49+AL49</f>
        <v>11.1523</v>
      </c>
      <c r="AW49" s="500">
        <f t="shared" si="86"/>
        <v>3.1399999999999997</v>
      </c>
    </row>
    <row r="50" spans="1:49" x14ac:dyDescent="0.2">
      <c r="A50" s="525">
        <v>9</v>
      </c>
      <c r="B50" s="526">
        <v>3476</v>
      </c>
      <c r="C50" s="526">
        <v>600099164</v>
      </c>
      <c r="D50" s="526">
        <v>854808</v>
      </c>
      <c r="E50" s="524" t="s">
        <v>101</v>
      </c>
      <c r="F50" s="526">
        <v>3113</v>
      </c>
      <c r="G50" s="527" t="s">
        <v>318</v>
      </c>
      <c r="H50" s="528" t="s">
        <v>284</v>
      </c>
      <c r="I50" s="575">
        <f t="shared" si="79"/>
        <v>0</v>
      </c>
      <c r="J50" s="496">
        <v>0</v>
      </c>
      <c r="K50" s="131">
        <f t="shared" si="80"/>
        <v>0</v>
      </c>
      <c r="L50" s="131">
        <f t="shared" si="81"/>
        <v>0</v>
      </c>
      <c r="M50" s="316">
        <v>0</v>
      </c>
      <c r="N50" s="576">
        <f t="shared" si="82"/>
        <v>0</v>
      </c>
      <c r="O50" s="577">
        <v>0</v>
      </c>
      <c r="P50" s="578">
        <v>0</v>
      </c>
      <c r="Q50" s="497">
        <f t="shared" si="83"/>
        <v>0</v>
      </c>
      <c r="R50" s="496">
        <f>649416+17352</f>
        <v>666768</v>
      </c>
      <c r="S50" s="498">
        <v>0</v>
      </c>
      <c r="T50" s="498">
        <v>0</v>
      </c>
      <c r="U50" s="498">
        <f t="shared" si="2"/>
        <v>666768</v>
      </c>
      <c r="V50" s="498">
        <v>0</v>
      </c>
      <c r="W50" s="498">
        <v>0</v>
      </c>
      <c r="X50" s="498">
        <v>0</v>
      </c>
      <c r="Y50" s="498">
        <f t="shared" si="8"/>
        <v>0</v>
      </c>
      <c r="Z50" s="498">
        <f t="shared" si="3"/>
        <v>666768</v>
      </c>
      <c r="AA50" s="131">
        <f t="shared" si="19"/>
        <v>225368</v>
      </c>
      <c r="AB50" s="131">
        <f t="shared" si="4"/>
        <v>13335</v>
      </c>
      <c r="AC50" s="498">
        <v>500</v>
      </c>
      <c r="AD50" s="498">
        <v>0</v>
      </c>
      <c r="AE50" s="498">
        <f t="shared" si="5"/>
        <v>500</v>
      </c>
      <c r="AF50" s="498">
        <f t="shared" si="6"/>
        <v>905971</v>
      </c>
      <c r="AG50" s="499">
        <v>0</v>
      </c>
      <c r="AH50" s="499">
        <v>0</v>
      </c>
      <c r="AI50" s="499">
        <f>1.98+0.04</f>
        <v>2.02</v>
      </c>
      <c r="AJ50" s="499">
        <v>0</v>
      </c>
      <c r="AK50" s="499">
        <v>0</v>
      </c>
      <c r="AL50" s="499">
        <f t="shared" si="9"/>
        <v>2.02</v>
      </c>
      <c r="AM50" s="499">
        <f t="shared" si="10"/>
        <v>0</v>
      </c>
      <c r="AN50" s="529">
        <f t="shared" si="11"/>
        <v>2.02</v>
      </c>
      <c r="AO50" s="579">
        <f>I50+AF50</f>
        <v>905971</v>
      </c>
      <c r="AP50" s="498">
        <f>J50+U50</f>
        <v>666768</v>
      </c>
      <c r="AQ50" s="498">
        <f t="shared" si="84"/>
        <v>0</v>
      </c>
      <c r="AR50" s="498">
        <f t="shared" si="85"/>
        <v>225368</v>
      </c>
      <c r="AS50" s="498">
        <f t="shared" si="85"/>
        <v>13335</v>
      </c>
      <c r="AT50" s="498">
        <f>M50+AE50</f>
        <v>500</v>
      </c>
      <c r="AU50" s="499">
        <f>N50+AN50</f>
        <v>2.02</v>
      </c>
      <c r="AV50" s="499">
        <f t="shared" si="86"/>
        <v>2.02</v>
      </c>
      <c r="AW50" s="500">
        <f t="shared" si="86"/>
        <v>0</v>
      </c>
    </row>
    <row r="51" spans="1:49" x14ac:dyDescent="0.2">
      <c r="A51" s="525">
        <v>9</v>
      </c>
      <c r="B51" s="526">
        <v>3476</v>
      </c>
      <c r="C51" s="526">
        <v>600099164</v>
      </c>
      <c r="D51" s="526">
        <v>854808</v>
      </c>
      <c r="E51" s="524" t="s">
        <v>101</v>
      </c>
      <c r="F51" s="526">
        <v>3141</v>
      </c>
      <c r="G51" s="527" t="s">
        <v>321</v>
      </c>
      <c r="H51" s="528" t="s">
        <v>284</v>
      </c>
      <c r="I51" s="575">
        <f t="shared" si="79"/>
        <v>916845</v>
      </c>
      <c r="J51" s="496">
        <v>670189</v>
      </c>
      <c r="K51" s="131">
        <f t="shared" si="80"/>
        <v>226524</v>
      </c>
      <c r="L51" s="131">
        <f t="shared" si="81"/>
        <v>13404</v>
      </c>
      <c r="M51" s="316">
        <v>6728</v>
      </c>
      <c r="N51" s="576">
        <f t="shared" si="82"/>
        <v>2.2799999999999998</v>
      </c>
      <c r="O51" s="577">
        <v>0</v>
      </c>
      <c r="P51" s="578">
        <v>2.2799999999999998</v>
      </c>
      <c r="Q51" s="497">
        <f t="shared" si="83"/>
        <v>0</v>
      </c>
      <c r="R51" s="498">
        <v>0</v>
      </c>
      <c r="S51" s="498">
        <v>0</v>
      </c>
      <c r="T51" s="498">
        <v>0</v>
      </c>
      <c r="U51" s="498">
        <f t="shared" si="2"/>
        <v>0</v>
      </c>
      <c r="V51" s="498">
        <v>0</v>
      </c>
      <c r="W51" s="498">
        <v>0</v>
      </c>
      <c r="X51" s="498">
        <v>0</v>
      </c>
      <c r="Y51" s="498">
        <f t="shared" si="8"/>
        <v>0</v>
      </c>
      <c r="Z51" s="498">
        <f t="shared" si="3"/>
        <v>0</v>
      </c>
      <c r="AA51" s="131">
        <f t="shared" si="19"/>
        <v>0</v>
      </c>
      <c r="AB51" s="131">
        <f t="shared" si="4"/>
        <v>0</v>
      </c>
      <c r="AC51" s="498">
        <v>0</v>
      </c>
      <c r="AD51" s="498">
        <v>0</v>
      </c>
      <c r="AE51" s="498">
        <f t="shared" si="5"/>
        <v>0</v>
      </c>
      <c r="AF51" s="498">
        <f t="shared" si="6"/>
        <v>0</v>
      </c>
      <c r="AG51" s="499">
        <v>0</v>
      </c>
      <c r="AH51" s="499">
        <v>0</v>
      </c>
      <c r="AI51" s="499">
        <v>0</v>
      </c>
      <c r="AJ51" s="499">
        <v>0</v>
      </c>
      <c r="AK51" s="499">
        <v>0</v>
      </c>
      <c r="AL51" s="499">
        <f t="shared" si="9"/>
        <v>0</v>
      </c>
      <c r="AM51" s="499">
        <f t="shared" si="10"/>
        <v>0</v>
      </c>
      <c r="AN51" s="529">
        <f t="shared" si="11"/>
        <v>0</v>
      </c>
      <c r="AO51" s="579">
        <f>I51+AF51</f>
        <v>916845</v>
      </c>
      <c r="AP51" s="498">
        <f>J51+U51</f>
        <v>670189</v>
      </c>
      <c r="AQ51" s="498">
        <f t="shared" si="84"/>
        <v>0</v>
      </c>
      <c r="AR51" s="498">
        <f t="shared" si="85"/>
        <v>226524</v>
      </c>
      <c r="AS51" s="498">
        <f t="shared" si="85"/>
        <v>13404</v>
      </c>
      <c r="AT51" s="498">
        <f>M51+AE51</f>
        <v>6728</v>
      </c>
      <c r="AU51" s="499">
        <f>N51+AN51</f>
        <v>2.2799999999999998</v>
      </c>
      <c r="AV51" s="499">
        <f t="shared" si="86"/>
        <v>0</v>
      </c>
      <c r="AW51" s="500">
        <f t="shared" si="86"/>
        <v>2.2799999999999998</v>
      </c>
    </row>
    <row r="52" spans="1:49" x14ac:dyDescent="0.2">
      <c r="A52" s="525">
        <v>9</v>
      </c>
      <c r="B52" s="526">
        <v>3476</v>
      </c>
      <c r="C52" s="526">
        <v>600099164</v>
      </c>
      <c r="D52" s="526">
        <v>854808</v>
      </c>
      <c r="E52" s="524" t="s">
        <v>101</v>
      </c>
      <c r="F52" s="526">
        <v>3143</v>
      </c>
      <c r="G52" s="527" t="s">
        <v>635</v>
      </c>
      <c r="H52" s="574" t="s">
        <v>283</v>
      </c>
      <c r="I52" s="575">
        <f t="shared" si="79"/>
        <v>594313</v>
      </c>
      <c r="J52" s="496">
        <v>437639</v>
      </c>
      <c r="K52" s="131">
        <f t="shared" si="80"/>
        <v>147922</v>
      </c>
      <c r="L52" s="131">
        <v>8752</v>
      </c>
      <c r="M52" s="316">
        <v>0</v>
      </c>
      <c r="N52" s="576">
        <f t="shared" si="82"/>
        <v>0.89280000000000004</v>
      </c>
      <c r="O52" s="577">
        <v>0.89280000000000004</v>
      </c>
      <c r="P52" s="578">
        <v>0</v>
      </c>
      <c r="Q52" s="497">
        <f t="shared" si="83"/>
        <v>0</v>
      </c>
      <c r="R52" s="498">
        <v>0</v>
      </c>
      <c r="S52" s="498">
        <v>0</v>
      </c>
      <c r="T52" s="498">
        <v>0</v>
      </c>
      <c r="U52" s="498">
        <f t="shared" si="2"/>
        <v>0</v>
      </c>
      <c r="V52" s="498">
        <v>0</v>
      </c>
      <c r="W52" s="498">
        <v>0</v>
      </c>
      <c r="X52" s="498">
        <v>0</v>
      </c>
      <c r="Y52" s="498">
        <f t="shared" si="8"/>
        <v>0</v>
      </c>
      <c r="Z52" s="498">
        <f t="shared" si="3"/>
        <v>0</v>
      </c>
      <c r="AA52" s="131">
        <f t="shared" si="19"/>
        <v>0</v>
      </c>
      <c r="AB52" s="131">
        <f t="shared" si="4"/>
        <v>0</v>
      </c>
      <c r="AC52" s="498">
        <v>0</v>
      </c>
      <c r="AD52" s="498">
        <v>0</v>
      </c>
      <c r="AE52" s="498">
        <f t="shared" si="5"/>
        <v>0</v>
      </c>
      <c r="AF52" s="498">
        <f t="shared" si="6"/>
        <v>0</v>
      </c>
      <c r="AG52" s="499">
        <v>0</v>
      </c>
      <c r="AH52" s="499">
        <v>0</v>
      </c>
      <c r="AI52" s="499">
        <v>0</v>
      </c>
      <c r="AJ52" s="499">
        <v>0</v>
      </c>
      <c r="AK52" s="499">
        <v>0</v>
      </c>
      <c r="AL52" s="499">
        <f t="shared" si="9"/>
        <v>0</v>
      </c>
      <c r="AM52" s="499">
        <f t="shared" si="10"/>
        <v>0</v>
      </c>
      <c r="AN52" s="529">
        <f t="shared" si="11"/>
        <v>0</v>
      </c>
      <c r="AO52" s="579">
        <f>I52+AF52</f>
        <v>594313</v>
      </c>
      <c r="AP52" s="498">
        <f>J52+U52</f>
        <v>437639</v>
      </c>
      <c r="AQ52" s="498">
        <f t="shared" si="84"/>
        <v>0</v>
      </c>
      <c r="AR52" s="498">
        <f t="shared" si="85"/>
        <v>147922</v>
      </c>
      <c r="AS52" s="498">
        <f t="shared" si="85"/>
        <v>8752</v>
      </c>
      <c r="AT52" s="498">
        <f>M52+AE52</f>
        <v>0</v>
      </c>
      <c r="AU52" s="499">
        <f>N52+AN52</f>
        <v>0.89280000000000004</v>
      </c>
      <c r="AV52" s="499">
        <f t="shared" si="86"/>
        <v>0.89280000000000004</v>
      </c>
      <c r="AW52" s="500">
        <f t="shared" si="86"/>
        <v>0</v>
      </c>
    </row>
    <row r="53" spans="1:49" x14ac:dyDescent="0.2">
      <c r="A53" s="525">
        <v>9</v>
      </c>
      <c r="B53" s="526">
        <v>3476</v>
      </c>
      <c r="C53" s="526">
        <v>600099164</v>
      </c>
      <c r="D53" s="526">
        <v>854808</v>
      </c>
      <c r="E53" s="524" t="s">
        <v>101</v>
      </c>
      <c r="F53" s="526">
        <v>3143</v>
      </c>
      <c r="G53" s="527" t="s">
        <v>636</v>
      </c>
      <c r="H53" s="574" t="s">
        <v>284</v>
      </c>
      <c r="I53" s="575">
        <f>SUM(J53:M53)</f>
        <v>21066</v>
      </c>
      <c r="J53" s="496">
        <v>14850</v>
      </c>
      <c r="K53" s="131">
        <f t="shared" si="80"/>
        <v>5019</v>
      </c>
      <c r="L53" s="131">
        <f t="shared" ref="L53" si="87">ROUND(J53*2%,0)</f>
        <v>297</v>
      </c>
      <c r="M53" s="316">
        <v>900</v>
      </c>
      <c r="N53" s="576">
        <f t="shared" si="82"/>
        <v>0.06</v>
      </c>
      <c r="O53" s="577">
        <v>0</v>
      </c>
      <c r="P53" s="578">
        <v>0.06</v>
      </c>
      <c r="Q53" s="497">
        <f t="shared" si="83"/>
        <v>0</v>
      </c>
      <c r="R53" s="498">
        <v>0</v>
      </c>
      <c r="S53" s="498">
        <v>0</v>
      </c>
      <c r="T53" s="498">
        <v>0</v>
      </c>
      <c r="U53" s="498">
        <f t="shared" si="2"/>
        <v>0</v>
      </c>
      <c r="V53" s="498">
        <v>0</v>
      </c>
      <c r="W53" s="498">
        <v>0</v>
      </c>
      <c r="X53" s="498">
        <v>0</v>
      </c>
      <c r="Y53" s="498">
        <f t="shared" si="8"/>
        <v>0</v>
      </c>
      <c r="Z53" s="498">
        <f t="shared" si="3"/>
        <v>0</v>
      </c>
      <c r="AA53" s="131">
        <f t="shared" si="19"/>
        <v>0</v>
      </c>
      <c r="AB53" s="131">
        <f t="shared" si="4"/>
        <v>0</v>
      </c>
      <c r="AC53" s="498">
        <v>0</v>
      </c>
      <c r="AD53" s="498">
        <v>0</v>
      </c>
      <c r="AE53" s="498">
        <f t="shared" si="5"/>
        <v>0</v>
      </c>
      <c r="AF53" s="498">
        <f t="shared" si="6"/>
        <v>0</v>
      </c>
      <c r="AG53" s="499">
        <v>0</v>
      </c>
      <c r="AH53" s="499">
        <v>0</v>
      </c>
      <c r="AI53" s="499">
        <v>0</v>
      </c>
      <c r="AJ53" s="499">
        <v>0</v>
      </c>
      <c r="AK53" s="499">
        <v>0</v>
      </c>
      <c r="AL53" s="499">
        <f t="shared" si="9"/>
        <v>0</v>
      </c>
      <c r="AM53" s="499">
        <f t="shared" si="10"/>
        <v>0</v>
      </c>
      <c r="AN53" s="529">
        <f t="shared" si="11"/>
        <v>0</v>
      </c>
      <c r="AO53" s="579">
        <f>I53+AF53</f>
        <v>21066</v>
      </c>
      <c r="AP53" s="498">
        <f>J53+U53</f>
        <v>14850</v>
      </c>
      <c r="AQ53" s="498">
        <f t="shared" si="84"/>
        <v>0</v>
      </c>
      <c r="AR53" s="498">
        <f t="shared" si="85"/>
        <v>5019</v>
      </c>
      <c r="AS53" s="498">
        <f t="shared" si="85"/>
        <v>297</v>
      </c>
      <c r="AT53" s="498">
        <f>M53+AE53</f>
        <v>900</v>
      </c>
      <c r="AU53" s="499">
        <f>N53+AN53</f>
        <v>0.06</v>
      </c>
      <c r="AV53" s="499">
        <f t="shared" si="86"/>
        <v>0</v>
      </c>
      <c r="AW53" s="500">
        <f t="shared" si="86"/>
        <v>0.06</v>
      </c>
    </row>
    <row r="54" spans="1:49" x14ac:dyDescent="0.2">
      <c r="A54" s="302">
        <v>9</v>
      </c>
      <c r="B54" s="32">
        <v>3476</v>
      </c>
      <c r="C54" s="32">
        <v>600099164</v>
      </c>
      <c r="D54" s="32">
        <v>854808</v>
      </c>
      <c r="E54" s="311" t="s">
        <v>102</v>
      </c>
      <c r="F54" s="32"/>
      <c r="G54" s="301"/>
      <c r="H54" s="454"/>
      <c r="I54" s="6">
        <f t="shared" ref="I54:P54" si="88">SUM(I49:I53)</f>
        <v>11526860</v>
      </c>
      <c r="J54" s="10">
        <f t="shared" si="88"/>
        <v>8347461</v>
      </c>
      <c r="K54" s="10">
        <f t="shared" si="88"/>
        <v>2821442</v>
      </c>
      <c r="L54" s="10">
        <f t="shared" si="88"/>
        <v>166949</v>
      </c>
      <c r="M54" s="10">
        <f t="shared" si="88"/>
        <v>191008</v>
      </c>
      <c r="N54" s="11">
        <f t="shared" si="88"/>
        <v>17.525100000000002</v>
      </c>
      <c r="O54" s="11">
        <f t="shared" si="88"/>
        <v>12.0451</v>
      </c>
      <c r="P54" s="93">
        <f t="shared" si="88"/>
        <v>5.4799999999999995</v>
      </c>
      <c r="Q54" s="296">
        <f t="shared" ref="Q54:AW54" si="89">SUM(Q49:Q53)</f>
        <v>0</v>
      </c>
      <c r="R54" s="10">
        <f t="shared" si="89"/>
        <v>666768</v>
      </c>
      <c r="S54" s="10">
        <f t="shared" si="89"/>
        <v>0</v>
      </c>
      <c r="T54" s="10">
        <f t="shared" si="89"/>
        <v>0</v>
      </c>
      <c r="U54" s="10">
        <f t="shared" si="89"/>
        <v>666768</v>
      </c>
      <c r="V54" s="10">
        <f t="shared" si="89"/>
        <v>0</v>
      </c>
      <c r="W54" s="10">
        <f t="shared" si="89"/>
        <v>0</v>
      </c>
      <c r="X54" s="10">
        <f t="shared" si="89"/>
        <v>0</v>
      </c>
      <c r="Y54" s="10">
        <f t="shared" si="89"/>
        <v>0</v>
      </c>
      <c r="Z54" s="10">
        <f t="shared" si="89"/>
        <v>666768</v>
      </c>
      <c r="AA54" s="10">
        <f t="shared" si="89"/>
        <v>225368</v>
      </c>
      <c r="AB54" s="10">
        <f t="shared" si="89"/>
        <v>13335</v>
      </c>
      <c r="AC54" s="10">
        <f t="shared" si="89"/>
        <v>500</v>
      </c>
      <c r="AD54" s="10">
        <f t="shared" si="89"/>
        <v>0</v>
      </c>
      <c r="AE54" s="10">
        <f t="shared" si="89"/>
        <v>500</v>
      </c>
      <c r="AF54" s="10">
        <f t="shared" si="89"/>
        <v>905971</v>
      </c>
      <c r="AG54" s="11">
        <f t="shared" si="89"/>
        <v>0</v>
      </c>
      <c r="AH54" s="11">
        <f t="shared" si="89"/>
        <v>0</v>
      </c>
      <c r="AI54" s="11">
        <f t="shared" si="89"/>
        <v>2.02</v>
      </c>
      <c r="AJ54" s="11">
        <f t="shared" si="89"/>
        <v>0</v>
      </c>
      <c r="AK54" s="11">
        <f t="shared" si="89"/>
        <v>0</v>
      </c>
      <c r="AL54" s="11">
        <f t="shared" si="89"/>
        <v>2.02</v>
      </c>
      <c r="AM54" s="11">
        <f t="shared" si="89"/>
        <v>0</v>
      </c>
      <c r="AN54" s="38">
        <f t="shared" si="89"/>
        <v>2.02</v>
      </c>
      <c r="AO54" s="6">
        <f t="shared" si="89"/>
        <v>12432831</v>
      </c>
      <c r="AP54" s="10">
        <f t="shared" si="89"/>
        <v>9014229</v>
      </c>
      <c r="AQ54" s="10">
        <f t="shared" si="89"/>
        <v>0</v>
      </c>
      <c r="AR54" s="10">
        <f t="shared" si="89"/>
        <v>3046810</v>
      </c>
      <c r="AS54" s="10">
        <f t="shared" si="89"/>
        <v>180284</v>
      </c>
      <c r="AT54" s="10">
        <f t="shared" si="89"/>
        <v>191508</v>
      </c>
      <c r="AU54" s="11">
        <f t="shared" si="89"/>
        <v>19.545100000000001</v>
      </c>
      <c r="AV54" s="11">
        <f t="shared" si="89"/>
        <v>14.065099999999999</v>
      </c>
      <c r="AW54" s="93">
        <f t="shared" si="89"/>
        <v>5.4799999999999995</v>
      </c>
    </row>
    <row r="55" spans="1:49" x14ac:dyDescent="0.2">
      <c r="A55" s="525">
        <v>10</v>
      </c>
      <c r="B55" s="526">
        <v>3424</v>
      </c>
      <c r="C55" s="526">
        <v>650040384</v>
      </c>
      <c r="D55" s="526">
        <v>72744561</v>
      </c>
      <c r="E55" s="524" t="s">
        <v>103</v>
      </c>
      <c r="F55" s="526">
        <v>3111</v>
      </c>
      <c r="G55" s="527" t="s">
        <v>317</v>
      </c>
      <c r="H55" s="528" t="s">
        <v>283</v>
      </c>
      <c r="I55" s="575">
        <f t="shared" ref="I55:I56" si="90">SUM(J55:M55)</f>
        <v>1485216</v>
      </c>
      <c r="J55" s="496">
        <v>1085726</v>
      </c>
      <c r="K55" s="131">
        <f t="shared" ref="K55:K60" si="91">ROUND((J55)*33.8%,0)</f>
        <v>366975</v>
      </c>
      <c r="L55" s="131">
        <f t="shared" ref="L55:L60" si="92">ROUND(J55*2%,0)</f>
        <v>21715</v>
      </c>
      <c r="M55" s="316">
        <v>10800</v>
      </c>
      <c r="N55" s="576">
        <f t="shared" ref="N55:N60" si="93">SUM(O55:P55)</f>
        <v>2.5108999999999999</v>
      </c>
      <c r="O55" s="577">
        <v>2</v>
      </c>
      <c r="P55" s="578">
        <v>0.51090000000000002</v>
      </c>
      <c r="Q55" s="497">
        <f t="shared" ref="Q55:Q60" si="94">V55*-1</f>
        <v>0</v>
      </c>
      <c r="R55" s="498">
        <v>0</v>
      </c>
      <c r="S55" s="498">
        <v>0</v>
      </c>
      <c r="T55" s="498">
        <v>0</v>
      </c>
      <c r="U55" s="498">
        <f t="shared" si="2"/>
        <v>0</v>
      </c>
      <c r="V55" s="498">
        <v>0</v>
      </c>
      <c r="W55" s="498">
        <v>0</v>
      </c>
      <c r="X55" s="498">
        <v>0</v>
      </c>
      <c r="Y55" s="498">
        <f t="shared" si="8"/>
        <v>0</v>
      </c>
      <c r="Z55" s="498">
        <f t="shared" si="3"/>
        <v>0</v>
      </c>
      <c r="AA55" s="131">
        <f t="shared" si="19"/>
        <v>0</v>
      </c>
      <c r="AB55" s="131">
        <f t="shared" si="4"/>
        <v>0</v>
      </c>
      <c r="AC55" s="498">
        <v>0</v>
      </c>
      <c r="AD55" s="498">
        <v>0</v>
      </c>
      <c r="AE55" s="498">
        <f t="shared" si="5"/>
        <v>0</v>
      </c>
      <c r="AF55" s="498">
        <f t="shared" si="6"/>
        <v>0</v>
      </c>
      <c r="AG55" s="499">
        <v>0</v>
      </c>
      <c r="AH55" s="499">
        <v>0</v>
      </c>
      <c r="AI55" s="499">
        <v>0</v>
      </c>
      <c r="AJ55" s="499">
        <v>0</v>
      </c>
      <c r="AK55" s="499">
        <v>0</v>
      </c>
      <c r="AL55" s="499">
        <f t="shared" si="9"/>
        <v>0</v>
      </c>
      <c r="AM55" s="499">
        <f t="shared" si="10"/>
        <v>0</v>
      </c>
      <c r="AN55" s="529">
        <f t="shared" si="11"/>
        <v>0</v>
      </c>
      <c r="AO55" s="579">
        <f t="shared" ref="AO55:AO60" si="95">I55+AF55</f>
        <v>1485216</v>
      </c>
      <c r="AP55" s="498">
        <f t="shared" ref="AP55:AP60" si="96">J55+U55</f>
        <v>1085726</v>
      </c>
      <c r="AQ55" s="498">
        <f t="shared" ref="AQ55:AQ60" si="97">Y55</f>
        <v>0</v>
      </c>
      <c r="AR55" s="498">
        <f t="shared" ref="AR55:AS60" si="98">K55+AA55</f>
        <v>366975</v>
      </c>
      <c r="AS55" s="498">
        <f t="shared" si="98"/>
        <v>21715</v>
      </c>
      <c r="AT55" s="498">
        <f t="shared" ref="AT55:AT60" si="99">M55+AE55</f>
        <v>10800</v>
      </c>
      <c r="AU55" s="499">
        <f t="shared" ref="AU55:AU60" si="100">N55+AN55</f>
        <v>2.5108999999999999</v>
      </c>
      <c r="AV55" s="499">
        <f t="shared" ref="AV55:AW60" si="101">O55+AL55</f>
        <v>2</v>
      </c>
      <c r="AW55" s="500">
        <f t="shared" si="101"/>
        <v>0.51090000000000002</v>
      </c>
    </row>
    <row r="56" spans="1:49" x14ac:dyDescent="0.2">
      <c r="A56" s="525">
        <v>10</v>
      </c>
      <c r="B56" s="526">
        <v>3424</v>
      </c>
      <c r="C56" s="526">
        <v>650040384</v>
      </c>
      <c r="D56" s="526">
        <v>72744561</v>
      </c>
      <c r="E56" s="524" t="s">
        <v>103</v>
      </c>
      <c r="F56" s="526">
        <v>3117</v>
      </c>
      <c r="G56" s="527" t="s">
        <v>320</v>
      </c>
      <c r="H56" s="528" t="s">
        <v>283</v>
      </c>
      <c r="I56" s="575">
        <f t="shared" si="90"/>
        <v>2838978</v>
      </c>
      <c r="J56" s="496">
        <v>2057819</v>
      </c>
      <c r="K56" s="131">
        <f t="shared" si="91"/>
        <v>695543</v>
      </c>
      <c r="L56" s="131">
        <f t="shared" si="92"/>
        <v>41156</v>
      </c>
      <c r="M56" s="316">
        <v>44460</v>
      </c>
      <c r="N56" s="576">
        <f t="shared" si="93"/>
        <v>4.2905999999999995</v>
      </c>
      <c r="O56" s="577">
        <v>2.8182</v>
      </c>
      <c r="P56" s="578">
        <v>1.4723999999999999</v>
      </c>
      <c r="Q56" s="497">
        <f t="shared" si="94"/>
        <v>-36000</v>
      </c>
      <c r="R56" s="498">
        <v>0</v>
      </c>
      <c r="S56" s="498">
        <v>0</v>
      </c>
      <c r="T56" s="498">
        <v>0</v>
      </c>
      <c r="U56" s="498">
        <f t="shared" si="2"/>
        <v>-36000</v>
      </c>
      <c r="V56" s="498">
        <v>36000</v>
      </c>
      <c r="W56" s="498">
        <v>0</v>
      </c>
      <c r="X56" s="498">
        <v>0</v>
      </c>
      <c r="Y56" s="498">
        <f t="shared" si="8"/>
        <v>36000</v>
      </c>
      <c r="Z56" s="498">
        <f t="shared" si="3"/>
        <v>0</v>
      </c>
      <c r="AA56" s="131">
        <f t="shared" si="19"/>
        <v>0</v>
      </c>
      <c r="AB56" s="131">
        <f t="shared" si="4"/>
        <v>-720</v>
      </c>
      <c r="AC56" s="498">
        <v>0</v>
      </c>
      <c r="AD56" s="498">
        <v>0</v>
      </c>
      <c r="AE56" s="498">
        <f t="shared" si="5"/>
        <v>0</v>
      </c>
      <c r="AF56" s="498">
        <f t="shared" si="6"/>
        <v>-720</v>
      </c>
      <c r="AG56" s="499">
        <v>0</v>
      </c>
      <c r="AH56" s="499">
        <v>-0.18</v>
      </c>
      <c r="AI56" s="499">
        <v>0</v>
      </c>
      <c r="AJ56" s="499">
        <v>0</v>
      </c>
      <c r="AK56" s="499">
        <v>0</v>
      </c>
      <c r="AL56" s="499">
        <f t="shared" si="9"/>
        <v>0</v>
      </c>
      <c r="AM56" s="499">
        <f t="shared" si="10"/>
        <v>-0.18</v>
      </c>
      <c r="AN56" s="529">
        <f t="shared" si="11"/>
        <v>-0.18</v>
      </c>
      <c r="AO56" s="579">
        <f t="shared" si="95"/>
        <v>2838258</v>
      </c>
      <c r="AP56" s="498">
        <f t="shared" si="96"/>
        <v>2021819</v>
      </c>
      <c r="AQ56" s="498">
        <f t="shared" si="97"/>
        <v>36000</v>
      </c>
      <c r="AR56" s="498">
        <f t="shared" si="98"/>
        <v>695543</v>
      </c>
      <c r="AS56" s="498">
        <f t="shared" si="98"/>
        <v>40436</v>
      </c>
      <c r="AT56" s="498">
        <f t="shared" si="99"/>
        <v>44460</v>
      </c>
      <c r="AU56" s="499">
        <f t="shared" si="100"/>
        <v>4.1105999999999998</v>
      </c>
      <c r="AV56" s="499">
        <f t="shared" si="101"/>
        <v>2.8182</v>
      </c>
      <c r="AW56" s="500">
        <f t="shared" si="101"/>
        <v>1.2924</v>
      </c>
    </row>
    <row r="57" spans="1:49" x14ac:dyDescent="0.2">
      <c r="A57" s="525">
        <v>10</v>
      </c>
      <c r="B57" s="526">
        <v>3424</v>
      </c>
      <c r="C57" s="526">
        <v>650040384</v>
      </c>
      <c r="D57" s="526">
        <v>72744561</v>
      </c>
      <c r="E57" s="524" t="s">
        <v>103</v>
      </c>
      <c r="F57" s="526">
        <v>3117</v>
      </c>
      <c r="G57" s="527" t="s">
        <v>318</v>
      </c>
      <c r="H57" s="528" t="s">
        <v>284</v>
      </c>
      <c r="I57" s="575">
        <f>SUM(J57:M57)</f>
        <v>0</v>
      </c>
      <c r="J57" s="496">
        <v>0</v>
      </c>
      <c r="K57" s="131">
        <f t="shared" si="91"/>
        <v>0</v>
      </c>
      <c r="L57" s="131">
        <f t="shared" si="92"/>
        <v>0</v>
      </c>
      <c r="M57" s="316">
        <v>0</v>
      </c>
      <c r="N57" s="576">
        <f t="shared" si="93"/>
        <v>0</v>
      </c>
      <c r="O57" s="577">
        <v>0</v>
      </c>
      <c r="P57" s="578">
        <v>0</v>
      </c>
      <c r="Q57" s="497">
        <f t="shared" si="94"/>
        <v>0</v>
      </c>
      <c r="R57" s="496">
        <f>23136+158787</f>
        <v>181923</v>
      </c>
      <c r="S57" s="498">
        <v>0</v>
      </c>
      <c r="T57" s="498">
        <v>0</v>
      </c>
      <c r="U57" s="498">
        <f t="shared" si="2"/>
        <v>181923</v>
      </c>
      <c r="V57" s="498">
        <v>0</v>
      </c>
      <c r="W57" s="498">
        <v>0</v>
      </c>
      <c r="X57" s="498">
        <v>0</v>
      </c>
      <c r="Y57" s="498">
        <f t="shared" si="8"/>
        <v>0</v>
      </c>
      <c r="Z57" s="498">
        <f t="shared" si="3"/>
        <v>181923</v>
      </c>
      <c r="AA57" s="131">
        <f t="shared" si="19"/>
        <v>61490</v>
      </c>
      <c r="AB57" s="131">
        <f t="shared" si="4"/>
        <v>3638</v>
      </c>
      <c r="AC57" s="498">
        <v>0</v>
      </c>
      <c r="AD57" s="498">
        <v>0</v>
      </c>
      <c r="AE57" s="498">
        <f t="shared" si="5"/>
        <v>0</v>
      </c>
      <c r="AF57" s="498">
        <f t="shared" si="6"/>
        <v>247051</v>
      </c>
      <c r="AG57" s="499">
        <v>0</v>
      </c>
      <c r="AH57" s="499">
        <v>0</v>
      </c>
      <c r="AI57" s="499">
        <f>0.05+0.46</f>
        <v>0.51</v>
      </c>
      <c r="AJ57" s="499">
        <v>0</v>
      </c>
      <c r="AK57" s="499">
        <v>0</v>
      </c>
      <c r="AL57" s="499">
        <f t="shared" si="9"/>
        <v>0.51</v>
      </c>
      <c r="AM57" s="499">
        <f t="shared" si="10"/>
        <v>0</v>
      </c>
      <c r="AN57" s="529">
        <f t="shared" si="11"/>
        <v>0.51</v>
      </c>
      <c r="AO57" s="579">
        <f t="shared" si="95"/>
        <v>247051</v>
      </c>
      <c r="AP57" s="498">
        <f t="shared" si="96"/>
        <v>181923</v>
      </c>
      <c r="AQ57" s="498">
        <f t="shared" si="97"/>
        <v>0</v>
      </c>
      <c r="AR57" s="498">
        <f t="shared" si="98"/>
        <v>61490</v>
      </c>
      <c r="AS57" s="498">
        <f t="shared" si="98"/>
        <v>3638</v>
      </c>
      <c r="AT57" s="498">
        <f t="shared" si="99"/>
        <v>0</v>
      </c>
      <c r="AU57" s="499">
        <f t="shared" si="100"/>
        <v>0.51</v>
      </c>
      <c r="AV57" s="499">
        <f t="shared" si="101"/>
        <v>0.51</v>
      </c>
      <c r="AW57" s="500">
        <f t="shared" si="101"/>
        <v>0</v>
      </c>
    </row>
    <row r="58" spans="1:49" x14ac:dyDescent="0.2">
      <c r="A58" s="525">
        <v>10</v>
      </c>
      <c r="B58" s="526">
        <v>3424</v>
      </c>
      <c r="C58" s="526">
        <v>650040384</v>
      </c>
      <c r="D58" s="526">
        <v>72744561</v>
      </c>
      <c r="E58" s="524" t="s">
        <v>103</v>
      </c>
      <c r="F58" s="526">
        <v>3141</v>
      </c>
      <c r="G58" s="527" t="s">
        <v>321</v>
      </c>
      <c r="H58" s="528" t="s">
        <v>284</v>
      </c>
      <c r="I58" s="575">
        <f>SUM(J58:M58)</f>
        <v>654828</v>
      </c>
      <c r="J58" s="496">
        <v>479763</v>
      </c>
      <c r="K58" s="131">
        <f t="shared" si="91"/>
        <v>162160</v>
      </c>
      <c r="L58" s="131">
        <f t="shared" si="92"/>
        <v>9595</v>
      </c>
      <c r="M58" s="316">
        <v>3310</v>
      </c>
      <c r="N58" s="576">
        <f t="shared" si="93"/>
        <v>1.63</v>
      </c>
      <c r="O58" s="577">
        <v>0</v>
      </c>
      <c r="P58" s="578">
        <v>1.63</v>
      </c>
      <c r="Q58" s="497">
        <f t="shared" si="94"/>
        <v>0</v>
      </c>
      <c r="R58" s="498">
        <v>0</v>
      </c>
      <c r="S58" s="498">
        <v>0</v>
      </c>
      <c r="T58" s="498">
        <v>0</v>
      </c>
      <c r="U58" s="498">
        <f t="shared" si="2"/>
        <v>0</v>
      </c>
      <c r="V58" s="498">
        <v>0</v>
      </c>
      <c r="W58" s="498">
        <v>0</v>
      </c>
      <c r="X58" s="498">
        <v>0</v>
      </c>
      <c r="Y58" s="498">
        <f t="shared" si="8"/>
        <v>0</v>
      </c>
      <c r="Z58" s="498">
        <f t="shared" si="3"/>
        <v>0</v>
      </c>
      <c r="AA58" s="131">
        <f t="shared" si="19"/>
        <v>0</v>
      </c>
      <c r="AB58" s="131">
        <f t="shared" si="4"/>
        <v>0</v>
      </c>
      <c r="AC58" s="498">
        <v>0</v>
      </c>
      <c r="AD58" s="498">
        <v>0</v>
      </c>
      <c r="AE58" s="498">
        <f t="shared" si="5"/>
        <v>0</v>
      </c>
      <c r="AF58" s="498">
        <f t="shared" si="6"/>
        <v>0</v>
      </c>
      <c r="AG58" s="499">
        <v>0</v>
      </c>
      <c r="AH58" s="499">
        <v>0</v>
      </c>
      <c r="AI58" s="499">
        <v>0</v>
      </c>
      <c r="AJ58" s="499">
        <v>0</v>
      </c>
      <c r="AK58" s="499">
        <v>0</v>
      </c>
      <c r="AL58" s="499">
        <f t="shared" si="9"/>
        <v>0</v>
      </c>
      <c r="AM58" s="499">
        <f t="shared" si="10"/>
        <v>0</v>
      </c>
      <c r="AN58" s="529">
        <f t="shared" si="11"/>
        <v>0</v>
      </c>
      <c r="AO58" s="579">
        <f t="shared" si="95"/>
        <v>654828</v>
      </c>
      <c r="AP58" s="498">
        <f t="shared" si="96"/>
        <v>479763</v>
      </c>
      <c r="AQ58" s="498">
        <f t="shared" si="97"/>
        <v>0</v>
      </c>
      <c r="AR58" s="498">
        <f t="shared" si="98"/>
        <v>162160</v>
      </c>
      <c r="AS58" s="498">
        <f t="shared" si="98"/>
        <v>9595</v>
      </c>
      <c r="AT58" s="498">
        <f t="shared" si="99"/>
        <v>3310</v>
      </c>
      <c r="AU58" s="499">
        <f t="shared" si="100"/>
        <v>1.63</v>
      </c>
      <c r="AV58" s="499">
        <f t="shared" si="101"/>
        <v>0</v>
      </c>
      <c r="AW58" s="500">
        <f t="shared" si="101"/>
        <v>1.63</v>
      </c>
    </row>
    <row r="59" spans="1:49" x14ac:dyDescent="0.2">
      <c r="A59" s="525">
        <v>10</v>
      </c>
      <c r="B59" s="526">
        <v>3424</v>
      </c>
      <c r="C59" s="526">
        <v>650040384</v>
      </c>
      <c r="D59" s="526">
        <v>72744561</v>
      </c>
      <c r="E59" s="524" t="s">
        <v>103</v>
      </c>
      <c r="F59" s="526">
        <v>3143</v>
      </c>
      <c r="G59" s="527" t="s">
        <v>635</v>
      </c>
      <c r="H59" s="574" t="s">
        <v>283</v>
      </c>
      <c r="I59" s="575">
        <f t="shared" ref="I59" si="102">SUM(J59:M59)</f>
        <v>582384</v>
      </c>
      <c r="J59" s="496">
        <v>428854</v>
      </c>
      <c r="K59" s="131">
        <f t="shared" si="91"/>
        <v>144953</v>
      </c>
      <c r="L59" s="131">
        <f t="shared" si="92"/>
        <v>8577</v>
      </c>
      <c r="M59" s="316">
        <v>0</v>
      </c>
      <c r="N59" s="576">
        <f t="shared" si="93"/>
        <v>0.86199999999999999</v>
      </c>
      <c r="O59" s="577">
        <v>0.86199999999999999</v>
      </c>
      <c r="P59" s="578">
        <v>0</v>
      </c>
      <c r="Q59" s="497">
        <f t="shared" si="94"/>
        <v>0</v>
      </c>
      <c r="R59" s="498">
        <v>0</v>
      </c>
      <c r="S59" s="498">
        <v>0</v>
      </c>
      <c r="T59" s="498">
        <v>0</v>
      </c>
      <c r="U59" s="498">
        <f t="shared" si="2"/>
        <v>0</v>
      </c>
      <c r="V59" s="498">
        <v>0</v>
      </c>
      <c r="W59" s="498">
        <v>0</v>
      </c>
      <c r="X59" s="498">
        <v>0</v>
      </c>
      <c r="Y59" s="498">
        <f t="shared" si="8"/>
        <v>0</v>
      </c>
      <c r="Z59" s="498">
        <f t="shared" si="3"/>
        <v>0</v>
      </c>
      <c r="AA59" s="131">
        <f t="shared" si="19"/>
        <v>0</v>
      </c>
      <c r="AB59" s="131">
        <f t="shared" si="4"/>
        <v>0</v>
      </c>
      <c r="AC59" s="498">
        <v>0</v>
      </c>
      <c r="AD59" s="498">
        <v>0</v>
      </c>
      <c r="AE59" s="498">
        <f t="shared" si="5"/>
        <v>0</v>
      </c>
      <c r="AF59" s="498">
        <f t="shared" si="6"/>
        <v>0</v>
      </c>
      <c r="AG59" s="499">
        <v>0</v>
      </c>
      <c r="AH59" s="499">
        <v>0</v>
      </c>
      <c r="AI59" s="499">
        <v>0</v>
      </c>
      <c r="AJ59" s="499">
        <v>0</v>
      </c>
      <c r="AK59" s="499">
        <v>0</v>
      </c>
      <c r="AL59" s="499">
        <f t="shared" si="9"/>
        <v>0</v>
      </c>
      <c r="AM59" s="499">
        <f t="shared" si="10"/>
        <v>0</v>
      </c>
      <c r="AN59" s="529">
        <f t="shared" si="11"/>
        <v>0</v>
      </c>
      <c r="AO59" s="579">
        <f t="shared" si="95"/>
        <v>582384</v>
      </c>
      <c r="AP59" s="498">
        <f t="shared" si="96"/>
        <v>428854</v>
      </c>
      <c r="AQ59" s="498">
        <f t="shared" si="97"/>
        <v>0</v>
      </c>
      <c r="AR59" s="498">
        <f t="shared" si="98"/>
        <v>144953</v>
      </c>
      <c r="AS59" s="498">
        <f t="shared" si="98"/>
        <v>8577</v>
      </c>
      <c r="AT59" s="498">
        <f t="shared" si="99"/>
        <v>0</v>
      </c>
      <c r="AU59" s="499">
        <f t="shared" si="100"/>
        <v>0.86199999999999999</v>
      </c>
      <c r="AV59" s="499">
        <f t="shared" si="101"/>
        <v>0.86199999999999999</v>
      </c>
      <c r="AW59" s="500">
        <f t="shared" si="101"/>
        <v>0</v>
      </c>
    </row>
    <row r="60" spans="1:49" x14ac:dyDescent="0.2">
      <c r="A60" s="525">
        <v>10</v>
      </c>
      <c r="B60" s="526">
        <v>3424</v>
      </c>
      <c r="C60" s="526">
        <v>650040384</v>
      </c>
      <c r="D60" s="526">
        <v>72744561</v>
      </c>
      <c r="E60" s="524" t="s">
        <v>103</v>
      </c>
      <c r="F60" s="526">
        <v>3143</v>
      </c>
      <c r="G60" s="527" t="s">
        <v>636</v>
      </c>
      <c r="H60" s="574" t="s">
        <v>284</v>
      </c>
      <c r="I60" s="575">
        <f>SUM(J60:M60)</f>
        <v>15449</v>
      </c>
      <c r="J60" s="496">
        <v>10890</v>
      </c>
      <c r="K60" s="131">
        <f t="shared" si="91"/>
        <v>3681</v>
      </c>
      <c r="L60" s="131">
        <f t="shared" si="92"/>
        <v>218</v>
      </c>
      <c r="M60" s="316">
        <v>660</v>
      </c>
      <c r="N60" s="576">
        <f t="shared" si="93"/>
        <v>0.05</v>
      </c>
      <c r="O60" s="577">
        <v>0</v>
      </c>
      <c r="P60" s="578">
        <v>0.05</v>
      </c>
      <c r="Q60" s="497">
        <f t="shared" si="94"/>
        <v>0</v>
      </c>
      <c r="R60" s="498">
        <v>0</v>
      </c>
      <c r="S60" s="498">
        <v>0</v>
      </c>
      <c r="T60" s="498">
        <v>0</v>
      </c>
      <c r="U60" s="498">
        <f t="shared" si="2"/>
        <v>0</v>
      </c>
      <c r="V60" s="498">
        <v>0</v>
      </c>
      <c r="W60" s="498">
        <v>0</v>
      </c>
      <c r="X60" s="498">
        <v>0</v>
      </c>
      <c r="Y60" s="498">
        <f t="shared" si="8"/>
        <v>0</v>
      </c>
      <c r="Z60" s="498">
        <f t="shared" si="3"/>
        <v>0</v>
      </c>
      <c r="AA60" s="131">
        <f t="shared" si="19"/>
        <v>0</v>
      </c>
      <c r="AB60" s="131">
        <f t="shared" si="4"/>
        <v>0</v>
      </c>
      <c r="AC60" s="498">
        <v>0</v>
      </c>
      <c r="AD60" s="498">
        <v>0</v>
      </c>
      <c r="AE60" s="498">
        <f t="shared" si="5"/>
        <v>0</v>
      </c>
      <c r="AF60" s="498">
        <f t="shared" si="6"/>
        <v>0</v>
      </c>
      <c r="AG60" s="499">
        <v>0</v>
      </c>
      <c r="AH60" s="499">
        <v>0</v>
      </c>
      <c r="AI60" s="499">
        <v>0</v>
      </c>
      <c r="AJ60" s="499">
        <v>0</v>
      </c>
      <c r="AK60" s="499">
        <v>0</v>
      </c>
      <c r="AL60" s="499">
        <f t="shared" si="9"/>
        <v>0</v>
      </c>
      <c r="AM60" s="499">
        <f t="shared" si="10"/>
        <v>0</v>
      </c>
      <c r="AN60" s="529">
        <f t="shared" si="11"/>
        <v>0</v>
      </c>
      <c r="AO60" s="579">
        <f t="shared" si="95"/>
        <v>15449</v>
      </c>
      <c r="AP60" s="498">
        <f t="shared" si="96"/>
        <v>10890</v>
      </c>
      <c r="AQ60" s="498">
        <f t="shared" si="97"/>
        <v>0</v>
      </c>
      <c r="AR60" s="498">
        <f t="shared" si="98"/>
        <v>3681</v>
      </c>
      <c r="AS60" s="498">
        <f t="shared" si="98"/>
        <v>218</v>
      </c>
      <c r="AT60" s="498">
        <f t="shared" si="99"/>
        <v>660</v>
      </c>
      <c r="AU60" s="499">
        <f t="shared" si="100"/>
        <v>0.05</v>
      </c>
      <c r="AV60" s="499">
        <f t="shared" si="101"/>
        <v>0</v>
      </c>
      <c r="AW60" s="500">
        <f t="shared" si="101"/>
        <v>0.05</v>
      </c>
    </row>
    <row r="61" spans="1:49" x14ac:dyDescent="0.2">
      <c r="A61" s="302">
        <v>10</v>
      </c>
      <c r="B61" s="32">
        <v>3424</v>
      </c>
      <c r="C61" s="32">
        <v>650040384</v>
      </c>
      <c r="D61" s="32">
        <v>72744561</v>
      </c>
      <c r="E61" s="311" t="s">
        <v>104</v>
      </c>
      <c r="F61" s="32"/>
      <c r="G61" s="301"/>
      <c r="H61" s="454"/>
      <c r="I61" s="6">
        <f t="shared" ref="I61:AW61" si="103">SUM(I55:I60)</f>
        <v>5576855</v>
      </c>
      <c r="J61" s="10">
        <f t="shared" si="103"/>
        <v>4063052</v>
      </c>
      <c r="K61" s="10">
        <f t="shared" si="103"/>
        <v>1373312</v>
      </c>
      <c r="L61" s="10">
        <f t="shared" si="103"/>
        <v>81261</v>
      </c>
      <c r="M61" s="10">
        <f t="shared" si="103"/>
        <v>59230</v>
      </c>
      <c r="N61" s="11">
        <f t="shared" si="103"/>
        <v>9.3435000000000006</v>
      </c>
      <c r="O61" s="11">
        <f t="shared" si="103"/>
        <v>5.6802000000000001</v>
      </c>
      <c r="P61" s="93">
        <f t="shared" si="103"/>
        <v>3.6632999999999996</v>
      </c>
      <c r="Q61" s="296">
        <f t="shared" si="103"/>
        <v>-36000</v>
      </c>
      <c r="R61" s="10">
        <f t="shared" si="103"/>
        <v>181923</v>
      </c>
      <c r="S61" s="10">
        <f t="shared" si="103"/>
        <v>0</v>
      </c>
      <c r="T61" s="10">
        <f t="shared" si="103"/>
        <v>0</v>
      </c>
      <c r="U61" s="10">
        <f t="shared" si="103"/>
        <v>145923</v>
      </c>
      <c r="V61" s="10">
        <f t="shared" si="103"/>
        <v>36000</v>
      </c>
      <c r="W61" s="10">
        <f t="shared" si="103"/>
        <v>0</v>
      </c>
      <c r="X61" s="10">
        <f t="shared" si="103"/>
        <v>0</v>
      </c>
      <c r="Y61" s="10">
        <f t="shared" si="103"/>
        <v>36000</v>
      </c>
      <c r="Z61" s="10">
        <f t="shared" si="103"/>
        <v>181923</v>
      </c>
      <c r="AA61" s="10">
        <f t="shared" si="103"/>
        <v>61490</v>
      </c>
      <c r="AB61" s="10">
        <f t="shared" si="103"/>
        <v>2918</v>
      </c>
      <c r="AC61" s="10">
        <f t="shared" si="103"/>
        <v>0</v>
      </c>
      <c r="AD61" s="10">
        <f t="shared" si="103"/>
        <v>0</v>
      </c>
      <c r="AE61" s="10">
        <f t="shared" si="103"/>
        <v>0</v>
      </c>
      <c r="AF61" s="10">
        <f t="shared" si="103"/>
        <v>246331</v>
      </c>
      <c r="AG61" s="11">
        <f t="shared" si="103"/>
        <v>0</v>
      </c>
      <c r="AH61" s="11">
        <f t="shared" si="103"/>
        <v>-0.18</v>
      </c>
      <c r="AI61" s="11">
        <f t="shared" si="103"/>
        <v>0.51</v>
      </c>
      <c r="AJ61" s="11">
        <f t="shared" si="103"/>
        <v>0</v>
      </c>
      <c r="AK61" s="11">
        <f t="shared" si="103"/>
        <v>0</v>
      </c>
      <c r="AL61" s="11">
        <f t="shared" si="103"/>
        <v>0.51</v>
      </c>
      <c r="AM61" s="11">
        <f t="shared" si="103"/>
        <v>-0.18</v>
      </c>
      <c r="AN61" s="38">
        <f t="shared" si="103"/>
        <v>0.33</v>
      </c>
      <c r="AO61" s="6">
        <f t="shared" si="103"/>
        <v>5823186</v>
      </c>
      <c r="AP61" s="10">
        <f t="shared" si="103"/>
        <v>4208975</v>
      </c>
      <c r="AQ61" s="10">
        <f t="shared" si="103"/>
        <v>36000</v>
      </c>
      <c r="AR61" s="10">
        <f t="shared" si="103"/>
        <v>1434802</v>
      </c>
      <c r="AS61" s="10">
        <f t="shared" si="103"/>
        <v>84179</v>
      </c>
      <c r="AT61" s="10">
        <f t="shared" si="103"/>
        <v>59230</v>
      </c>
      <c r="AU61" s="11">
        <f t="shared" si="103"/>
        <v>9.6734999999999989</v>
      </c>
      <c r="AV61" s="11">
        <f t="shared" si="103"/>
        <v>6.1901999999999999</v>
      </c>
      <c r="AW61" s="93">
        <f t="shared" si="103"/>
        <v>3.4832999999999998</v>
      </c>
    </row>
    <row r="62" spans="1:49" x14ac:dyDescent="0.2">
      <c r="A62" s="525">
        <v>11</v>
      </c>
      <c r="B62" s="526">
        <v>3430</v>
      </c>
      <c r="C62" s="526">
        <v>600078183</v>
      </c>
      <c r="D62" s="526">
        <v>72744405</v>
      </c>
      <c r="E62" s="524" t="s">
        <v>105</v>
      </c>
      <c r="F62" s="526">
        <v>3111</v>
      </c>
      <c r="G62" s="527" t="s">
        <v>317</v>
      </c>
      <c r="H62" s="528" t="s">
        <v>283</v>
      </c>
      <c r="I62" s="575">
        <f t="shared" ref="I62:I64" si="104">SUM(J62:M62)</f>
        <v>3429556</v>
      </c>
      <c r="J62" s="496">
        <v>2509209</v>
      </c>
      <c r="K62" s="131">
        <f t="shared" ref="K62:K64" si="105">ROUND((J62)*33.8%,0)</f>
        <v>848113</v>
      </c>
      <c r="L62" s="131">
        <f t="shared" ref="L62:L64" si="106">ROUND(J62*2%,0)</f>
        <v>50184</v>
      </c>
      <c r="M62" s="316">
        <v>22050</v>
      </c>
      <c r="N62" s="576">
        <f t="shared" ref="N62:N64" si="107">SUM(O62:P62)</f>
        <v>5.4897999999999998</v>
      </c>
      <c r="O62" s="577">
        <v>4</v>
      </c>
      <c r="P62" s="578">
        <v>1.4898</v>
      </c>
      <c r="Q62" s="497">
        <f t="shared" ref="Q62:Q64" si="108">V62*-1</f>
        <v>-16000</v>
      </c>
      <c r="R62" s="498">
        <v>0</v>
      </c>
      <c r="S62" s="498">
        <v>0</v>
      </c>
      <c r="T62" s="498">
        <v>0</v>
      </c>
      <c r="U62" s="498">
        <f t="shared" si="2"/>
        <v>-16000</v>
      </c>
      <c r="V62" s="498">
        <v>16000</v>
      </c>
      <c r="W62" s="498">
        <v>0</v>
      </c>
      <c r="X62" s="498">
        <v>0</v>
      </c>
      <c r="Y62" s="498">
        <f t="shared" si="8"/>
        <v>16000</v>
      </c>
      <c r="Z62" s="498">
        <f t="shared" si="3"/>
        <v>0</v>
      </c>
      <c r="AA62" s="131">
        <f t="shared" si="19"/>
        <v>0</v>
      </c>
      <c r="AB62" s="131">
        <f t="shared" si="4"/>
        <v>-320</v>
      </c>
      <c r="AC62" s="498">
        <v>0</v>
      </c>
      <c r="AD62" s="498">
        <v>0</v>
      </c>
      <c r="AE62" s="498">
        <f t="shared" si="5"/>
        <v>0</v>
      </c>
      <c r="AF62" s="498">
        <f t="shared" si="6"/>
        <v>-320</v>
      </c>
      <c r="AG62" s="499">
        <v>0</v>
      </c>
      <c r="AH62" s="499">
        <v>-0.09</v>
      </c>
      <c r="AI62" s="499">
        <v>0</v>
      </c>
      <c r="AJ62" s="499">
        <v>0</v>
      </c>
      <c r="AK62" s="499">
        <v>0</v>
      </c>
      <c r="AL62" s="499">
        <f t="shared" si="9"/>
        <v>0</v>
      </c>
      <c r="AM62" s="499">
        <f t="shared" si="10"/>
        <v>-0.09</v>
      </c>
      <c r="AN62" s="529">
        <f t="shared" si="11"/>
        <v>-0.09</v>
      </c>
      <c r="AO62" s="579">
        <f>I62+AF62</f>
        <v>3429236</v>
      </c>
      <c r="AP62" s="498">
        <f>J62+U62</f>
        <v>2493209</v>
      </c>
      <c r="AQ62" s="498">
        <f t="shared" ref="AQ62:AQ64" si="109">Y62</f>
        <v>16000</v>
      </c>
      <c r="AR62" s="498">
        <f t="shared" ref="AR62:AS64" si="110">K62+AA62</f>
        <v>848113</v>
      </c>
      <c r="AS62" s="498">
        <f t="shared" si="110"/>
        <v>49864</v>
      </c>
      <c r="AT62" s="498">
        <f>M62+AE62</f>
        <v>22050</v>
      </c>
      <c r="AU62" s="499">
        <f>N62+AN62</f>
        <v>5.3997999999999999</v>
      </c>
      <c r="AV62" s="499">
        <f t="shared" ref="AV62:AW64" si="111">O62+AL62</f>
        <v>4</v>
      </c>
      <c r="AW62" s="500">
        <f t="shared" si="111"/>
        <v>1.3997999999999999</v>
      </c>
    </row>
    <row r="63" spans="1:49" x14ac:dyDescent="0.2">
      <c r="A63" s="525">
        <v>11</v>
      </c>
      <c r="B63" s="526">
        <v>3430</v>
      </c>
      <c r="C63" s="526">
        <v>600078183</v>
      </c>
      <c r="D63" s="526">
        <v>72744405</v>
      </c>
      <c r="E63" s="524" t="s">
        <v>105</v>
      </c>
      <c r="F63" s="526">
        <v>3111</v>
      </c>
      <c r="G63" s="527" t="s">
        <v>318</v>
      </c>
      <c r="H63" s="528" t="s">
        <v>284</v>
      </c>
      <c r="I63" s="575">
        <f t="shared" si="104"/>
        <v>0</v>
      </c>
      <c r="J63" s="496">
        <v>0</v>
      </c>
      <c r="K63" s="131">
        <f t="shared" si="105"/>
        <v>0</v>
      </c>
      <c r="L63" s="131">
        <f t="shared" si="106"/>
        <v>0</v>
      </c>
      <c r="M63" s="316">
        <v>0</v>
      </c>
      <c r="N63" s="576">
        <f t="shared" si="107"/>
        <v>0</v>
      </c>
      <c r="O63" s="577">
        <v>0</v>
      </c>
      <c r="P63" s="578">
        <v>0</v>
      </c>
      <c r="Q63" s="497">
        <f t="shared" si="108"/>
        <v>0</v>
      </c>
      <c r="R63" s="496">
        <v>392716</v>
      </c>
      <c r="S63" s="498">
        <v>0</v>
      </c>
      <c r="T63" s="498">
        <v>0</v>
      </c>
      <c r="U63" s="498">
        <f t="shared" si="2"/>
        <v>392716</v>
      </c>
      <c r="V63" s="498">
        <v>0</v>
      </c>
      <c r="W63" s="498">
        <v>0</v>
      </c>
      <c r="X63" s="498">
        <v>0</v>
      </c>
      <c r="Y63" s="498">
        <f t="shared" si="8"/>
        <v>0</v>
      </c>
      <c r="Z63" s="498">
        <f t="shared" si="3"/>
        <v>392716</v>
      </c>
      <c r="AA63" s="131">
        <f t="shared" si="19"/>
        <v>132738</v>
      </c>
      <c r="AB63" s="131">
        <f t="shared" si="4"/>
        <v>7854</v>
      </c>
      <c r="AC63" s="498">
        <v>0</v>
      </c>
      <c r="AD63" s="498">
        <v>0</v>
      </c>
      <c r="AE63" s="498">
        <f t="shared" si="5"/>
        <v>0</v>
      </c>
      <c r="AF63" s="498">
        <f t="shared" si="6"/>
        <v>533308</v>
      </c>
      <c r="AG63" s="499">
        <v>0</v>
      </c>
      <c r="AH63" s="499">
        <v>0</v>
      </c>
      <c r="AI63" s="499">
        <v>1.1000000000000001</v>
      </c>
      <c r="AJ63" s="499">
        <v>0</v>
      </c>
      <c r="AK63" s="499">
        <v>0</v>
      </c>
      <c r="AL63" s="499">
        <f t="shared" si="9"/>
        <v>1.1000000000000001</v>
      </c>
      <c r="AM63" s="499">
        <f t="shared" si="10"/>
        <v>0</v>
      </c>
      <c r="AN63" s="529">
        <f t="shared" si="11"/>
        <v>1.1000000000000001</v>
      </c>
      <c r="AO63" s="579">
        <f>I63+AF63</f>
        <v>533308</v>
      </c>
      <c r="AP63" s="498">
        <f>J63+U63</f>
        <v>392716</v>
      </c>
      <c r="AQ63" s="498">
        <f t="shared" si="109"/>
        <v>0</v>
      </c>
      <c r="AR63" s="498">
        <f t="shared" si="110"/>
        <v>132738</v>
      </c>
      <c r="AS63" s="498">
        <f t="shared" si="110"/>
        <v>7854</v>
      </c>
      <c r="AT63" s="498">
        <f>M63+AE63</f>
        <v>0</v>
      </c>
      <c r="AU63" s="499">
        <f>N63+AN63</f>
        <v>1.1000000000000001</v>
      </c>
      <c r="AV63" s="499">
        <f t="shared" si="111"/>
        <v>1.1000000000000001</v>
      </c>
      <c r="AW63" s="500">
        <f t="shared" si="111"/>
        <v>0</v>
      </c>
    </row>
    <row r="64" spans="1:49" x14ac:dyDescent="0.2">
      <c r="A64" s="525">
        <v>11</v>
      </c>
      <c r="B64" s="526">
        <v>3430</v>
      </c>
      <c r="C64" s="526">
        <v>600078183</v>
      </c>
      <c r="D64" s="526">
        <v>72744405</v>
      </c>
      <c r="E64" s="524" t="s">
        <v>105</v>
      </c>
      <c r="F64" s="526">
        <v>3141</v>
      </c>
      <c r="G64" s="527" t="s">
        <v>321</v>
      </c>
      <c r="H64" s="528" t="s">
        <v>284</v>
      </c>
      <c r="I64" s="575">
        <f t="shared" si="104"/>
        <v>628246</v>
      </c>
      <c r="J64" s="496">
        <v>460533</v>
      </c>
      <c r="K64" s="131">
        <f t="shared" si="105"/>
        <v>155660</v>
      </c>
      <c r="L64" s="131">
        <f t="shared" si="106"/>
        <v>9211</v>
      </c>
      <c r="M64" s="316">
        <v>2842</v>
      </c>
      <c r="N64" s="576">
        <f t="shared" si="107"/>
        <v>1.57</v>
      </c>
      <c r="O64" s="577">
        <v>0</v>
      </c>
      <c r="P64" s="578">
        <v>1.57</v>
      </c>
      <c r="Q64" s="497">
        <f t="shared" si="108"/>
        <v>0</v>
      </c>
      <c r="R64" s="498">
        <v>0</v>
      </c>
      <c r="S64" s="498">
        <v>0</v>
      </c>
      <c r="T64" s="498">
        <v>0</v>
      </c>
      <c r="U64" s="498">
        <f t="shared" si="2"/>
        <v>0</v>
      </c>
      <c r="V64" s="498">
        <v>0</v>
      </c>
      <c r="W64" s="498">
        <v>0</v>
      </c>
      <c r="X64" s="498">
        <v>0</v>
      </c>
      <c r="Y64" s="498">
        <f t="shared" si="8"/>
        <v>0</v>
      </c>
      <c r="Z64" s="498">
        <f t="shared" si="3"/>
        <v>0</v>
      </c>
      <c r="AA64" s="131">
        <f t="shared" si="19"/>
        <v>0</v>
      </c>
      <c r="AB64" s="131">
        <f t="shared" si="4"/>
        <v>0</v>
      </c>
      <c r="AC64" s="498">
        <v>0</v>
      </c>
      <c r="AD64" s="498">
        <v>0</v>
      </c>
      <c r="AE64" s="498">
        <f t="shared" si="5"/>
        <v>0</v>
      </c>
      <c r="AF64" s="498">
        <f t="shared" si="6"/>
        <v>0</v>
      </c>
      <c r="AG64" s="499">
        <v>0</v>
      </c>
      <c r="AH64" s="499">
        <v>0</v>
      </c>
      <c r="AI64" s="499">
        <v>0</v>
      </c>
      <c r="AJ64" s="499">
        <v>0</v>
      </c>
      <c r="AK64" s="499">
        <v>0</v>
      </c>
      <c r="AL64" s="499">
        <f t="shared" si="9"/>
        <v>0</v>
      </c>
      <c r="AM64" s="499">
        <f t="shared" si="10"/>
        <v>0</v>
      </c>
      <c r="AN64" s="529">
        <f t="shared" si="11"/>
        <v>0</v>
      </c>
      <c r="AO64" s="579">
        <f>I64+AF64</f>
        <v>628246</v>
      </c>
      <c r="AP64" s="498">
        <f>J64+U64</f>
        <v>460533</v>
      </c>
      <c r="AQ64" s="498">
        <f t="shared" si="109"/>
        <v>0</v>
      </c>
      <c r="AR64" s="498">
        <f t="shared" si="110"/>
        <v>155660</v>
      </c>
      <c r="AS64" s="498">
        <f t="shared" si="110"/>
        <v>9211</v>
      </c>
      <c r="AT64" s="498">
        <f>M64+AE64</f>
        <v>2842</v>
      </c>
      <c r="AU64" s="499">
        <f>N64+AN64</f>
        <v>1.57</v>
      </c>
      <c r="AV64" s="499">
        <f t="shared" si="111"/>
        <v>0</v>
      </c>
      <c r="AW64" s="500">
        <f t="shared" si="111"/>
        <v>1.57</v>
      </c>
    </row>
    <row r="65" spans="1:49" x14ac:dyDescent="0.2">
      <c r="A65" s="302">
        <v>11</v>
      </c>
      <c r="B65" s="32">
        <v>3430</v>
      </c>
      <c r="C65" s="32">
        <v>600078183</v>
      </c>
      <c r="D65" s="32">
        <v>72744405</v>
      </c>
      <c r="E65" s="311" t="s">
        <v>106</v>
      </c>
      <c r="F65" s="32"/>
      <c r="G65" s="301"/>
      <c r="H65" s="454"/>
      <c r="I65" s="6">
        <f t="shared" ref="I65:P65" si="112">SUM(I62:I64)</f>
        <v>4057802</v>
      </c>
      <c r="J65" s="10">
        <f t="shared" si="112"/>
        <v>2969742</v>
      </c>
      <c r="K65" s="10">
        <f t="shared" si="112"/>
        <v>1003773</v>
      </c>
      <c r="L65" s="10">
        <f t="shared" si="112"/>
        <v>59395</v>
      </c>
      <c r="M65" s="10">
        <f t="shared" si="112"/>
        <v>24892</v>
      </c>
      <c r="N65" s="11">
        <f t="shared" si="112"/>
        <v>7.0598000000000001</v>
      </c>
      <c r="O65" s="11">
        <f t="shared" si="112"/>
        <v>4</v>
      </c>
      <c r="P65" s="93">
        <f t="shared" si="112"/>
        <v>3.0598000000000001</v>
      </c>
      <c r="Q65" s="296">
        <f t="shared" ref="Q65:AW65" si="113">SUM(Q62:Q64)</f>
        <v>-16000</v>
      </c>
      <c r="R65" s="10">
        <f t="shared" si="113"/>
        <v>392716</v>
      </c>
      <c r="S65" s="10">
        <f t="shared" si="113"/>
        <v>0</v>
      </c>
      <c r="T65" s="10">
        <f t="shared" si="113"/>
        <v>0</v>
      </c>
      <c r="U65" s="10">
        <f t="shared" si="113"/>
        <v>376716</v>
      </c>
      <c r="V65" s="10">
        <f t="shared" si="113"/>
        <v>16000</v>
      </c>
      <c r="W65" s="10">
        <f t="shared" si="113"/>
        <v>0</v>
      </c>
      <c r="X65" s="10">
        <f t="shared" si="113"/>
        <v>0</v>
      </c>
      <c r="Y65" s="10">
        <f t="shared" si="113"/>
        <v>16000</v>
      </c>
      <c r="Z65" s="10">
        <f t="shared" si="113"/>
        <v>392716</v>
      </c>
      <c r="AA65" s="10">
        <f t="shared" si="113"/>
        <v>132738</v>
      </c>
      <c r="AB65" s="10">
        <f t="shared" si="113"/>
        <v>7534</v>
      </c>
      <c r="AC65" s="10">
        <f t="shared" si="113"/>
        <v>0</v>
      </c>
      <c r="AD65" s="10">
        <f t="shared" si="113"/>
        <v>0</v>
      </c>
      <c r="AE65" s="10">
        <f t="shared" si="113"/>
        <v>0</v>
      </c>
      <c r="AF65" s="10">
        <f t="shared" si="113"/>
        <v>532988</v>
      </c>
      <c r="AG65" s="11">
        <f t="shared" si="113"/>
        <v>0</v>
      </c>
      <c r="AH65" s="11">
        <f t="shared" si="113"/>
        <v>-0.09</v>
      </c>
      <c r="AI65" s="11">
        <f t="shared" si="113"/>
        <v>1.1000000000000001</v>
      </c>
      <c r="AJ65" s="11">
        <f t="shared" si="113"/>
        <v>0</v>
      </c>
      <c r="AK65" s="11">
        <f t="shared" si="113"/>
        <v>0</v>
      </c>
      <c r="AL65" s="11">
        <f t="shared" si="113"/>
        <v>1.1000000000000001</v>
      </c>
      <c r="AM65" s="11">
        <f t="shared" si="113"/>
        <v>-0.09</v>
      </c>
      <c r="AN65" s="38">
        <f t="shared" si="113"/>
        <v>1.01</v>
      </c>
      <c r="AO65" s="6">
        <f t="shared" si="113"/>
        <v>4590790</v>
      </c>
      <c r="AP65" s="10">
        <f t="shared" si="113"/>
        <v>3346458</v>
      </c>
      <c r="AQ65" s="10">
        <f t="shared" si="113"/>
        <v>16000</v>
      </c>
      <c r="AR65" s="10">
        <f t="shared" si="113"/>
        <v>1136511</v>
      </c>
      <c r="AS65" s="10">
        <f t="shared" si="113"/>
        <v>66929</v>
      </c>
      <c r="AT65" s="10">
        <f t="shared" si="113"/>
        <v>24892</v>
      </c>
      <c r="AU65" s="11">
        <f t="shared" si="113"/>
        <v>8.0698000000000008</v>
      </c>
      <c r="AV65" s="11">
        <f t="shared" si="113"/>
        <v>5.0999999999999996</v>
      </c>
      <c r="AW65" s="93">
        <f t="shared" si="113"/>
        <v>2.9698000000000002</v>
      </c>
    </row>
    <row r="66" spans="1:49" x14ac:dyDescent="0.2">
      <c r="A66" s="525">
        <v>12</v>
      </c>
      <c r="B66" s="526">
        <v>3431</v>
      </c>
      <c r="C66" s="526">
        <v>600078370</v>
      </c>
      <c r="D66" s="526">
        <v>72744162</v>
      </c>
      <c r="E66" s="524" t="s">
        <v>107</v>
      </c>
      <c r="F66" s="526">
        <v>3117</v>
      </c>
      <c r="G66" s="527" t="s">
        <v>320</v>
      </c>
      <c r="H66" s="528" t="s">
        <v>283</v>
      </c>
      <c r="I66" s="575">
        <f t="shared" ref="I66:I69" si="114">SUM(J66:M66)</f>
        <v>3766762</v>
      </c>
      <c r="J66" s="496">
        <v>2717093</v>
      </c>
      <c r="K66" s="131">
        <f t="shared" ref="K66:K68" si="115">ROUND((J66)*33.8%,0)</f>
        <v>918377</v>
      </c>
      <c r="L66" s="131">
        <f t="shared" ref="L66:L68" si="116">ROUND(J66*2%,0)</f>
        <v>54342</v>
      </c>
      <c r="M66" s="316">
        <v>76950</v>
      </c>
      <c r="N66" s="576">
        <f t="shared" ref="N66:N70" si="117">SUM(O66:P66)</f>
        <v>5.4343000000000004</v>
      </c>
      <c r="O66" s="577">
        <v>4</v>
      </c>
      <c r="P66" s="578">
        <v>1.4342999999999999</v>
      </c>
      <c r="Q66" s="497">
        <f t="shared" ref="Q66:Q70" si="118">V66*-1</f>
        <v>-48000</v>
      </c>
      <c r="R66" s="498">
        <v>0</v>
      </c>
      <c r="S66" s="498">
        <v>0</v>
      </c>
      <c r="T66" s="498">
        <v>0</v>
      </c>
      <c r="U66" s="498">
        <f t="shared" si="2"/>
        <v>-48000</v>
      </c>
      <c r="V66" s="498">
        <v>48000</v>
      </c>
      <c r="W66" s="498">
        <v>0</v>
      </c>
      <c r="X66" s="498">
        <v>0</v>
      </c>
      <c r="Y66" s="498">
        <f t="shared" si="8"/>
        <v>48000</v>
      </c>
      <c r="Z66" s="498">
        <f t="shared" si="3"/>
        <v>0</v>
      </c>
      <c r="AA66" s="131">
        <f t="shared" si="19"/>
        <v>0</v>
      </c>
      <c r="AB66" s="131">
        <f t="shared" si="4"/>
        <v>-960</v>
      </c>
      <c r="AC66" s="498">
        <v>0</v>
      </c>
      <c r="AD66" s="498">
        <v>0</v>
      </c>
      <c r="AE66" s="498">
        <f t="shared" si="5"/>
        <v>0</v>
      </c>
      <c r="AF66" s="498">
        <f t="shared" si="6"/>
        <v>-960</v>
      </c>
      <c r="AG66" s="499">
        <v>0</v>
      </c>
      <c r="AH66" s="499">
        <v>-0.24</v>
      </c>
      <c r="AI66" s="499">
        <v>0</v>
      </c>
      <c r="AJ66" s="499">
        <v>0</v>
      </c>
      <c r="AK66" s="499">
        <v>0</v>
      </c>
      <c r="AL66" s="499">
        <f t="shared" si="9"/>
        <v>0</v>
      </c>
      <c r="AM66" s="499">
        <f t="shared" si="10"/>
        <v>-0.24</v>
      </c>
      <c r="AN66" s="529">
        <f t="shared" si="11"/>
        <v>-0.24</v>
      </c>
      <c r="AO66" s="579">
        <f>I66+AF66</f>
        <v>3765802</v>
      </c>
      <c r="AP66" s="498">
        <f>J66+U66</f>
        <v>2669093</v>
      </c>
      <c r="AQ66" s="498">
        <f t="shared" ref="AQ66:AQ70" si="119">Y66</f>
        <v>48000</v>
      </c>
      <c r="AR66" s="498">
        <f t="shared" ref="AR66:AS70" si="120">K66+AA66</f>
        <v>918377</v>
      </c>
      <c r="AS66" s="498">
        <f t="shared" si="120"/>
        <v>53382</v>
      </c>
      <c r="AT66" s="498">
        <f>M66+AE66</f>
        <v>76950</v>
      </c>
      <c r="AU66" s="499">
        <f>N66+AN66</f>
        <v>5.1943000000000001</v>
      </c>
      <c r="AV66" s="499">
        <f t="shared" ref="AV66:AW70" si="121">O66+AL66</f>
        <v>4</v>
      </c>
      <c r="AW66" s="500">
        <f t="shared" si="121"/>
        <v>1.1942999999999999</v>
      </c>
    </row>
    <row r="67" spans="1:49" x14ac:dyDescent="0.2">
      <c r="A67" s="525">
        <v>12</v>
      </c>
      <c r="B67" s="526">
        <v>3431</v>
      </c>
      <c r="C67" s="526">
        <v>600078370</v>
      </c>
      <c r="D67" s="526">
        <v>72744162</v>
      </c>
      <c r="E67" s="524" t="s">
        <v>107</v>
      </c>
      <c r="F67" s="526">
        <v>3117</v>
      </c>
      <c r="G67" s="527" t="s">
        <v>318</v>
      </c>
      <c r="H67" s="528" t="s">
        <v>284</v>
      </c>
      <c r="I67" s="575">
        <f t="shared" si="114"/>
        <v>0</v>
      </c>
      <c r="J67" s="496">
        <v>0</v>
      </c>
      <c r="K67" s="131">
        <f t="shared" si="115"/>
        <v>0</v>
      </c>
      <c r="L67" s="131">
        <f t="shared" si="116"/>
        <v>0</v>
      </c>
      <c r="M67" s="316">
        <v>0</v>
      </c>
      <c r="N67" s="576">
        <f t="shared" si="117"/>
        <v>0</v>
      </c>
      <c r="O67" s="577">
        <v>0</v>
      </c>
      <c r="P67" s="578">
        <v>0</v>
      </c>
      <c r="Q67" s="497">
        <f t="shared" si="118"/>
        <v>0</v>
      </c>
      <c r="R67" s="496">
        <v>960503</v>
      </c>
      <c r="S67" s="498">
        <v>0</v>
      </c>
      <c r="T67" s="498">
        <v>0</v>
      </c>
      <c r="U67" s="498">
        <f t="shared" si="2"/>
        <v>960503</v>
      </c>
      <c r="V67" s="498">
        <v>0</v>
      </c>
      <c r="W67" s="498">
        <v>0</v>
      </c>
      <c r="X67" s="498">
        <v>0</v>
      </c>
      <c r="Y67" s="498">
        <f t="shared" si="8"/>
        <v>0</v>
      </c>
      <c r="Z67" s="498">
        <f t="shared" si="3"/>
        <v>960503</v>
      </c>
      <c r="AA67" s="131">
        <f t="shared" si="19"/>
        <v>324650</v>
      </c>
      <c r="AB67" s="131">
        <f t="shared" si="4"/>
        <v>19210</v>
      </c>
      <c r="AC67" s="498">
        <v>0</v>
      </c>
      <c r="AD67" s="498">
        <v>0</v>
      </c>
      <c r="AE67" s="498">
        <f t="shared" si="5"/>
        <v>0</v>
      </c>
      <c r="AF67" s="498">
        <f t="shared" si="6"/>
        <v>1304363</v>
      </c>
      <c r="AG67" s="499">
        <v>0</v>
      </c>
      <c r="AH67" s="499">
        <v>0</v>
      </c>
      <c r="AI67" s="499">
        <v>2.74</v>
      </c>
      <c r="AJ67" s="499">
        <v>0</v>
      </c>
      <c r="AK67" s="499">
        <v>0</v>
      </c>
      <c r="AL67" s="499">
        <f t="shared" si="9"/>
        <v>2.74</v>
      </c>
      <c r="AM67" s="499">
        <f t="shared" si="10"/>
        <v>0</v>
      </c>
      <c r="AN67" s="529">
        <f t="shared" si="11"/>
        <v>2.74</v>
      </c>
      <c r="AO67" s="579">
        <f>I67+AF67</f>
        <v>1304363</v>
      </c>
      <c r="AP67" s="498">
        <f>J67+U67</f>
        <v>960503</v>
      </c>
      <c r="AQ67" s="498">
        <f t="shared" si="119"/>
        <v>0</v>
      </c>
      <c r="AR67" s="498">
        <f t="shared" si="120"/>
        <v>324650</v>
      </c>
      <c r="AS67" s="498">
        <f t="shared" si="120"/>
        <v>19210</v>
      </c>
      <c r="AT67" s="498">
        <f>M67+AE67</f>
        <v>0</v>
      </c>
      <c r="AU67" s="499">
        <f>N67+AN67</f>
        <v>2.74</v>
      </c>
      <c r="AV67" s="499">
        <f t="shared" si="121"/>
        <v>2.74</v>
      </c>
      <c r="AW67" s="500">
        <f t="shared" si="121"/>
        <v>0</v>
      </c>
    </row>
    <row r="68" spans="1:49" x14ac:dyDescent="0.2">
      <c r="A68" s="525">
        <v>12</v>
      </c>
      <c r="B68" s="526">
        <v>3431</v>
      </c>
      <c r="C68" s="526">
        <v>600078370</v>
      </c>
      <c r="D68" s="526">
        <v>72744162</v>
      </c>
      <c r="E68" s="524" t="s">
        <v>107</v>
      </c>
      <c r="F68" s="526">
        <v>3141</v>
      </c>
      <c r="G68" s="527" t="s">
        <v>321</v>
      </c>
      <c r="H68" s="528" t="s">
        <v>284</v>
      </c>
      <c r="I68" s="575">
        <f t="shared" si="114"/>
        <v>422721</v>
      </c>
      <c r="J68" s="496">
        <v>309531</v>
      </c>
      <c r="K68" s="131">
        <f t="shared" si="115"/>
        <v>104621</v>
      </c>
      <c r="L68" s="131">
        <f t="shared" si="116"/>
        <v>6191</v>
      </c>
      <c r="M68" s="316">
        <v>2378</v>
      </c>
      <c r="N68" s="576">
        <f t="shared" si="117"/>
        <v>1.05</v>
      </c>
      <c r="O68" s="577">
        <v>0</v>
      </c>
      <c r="P68" s="578">
        <v>1.05</v>
      </c>
      <c r="Q68" s="497">
        <f t="shared" si="118"/>
        <v>-8000</v>
      </c>
      <c r="R68" s="498">
        <v>0</v>
      </c>
      <c r="S68" s="498">
        <v>0</v>
      </c>
      <c r="T68" s="498">
        <v>0</v>
      </c>
      <c r="U68" s="498">
        <f t="shared" si="2"/>
        <v>-8000</v>
      </c>
      <c r="V68" s="498">
        <v>8000</v>
      </c>
      <c r="W68" s="498">
        <v>0</v>
      </c>
      <c r="X68" s="498">
        <v>0</v>
      </c>
      <c r="Y68" s="498">
        <f t="shared" si="8"/>
        <v>8000</v>
      </c>
      <c r="Z68" s="498">
        <f t="shared" si="3"/>
        <v>0</v>
      </c>
      <c r="AA68" s="131">
        <f t="shared" si="19"/>
        <v>0</v>
      </c>
      <c r="AB68" s="131">
        <f t="shared" si="4"/>
        <v>-160</v>
      </c>
      <c r="AC68" s="498">
        <v>0</v>
      </c>
      <c r="AD68" s="498">
        <v>0</v>
      </c>
      <c r="AE68" s="498">
        <f t="shared" si="5"/>
        <v>0</v>
      </c>
      <c r="AF68" s="498">
        <f t="shared" si="6"/>
        <v>-160</v>
      </c>
      <c r="AG68" s="499">
        <v>0</v>
      </c>
      <c r="AH68" s="499">
        <v>0</v>
      </c>
      <c r="AI68" s="499">
        <v>0</v>
      </c>
      <c r="AJ68" s="499">
        <v>0</v>
      </c>
      <c r="AK68" s="499">
        <v>0</v>
      </c>
      <c r="AL68" s="499">
        <f t="shared" si="9"/>
        <v>0</v>
      </c>
      <c r="AM68" s="499">
        <f t="shared" si="10"/>
        <v>0</v>
      </c>
      <c r="AN68" s="529">
        <f t="shared" si="11"/>
        <v>0</v>
      </c>
      <c r="AO68" s="579">
        <f>I68+AF68</f>
        <v>422561</v>
      </c>
      <c r="AP68" s="498">
        <f>J68+U68</f>
        <v>301531</v>
      </c>
      <c r="AQ68" s="498">
        <f t="shared" si="119"/>
        <v>8000</v>
      </c>
      <c r="AR68" s="498">
        <f t="shared" si="120"/>
        <v>104621</v>
      </c>
      <c r="AS68" s="498">
        <f t="shared" si="120"/>
        <v>6031</v>
      </c>
      <c r="AT68" s="498">
        <f>M68+AE68</f>
        <v>2378</v>
      </c>
      <c r="AU68" s="499">
        <f>N68+AN68</f>
        <v>1.05</v>
      </c>
      <c r="AV68" s="499">
        <f t="shared" si="121"/>
        <v>0</v>
      </c>
      <c r="AW68" s="500">
        <f t="shared" si="121"/>
        <v>1.05</v>
      </c>
    </row>
    <row r="69" spans="1:49" x14ac:dyDescent="0.2">
      <c r="A69" s="525">
        <v>12</v>
      </c>
      <c r="B69" s="526">
        <v>3431</v>
      </c>
      <c r="C69" s="526">
        <v>600078370</v>
      </c>
      <c r="D69" s="526">
        <v>72744162</v>
      </c>
      <c r="E69" s="524" t="s">
        <v>107</v>
      </c>
      <c r="F69" s="526">
        <v>3143</v>
      </c>
      <c r="G69" s="527" t="s">
        <v>635</v>
      </c>
      <c r="H69" s="574" t="s">
        <v>283</v>
      </c>
      <c r="I69" s="575">
        <f t="shared" si="114"/>
        <v>711770</v>
      </c>
      <c r="J69" s="496">
        <v>524131</v>
      </c>
      <c r="K69" s="131">
        <v>177157</v>
      </c>
      <c r="L69" s="131">
        <v>10482</v>
      </c>
      <c r="M69" s="316">
        <v>0</v>
      </c>
      <c r="N69" s="576">
        <f t="shared" si="117"/>
        <v>1</v>
      </c>
      <c r="O69" s="577">
        <v>1</v>
      </c>
      <c r="P69" s="578">
        <v>0</v>
      </c>
      <c r="Q69" s="497">
        <f t="shared" si="118"/>
        <v>0</v>
      </c>
      <c r="R69" s="498">
        <v>0</v>
      </c>
      <c r="S69" s="498">
        <v>0</v>
      </c>
      <c r="T69" s="498">
        <v>0</v>
      </c>
      <c r="U69" s="498">
        <f t="shared" si="2"/>
        <v>0</v>
      </c>
      <c r="V69" s="498">
        <v>0</v>
      </c>
      <c r="W69" s="498">
        <v>0</v>
      </c>
      <c r="X69" s="498">
        <v>0</v>
      </c>
      <c r="Y69" s="498">
        <f t="shared" si="8"/>
        <v>0</v>
      </c>
      <c r="Z69" s="498">
        <f t="shared" si="3"/>
        <v>0</v>
      </c>
      <c r="AA69" s="131">
        <f t="shared" si="19"/>
        <v>0</v>
      </c>
      <c r="AB69" s="131">
        <f t="shared" si="4"/>
        <v>0</v>
      </c>
      <c r="AC69" s="498">
        <v>0</v>
      </c>
      <c r="AD69" s="498">
        <v>0</v>
      </c>
      <c r="AE69" s="498">
        <f t="shared" si="5"/>
        <v>0</v>
      </c>
      <c r="AF69" s="498">
        <f t="shared" si="6"/>
        <v>0</v>
      </c>
      <c r="AG69" s="499">
        <v>0</v>
      </c>
      <c r="AH69" s="499">
        <v>0</v>
      </c>
      <c r="AI69" s="499">
        <v>0</v>
      </c>
      <c r="AJ69" s="499">
        <v>0</v>
      </c>
      <c r="AK69" s="499">
        <v>0</v>
      </c>
      <c r="AL69" s="499">
        <f t="shared" si="9"/>
        <v>0</v>
      </c>
      <c r="AM69" s="499">
        <f t="shared" si="10"/>
        <v>0</v>
      </c>
      <c r="AN69" s="529">
        <f t="shared" si="11"/>
        <v>0</v>
      </c>
      <c r="AO69" s="579">
        <f>I69+AF69</f>
        <v>711770</v>
      </c>
      <c r="AP69" s="498">
        <f>J69+U69</f>
        <v>524131</v>
      </c>
      <c r="AQ69" s="498">
        <f t="shared" si="119"/>
        <v>0</v>
      </c>
      <c r="AR69" s="498">
        <f t="shared" si="120"/>
        <v>177157</v>
      </c>
      <c r="AS69" s="498">
        <f t="shared" si="120"/>
        <v>10482</v>
      </c>
      <c r="AT69" s="498">
        <f>M69+AE69</f>
        <v>0</v>
      </c>
      <c r="AU69" s="499">
        <f>N69+AN69</f>
        <v>1</v>
      </c>
      <c r="AV69" s="499">
        <f t="shared" si="121"/>
        <v>1</v>
      </c>
      <c r="AW69" s="500">
        <f t="shared" si="121"/>
        <v>0</v>
      </c>
    </row>
    <row r="70" spans="1:49" x14ac:dyDescent="0.2">
      <c r="A70" s="525">
        <v>12</v>
      </c>
      <c r="B70" s="526">
        <v>3431</v>
      </c>
      <c r="C70" s="526">
        <v>600078370</v>
      </c>
      <c r="D70" s="526">
        <v>72744162</v>
      </c>
      <c r="E70" s="524" t="s">
        <v>107</v>
      </c>
      <c r="F70" s="526">
        <v>3143</v>
      </c>
      <c r="G70" s="527" t="s">
        <v>636</v>
      </c>
      <c r="H70" s="574" t="s">
        <v>284</v>
      </c>
      <c r="I70" s="575">
        <f>SUM(J70:M70)</f>
        <v>21066</v>
      </c>
      <c r="J70" s="496">
        <v>14850</v>
      </c>
      <c r="K70" s="131">
        <f t="shared" ref="K70" si="122">ROUND((J70)*33.8%,0)</f>
        <v>5019</v>
      </c>
      <c r="L70" s="131">
        <f t="shared" ref="L70" si="123">ROUND(J70*2%,0)</f>
        <v>297</v>
      </c>
      <c r="M70" s="316">
        <v>900</v>
      </c>
      <c r="N70" s="576">
        <f t="shared" si="117"/>
        <v>0.06</v>
      </c>
      <c r="O70" s="577">
        <v>0</v>
      </c>
      <c r="P70" s="578">
        <v>0.06</v>
      </c>
      <c r="Q70" s="497">
        <f t="shared" si="118"/>
        <v>0</v>
      </c>
      <c r="R70" s="498">
        <v>0</v>
      </c>
      <c r="S70" s="498">
        <v>0</v>
      </c>
      <c r="T70" s="498">
        <v>0</v>
      </c>
      <c r="U70" s="498">
        <f t="shared" si="2"/>
        <v>0</v>
      </c>
      <c r="V70" s="498">
        <v>0</v>
      </c>
      <c r="W70" s="498">
        <v>0</v>
      </c>
      <c r="X70" s="498">
        <v>0</v>
      </c>
      <c r="Y70" s="498">
        <f t="shared" si="8"/>
        <v>0</v>
      </c>
      <c r="Z70" s="498">
        <f t="shared" si="3"/>
        <v>0</v>
      </c>
      <c r="AA70" s="131">
        <f t="shared" si="19"/>
        <v>0</v>
      </c>
      <c r="AB70" s="131">
        <f t="shared" si="4"/>
        <v>0</v>
      </c>
      <c r="AC70" s="498">
        <v>0</v>
      </c>
      <c r="AD70" s="498">
        <v>0</v>
      </c>
      <c r="AE70" s="498">
        <f t="shared" si="5"/>
        <v>0</v>
      </c>
      <c r="AF70" s="498">
        <f t="shared" si="6"/>
        <v>0</v>
      </c>
      <c r="AG70" s="499">
        <v>0</v>
      </c>
      <c r="AH70" s="499">
        <v>0</v>
      </c>
      <c r="AI70" s="499">
        <v>0</v>
      </c>
      <c r="AJ70" s="499">
        <v>0</v>
      </c>
      <c r="AK70" s="499">
        <v>0</v>
      </c>
      <c r="AL70" s="499">
        <f t="shared" si="9"/>
        <v>0</v>
      </c>
      <c r="AM70" s="499">
        <f t="shared" si="10"/>
        <v>0</v>
      </c>
      <c r="AN70" s="529">
        <f t="shared" si="11"/>
        <v>0</v>
      </c>
      <c r="AO70" s="579">
        <f>I70+AF70</f>
        <v>21066</v>
      </c>
      <c r="AP70" s="498">
        <f>J70+U70</f>
        <v>14850</v>
      </c>
      <c r="AQ70" s="498">
        <f t="shared" si="119"/>
        <v>0</v>
      </c>
      <c r="AR70" s="498">
        <f t="shared" si="120"/>
        <v>5019</v>
      </c>
      <c r="AS70" s="498">
        <f t="shared" si="120"/>
        <v>297</v>
      </c>
      <c r="AT70" s="498">
        <f>M70+AE70</f>
        <v>900</v>
      </c>
      <c r="AU70" s="499">
        <f>N70+AN70</f>
        <v>0.06</v>
      </c>
      <c r="AV70" s="499">
        <f t="shared" si="121"/>
        <v>0</v>
      </c>
      <c r="AW70" s="500">
        <f t="shared" si="121"/>
        <v>0.06</v>
      </c>
    </row>
    <row r="71" spans="1:49" x14ac:dyDescent="0.2">
      <c r="A71" s="302">
        <v>12</v>
      </c>
      <c r="B71" s="32">
        <v>3431</v>
      </c>
      <c r="C71" s="32">
        <v>600078370</v>
      </c>
      <c r="D71" s="32">
        <v>72744162</v>
      </c>
      <c r="E71" s="311" t="s">
        <v>108</v>
      </c>
      <c r="F71" s="32"/>
      <c r="G71" s="301"/>
      <c r="H71" s="454"/>
      <c r="I71" s="6">
        <f t="shared" ref="I71:P71" si="124">SUM(I66:I70)</f>
        <v>4922319</v>
      </c>
      <c r="J71" s="10">
        <f t="shared" si="124"/>
        <v>3565605</v>
      </c>
      <c r="K71" s="10">
        <f t="shared" si="124"/>
        <v>1205174</v>
      </c>
      <c r="L71" s="10">
        <f t="shared" si="124"/>
        <v>71312</v>
      </c>
      <c r="M71" s="10">
        <f t="shared" si="124"/>
        <v>80228</v>
      </c>
      <c r="N71" s="11">
        <f t="shared" si="124"/>
        <v>7.5442999999999998</v>
      </c>
      <c r="O71" s="11">
        <f t="shared" si="124"/>
        <v>5</v>
      </c>
      <c r="P71" s="93">
        <f t="shared" si="124"/>
        <v>2.5443000000000002</v>
      </c>
      <c r="Q71" s="296">
        <f t="shared" ref="Q71:AW71" si="125">SUM(Q66:Q70)</f>
        <v>-56000</v>
      </c>
      <c r="R71" s="10">
        <f t="shared" si="125"/>
        <v>960503</v>
      </c>
      <c r="S71" s="10">
        <f t="shared" si="125"/>
        <v>0</v>
      </c>
      <c r="T71" s="10">
        <f t="shared" si="125"/>
        <v>0</v>
      </c>
      <c r="U71" s="10">
        <f t="shared" si="125"/>
        <v>904503</v>
      </c>
      <c r="V71" s="10">
        <f t="shared" si="125"/>
        <v>56000</v>
      </c>
      <c r="W71" s="10">
        <f t="shared" si="125"/>
        <v>0</v>
      </c>
      <c r="X71" s="10">
        <f t="shared" si="125"/>
        <v>0</v>
      </c>
      <c r="Y71" s="10">
        <f t="shared" si="125"/>
        <v>56000</v>
      </c>
      <c r="Z71" s="10">
        <f t="shared" si="125"/>
        <v>960503</v>
      </c>
      <c r="AA71" s="10">
        <f t="shared" si="125"/>
        <v>324650</v>
      </c>
      <c r="AB71" s="10">
        <f t="shared" si="125"/>
        <v>18090</v>
      </c>
      <c r="AC71" s="10">
        <f t="shared" si="125"/>
        <v>0</v>
      </c>
      <c r="AD71" s="10">
        <f t="shared" si="125"/>
        <v>0</v>
      </c>
      <c r="AE71" s="10">
        <f t="shared" si="125"/>
        <v>0</v>
      </c>
      <c r="AF71" s="10">
        <f t="shared" si="125"/>
        <v>1303243</v>
      </c>
      <c r="AG71" s="11">
        <f t="shared" si="125"/>
        <v>0</v>
      </c>
      <c r="AH71" s="11">
        <f t="shared" si="125"/>
        <v>-0.24</v>
      </c>
      <c r="AI71" s="11">
        <f t="shared" si="125"/>
        <v>2.74</v>
      </c>
      <c r="AJ71" s="11">
        <f t="shared" si="125"/>
        <v>0</v>
      </c>
      <c r="AK71" s="11">
        <f t="shared" si="125"/>
        <v>0</v>
      </c>
      <c r="AL71" s="11">
        <f t="shared" si="125"/>
        <v>2.74</v>
      </c>
      <c r="AM71" s="11">
        <f t="shared" si="125"/>
        <v>-0.24</v>
      </c>
      <c r="AN71" s="38">
        <f t="shared" si="125"/>
        <v>2.5</v>
      </c>
      <c r="AO71" s="6">
        <f t="shared" si="125"/>
        <v>6225562</v>
      </c>
      <c r="AP71" s="10">
        <f t="shared" si="125"/>
        <v>4470108</v>
      </c>
      <c r="AQ71" s="10">
        <f t="shared" si="125"/>
        <v>56000</v>
      </c>
      <c r="AR71" s="10">
        <f t="shared" si="125"/>
        <v>1529824</v>
      </c>
      <c r="AS71" s="10">
        <f t="shared" si="125"/>
        <v>89402</v>
      </c>
      <c r="AT71" s="10">
        <f t="shared" si="125"/>
        <v>80228</v>
      </c>
      <c r="AU71" s="11">
        <f t="shared" si="125"/>
        <v>10.044300000000002</v>
      </c>
      <c r="AV71" s="11">
        <f t="shared" si="125"/>
        <v>7.74</v>
      </c>
      <c r="AW71" s="93">
        <f t="shared" si="125"/>
        <v>2.3043</v>
      </c>
    </row>
    <row r="72" spans="1:49" x14ac:dyDescent="0.2">
      <c r="A72" s="525">
        <v>13</v>
      </c>
      <c r="B72" s="526">
        <v>3437</v>
      </c>
      <c r="C72" s="526">
        <v>600078051</v>
      </c>
      <c r="D72" s="526">
        <v>70695377</v>
      </c>
      <c r="E72" s="524" t="s">
        <v>109</v>
      </c>
      <c r="F72" s="526">
        <v>3111</v>
      </c>
      <c r="G72" s="527" t="s">
        <v>317</v>
      </c>
      <c r="H72" s="528" t="s">
        <v>283</v>
      </c>
      <c r="I72" s="575">
        <f t="shared" ref="I72" si="126">SUM(J72:M72)</f>
        <v>9850713</v>
      </c>
      <c r="J72" s="496">
        <v>7209767</v>
      </c>
      <c r="K72" s="131">
        <f t="shared" ref="K72:K73" si="127">ROUND((J72)*33.8%,0)</f>
        <v>2436901</v>
      </c>
      <c r="L72" s="131">
        <f t="shared" ref="L72:L73" si="128">ROUND(J72*2%,0)</f>
        <v>144195</v>
      </c>
      <c r="M72" s="316">
        <v>59850</v>
      </c>
      <c r="N72" s="576">
        <f t="shared" ref="N72:N73" si="129">SUM(O72:P72)</f>
        <v>16.604500000000002</v>
      </c>
      <c r="O72" s="577">
        <v>12</v>
      </c>
      <c r="P72" s="578">
        <v>4.6044999999999998</v>
      </c>
      <c r="Q72" s="497">
        <f t="shared" ref="Q72:Q73" si="130">V72*-1</f>
        <v>0</v>
      </c>
      <c r="R72" s="498">
        <v>0</v>
      </c>
      <c r="S72" s="498">
        <v>0</v>
      </c>
      <c r="T72" s="498">
        <v>0</v>
      </c>
      <c r="U72" s="498">
        <f t="shared" si="2"/>
        <v>0</v>
      </c>
      <c r="V72" s="498">
        <v>0</v>
      </c>
      <c r="W72" s="498">
        <v>0</v>
      </c>
      <c r="X72" s="498">
        <v>0</v>
      </c>
      <c r="Y72" s="498">
        <f t="shared" si="8"/>
        <v>0</v>
      </c>
      <c r="Z72" s="498">
        <f t="shared" si="3"/>
        <v>0</v>
      </c>
      <c r="AA72" s="131">
        <f t="shared" si="19"/>
        <v>0</v>
      </c>
      <c r="AB72" s="131">
        <f t="shared" si="4"/>
        <v>0</v>
      </c>
      <c r="AC72" s="498">
        <v>0</v>
      </c>
      <c r="AD72" s="498">
        <v>0</v>
      </c>
      <c r="AE72" s="498">
        <f t="shared" si="5"/>
        <v>0</v>
      </c>
      <c r="AF72" s="498">
        <f t="shared" si="6"/>
        <v>0</v>
      </c>
      <c r="AG72" s="499">
        <v>0</v>
      </c>
      <c r="AH72" s="499">
        <v>0</v>
      </c>
      <c r="AI72" s="499">
        <v>0</v>
      </c>
      <c r="AJ72" s="499">
        <v>0</v>
      </c>
      <c r="AK72" s="499">
        <v>0</v>
      </c>
      <c r="AL72" s="499">
        <f t="shared" si="9"/>
        <v>0</v>
      </c>
      <c r="AM72" s="499">
        <f t="shared" si="10"/>
        <v>0</v>
      </c>
      <c r="AN72" s="529">
        <f t="shared" si="11"/>
        <v>0</v>
      </c>
      <c r="AO72" s="579">
        <f>I72+AF72</f>
        <v>9850713</v>
      </c>
      <c r="AP72" s="498">
        <f>J72+U72</f>
        <v>7209767</v>
      </c>
      <c r="AQ72" s="498">
        <f t="shared" ref="AQ72:AQ73" si="131">Y72</f>
        <v>0</v>
      </c>
      <c r="AR72" s="498">
        <f>K72+AA72</f>
        <v>2436901</v>
      </c>
      <c r="AS72" s="498">
        <f>L72+AB72</f>
        <v>144195</v>
      </c>
      <c r="AT72" s="498">
        <f>M72+AE72</f>
        <v>59850</v>
      </c>
      <c r="AU72" s="499">
        <f>N72+AN72</f>
        <v>16.604500000000002</v>
      </c>
      <c r="AV72" s="499">
        <f>O72+AL72</f>
        <v>12</v>
      </c>
      <c r="AW72" s="500">
        <f>P72+AM72</f>
        <v>4.6044999999999998</v>
      </c>
    </row>
    <row r="73" spans="1:49" x14ac:dyDescent="0.2">
      <c r="A73" s="525">
        <v>13</v>
      </c>
      <c r="B73" s="526">
        <v>3437</v>
      </c>
      <c r="C73" s="526">
        <v>600078051</v>
      </c>
      <c r="D73" s="526">
        <v>70695377</v>
      </c>
      <c r="E73" s="524" t="s">
        <v>109</v>
      </c>
      <c r="F73" s="526">
        <v>3141</v>
      </c>
      <c r="G73" s="527" t="s">
        <v>321</v>
      </c>
      <c r="H73" s="528" t="s">
        <v>284</v>
      </c>
      <c r="I73" s="575">
        <f>SUM(J73:M73)</f>
        <v>935434</v>
      </c>
      <c r="J73" s="496">
        <v>685074</v>
      </c>
      <c r="K73" s="131">
        <f t="shared" si="127"/>
        <v>231555</v>
      </c>
      <c r="L73" s="131">
        <f t="shared" si="128"/>
        <v>13701</v>
      </c>
      <c r="M73" s="316">
        <v>5104</v>
      </c>
      <c r="N73" s="576">
        <f t="shared" si="129"/>
        <v>2.33</v>
      </c>
      <c r="O73" s="577">
        <v>0</v>
      </c>
      <c r="P73" s="578">
        <v>2.33</v>
      </c>
      <c r="Q73" s="497">
        <f t="shared" si="130"/>
        <v>0</v>
      </c>
      <c r="R73" s="498">
        <v>0</v>
      </c>
      <c r="S73" s="498">
        <v>0</v>
      </c>
      <c r="T73" s="498">
        <v>0</v>
      </c>
      <c r="U73" s="498">
        <f t="shared" si="2"/>
        <v>0</v>
      </c>
      <c r="V73" s="498">
        <v>0</v>
      </c>
      <c r="W73" s="498">
        <v>0</v>
      </c>
      <c r="X73" s="498">
        <v>0</v>
      </c>
      <c r="Y73" s="498">
        <f t="shared" si="8"/>
        <v>0</v>
      </c>
      <c r="Z73" s="498">
        <f t="shared" si="3"/>
        <v>0</v>
      </c>
      <c r="AA73" s="131">
        <f t="shared" si="19"/>
        <v>0</v>
      </c>
      <c r="AB73" s="131">
        <f t="shared" si="4"/>
        <v>0</v>
      </c>
      <c r="AC73" s="498">
        <v>0</v>
      </c>
      <c r="AD73" s="498">
        <v>0</v>
      </c>
      <c r="AE73" s="498">
        <f t="shared" si="5"/>
        <v>0</v>
      </c>
      <c r="AF73" s="498">
        <f t="shared" si="6"/>
        <v>0</v>
      </c>
      <c r="AG73" s="499">
        <v>0</v>
      </c>
      <c r="AH73" s="499">
        <v>0</v>
      </c>
      <c r="AI73" s="499">
        <v>0</v>
      </c>
      <c r="AJ73" s="499">
        <v>0</v>
      </c>
      <c r="AK73" s="499">
        <v>0</v>
      </c>
      <c r="AL73" s="499">
        <f t="shared" si="9"/>
        <v>0</v>
      </c>
      <c r="AM73" s="499">
        <f t="shared" si="10"/>
        <v>0</v>
      </c>
      <c r="AN73" s="529">
        <f t="shared" si="11"/>
        <v>0</v>
      </c>
      <c r="AO73" s="579">
        <f>I73+AF73</f>
        <v>935434</v>
      </c>
      <c r="AP73" s="498">
        <f>J73+U73</f>
        <v>685074</v>
      </c>
      <c r="AQ73" s="498">
        <f t="shared" si="131"/>
        <v>0</v>
      </c>
      <c r="AR73" s="498">
        <f>K73+AA73</f>
        <v>231555</v>
      </c>
      <c r="AS73" s="498">
        <f>L73+AB73</f>
        <v>13701</v>
      </c>
      <c r="AT73" s="498">
        <f>M73+AE73</f>
        <v>5104</v>
      </c>
      <c r="AU73" s="499">
        <f>N73+AN73</f>
        <v>2.33</v>
      </c>
      <c r="AV73" s="499">
        <f>O73+AL73</f>
        <v>0</v>
      </c>
      <c r="AW73" s="500">
        <f>P73+AM73</f>
        <v>2.33</v>
      </c>
    </row>
    <row r="74" spans="1:49" x14ac:dyDescent="0.2">
      <c r="A74" s="302">
        <v>13</v>
      </c>
      <c r="B74" s="32">
        <v>3437</v>
      </c>
      <c r="C74" s="32">
        <v>600078051</v>
      </c>
      <c r="D74" s="32">
        <v>70695377</v>
      </c>
      <c r="E74" s="311" t="s">
        <v>110</v>
      </c>
      <c r="F74" s="32"/>
      <c r="G74" s="301"/>
      <c r="H74" s="454"/>
      <c r="I74" s="5">
        <f t="shared" ref="I74:AW74" si="132">SUM(I72:I73)</f>
        <v>10786147</v>
      </c>
      <c r="J74" s="8">
        <f t="shared" si="132"/>
        <v>7894841</v>
      </c>
      <c r="K74" s="8">
        <f t="shared" si="132"/>
        <v>2668456</v>
      </c>
      <c r="L74" s="8">
        <f t="shared" si="132"/>
        <v>157896</v>
      </c>
      <c r="M74" s="8">
        <f t="shared" si="132"/>
        <v>64954</v>
      </c>
      <c r="N74" s="9">
        <f t="shared" si="132"/>
        <v>18.9345</v>
      </c>
      <c r="O74" s="9">
        <f t="shared" si="132"/>
        <v>12</v>
      </c>
      <c r="P74" s="92">
        <f t="shared" si="132"/>
        <v>6.9344999999999999</v>
      </c>
      <c r="Q74" s="295">
        <f t="shared" si="132"/>
        <v>0</v>
      </c>
      <c r="R74" s="8">
        <f t="shared" si="132"/>
        <v>0</v>
      </c>
      <c r="S74" s="8">
        <f t="shared" si="132"/>
        <v>0</v>
      </c>
      <c r="T74" s="8">
        <f t="shared" si="132"/>
        <v>0</v>
      </c>
      <c r="U74" s="8">
        <f t="shared" si="132"/>
        <v>0</v>
      </c>
      <c r="V74" s="8">
        <f t="shared" si="132"/>
        <v>0</v>
      </c>
      <c r="W74" s="8">
        <f t="shared" si="132"/>
        <v>0</v>
      </c>
      <c r="X74" s="8">
        <f t="shared" si="132"/>
        <v>0</v>
      </c>
      <c r="Y74" s="8">
        <f t="shared" si="132"/>
        <v>0</v>
      </c>
      <c r="Z74" s="8">
        <f t="shared" si="132"/>
        <v>0</v>
      </c>
      <c r="AA74" s="8">
        <f t="shared" si="132"/>
        <v>0</v>
      </c>
      <c r="AB74" s="8">
        <f t="shared" si="132"/>
        <v>0</v>
      </c>
      <c r="AC74" s="8">
        <f t="shared" si="132"/>
        <v>0</v>
      </c>
      <c r="AD74" s="8">
        <f t="shared" si="132"/>
        <v>0</v>
      </c>
      <c r="AE74" s="8">
        <f t="shared" si="132"/>
        <v>0</v>
      </c>
      <c r="AF74" s="8">
        <f t="shared" si="132"/>
        <v>0</v>
      </c>
      <c r="AG74" s="9">
        <f t="shared" si="132"/>
        <v>0</v>
      </c>
      <c r="AH74" s="9">
        <f t="shared" si="132"/>
        <v>0</v>
      </c>
      <c r="AI74" s="9">
        <f t="shared" si="132"/>
        <v>0</v>
      </c>
      <c r="AJ74" s="9">
        <f t="shared" si="132"/>
        <v>0</v>
      </c>
      <c r="AK74" s="9">
        <f t="shared" si="132"/>
        <v>0</v>
      </c>
      <c r="AL74" s="9">
        <f t="shared" si="132"/>
        <v>0</v>
      </c>
      <c r="AM74" s="9">
        <f t="shared" si="132"/>
        <v>0</v>
      </c>
      <c r="AN74" s="39">
        <f t="shared" si="132"/>
        <v>0</v>
      </c>
      <c r="AO74" s="5">
        <f t="shared" si="132"/>
        <v>10786147</v>
      </c>
      <c r="AP74" s="8">
        <f t="shared" si="132"/>
        <v>7894841</v>
      </c>
      <c r="AQ74" s="8">
        <f t="shared" si="132"/>
        <v>0</v>
      </c>
      <c r="AR74" s="8">
        <f t="shared" si="132"/>
        <v>2668456</v>
      </c>
      <c r="AS74" s="8">
        <f t="shared" si="132"/>
        <v>157896</v>
      </c>
      <c r="AT74" s="8">
        <f t="shared" si="132"/>
        <v>64954</v>
      </c>
      <c r="AU74" s="9">
        <f t="shared" si="132"/>
        <v>18.9345</v>
      </c>
      <c r="AV74" s="9">
        <f t="shared" si="132"/>
        <v>12</v>
      </c>
      <c r="AW74" s="92">
        <f t="shared" si="132"/>
        <v>6.9344999999999999</v>
      </c>
    </row>
    <row r="75" spans="1:49" x14ac:dyDescent="0.2">
      <c r="A75" s="525">
        <v>14</v>
      </c>
      <c r="B75" s="526">
        <v>3436</v>
      </c>
      <c r="C75" s="526">
        <v>600078485</v>
      </c>
      <c r="D75" s="526">
        <v>70695385</v>
      </c>
      <c r="E75" s="524" t="s">
        <v>111</v>
      </c>
      <c r="F75" s="526">
        <v>3113</v>
      </c>
      <c r="G75" s="527" t="s">
        <v>320</v>
      </c>
      <c r="H75" s="528" t="s">
        <v>283</v>
      </c>
      <c r="I75" s="575">
        <f t="shared" ref="I75:I78" si="133">SUM(J75:M75)</f>
        <v>21803104</v>
      </c>
      <c r="J75" s="496">
        <v>15660275</v>
      </c>
      <c r="K75" s="131">
        <f t="shared" ref="K75:K79" si="134">ROUND((J75)*33.8%,0)</f>
        <v>5293173</v>
      </c>
      <c r="L75" s="131">
        <f t="shared" ref="L75:L79" si="135">ROUND(J75*2%,0)</f>
        <v>313206</v>
      </c>
      <c r="M75" s="316">
        <v>536450</v>
      </c>
      <c r="N75" s="576">
        <f t="shared" ref="N75:N79" si="136">SUM(O75:P75)</f>
        <v>31.082699999999999</v>
      </c>
      <c r="O75" s="577">
        <v>23.5001</v>
      </c>
      <c r="P75" s="578">
        <v>7.5826000000000002</v>
      </c>
      <c r="Q75" s="497">
        <f t="shared" ref="Q75:Q79" si="137">V75*-1</f>
        <v>0</v>
      </c>
      <c r="R75" s="498">
        <v>0</v>
      </c>
      <c r="S75" s="498">
        <v>0</v>
      </c>
      <c r="T75" s="498">
        <v>0</v>
      </c>
      <c r="U75" s="498">
        <f t="shared" si="2"/>
        <v>0</v>
      </c>
      <c r="V75" s="498">
        <v>0</v>
      </c>
      <c r="W75" s="498">
        <v>0</v>
      </c>
      <c r="X75" s="498">
        <v>0</v>
      </c>
      <c r="Y75" s="498">
        <f t="shared" si="8"/>
        <v>0</v>
      </c>
      <c r="Z75" s="498">
        <f t="shared" si="3"/>
        <v>0</v>
      </c>
      <c r="AA75" s="131">
        <f t="shared" si="19"/>
        <v>0</v>
      </c>
      <c r="AB75" s="131">
        <f t="shared" si="4"/>
        <v>0</v>
      </c>
      <c r="AC75" s="498">
        <v>0</v>
      </c>
      <c r="AD75" s="498">
        <v>0</v>
      </c>
      <c r="AE75" s="498">
        <f t="shared" si="5"/>
        <v>0</v>
      </c>
      <c r="AF75" s="498">
        <f t="shared" si="6"/>
        <v>0</v>
      </c>
      <c r="AG75" s="499">
        <v>0</v>
      </c>
      <c r="AH75" s="499">
        <v>0</v>
      </c>
      <c r="AI75" s="499">
        <v>0</v>
      </c>
      <c r="AJ75" s="499">
        <v>0</v>
      </c>
      <c r="AK75" s="499">
        <v>0</v>
      </c>
      <c r="AL75" s="499">
        <f t="shared" si="9"/>
        <v>0</v>
      </c>
      <c r="AM75" s="499">
        <f t="shared" si="10"/>
        <v>0</v>
      </c>
      <c r="AN75" s="529">
        <f t="shared" si="11"/>
        <v>0</v>
      </c>
      <c r="AO75" s="579">
        <f>I75+AF75</f>
        <v>21803104</v>
      </c>
      <c r="AP75" s="498">
        <f>J75+U75</f>
        <v>15660275</v>
      </c>
      <c r="AQ75" s="498">
        <f t="shared" ref="AQ75:AQ79" si="138">Y75</f>
        <v>0</v>
      </c>
      <c r="AR75" s="498">
        <f t="shared" ref="AR75:AS79" si="139">K75+AA75</f>
        <v>5293173</v>
      </c>
      <c r="AS75" s="498">
        <f t="shared" si="139"/>
        <v>313206</v>
      </c>
      <c r="AT75" s="498">
        <f>M75+AE75</f>
        <v>536450</v>
      </c>
      <c r="AU75" s="499">
        <f>N75+AN75</f>
        <v>31.082699999999999</v>
      </c>
      <c r="AV75" s="499">
        <f t="shared" ref="AV75:AW79" si="140">O75+AL75</f>
        <v>23.5001</v>
      </c>
      <c r="AW75" s="500">
        <f t="shared" si="140"/>
        <v>7.5826000000000002</v>
      </c>
    </row>
    <row r="76" spans="1:49" x14ac:dyDescent="0.2">
      <c r="A76" s="525">
        <v>14</v>
      </c>
      <c r="B76" s="526">
        <v>3436</v>
      </c>
      <c r="C76" s="526">
        <v>600078485</v>
      </c>
      <c r="D76" s="526">
        <v>70695385</v>
      </c>
      <c r="E76" s="524" t="s">
        <v>111</v>
      </c>
      <c r="F76" s="526">
        <v>3113</v>
      </c>
      <c r="G76" s="527" t="s">
        <v>318</v>
      </c>
      <c r="H76" s="528" t="s">
        <v>284</v>
      </c>
      <c r="I76" s="575">
        <f t="shared" si="133"/>
        <v>0</v>
      </c>
      <c r="J76" s="496">
        <v>0</v>
      </c>
      <c r="K76" s="131">
        <f t="shared" si="134"/>
        <v>0</v>
      </c>
      <c r="L76" s="131">
        <f t="shared" si="135"/>
        <v>0</v>
      </c>
      <c r="M76" s="316">
        <v>0</v>
      </c>
      <c r="N76" s="576">
        <f t="shared" si="136"/>
        <v>0</v>
      </c>
      <c r="O76" s="577">
        <v>0</v>
      </c>
      <c r="P76" s="578">
        <v>0</v>
      </c>
      <c r="Q76" s="497">
        <f t="shared" si="137"/>
        <v>0</v>
      </c>
      <c r="R76" s="496">
        <v>1886209</v>
      </c>
      <c r="S76" s="498">
        <v>0</v>
      </c>
      <c r="T76" s="498">
        <v>0</v>
      </c>
      <c r="U76" s="498">
        <f t="shared" si="2"/>
        <v>1886209</v>
      </c>
      <c r="V76" s="498">
        <v>0</v>
      </c>
      <c r="W76" s="498">
        <v>0</v>
      </c>
      <c r="X76" s="498">
        <v>0</v>
      </c>
      <c r="Y76" s="498">
        <f t="shared" si="8"/>
        <v>0</v>
      </c>
      <c r="Z76" s="498">
        <f t="shared" si="3"/>
        <v>1886209</v>
      </c>
      <c r="AA76" s="131">
        <f t="shared" si="19"/>
        <v>637539</v>
      </c>
      <c r="AB76" s="131">
        <f t="shared" si="4"/>
        <v>37724</v>
      </c>
      <c r="AC76" s="498">
        <v>0</v>
      </c>
      <c r="AD76" s="498">
        <v>0</v>
      </c>
      <c r="AE76" s="498">
        <f t="shared" si="5"/>
        <v>0</v>
      </c>
      <c r="AF76" s="498">
        <f t="shared" si="6"/>
        <v>2561472</v>
      </c>
      <c r="AG76" s="499">
        <v>0</v>
      </c>
      <c r="AH76" s="499">
        <v>0</v>
      </c>
      <c r="AI76" s="499">
        <v>5.45</v>
      </c>
      <c r="AJ76" s="499">
        <v>0</v>
      </c>
      <c r="AK76" s="499">
        <v>0</v>
      </c>
      <c r="AL76" s="499">
        <f t="shared" si="9"/>
        <v>5.45</v>
      </c>
      <c r="AM76" s="499">
        <f t="shared" si="10"/>
        <v>0</v>
      </c>
      <c r="AN76" s="529">
        <f t="shared" si="11"/>
        <v>5.45</v>
      </c>
      <c r="AO76" s="579">
        <f>I76+AF76</f>
        <v>2561472</v>
      </c>
      <c r="AP76" s="498">
        <f>J76+U76</f>
        <v>1886209</v>
      </c>
      <c r="AQ76" s="498">
        <f t="shared" si="138"/>
        <v>0</v>
      </c>
      <c r="AR76" s="498">
        <f t="shared" si="139"/>
        <v>637539</v>
      </c>
      <c r="AS76" s="498">
        <f t="shared" si="139"/>
        <v>37724</v>
      </c>
      <c r="AT76" s="498">
        <f>M76+AE76</f>
        <v>0</v>
      </c>
      <c r="AU76" s="499">
        <f>N76+AN76</f>
        <v>5.45</v>
      </c>
      <c r="AV76" s="499">
        <f t="shared" si="140"/>
        <v>5.45</v>
      </c>
      <c r="AW76" s="500">
        <f t="shared" si="140"/>
        <v>0</v>
      </c>
    </row>
    <row r="77" spans="1:49" x14ac:dyDescent="0.2">
      <c r="A77" s="525">
        <v>14</v>
      </c>
      <c r="B77" s="526">
        <v>3436</v>
      </c>
      <c r="C77" s="526">
        <v>600078485</v>
      </c>
      <c r="D77" s="526">
        <v>70695385</v>
      </c>
      <c r="E77" s="524" t="s">
        <v>111</v>
      </c>
      <c r="F77" s="526">
        <v>3141</v>
      </c>
      <c r="G77" s="527" t="s">
        <v>321</v>
      </c>
      <c r="H77" s="528" t="s">
        <v>284</v>
      </c>
      <c r="I77" s="575">
        <f t="shared" si="133"/>
        <v>2642498</v>
      </c>
      <c r="J77" s="496">
        <v>1930200</v>
      </c>
      <c r="K77" s="131">
        <f t="shared" si="134"/>
        <v>652408</v>
      </c>
      <c r="L77" s="131">
        <f t="shared" si="135"/>
        <v>38604</v>
      </c>
      <c r="M77" s="316">
        <v>21286</v>
      </c>
      <c r="N77" s="576">
        <f t="shared" si="136"/>
        <v>6.57</v>
      </c>
      <c r="O77" s="577">
        <v>0</v>
      </c>
      <c r="P77" s="578">
        <v>6.57</v>
      </c>
      <c r="Q77" s="497">
        <f t="shared" si="137"/>
        <v>0</v>
      </c>
      <c r="R77" s="498">
        <v>0</v>
      </c>
      <c r="S77" s="498">
        <v>0</v>
      </c>
      <c r="T77" s="498">
        <v>0</v>
      </c>
      <c r="U77" s="498">
        <f t="shared" si="2"/>
        <v>0</v>
      </c>
      <c r="V77" s="498">
        <v>0</v>
      </c>
      <c r="W77" s="498">
        <v>0</v>
      </c>
      <c r="X77" s="498">
        <v>0</v>
      </c>
      <c r="Y77" s="498">
        <f t="shared" si="8"/>
        <v>0</v>
      </c>
      <c r="Z77" s="498">
        <f t="shared" si="3"/>
        <v>0</v>
      </c>
      <c r="AA77" s="131">
        <f t="shared" si="19"/>
        <v>0</v>
      </c>
      <c r="AB77" s="131">
        <f t="shared" si="4"/>
        <v>0</v>
      </c>
      <c r="AC77" s="498">
        <v>0</v>
      </c>
      <c r="AD77" s="498">
        <v>0</v>
      </c>
      <c r="AE77" s="498">
        <f t="shared" si="5"/>
        <v>0</v>
      </c>
      <c r="AF77" s="498">
        <f t="shared" si="6"/>
        <v>0</v>
      </c>
      <c r="AG77" s="499">
        <v>0</v>
      </c>
      <c r="AH77" s="499">
        <v>0</v>
      </c>
      <c r="AI77" s="499">
        <v>0</v>
      </c>
      <c r="AJ77" s="499">
        <v>0</v>
      </c>
      <c r="AK77" s="499">
        <v>0</v>
      </c>
      <c r="AL77" s="499">
        <f t="shared" si="9"/>
        <v>0</v>
      </c>
      <c r="AM77" s="499">
        <f t="shared" si="10"/>
        <v>0</v>
      </c>
      <c r="AN77" s="529">
        <f t="shared" si="11"/>
        <v>0</v>
      </c>
      <c r="AO77" s="579">
        <f>I77+AF77</f>
        <v>2642498</v>
      </c>
      <c r="AP77" s="498">
        <f>J77+U77</f>
        <v>1930200</v>
      </c>
      <c r="AQ77" s="498">
        <f t="shared" si="138"/>
        <v>0</v>
      </c>
      <c r="AR77" s="498">
        <f t="shared" si="139"/>
        <v>652408</v>
      </c>
      <c r="AS77" s="498">
        <f t="shared" si="139"/>
        <v>38604</v>
      </c>
      <c r="AT77" s="498">
        <f>M77+AE77</f>
        <v>21286</v>
      </c>
      <c r="AU77" s="499">
        <f>N77+AN77</f>
        <v>6.57</v>
      </c>
      <c r="AV77" s="499">
        <f t="shared" si="140"/>
        <v>0</v>
      </c>
      <c r="AW77" s="500">
        <f t="shared" si="140"/>
        <v>6.57</v>
      </c>
    </row>
    <row r="78" spans="1:49" x14ac:dyDescent="0.2">
      <c r="A78" s="525">
        <v>14</v>
      </c>
      <c r="B78" s="526">
        <v>3436</v>
      </c>
      <c r="C78" s="526">
        <v>600078485</v>
      </c>
      <c r="D78" s="526">
        <v>70695385</v>
      </c>
      <c r="E78" s="524" t="s">
        <v>111</v>
      </c>
      <c r="F78" s="526">
        <v>3143</v>
      </c>
      <c r="G78" s="527" t="s">
        <v>635</v>
      </c>
      <c r="H78" s="574" t="s">
        <v>283</v>
      </c>
      <c r="I78" s="575">
        <f t="shared" si="133"/>
        <v>1915215</v>
      </c>
      <c r="J78" s="496">
        <v>1410321</v>
      </c>
      <c r="K78" s="131">
        <f t="shared" si="134"/>
        <v>476688</v>
      </c>
      <c r="L78" s="131">
        <f t="shared" si="135"/>
        <v>28206</v>
      </c>
      <c r="M78" s="316">
        <v>0</v>
      </c>
      <c r="N78" s="576">
        <f t="shared" si="136"/>
        <v>2.9910999999999999</v>
      </c>
      <c r="O78" s="577">
        <v>2.9910999999999999</v>
      </c>
      <c r="P78" s="578">
        <v>0</v>
      </c>
      <c r="Q78" s="497">
        <f t="shared" si="137"/>
        <v>0</v>
      </c>
      <c r="R78" s="498">
        <v>0</v>
      </c>
      <c r="S78" s="498">
        <v>0</v>
      </c>
      <c r="T78" s="498">
        <v>0</v>
      </c>
      <c r="U78" s="498">
        <f t="shared" si="2"/>
        <v>0</v>
      </c>
      <c r="V78" s="498">
        <v>0</v>
      </c>
      <c r="W78" s="498">
        <v>0</v>
      </c>
      <c r="X78" s="498">
        <v>0</v>
      </c>
      <c r="Y78" s="498">
        <f t="shared" si="8"/>
        <v>0</v>
      </c>
      <c r="Z78" s="498">
        <f t="shared" ref="Z78:Z97" si="141">U78+Y78</f>
        <v>0</v>
      </c>
      <c r="AA78" s="131">
        <f t="shared" si="19"/>
        <v>0</v>
      </c>
      <c r="AB78" s="131">
        <f t="shared" ref="AB78:AB97" si="142">ROUND(U78*2%,0)</f>
        <v>0</v>
      </c>
      <c r="AC78" s="498">
        <v>0</v>
      </c>
      <c r="AD78" s="498">
        <v>0</v>
      </c>
      <c r="AE78" s="498">
        <f t="shared" ref="AE78:AE97" si="143">SUM(AC78:AD78)</f>
        <v>0</v>
      </c>
      <c r="AF78" s="498">
        <f t="shared" ref="AF78:AF97" si="144">Z78+AA78+AB78+AE78</f>
        <v>0</v>
      </c>
      <c r="AG78" s="499">
        <v>0</v>
      </c>
      <c r="AH78" s="499">
        <v>0</v>
      </c>
      <c r="AI78" s="499">
        <v>0</v>
      </c>
      <c r="AJ78" s="499">
        <v>0</v>
      </c>
      <c r="AK78" s="499">
        <v>0</v>
      </c>
      <c r="AL78" s="499">
        <f t="shared" si="9"/>
        <v>0</v>
      </c>
      <c r="AM78" s="499">
        <f t="shared" si="10"/>
        <v>0</v>
      </c>
      <c r="AN78" s="529">
        <f t="shared" si="11"/>
        <v>0</v>
      </c>
      <c r="AO78" s="579">
        <f>I78+AF78</f>
        <v>1915215</v>
      </c>
      <c r="AP78" s="498">
        <f>J78+U78</f>
        <v>1410321</v>
      </c>
      <c r="AQ78" s="498">
        <f t="shared" si="138"/>
        <v>0</v>
      </c>
      <c r="AR78" s="498">
        <f t="shared" si="139"/>
        <v>476688</v>
      </c>
      <c r="AS78" s="498">
        <f t="shared" si="139"/>
        <v>28206</v>
      </c>
      <c r="AT78" s="498">
        <f>M78+AE78</f>
        <v>0</v>
      </c>
      <c r="AU78" s="499">
        <f>N78+AN78</f>
        <v>2.9910999999999999</v>
      </c>
      <c r="AV78" s="499">
        <f t="shared" si="140"/>
        <v>2.9910999999999999</v>
      </c>
      <c r="AW78" s="500">
        <f t="shared" si="140"/>
        <v>0</v>
      </c>
    </row>
    <row r="79" spans="1:49" x14ac:dyDescent="0.2">
      <c r="A79" s="525">
        <v>14</v>
      </c>
      <c r="B79" s="526">
        <v>3436</v>
      </c>
      <c r="C79" s="526">
        <v>600078485</v>
      </c>
      <c r="D79" s="526">
        <v>70695385</v>
      </c>
      <c r="E79" s="524" t="s">
        <v>111</v>
      </c>
      <c r="F79" s="526">
        <v>3143</v>
      </c>
      <c r="G79" s="527" t="s">
        <v>636</v>
      </c>
      <c r="H79" s="574" t="s">
        <v>284</v>
      </c>
      <c r="I79" s="575">
        <f>SUM(J79:M79)</f>
        <v>69519</v>
      </c>
      <c r="J79" s="496">
        <v>49005</v>
      </c>
      <c r="K79" s="131">
        <f t="shared" si="134"/>
        <v>16564</v>
      </c>
      <c r="L79" s="131">
        <f t="shared" si="135"/>
        <v>980</v>
      </c>
      <c r="M79" s="316">
        <v>2970</v>
      </c>
      <c r="N79" s="576">
        <f t="shared" si="136"/>
        <v>0.21</v>
      </c>
      <c r="O79" s="577">
        <v>0</v>
      </c>
      <c r="P79" s="578">
        <v>0.21</v>
      </c>
      <c r="Q79" s="497">
        <f t="shared" si="137"/>
        <v>0</v>
      </c>
      <c r="R79" s="498">
        <v>0</v>
      </c>
      <c r="S79" s="498">
        <v>0</v>
      </c>
      <c r="T79" s="498">
        <v>0</v>
      </c>
      <c r="U79" s="498">
        <f t="shared" ref="U79:U97" si="145">SUM(Q79:T79)</f>
        <v>0</v>
      </c>
      <c r="V79" s="498">
        <v>0</v>
      </c>
      <c r="W79" s="498">
        <v>0</v>
      </c>
      <c r="X79" s="498">
        <v>0</v>
      </c>
      <c r="Y79" s="498">
        <f t="shared" ref="Y79:Y97" si="146">SUM(V79:X79)</f>
        <v>0</v>
      </c>
      <c r="Z79" s="498">
        <f t="shared" si="141"/>
        <v>0</v>
      </c>
      <c r="AA79" s="131">
        <f t="shared" si="19"/>
        <v>0</v>
      </c>
      <c r="AB79" s="131">
        <f t="shared" si="142"/>
        <v>0</v>
      </c>
      <c r="AC79" s="498">
        <v>0</v>
      </c>
      <c r="AD79" s="498">
        <v>0</v>
      </c>
      <c r="AE79" s="498">
        <f t="shared" si="143"/>
        <v>0</v>
      </c>
      <c r="AF79" s="498">
        <f t="shared" si="144"/>
        <v>0</v>
      </c>
      <c r="AG79" s="499">
        <v>0</v>
      </c>
      <c r="AH79" s="499">
        <v>0</v>
      </c>
      <c r="AI79" s="499">
        <v>0</v>
      </c>
      <c r="AJ79" s="499">
        <v>0</v>
      </c>
      <c r="AK79" s="499">
        <v>0</v>
      </c>
      <c r="AL79" s="499">
        <f t="shared" ref="AL79:AL97" si="147">AG79+AI79+AJ79</f>
        <v>0</v>
      </c>
      <c r="AM79" s="499">
        <f t="shared" ref="AM79:AM97" si="148">AH79+AK79</f>
        <v>0</v>
      </c>
      <c r="AN79" s="529">
        <f t="shared" ref="AN79:AN97" si="149">SUM(AL79:AM79)</f>
        <v>0</v>
      </c>
      <c r="AO79" s="579">
        <f>I79+AF79</f>
        <v>69519</v>
      </c>
      <c r="AP79" s="498">
        <f>J79+U79</f>
        <v>49005</v>
      </c>
      <c r="AQ79" s="498">
        <f t="shared" si="138"/>
        <v>0</v>
      </c>
      <c r="AR79" s="498">
        <f t="shared" si="139"/>
        <v>16564</v>
      </c>
      <c r="AS79" s="498">
        <f t="shared" si="139"/>
        <v>980</v>
      </c>
      <c r="AT79" s="498">
        <f>M79+AE79</f>
        <v>2970</v>
      </c>
      <c r="AU79" s="499">
        <f>N79+AN79</f>
        <v>0.21</v>
      </c>
      <c r="AV79" s="499">
        <f t="shared" si="140"/>
        <v>0</v>
      </c>
      <c r="AW79" s="500">
        <f t="shared" si="140"/>
        <v>0.21</v>
      </c>
    </row>
    <row r="80" spans="1:49" x14ac:dyDescent="0.2">
      <c r="A80" s="302">
        <v>14</v>
      </c>
      <c r="B80" s="32">
        <v>3436</v>
      </c>
      <c r="C80" s="32">
        <v>600078485</v>
      </c>
      <c r="D80" s="32">
        <v>70695385</v>
      </c>
      <c r="E80" s="311" t="s">
        <v>112</v>
      </c>
      <c r="F80" s="32"/>
      <c r="G80" s="301"/>
      <c r="H80" s="454"/>
      <c r="I80" s="6">
        <f t="shared" ref="I80:AW80" si="150">SUM(I75:I79)</f>
        <v>26430336</v>
      </c>
      <c r="J80" s="10">
        <f t="shared" si="150"/>
        <v>19049801</v>
      </c>
      <c r="K80" s="10">
        <f t="shared" si="150"/>
        <v>6438833</v>
      </c>
      <c r="L80" s="10">
        <f t="shared" si="150"/>
        <v>380996</v>
      </c>
      <c r="M80" s="10">
        <f t="shared" si="150"/>
        <v>560706</v>
      </c>
      <c r="N80" s="11">
        <f t="shared" si="150"/>
        <v>40.8538</v>
      </c>
      <c r="O80" s="11">
        <f t="shared" si="150"/>
        <v>26.491199999999999</v>
      </c>
      <c r="P80" s="93">
        <f t="shared" si="150"/>
        <v>14.3626</v>
      </c>
      <c r="Q80" s="296">
        <f t="shared" si="150"/>
        <v>0</v>
      </c>
      <c r="R80" s="10">
        <f t="shared" si="150"/>
        <v>1886209</v>
      </c>
      <c r="S80" s="10">
        <f t="shared" si="150"/>
        <v>0</v>
      </c>
      <c r="T80" s="10">
        <f t="shared" si="150"/>
        <v>0</v>
      </c>
      <c r="U80" s="10">
        <f t="shared" si="150"/>
        <v>1886209</v>
      </c>
      <c r="V80" s="10">
        <f t="shared" si="150"/>
        <v>0</v>
      </c>
      <c r="W80" s="10">
        <f t="shared" si="150"/>
        <v>0</v>
      </c>
      <c r="X80" s="10">
        <f t="shared" si="150"/>
        <v>0</v>
      </c>
      <c r="Y80" s="10">
        <f t="shared" si="150"/>
        <v>0</v>
      </c>
      <c r="Z80" s="10">
        <f t="shared" si="150"/>
        <v>1886209</v>
      </c>
      <c r="AA80" s="10">
        <f t="shared" si="150"/>
        <v>637539</v>
      </c>
      <c r="AB80" s="10">
        <f t="shared" si="150"/>
        <v>37724</v>
      </c>
      <c r="AC80" s="10">
        <f t="shared" si="150"/>
        <v>0</v>
      </c>
      <c r="AD80" s="10">
        <f t="shared" si="150"/>
        <v>0</v>
      </c>
      <c r="AE80" s="10">
        <f t="shared" si="150"/>
        <v>0</v>
      </c>
      <c r="AF80" s="10">
        <f t="shared" si="150"/>
        <v>2561472</v>
      </c>
      <c r="AG80" s="11">
        <f t="shared" si="150"/>
        <v>0</v>
      </c>
      <c r="AH80" s="11">
        <f t="shared" si="150"/>
        <v>0</v>
      </c>
      <c r="AI80" s="11">
        <f t="shared" si="150"/>
        <v>5.45</v>
      </c>
      <c r="AJ80" s="11">
        <f t="shared" si="150"/>
        <v>0</v>
      </c>
      <c r="AK80" s="11">
        <f t="shared" si="150"/>
        <v>0</v>
      </c>
      <c r="AL80" s="11">
        <f t="shared" si="150"/>
        <v>5.45</v>
      </c>
      <c r="AM80" s="11">
        <f t="shared" si="150"/>
        <v>0</v>
      </c>
      <c r="AN80" s="38">
        <f t="shared" si="150"/>
        <v>5.45</v>
      </c>
      <c r="AO80" s="6">
        <f t="shared" si="150"/>
        <v>28991808</v>
      </c>
      <c r="AP80" s="10">
        <f t="shared" si="150"/>
        <v>20936010</v>
      </c>
      <c r="AQ80" s="10">
        <f t="shared" si="150"/>
        <v>0</v>
      </c>
      <c r="AR80" s="10">
        <f t="shared" si="150"/>
        <v>7076372</v>
      </c>
      <c r="AS80" s="10">
        <f t="shared" si="150"/>
        <v>418720</v>
      </c>
      <c r="AT80" s="10">
        <f t="shared" si="150"/>
        <v>560706</v>
      </c>
      <c r="AU80" s="11">
        <f t="shared" si="150"/>
        <v>46.303800000000003</v>
      </c>
      <c r="AV80" s="11">
        <f t="shared" si="150"/>
        <v>31.941199999999998</v>
      </c>
      <c r="AW80" s="93">
        <f t="shared" si="150"/>
        <v>14.3626</v>
      </c>
    </row>
    <row r="81" spans="1:49" x14ac:dyDescent="0.2">
      <c r="A81" s="525">
        <v>15</v>
      </c>
      <c r="B81" s="526">
        <v>3442</v>
      </c>
      <c r="C81" s="526">
        <v>600078205</v>
      </c>
      <c r="D81" s="526">
        <v>72743638</v>
      </c>
      <c r="E81" s="524" t="s">
        <v>113</v>
      </c>
      <c r="F81" s="526">
        <v>3111</v>
      </c>
      <c r="G81" s="527" t="s">
        <v>317</v>
      </c>
      <c r="H81" s="528" t="s">
        <v>283</v>
      </c>
      <c r="I81" s="575">
        <f t="shared" ref="I81:I83" si="151">SUM(J81:M81)</f>
        <v>4986668</v>
      </c>
      <c r="J81" s="496">
        <v>3644895</v>
      </c>
      <c r="K81" s="131">
        <f t="shared" ref="K81:K83" si="152">ROUND((J81)*33.8%,0)</f>
        <v>1231975</v>
      </c>
      <c r="L81" s="131">
        <f t="shared" ref="L81:L83" si="153">ROUND(J81*2%,0)</f>
        <v>72898</v>
      </c>
      <c r="M81" s="316">
        <v>36900</v>
      </c>
      <c r="N81" s="576">
        <f t="shared" ref="N81:N83" si="154">SUM(O81:P81)</f>
        <v>8.6681999999999988</v>
      </c>
      <c r="O81" s="577">
        <v>6</v>
      </c>
      <c r="P81" s="578">
        <v>2.6681999999999997</v>
      </c>
      <c r="Q81" s="497">
        <f t="shared" ref="Q81:Q83" si="155">V81*-1</f>
        <v>0</v>
      </c>
      <c r="R81" s="498">
        <v>0</v>
      </c>
      <c r="S81" s="498">
        <v>0</v>
      </c>
      <c r="T81" s="498">
        <v>0</v>
      </c>
      <c r="U81" s="498">
        <f t="shared" si="145"/>
        <v>0</v>
      </c>
      <c r="V81" s="498">
        <v>0</v>
      </c>
      <c r="W81" s="498">
        <v>0</v>
      </c>
      <c r="X81" s="498">
        <v>0</v>
      </c>
      <c r="Y81" s="498">
        <f t="shared" si="146"/>
        <v>0</v>
      </c>
      <c r="Z81" s="498">
        <f t="shared" si="141"/>
        <v>0</v>
      </c>
      <c r="AA81" s="131">
        <f t="shared" si="19"/>
        <v>0</v>
      </c>
      <c r="AB81" s="131">
        <f t="shared" si="142"/>
        <v>0</v>
      </c>
      <c r="AC81" s="498">
        <v>0</v>
      </c>
      <c r="AD81" s="498">
        <v>0</v>
      </c>
      <c r="AE81" s="498">
        <f t="shared" si="143"/>
        <v>0</v>
      </c>
      <c r="AF81" s="498">
        <f t="shared" si="144"/>
        <v>0</v>
      </c>
      <c r="AG81" s="499">
        <v>0</v>
      </c>
      <c r="AH81" s="499">
        <v>0</v>
      </c>
      <c r="AI81" s="499">
        <v>0</v>
      </c>
      <c r="AJ81" s="499">
        <v>0</v>
      </c>
      <c r="AK81" s="499">
        <v>0</v>
      </c>
      <c r="AL81" s="499">
        <f t="shared" si="147"/>
        <v>0</v>
      </c>
      <c r="AM81" s="499">
        <f t="shared" si="148"/>
        <v>0</v>
      </c>
      <c r="AN81" s="529">
        <f t="shared" si="149"/>
        <v>0</v>
      </c>
      <c r="AO81" s="579">
        <f>I81+AF81</f>
        <v>4986668</v>
      </c>
      <c r="AP81" s="498">
        <f>J81+U81</f>
        <v>3644895</v>
      </c>
      <c r="AQ81" s="498">
        <f t="shared" ref="AQ81:AQ83" si="156">Y81</f>
        <v>0</v>
      </c>
      <c r="AR81" s="498">
        <f t="shared" ref="AR81:AS83" si="157">K81+AA81</f>
        <v>1231975</v>
      </c>
      <c r="AS81" s="498">
        <f t="shared" si="157"/>
        <v>72898</v>
      </c>
      <c r="AT81" s="498">
        <f>M81+AE81</f>
        <v>36900</v>
      </c>
      <c r="AU81" s="499">
        <f>N81+AN81</f>
        <v>8.6681999999999988</v>
      </c>
      <c r="AV81" s="499">
        <f t="shared" ref="AV81:AW83" si="158">O81+AL81</f>
        <v>6</v>
      </c>
      <c r="AW81" s="500">
        <f t="shared" si="158"/>
        <v>2.6681999999999997</v>
      </c>
    </row>
    <row r="82" spans="1:49" x14ac:dyDescent="0.2">
      <c r="A82" s="525">
        <v>15</v>
      </c>
      <c r="B82" s="526">
        <v>3442</v>
      </c>
      <c r="C82" s="526">
        <v>600078205</v>
      </c>
      <c r="D82" s="526">
        <v>72743638</v>
      </c>
      <c r="E82" s="524" t="s">
        <v>113</v>
      </c>
      <c r="F82" s="526">
        <v>3111</v>
      </c>
      <c r="G82" s="527" t="s">
        <v>318</v>
      </c>
      <c r="H82" s="528" t="s">
        <v>284</v>
      </c>
      <c r="I82" s="575">
        <f t="shared" si="151"/>
        <v>0</v>
      </c>
      <c r="J82" s="496">
        <v>0</v>
      </c>
      <c r="K82" s="131">
        <f t="shared" si="152"/>
        <v>0</v>
      </c>
      <c r="L82" s="131">
        <f t="shared" si="153"/>
        <v>0</v>
      </c>
      <c r="M82" s="316">
        <v>0</v>
      </c>
      <c r="N82" s="576">
        <f t="shared" si="154"/>
        <v>0</v>
      </c>
      <c r="O82" s="577">
        <v>0</v>
      </c>
      <c r="P82" s="578">
        <v>0</v>
      </c>
      <c r="Q82" s="497">
        <f t="shared" si="155"/>
        <v>0</v>
      </c>
      <c r="R82" s="496">
        <v>779498</v>
      </c>
      <c r="S82" s="498">
        <v>0</v>
      </c>
      <c r="T82" s="498">
        <v>0</v>
      </c>
      <c r="U82" s="498">
        <f t="shared" si="145"/>
        <v>779498</v>
      </c>
      <c r="V82" s="498">
        <v>0</v>
      </c>
      <c r="W82" s="498">
        <v>0</v>
      </c>
      <c r="X82" s="498">
        <v>0</v>
      </c>
      <c r="Y82" s="498">
        <f t="shared" si="146"/>
        <v>0</v>
      </c>
      <c r="Z82" s="498">
        <f t="shared" si="141"/>
        <v>779498</v>
      </c>
      <c r="AA82" s="131">
        <f t="shared" si="19"/>
        <v>263470</v>
      </c>
      <c r="AB82" s="131">
        <f t="shared" si="142"/>
        <v>15590</v>
      </c>
      <c r="AC82" s="498">
        <v>0</v>
      </c>
      <c r="AD82" s="498">
        <v>0</v>
      </c>
      <c r="AE82" s="498">
        <f t="shared" si="143"/>
        <v>0</v>
      </c>
      <c r="AF82" s="498">
        <f t="shared" si="144"/>
        <v>1058558</v>
      </c>
      <c r="AG82" s="499">
        <v>0</v>
      </c>
      <c r="AH82" s="499">
        <v>0</v>
      </c>
      <c r="AI82" s="499">
        <v>2.25</v>
      </c>
      <c r="AJ82" s="499">
        <v>0</v>
      </c>
      <c r="AK82" s="499">
        <v>0</v>
      </c>
      <c r="AL82" s="499">
        <f t="shared" si="147"/>
        <v>2.25</v>
      </c>
      <c r="AM82" s="499">
        <f t="shared" si="148"/>
        <v>0</v>
      </c>
      <c r="AN82" s="529">
        <f t="shared" si="149"/>
        <v>2.25</v>
      </c>
      <c r="AO82" s="579">
        <f>I82+AF82</f>
        <v>1058558</v>
      </c>
      <c r="AP82" s="498">
        <f>J82+U82</f>
        <v>779498</v>
      </c>
      <c r="AQ82" s="498">
        <f t="shared" si="156"/>
        <v>0</v>
      </c>
      <c r="AR82" s="498">
        <f t="shared" si="157"/>
        <v>263470</v>
      </c>
      <c r="AS82" s="498">
        <f t="shared" si="157"/>
        <v>15590</v>
      </c>
      <c r="AT82" s="498">
        <f>M82+AE82</f>
        <v>0</v>
      </c>
      <c r="AU82" s="499">
        <f>N82+AN82</f>
        <v>2.25</v>
      </c>
      <c r="AV82" s="499">
        <f t="shared" si="158"/>
        <v>2.25</v>
      </c>
      <c r="AW82" s="500">
        <f t="shared" si="158"/>
        <v>0</v>
      </c>
    </row>
    <row r="83" spans="1:49" s="3" customFormat="1" x14ac:dyDescent="0.2">
      <c r="A83" s="525">
        <v>15</v>
      </c>
      <c r="B83" s="526">
        <v>3442</v>
      </c>
      <c r="C83" s="526">
        <v>600078205</v>
      </c>
      <c r="D83" s="526">
        <v>72743638</v>
      </c>
      <c r="E83" s="524" t="s">
        <v>114</v>
      </c>
      <c r="F83" s="526">
        <v>3141</v>
      </c>
      <c r="G83" s="527" t="s">
        <v>321</v>
      </c>
      <c r="H83" s="528" t="s">
        <v>284</v>
      </c>
      <c r="I83" s="575">
        <f t="shared" si="151"/>
        <v>890794</v>
      </c>
      <c r="J83" s="496">
        <v>652458</v>
      </c>
      <c r="K83" s="131">
        <f t="shared" si="152"/>
        <v>220531</v>
      </c>
      <c r="L83" s="131">
        <f t="shared" si="153"/>
        <v>13049</v>
      </c>
      <c r="M83" s="316">
        <v>4756</v>
      </c>
      <c r="N83" s="576">
        <f t="shared" si="154"/>
        <v>2.2200000000000002</v>
      </c>
      <c r="O83" s="577">
        <v>0</v>
      </c>
      <c r="P83" s="578">
        <v>2.2200000000000002</v>
      </c>
      <c r="Q83" s="497">
        <f t="shared" si="155"/>
        <v>0</v>
      </c>
      <c r="R83" s="498">
        <v>0</v>
      </c>
      <c r="S83" s="498">
        <v>0</v>
      </c>
      <c r="T83" s="498">
        <v>0</v>
      </c>
      <c r="U83" s="498">
        <f t="shared" si="145"/>
        <v>0</v>
      </c>
      <c r="V83" s="498">
        <v>0</v>
      </c>
      <c r="W83" s="498">
        <v>0</v>
      </c>
      <c r="X83" s="498">
        <v>0</v>
      </c>
      <c r="Y83" s="498">
        <f t="shared" si="146"/>
        <v>0</v>
      </c>
      <c r="Z83" s="498">
        <f t="shared" si="141"/>
        <v>0</v>
      </c>
      <c r="AA83" s="131">
        <f t="shared" ref="AA83" si="159">ROUND((U83+V83+W83)*33.8%,0)</f>
        <v>0</v>
      </c>
      <c r="AB83" s="131">
        <f t="shared" si="142"/>
        <v>0</v>
      </c>
      <c r="AC83" s="498">
        <v>0</v>
      </c>
      <c r="AD83" s="498">
        <v>0</v>
      </c>
      <c r="AE83" s="498">
        <f t="shared" si="143"/>
        <v>0</v>
      </c>
      <c r="AF83" s="498">
        <f t="shared" si="144"/>
        <v>0</v>
      </c>
      <c r="AG83" s="499">
        <v>0</v>
      </c>
      <c r="AH83" s="499">
        <v>0</v>
      </c>
      <c r="AI83" s="499">
        <v>0</v>
      </c>
      <c r="AJ83" s="499">
        <v>0</v>
      </c>
      <c r="AK83" s="499">
        <v>0</v>
      </c>
      <c r="AL83" s="499">
        <f t="shared" si="147"/>
        <v>0</v>
      </c>
      <c r="AM83" s="499">
        <f t="shared" si="148"/>
        <v>0</v>
      </c>
      <c r="AN83" s="529">
        <f t="shared" si="149"/>
        <v>0</v>
      </c>
      <c r="AO83" s="579">
        <f>I83+AF83</f>
        <v>890794</v>
      </c>
      <c r="AP83" s="498">
        <f>J83+U83</f>
        <v>652458</v>
      </c>
      <c r="AQ83" s="498">
        <f t="shared" si="156"/>
        <v>0</v>
      </c>
      <c r="AR83" s="498">
        <f t="shared" si="157"/>
        <v>220531</v>
      </c>
      <c r="AS83" s="498">
        <f t="shared" si="157"/>
        <v>13049</v>
      </c>
      <c r="AT83" s="498">
        <f>M83+AE83</f>
        <v>4756</v>
      </c>
      <c r="AU83" s="499">
        <f>N83+AN83</f>
        <v>2.2200000000000002</v>
      </c>
      <c r="AV83" s="499">
        <f t="shared" si="158"/>
        <v>0</v>
      </c>
      <c r="AW83" s="500">
        <f t="shared" si="158"/>
        <v>2.2200000000000002</v>
      </c>
    </row>
    <row r="84" spans="1:49" x14ac:dyDescent="0.2">
      <c r="A84" s="302">
        <v>15</v>
      </c>
      <c r="B84" s="32">
        <v>3442</v>
      </c>
      <c r="C84" s="32">
        <v>600078205</v>
      </c>
      <c r="D84" s="32">
        <v>72743638</v>
      </c>
      <c r="E84" s="311" t="s">
        <v>115</v>
      </c>
      <c r="F84" s="32"/>
      <c r="G84" s="301"/>
      <c r="H84" s="454"/>
      <c r="I84" s="5">
        <f t="shared" ref="I84:AW84" si="160">SUM(I81:I83)</f>
        <v>5877462</v>
      </c>
      <c r="J84" s="8">
        <f t="shared" si="160"/>
        <v>4297353</v>
      </c>
      <c r="K84" s="8">
        <f t="shared" si="160"/>
        <v>1452506</v>
      </c>
      <c r="L84" s="8">
        <f t="shared" si="160"/>
        <v>85947</v>
      </c>
      <c r="M84" s="8">
        <f t="shared" si="160"/>
        <v>41656</v>
      </c>
      <c r="N84" s="9">
        <f t="shared" si="160"/>
        <v>10.888199999999999</v>
      </c>
      <c r="O84" s="9">
        <f t="shared" si="160"/>
        <v>6</v>
      </c>
      <c r="P84" s="92">
        <f t="shared" si="160"/>
        <v>4.8881999999999994</v>
      </c>
      <c r="Q84" s="295">
        <f t="shared" si="160"/>
        <v>0</v>
      </c>
      <c r="R84" s="8">
        <f t="shared" si="160"/>
        <v>779498</v>
      </c>
      <c r="S84" s="8">
        <f t="shared" si="160"/>
        <v>0</v>
      </c>
      <c r="T84" s="8">
        <f t="shared" si="160"/>
        <v>0</v>
      </c>
      <c r="U84" s="8">
        <f t="shared" si="160"/>
        <v>779498</v>
      </c>
      <c r="V84" s="8">
        <f t="shared" si="160"/>
        <v>0</v>
      </c>
      <c r="W84" s="8">
        <f t="shared" si="160"/>
        <v>0</v>
      </c>
      <c r="X84" s="8">
        <f t="shared" si="160"/>
        <v>0</v>
      </c>
      <c r="Y84" s="8">
        <f t="shared" si="160"/>
        <v>0</v>
      </c>
      <c r="Z84" s="8">
        <f t="shared" si="160"/>
        <v>779498</v>
      </c>
      <c r="AA84" s="8">
        <f t="shared" si="160"/>
        <v>263470</v>
      </c>
      <c r="AB84" s="8">
        <f t="shared" si="160"/>
        <v>15590</v>
      </c>
      <c r="AC84" s="8">
        <f t="shared" si="160"/>
        <v>0</v>
      </c>
      <c r="AD84" s="8">
        <f t="shared" si="160"/>
        <v>0</v>
      </c>
      <c r="AE84" s="8">
        <f t="shared" si="160"/>
        <v>0</v>
      </c>
      <c r="AF84" s="8">
        <f t="shared" si="160"/>
        <v>1058558</v>
      </c>
      <c r="AG84" s="9">
        <f t="shared" si="160"/>
        <v>0</v>
      </c>
      <c r="AH84" s="9">
        <f t="shared" si="160"/>
        <v>0</v>
      </c>
      <c r="AI84" s="9">
        <f t="shared" si="160"/>
        <v>2.25</v>
      </c>
      <c r="AJ84" s="9">
        <f t="shared" si="160"/>
        <v>0</v>
      </c>
      <c r="AK84" s="9">
        <f t="shared" si="160"/>
        <v>0</v>
      </c>
      <c r="AL84" s="9">
        <f t="shared" si="160"/>
        <v>2.25</v>
      </c>
      <c r="AM84" s="9">
        <f t="shared" si="160"/>
        <v>0</v>
      </c>
      <c r="AN84" s="39">
        <f t="shared" si="160"/>
        <v>2.25</v>
      </c>
      <c r="AO84" s="5">
        <f t="shared" si="160"/>
        <v>6936020</v>
      </c>
      <c r="AP84" s="8">
        <f t="shared" si="160"/>
        <v>5076851</v>
      </c>
      <c r="AQ84" s="8">
        <f t="shared" si="160"/>
        <v>0</v>
      </c>
      <c r="AR84" s="8">
        <f t="shared" si="160"/>
        <v>1715976</v>
      </c>
      <c r="AS84" s="8">
        <f t="shared" si="160"/>
        <v>101537</v>
      </c>
      <c r="AT84" s="8">
        <f t="shared" si="160"/>
        <v>41656</v>
      </c>
      <c r="AU84" s="9">
        <f t="shared" si="160"/>
        <v>13.138199999999999</v>
      </c>
      <c r="AV84" s="9">
        <f t="shared" si="160"/>
        <v>8.25</v>
      </c>
      <c r="AW84" s="92">
        <f t="shared" si="160"/>
        <v>4.8881999999999994</v>
      </c>
    </row>
    <row r="85" spans="1:49" s="3" customFormat="1" x14ac:dyDescent="0.2">
      <c r="A85" s="525">
        <v>16</v>
      </c>
      <c r="B85" s="526">
        <v>3452</v>
      </c>
      <c r="C85" s="526">
        <v>600078264</v>
      </c>
      <c r="D85" s="526">
        <v>72743557</v>
      </c>
      <c r="E85" s="524" t="s">
        <v>116</v>
      </c>
      <c r="F85" s="526">
        <v>3111</v>
      </c>
      <c r="G85" s="527" t="s">
        <v>317</v>
      </c>
      <c r="H85" s="528" t="s">
        <v>283</v>
      </c>
      <c r="I85" s="575">
        <f t="shared" ref="I85:I87" si="161">SUM(J85:M85)</f>
        <v>1448122</v>
      </c>
      <c r="J85" s="496">
        <v>1059405</v>
      </c>
      <c r="K85" s="131">
        <f t="shared" ref="K85:K88" si="162">ROUND((J85)*33.8%,0)</f>
        <v>358079</v>
      </c>
      <c r="L85" s="131">
        <f t="shared" ref="L85:L88" si="163">ROUND(J85*2%,0)</f>
        <v>21188</v>
      </c>
      <c r="M85" s="316">
        <v>9450</v>
      </c>
      <c r="N85" s="576">
        <f t="shared" ref="N85:N90" si="164">SUM(O85:P85)</f>
        <v>2.4786000000000001</v>
      </c>
      <c r="O85" s="577">
        <v>1.9677</v>
      </c>
      <c r="P85" s="578">
        <v>0.51090000000000002</v>
      </c>
      <c r="Q85" s="497">
        <f t="shared" ref="Q85:Q90" si="165">V85*-1</f>
        <v>0</v>
      </c>
      <c r="R85" s="498">
        <v>0</v>
      </c>
      <c r="S85" s="498">
        <v>0</v>
      </c>
      <c r="T85" s="498">
        <v>0</v>
      </c>
      <c r="U85" s="498">
        <f t="shared" si="145"/>
        <v>0</v>
      </c>
      <c r="V85" s="498">
        <v>0</v>
      </c>
      <c r="W85" s="498">
        <v>0</v>
      </c>
      <c r="X85" s="498">
        <v>0</v>
      </c>
      <c r="Y85" s="498">
        <f t="shared" si="146"/>
        <v>0</v>
      </c>
      <c r="Z85" s="498">
        <f t="shared" si="141"/>
        <v>0</v>
      </c>
      <c r="AA85" s="131">
        <f t="shared" ref="AA85:AA90" si="166">ROUND((U85+V85+W85)*33.8%,0)</f>
        <v>0</v>
      </c>
      <c r="AB85" s="131">
        <f t="shared" si="142"/>
        <v>0</v>
      </c>
      <c r="AC85" s="498">
        <v>0</v>
      </c>
      <c r="AD85" s="498">
        <v>0</v>
      </c>
      <c r="AE85" s="498">
        <f t="shared" si="143"/>
        <v>0</v>
      </c>
      <c r="AF85" s="498">
        <f t="shared" si="144"/>
        <v>0</v>
      </c>
      <c r="AG85" s="499">
        <v>0</v>
      </c>
      <c r="AH85" s="499">
        <v>0</v>
      </c>
      <c r="AI85" s="499">
        <v>0</v>
      </c>
      <c r="AJ85" s="499">
        <v>0</v>
      </c>
      <c r="AK85" s="499">
        <v>0</v>
      </c>
      <c r="AL85" s="499">
        <f t="shared" si="147"/>
        <v>0</v>
      </c>
      <c r="AM85" s="499">
        <f t="shared" si="148"/>
        <v>0</v>
      </c>
      <c r="AN85" s="529">
        <f t="shared" si="149"/>
        <v>0</v>
      </c>
      <c r="AO85" s="579">
        <f t="shared" ref="AO85:AO90" si="167">I85+AF85</f>
        <v>1448122</v>
      </c>
      <c r="AP85" s="498">
        <f t="shared" ref="AP85:AP90" si="168">J85+U85</f>
        <v>1059405</v>
      </c>
      <c r="AQ85" s="498">
        <f t="shared" ref="AQ85:AQ90" si="169">Y85</f>
        <v>0</v>
      </c>
      <c r="AR85" s="498">
        <f t="shared" ref="AR85:AS90" si="170">K85+AA85</f>
        <v>358079</v>
      </c>
      <c r="AS85" s="498">
        <f t="shared" si="170"/>
        <v>21188</v>
      </c>
      <c r="AT85" s="498">
        <f t="shared" ref="AT85:AT90" si="171">M85+AE85</f>
        <v>9450</v>
      </c>
      <c r="AU85" s="499">
        <f t="shared" ref="AU85:AU90" si="172">N85+AN85</f>
        <v>2.4786000000000001</v>
      </c>
      <c r="AV85" s="499">
        <f t="shared" ref="AV85:AW90" si="173">O85+AL85</f>
        <v>1.9677</v>
      </c>
      <c r="AW85" s="500">
        <f t="shared" si="173"/>
        <v>0.51090000000000002</v>
      </c>
    </row>
    <row r="86" spans="1:49" x14ac:dyDescent="0.2">
      <c r="A86" s="525">
        <v>16</v>
      </c>
      <c r="B86" s="526">
        <v>3452</v>
      </c>
      <c r="C86" s="526">
        <v>600078264</v>
      </c>
      <c r="D86" s="526">
        <v>72743557</v>
      </c>
      <c r="E86" s="524" t="s">
        <v>116</v>
      </c>
      <c r="F86" s="526">
        <v>3113</v>
      </c>
      <c r="G86" s="527" t="s">
        <v>320</v>
      </c>
      <c r="H86" s="528" t="s">
        <v>283</v>
      </c>
      <c r="I86" s="575">
        <f t="shared" si="161"/>
        <v>21767612</v>
      </c>
      <c r="J86" s="496">
        <v>15736460</v>
      </c>
      <c r="K86" s="131">
        <f t="shared" si="162"/>
        <v>5318923</v>
      </c>
      <c r="L86" s="131">
        <f t="shared" si="163"/>
        <v>314729</v>
      </c>
      <c r="M86" s="316">
        <v>397500</v>
      </c>
      <c r="N86" s="576">
        <f t="shared" si="164"/>
        <v>31.047900000000002</v>
      </c>
      <c r="O86" s="577">
        <v>23.644300000000001</v>
      </c>
      <c r="P86" s="578">
        <v>7.4036</v>
      </c>
      <c r="Q86" s="497">
        <f t="shared" si="165"/>
        <v>0</v>
      </c>
      <c r="R86" s="498">
        <v>0</v>
      </c>
      <c r="S86" s="498">
        <v>0</v>
      </c>
      <c r="T86" s="498">
        <v>0</v>
      </c>
      <c r="U86" s="498">
        <f t="shared" si="145"/>
        <v>0</v>
      </c>
      <c r="V86" s="498">
        <v>0</v>
      </c>
      <c r="W86" s="498">
        <v>0</v>
      </c>
      <c r="X86" s="498">
        <v>0</v>
      </c>
      <c r="Y86" s="498">
        <f t="shared" si="146"/>
        <v>0</v>
      </c>
      <c r="Z86" s="498">
        <f t="shared" si="141"/>
        <v>0</v>
      </c>
      <c r="AA86" s="131">
        <f t="shared" si="166"/>
        <v>0</v>
      </c>
      <c r="AB86" s="131">
        <f t="shared" si="142"/>
        <v>0</v>
      </c>
      <c r="AC86" s="498">
        <v>0</v>
      </c>
      <c r="AD86" s="498">
        <v>0</v>
      </c>
      <c r="AE86" s="498">
        <f t="shared" si="143"/>
        <v>0</v>
      </c>
      <c r="AF86" s="498">
        <f t="shared" si="144"/>
        <v>0</v>
      </c>
      <c r="AG86" s="499">
        <v>0</v>
      </c>
      <c r="AH86" s="499">
        <v>0</v>
      </c>
      <c r="AI86" s="499">
        <v>0</v>
      </c>
      <c r="AJ86" s="499">
        <v>0</v>
      </c>
      <c r="AK86" s="499">
        <v>0</v>
      </c>
      <c r="AL86" s="499">
        <f t="shared" si="147"/>
        <v>0</v>
      </c>
      <c r="AM86" s="499">
        <f t="shared" si="148"/>
        <v>0</v>
      </c>
      <c r="AN86" s="529">
        <f t="shared" si="149"/>
        <v>0</v>
      </c>
      <c r="AO86" s="579">
        <f t="shared" si="167"/>
        <v>21767612</v>
      </c>
      <c r="AP86" s="498">
        <f t="shared" si="168"/>
        <v>15736460</v>
      </c>
      <c r="AQ86" s="498">
        <f t="shared" si="169"/>
        <v>0</v>
      </c>
      <c r="AR86" s="498">
        <f t="shared" si="170"/>
        <v>5318923</v>
      </c>
      <c r="AS86" s="498">
        <f t="shared" si="170"/>
        <v>314729</v>
      </c>
      <c r="AT86" s="498">
        <f t="shared" si="171"/>
        <v>397500</v>
      </c>
      <c r="AU86" s="499">
        <f t="shared" si="172"/>
        <v>31.047900000000002</v>
      </c>
      <c r="AV86" s="499">
        <f t="shared" si="173"/>
        <v>23.644300000000001</v>
      </c>
      <c r="AW86" s="500">
        <f t="shared" si="173"/>
        <v>7.4036</v>
      </c>
    </row>
    <row r="87" spans="1:49" x14ac:dyDescent="0.2">
      <c r="A87" s="525">
        <v>16</v>
      </c>
      <c r="B87" s="526">
        <v>3452</v>
      </c>
      <c r="C87" s="526">
        <v>600078264</v>
      </c>
      <c r="D87" s="526">
        <v>72743557</v>
      </c>
      <c r="E87" s="524" t="s">
        <v>116</v>
      </c>
      <c r="F87" s="526">
        <v>3113</v>
      </c>
      <c r="G87" s="527" t="s">
        <v>318</v>
      </c>
      <c r="H87" s="528" t="s">
        <v>284</v>
      </c>
      <c r="I87" s="575">
        <f t="shared" si="161"/>
        <v>0</v>
      </c>
      <c r="J87" s="496">
        <v>0</v>
      </c>
      <c r="K87" s="131">
        <f t="shared" si="162"/>
        <v>0</v>
      </c>
      <c r="L87" s="131">
        <f t="shared" si="163"/>
        <v>0</v>
      </c>
      <c r="M87" s="316">
        <v>0</v>
      </c>
      <c r="N87" s="576">
        <f t="shared" si="164"/>
        <v>0</v>
      </c>
      <c r="O87" s="577">
        <v>0</v>
      </c>
      <c r="P87" s="578">
        <v>0</v>
      </c>
      <c r="Q87" s="497">
        <f t="shared" si="165"/>
        <v>0</v>
      </c>
      <c r="R87" s="496">
        <f>1861227-65318+112277-129917</f>
        <v>1778269</v>
      </c>
      <c r="S87" s="498">
        <v>0</v>
      </c>
      <c r="T87" s="498">
        <v>0</v>
      </c>
      <c r="U87" s="498">
        <f t="shared" si="145"/>
        <v>1778269</v>
      </c>
      <c r="V87" s="498">
        <v>0</v>
      </c>
      <c r="W87" s="498">
        <v>0</v>
      </c>
      <c r="X87" s="498">
        <v>0</v>
      </c>
      <c r="Y87" s="498">
        <f t="shared" si="146"/>
        <v>0</v>
      </c>
      <c r="Z87" s="498">
        <f t="shared" si="141"/>
        <v>1778269</v>
      </c>
      <c r="AA87" s="131">
        <f t="shared" si="166"/>
        <v>601055</v>
      </c>
      <c r="AB87" s="131">
        <f t="shared" si="142"/>
        <v>35565</v>
      </c>
      <c r="AC87" s="498">
        <f>2500+2000</f>
        <v>4500</v>
      </c>
      <c r="AD87" s="498">
        <v>0</v>
      </c>
      <c r="AE87" s="498">
        <f t="shared" si="143"/>
        <v>4500</v>
      </c>
      <c r="AF87" s="498">
        <f t="shared" si="144"/>
        <v>2419389</v>
      </c>
      <c r="AG87" s="499">
        <v>0</v>
      </c>
      <c r="AH87" s="499">
        <v>0</v>
      </c>
      <c r="AI87" s="499">
        <f>5.36-0.18+0.33-0.38</f>
        <v>5.1300000000000008</v>
      </c>
      <c r="AJ87" s="499">
        <v>0</v>
      </c>
      <c r="AK87" s="499">
        <v>0</v>
      </c>
      <c r="AL87" s="499">
        <f t="shared" si="147"/>
        <v>5.1300000000000008</v>
      </c>
      <c r="AM87" s="499">
        <f t="shared" si="148"/>
        <v>0</v>
      </c>
      <c r="AN87" s="529">
        <f t="shared" si="149"/>
        <v>5.1300000000000008</v>
      </c>
      <c r="AO87" s="579">
        <f t="shared" si="167"/>
        <v>2419389</v>
      </c>
      <c r="AP87" s="498">
        <f t="shared" si="168"/>
        <v>1778269</v>
      </c>
      <c r="AQ87" s="498">
        <f t="shared" si="169"/>
        <v>0</v>
      </c>
      <c r="AR87" s="498">
        <f t="shared" si="170"/>
        <v>601055</v>
      </c>
      <c r="AS87" s="498">
        <f t="shared" si="170"/>
        <v>35565</v>
      </c>
      <c r="AT87" s="498">
        <f t="shared" si="171"/>
        <v>4500</v>
      </c>
      <c r="AU87" s="499">
        <f t="shared" si="172"/>
        <v>5.1300000000000008</v>
      </c>
      <c r="AV87" s="499">
        <f t="shared" si="173"/>
        <v>5.1300000000000008</v>
      </c>
      <c r="AW87" s="500">
        <f t="shared" si="173"/>
        <v>0</v>
      </c>
    </row>
    <row r="88" spans="1:49" x14ac:dyDescent="0.2">
      <c r="A88" s="525">
        <v>16</v>
      </c>
      <c r="B88" s="526">
        <v>3452</v>
      </c>
      <c r="C88" s="526">
        <v>600078264</v>
      </c>
      <c r="D88" s="526">
        <v>72743557</v>
      </c>
      <c r="E88" s="524" t="s">
        <v>116</v>
      </c>
      <c r="F88" s="526">
        <v>3141</v>
      </c>
      <c r="G88" s="527" t="s">
        <v>321</v>
      </c>
      <c r="H88" s="528" t="s">
        <v>284</v>
      </c>
      <c r="I88" s="575">
        <f>SUM(J88:M88)</f>
        <v>1990626</v>
      </c>
      <c r="J88" s="496">
        <v>1454918</v>
      </c>
      <c r="K88" s="131">
        <f t="shared" si="162"/>
        <v>491762</v>
      </c>
      <c r="L88" s="131">
        <f t="shared" si="163"/>
        <v>29098</v>
      </c>
      <c r="M88" s="316">
        <v>14848</v>
      </c>
      <c r="N88" s="576">
        <f t="shared" si="164"/>
        <v>4.95</v>
      </c>
      <c r="O88" s="577">
        <v>0</v>
      </c>
      <c r="P88" s="578">
        <v>4.95</v>
      </c>
      <c r="Q88" s="497">
        <f t="shared" si="165"/>
        <v>0</v>
      </c>
      <c r="R88" s="498">
        <v>0</v>
      </c>
      <c r="S88" s="498">
        <v>0</v>
      </c>
      <c r="T88" s="498">
        <v>0</v>
      </c>
      <c r="U88" s="498">
        <f t="shared" si="145"/>
        <v>0</v>
      </c>
      <c r="V88" s="498">
        <v>0</v>
      </c>
      <c r="W88" s="498">
        <v>0</v>
      </c>
      <c r="X88" s="498">
        <v>0</v>
      </c>
      <c r="Y88" s="498">
        <f t="shared" si="146"/>
        <v>0</v>
      </c>
      <c r="Z88" s="498">
        <f t="shared" si="141"/>
        <v>0</v>
      </c>
      <c r="AA88" s="131">
        <f t="shared" si="166"/>
        <v>0</v>
      </c>
      <c r="AB88" s="131">
        <f t="shared" si="142"/>
        <v>0</v>
      </c>
      <c r="AC88" s="498">
        <v>0</v>
      </c>
      <c r="AD88" s="498">
        <v>0</v>
      </c>
      <c r="AE88" s="498">
        <f t="shared" si="143"/>
        <v>0</v>
      </c>
      <c r="AF88" s="498">
        <f t="shared" si="144"/>
        <v>0</v>
      </c>
      <c r="AG88" s="499">
        <v>0</v>
      </c>
      <c r="AH88" s="499">
        <v>0</v>
      </c>
      <c r="AI88" s="499">
        <v>0</v>
      </c>
      <c r="AJ88" s="499">
        <v>0</v>
      </c>
      <c r="AK88" s="499">
        <v>0</v>
      </c>
      <c r="AL88" s="499">
        <f t="shared" si="147"/>
        <v>0</v>
      </c>
      <c r="AM88" s="499">
        <f t="shared" si="148"/>
        <v>0</v>
      </c>
      <c r="AN88" s="529">
        <f t="shared" si="149"/>
        <v>0</v>
      </c>
      <c r="AO88" s="579">
        <f t="shared" si="167"/>
        <v>1990626</v>
      </c>
      <c r="AP88" s="498">
        <f t="shared" si="168"/>
        <v>1454918</v>
      </c>
      <c r="AQ88" s="498">
        <f t="shared" si="169"/>
        <v>0</v>
      </c>
      <c r="AR88" s="498">
        <f t="shared" si="170"/>
        <v>491762</v>
      </c>
      <c r="AS88" s="498">
        <f t="shared" si="170"/>
        <v>29098</v>
      </c>
      <c r="AT88" s="498">
        <f t="shared" si="171"/>
        <v>14848</v>
      </c>
      <c r="AU88" s="499">
        <f t="shared" si="172"/>
        <v>4.95</v>
      </c>
      <c r="AV88" s="499">
        <f t="shared" si="173"/>
        <v>0</v>
      </c>
      <c r="AW88" s="500">
        <f t="shared" si="173"/>
        <v>4.95</v>
      </c>
    </row>
    <row r="89" spans="1:49" x14ac:dyDescent="0.2">
      <c r="A89" s="525">
        <v>16</v>
      </c>
      <c r="B89" s="526">
        <v>3452</v>
      </c>
      <c r="C89" s="526">
        <v>600078264</v>
      </c>
      <c r="D89" s="526">
        <v>72743557</v>
      </c>
      <c r="E89" s="524" t="s">
        <v>116</v>
      </c>
      <c r="F89" s="526">
        <v>3143</v>
      </c>
      <c r="G89" s="527" t="s">
        <v>635</v>
      </c>
      <c r="H89" s="574" t="s">
        <v>283</v>
      </c>
      <c r="I89" s="575">
        <f t="shared" ref="I89" si="174">SUM(J89:M89)</f>
        <v>1769099</v>
      </c>
      <c r="J89" s="496">
        <v>1302723</v>
      </c>
      <c r="K89" s="131">
        <v>440321</v>
      </c>
      <c r="L89" s="131">
        <v>26055</v>
      </c>
      <c r="M89" s="316">
        <v>0</v>
      </c>
      <c r="N89" s="576">
        <f t="shared" si="164"/>
        <v>2.8035999999999999</v>
      </c>
      <c r="O89" s="577">
        <v>2.8035999999999999</v>
      </c>
      <c r="P89" s="578">
        <v>0</v>
      </c>
      <c r="Q89" s="497">
        <f t="shared" si="165"/>
        <v>0</v>
      </c>
      <c r="R89" s="498">
        <v>0</v>
      </c>
      <c r="S89" s="498">
        <v>0</v>
      </c>
      <c r="T89" s="498">
        <v>0</v>
      </c>
      <c r="U89" s="498">
        <f t="shared" si="145"/>
        <v>0</v>
      </c>
      <c r="V89" s="498">
        <v>0</v>
      </c>
      <c r="W89" s="498">
        <v>0</v>
      </c>
      <c r="X89" s="498">
        <v>0</v>
      </c>
      <c r="Y89" s="498">
        <f t="shared" si="146"/>
        <v>0</v>
      </c>
      <c r="Z89" s="498">
        <f t="shared" si="141"/>
        <v>0</v>
      </c>
      <c r="AA89" s="131">
        <f t="shared" si="166"/>
        <v>0</v>
      </c>
      <c r="AB89" s="131">
        <f t="shared" si="142"/>
        <v>0</v>
      </c>
      <c r="AC89" s="498">
        <v>0</v>
      </c>
      <c r="AD89" s="498">
        <v>0</v>
      </c>
      <c r="AE89" s="498">
        <f t="shared" si="143"/>
        <v>0</v>
      </c>
      <c r="AF89" s="498">
        <f t="shared" si="144"/>
        <v>0</v>
      </c>
      <c r="AG89" s="499">
        <v>0</v>
      </c>
      <c r="AH89" s="499">
        <v>0</v>
      </c>
      <c r="AI89" s="499">
        <v>0</v>
      </c>
      <c r="AJ89" s="499">
        <v>0</v>
      </c>
      <c r="AK89" s="499">
        <v>0</v>
      </c>
      <c r="AL89" s="499">
        <f t="shared" si="147"/>
        <v>0</v>
      </c>
      <c r="AM89" s="499">
        <f t="shared" si="148"/>
        <v>0</v>
      </c>
      <c r="AN89" s="529">
        <f t="shared" si="149"/>
        <v>0</v>
      </c>
      <c r="AO89" s="579">
        <f t="shared" si="167"/>
        <v>1769099</v>
      </c>
      <c r="AP89" s="498">
        <f t="shared" si="168"/>
        <v>1302723</v>
      </c>
      <c r="AQ89" s="498">
        <f t="shared" si="169"/>
        <v>0</v>
      </c>
      <c r="AR89" s="498">
        <f t="shared" si="170"/>
        <v>440321</v>
      </c>
      <c r="AS89" s="498">
        <f t="shared" si="170"/>
        <v>26055</v>
      </c>
      <c r="AT89" s="498">
        <f t="shared" si="171"/>
        <v>0</v>
      </c>
      <c r="AU89" s="499">
        <f t="shared" si="172"/>
        <v>2.8035999999999999</v>
      </c>
      <c r="AV89" s="499">
        <f t="shared" si="173"/>
        <v>2.8035999999999999</v>
      </c>
      <c r="AW89" s="500">
        <f t="shared" si="173"/>
        <v>0</v>
      </c>
    </row>
    <row r="90" spans="1:49" x14ac:dyDescent="0.2">
      <c r="A90" s="525">
        <v>16</v>
      </c>
      <c r="B90" s="526">
        <v>3452</v>
      </c>
      <c r="C90" s="526">
        <v>600078264</v>
      </c>
      <c r="D90" s="526">
        <v>72743557</v>
      </c>
      <c r="E90" s="524" t="s">
        <v>116</v>
      </c>
      <c r="F90" s="526">
        <v>3143</v>
      </c>
      <c r="G90" s="527" t="s">
        <v>636</v>
      </c>
      <c r="H90" s="574" t="s">
        <v>284</v>
      </c>
      <c r="I90" s="575">
        <f>SUM(J90:M90)</f>
        <v>42835</v>
      </c>
      <c r="J90" s="496">
        <v>30195</v>
      </c>
      <c r="K90" s="131">
        <f t="shared" ref="K90" si="175">ROUND((J90)*33.8%,0)</f>
        <v>10206</v>
      </c>
      <c r="L90" s="131">
        <f t="shared" ref="L90" si="176">ROUND(J90*2%,0)</f>
        <v>604</v>
      </c>
      <c r="M90" s="316">
        <v>1830</v>
      </c>
      <c r="N90" s="576">
        <f t="shared" si="164"/>
        <v>0.13</v>
      </c>
      <c r="O90" s="577">
        <v>0</v>
      </c>
      <c r="P90" s="578">
        <v>0.13</v>
      </c>
      <c r="Q90" s="497">
        <f t="shared" si="165"/>
        <v>0</v>
      </c>
      <c r="R90" s="498">
        <v>0</v>
      </c>
      <c r="S90" s="498">
        <v>0</v>
      </c>
      <c r="T90" s="498">
        <v>0</v>
      </c>
      <c r="U90" s="498">
        <f t="shared" si="145"/>
        <v>0</v>
      </c>
      <c r="V90" s="498">
        <v>0</v>
      </c>
      <c r="W90" s="498">
        <v>0</v>
      </c>
      <c r="X90" s="498">
        <v>0</v>
      </c>
      <c r="Y90" s="498">
        <f t="shared" si="146"/>
        <v>0</v>
      </c>
      <c r="Z90" s="498">
        <f t="shared" si="141"/>
        <v>0</v>
      </c>
      <c r="AA90" s="131">
        <f t="shared" si="166"/>
        <v>0</v>
      </c>
      <c r="AB90" s="131">
        <f t="shared" si="142"/>
        <v>0</v>
      </c>
      <c r="AC90" s="498">
        <v>0</v>
      </c>
      <c r="AD90" s="498">
        <v>0</v>
      </c>
      <c r="AE90" s="498">
        <f t="shared" si="143"/>
        <v>0</v>
      </c>
      <c r="AF90" s="498">
        <f t="shared" si="144"/>
        <v>0</v>
      </c>
      <c r="AG90" s="499">
        <v>0</v>
      </c>
      <c r="AH90" s="499">
        <v>0</v>
      </c>
      <c r="AI90" s="499">
        <v>0</v>
      </c>
      <c r="AJ90" s="499">
        <v>0</v>
      </c>
      <c r="AK90" s="499">
        <v>0</v>
      </c>
      <c r="AL90" s="499">
        <f t="shared" si="147"/>
        <v>0</v>
      </c>
      <c r="AM90" s="499">
        <f t="shared" si="148"/>
        <v>0</v>
      </c>
      <c r="AN90" s="529">
        <f t="shared" si="149"/>
        <v>0</v>
      </c>
      <c r="AO90" s="579">
        <f t="shared" si="167"/>
        <v>42835</v>
      </c>
      <c r="AP90" s="498">
        <f t="shared" si="168"/>
        <v>30195</v>
      </c>
      <c r="AQ90" s="498">
        <f t="shared" si="169"/>
        <v>0</v>
      </c>
      <c r="AR90" s="498">
        <f t="shared" si="170"/>
        <v>10206</v>
      </c>
      <c r="AS90" s="498">
        <f t="shared" si="170"/>
        <v>604</v>
      </c>
      <c r="AT90" s="498">
        <f t="shared" si="171"/>
        <v>1830</v>
      </c>
      <c r="AU90" s="499">
        <f t="shared" si="172"/>
        <v>0.13</v>
      </c>
      <c r="AV90" s="499">
        <f t="shared" si="173"/>
        <v>0</v>
      </c>
      <c r="AW90" s="500">
        <f t="shared" si="173"/>
        <v>0.13</v>
      </c>
    </row>
    <row r="91" spans="1:49" x14ac:dyDescent="0.2">
      <c r="A91" s="302">
        <v>16</v>
      </c>
      <c r="B91" s="32">
        <v>3452</v>
      </c>
      <c r="C91" s="32">
        <v>600078264</v>
      </c>
      <c r="D91" s="32">
        <v>72743557</v>
      </c>
      <c r="E91" s="311" t="s">
        <v>117</v>
      </c>
      <c r="F91" s="32"/>
      <c r="G91" s="301"/>
      <c r="H91" s="454"/>
      <c r="I91" s="5">
        <f t="shared" ref="I91:P91" si="177">SUM(I85:I90)</f>
        <v>27018294</v>
      </c>
      <c r="J91" s="8">
        <f t="shared" si="177"/>
        <v>19583701</v>
      </c>
      <c r="K91" s="8">
        <f t="shared" si="177"/>
        <v>6619291</v>
      </c>
      <c r="L91" s="8">
        <f t="shared" si="177"/>
        <v>391674</v>
      </c>
      <c r="M91" s="8">
        <f t="shared" si="177"/>
        <v>423628</v>
      </c>
      <c r="N91" s="9">
        <f t="shared" si="177"/>
        <v>41.410100000000007</v>
      </c>
      <c r="O91" s="9">
        <f t="shared" si="177"/>
        <v>28.415600000000001</v>
      </c>
      <c r="P91" s="92">
        <f t="shared" si="177"/>
        <v>12.9945</v>
      </c>
      <c r="Q91" s="295">
        <f t="shared" ref="Q91:AW91" si="178">SUM(Q85:Q90)</f>
        <v>0</v>
      </c>
      <c r="R91" s="8">
        <f t="shared" si="178"/>
        <v>1778269</v>
      </c>
      <c r="S91" s="8">
        <f t="shared" si="178"/>
        <v>0</v>
      </c>
      <c r="T91" s="8">
        <f t="shared" si="178"/>
        <v>0</v>
      </c>
      <c r="U91" s="8">
        <f t="shared" si="178"/>
        <v>1778269</v>
      </c>
      <c r="V91" s="8">
        <f t="shared" si="178"/>
        <v>0</v>
      </c>
      <c r="W91" s="8">
        <f t="shared" si="178"/>
        <v>0</v>
      </c>
      <c r="X91" s="8">
        <f t="shared" si="178"/>
        <v>0</v>
      </c>
      <c r="Y91" s="8">
        <f t="shared" si="178"/>
        <v>0</v>
      </c>
      <c r="Z91" s="8">
        <f t="shared" si="178"/>
        <v>1778269</v>
      </c>
      <c r="AA91" s="8">
        <f t="shared" si="178"/>
        <v>601055</v>
      </c>
      <c r="AB91" s="8">
        <f t="shared" si="178"/>
        <v>35565</v>
      </c>
      <c r="AC91" s="8">
        <f t="shared" si="178"/>
        <v>4500</v>
      </c>
      <c r="AD91" s="8">
        <f t="shared" si="178"/>
        <v>0</v>
      </c>
      <c r="AE91" s="8">
        <f t="shared" si="178"/>
        <v>4500</v>
      </c>
      <c r="AF91" s="8">
        <f t="shared" si="178"/>
        <v>2419389</v>
      </c>
      <c r="AG91" s="9">
        <f t="shared" si="178"/>
        <v>0</v>
      </c>
      <c r="AH91" s="9">
        <f t="shared" si="178"/>
        <v>0</v>
      </c>
      <c r="AI91" s="9">
        <f t="shared" si="178"/>
        <v>5.1300000000000008</v>
      </c>
      <c r="AJ91" s="9">
        <f t="shared" si="178"/>
        <v>0</v>
      </c>
      <c r="AK91" s="9">
        <f t="shared" si="178"/>
        <v>0</v>
      </c>
      <c r="AL91" s="9">
        <f t="shared" si="178"/>
        <v>5.1300000000000008</v>
      </c>
      <c r="AM91" s="9">
        <f t="shared" si="178"/>
        <v>0</v>
      </c>
      <c r="AN91" s="39">
        <f t="shared" si="178"/>
        <v>5.1300000000000008</v>
      </c>
      <c r="AO91" s="5">
        <f t="shared" si="178"/>
        <v>29437683</v>
      </c>
      <c r="AP91" s="8">
        <f t="shared" si="178"/>
        <v>21361970</v>
      </c>
      <c r="AQ91" s="8">
        <f t="shared" si="178"/>
        <v>0</v>
      </c>
      <c r="AR91" s="8">
        <f t="shared" si="178"/>
        <v>7220346</v>
      </c>
      <c r="AS91" s="8">
        <f t="shared" si="178"/>
        <v>427239</v>
      </c>
      <c r="AT91" s="8">
        <f t="shared" si="178"/>
        <v>428128</v>
      </c>
      <c r="AU91" s="9">
        <f t="shared" si="178"/>
        <v>46.54010000000001</v>
      </c>
      <c r="AV91" s="9">
        <f t="shared" si="178"/>
        <v>33.545600000000007</v>
      </c>
      <c r="AW91" s="92">
        <f t="shared" si="178"/>
        <v>12.9945</v>
      </c>
    </row>
    <row r="92" spans="1:49" x14ac:dyDescent="0.2">
      <c r="A92" s="525">
        <v>17</v>
      </c>
      <c r="B92" s="526">
        <v>3445</v>
      </c>
      <c r="C92" s="526">
        <v>600078604</v>
      </c>
      <c r="D92" s="526">
        <v>70695849</v>
      </c>
      <c r="E92" s="524" t="s">
        <v>118</v>
      </c>
      <c r="F92" s="526">
        <v>3111</v>
      </c>
      <c r="G92" s="527" t="s">
        <v>317</v>
      </c>
      <c r="H92" s="528" t="s">
        <v>283</v>
      </c>
      <c r="I92" s="575">
        <f t="shared" ref="I92:I96" si="179">SUM(J92:M92)</f>
        <v>1568815</v>
      </c>
      <c r="J92" s="496">
        <v>1147286</v>
      </c>
      <c r="K92" s="131">
        <f t="shared" ref="K92:K95" si="180">ROUND((J92)*33.8%,0)</f>
        <v>387783</v>
      </c>
      <c r="L92" s="131">
        <f t="shared" ref="L92:L95" si="181">ROUND(J92*2%,0)</f>
        <v>22946</v>
      </c>
      <c r="M92" s="316">
        <v>10800</v>
      </c>
      <c r="N92" s="576">
        <f t="shared" ref="N92:N97" si="182">SUM(O92:P92)</f>
        <v>2.5108999999999999</v>
      </c>
      <c r="O92" s="577">
        <v>2</v>
      </c>
      <c r="P92" s="578">
        <v>0.51090000000000002</v>
      </c>
      <c r="Q92" s="497">
        <f t="shared" ref="Q92:Q97" si="183">V92*-1</f>
        <v>-34400</v>
      </c>
      <c r="R92" s="498">
        <v>0</v>
      </c>
      <c r="S92" s="498">
        <v>0</v>
      </c>
      <c r="T92" s="498">
        <v>0</v>
      </c>
      <c r="U92" s="498">
        <f t="shared" si="145"/>
        <v>-34400</v>
      </c>
      <c r="V92" s="498">
        <v>34400</v>
      </c>
      <c r="W92" s="498">
        <v>0</v>
      </c>
      <c r="X92" s="498">
        <v>0</v>
      </c>
      <c r="Y92" s="498">
        <f t="shared" si="146"/>
        <v>34400</v>
      </c>
      <c r="Z92" s="498">
        <f t="shared" si="141"/>
        <v>0</v>
      </c>
      <c r="AA92" s="131">
        <f t="shared" ref="AA92:AA97" si="184">ROUND((U92+V92+W92)*33.8%,0)</f>
        <v>0</v>
      </c>
      <c r="AB92" s="131">
        <f t="shared" si="142"/>
        <v>-688</v>
      </c>
      <c r="AC92" s="498">
        <v>0</v>
      </c>
      <c r="AD92" s="498">
        <v>0</v>
      </c>
      <c r="AE92" s="498">
        <f t="shared" si="143"/>
        <v>0</v>
      </c>
      <c r="AF92" s="498">
        <f t="shared" si="144"/>
        <v>-688</v>
      </c>
      <c r="AG92" s="499">
        <v>0</v>
      </c>
      <c r="AH92" s="499">
        <v>-0.18</v>
      </c>
      <c r="AI92" s="499">
        <v>0</v>
      </c>
      <c r="AJ92" s="499">
        <v>0</v>
      </c>
      <c r="AK92" s="499">
        <v>0</v>
      </c>
      <c r="AL92" s="499">
        <f t="shared" si="147"/>
        <v>0</v>
      </c>
      <c r="AM92" s="499">
        <f t="shared" si="148"/>
        <v>-0.18</v>
      </c>
      <c r="AN92" s="529">
        <f t="shared" si="149"/>
        <v>-0.18</v>
      </c>
      <c r="AO92" s="579">
        <f t="shared" ref="AO92:AO97" si="185">I92+AF92</f>
        <v>1568127</v>
      </c>
      <c r="AP92" s="498">
        <f t="shared" ref="AP92:AP97" si="186">J92+U92</f>
        <v>1112886</v>
      </c>
      <c r="AQ92" s="498">
        <f t="shared" ref="AQ92:AQ97" si="187">Y92</f>
        <v>34400</v>
      </c>
      <c r="AR92" s="498">
        <f t="shared" ref="AR92:AS97" si="188">K92+AA92</f>
        <v>387783</v>
      </c>
      <c r="AS92" s="498">
        <f t="shared" si="188"/>
        <v>22258</v>
      </c>
      <c r="AT92" s="498">
        <f t="shared" ref="AT92:AT97" si="189">M92+AE92</f>
        <v>10800</v>
      </c>
      <c r="AU92" s="499">
        <f t="shared" ref="AU92:AU97" si="190">N92+AN92</f>
        <v>2.3308999999999997</v>
      </c>
      <c r="AV92" s="499">
        <f t="shared" ref="AV92:AW97" si="191">O92+AL92</f>
        <v>2</v>
      </c>
      <c r="AW92" s="500">
        <f t="shared" si="191"/>
        <v>0.33090000000000003</v>
      </c>
    </row>
    <row r="93" spans="1:49" x14ac:dyDescent="0.2">
      <c r="A93" s="525">
        <v>17</v>
      </c>
      <c r="B93" s="526">
        <v>3445</v>
      </c>
      <c r="C93" s="526">
        <v>600078604</v>
      </c>
      <c r="D93" s="526">
        <v>70695849</v>
      </c>
      <c r="E93" s="524" t="s">
        <v>118</v>
      </c>
      <c r="F93" s="526">
        <v>3117</v>
      </c>
      <c r="G93" s="527" t="s">
        <v>320</v>
      </c>
      <c r="H93" s="528" t="s">
        <v>283</v>
      </c>
      <c r="I93" s="575">
        <f t="shared" si="179"/>
        <v>2301065</v>
      </c>
      <c r="J93" s="496">
        <v>1670526</v>
      </c>
      <c r="K93" s="131">
        <f t="shared" si="180"/>
        <v>564638</v>
      </c>
      <c r="L93" s="131">
        <f t="shared" si="181"/>
        <v>33411</v>
      </c>
      <c r="M93" s="316">
        <v>32490</v>
      </c>
      <c r="N93" s="576">
        <f t="shared" si="182"/>
        <v>3.3187000000000002</v>
      </c>
      <c r="O93" s="577">
        <v>2.2730000000000001</v>
      </c>
      <c r="P93" s="578">
        <v>1.0457000000000001</v>
      </c>
      <c r="Q93" s="497">
        <f t="shared" si="183"/>
        <v>-24800</v>
      </c>
      <c r="R93" s="498">
        <v>0</v>
      </c>
      <c r="S93" s="498">
        <v>0</v>
      </c>
      <c r="T93" s="498">
        <v>0</v>
      </c>
      <c r="U93" s="498">
        <f t="shared" si="145"/>
        <v>-24800</v>
      </c>
      <c r="V93" s="498">
        <v>24800</v>
      </c>
      <c r="W93" s="498">
        <v>0</v>
      </c>
      <c r="X93" s="498">
        <v>0</v>
      </c>
      <c r="Y93" s="498">
        <f t="shared" si="146"/>
        <v>24800</v>
      </c>
      <c r="Z93" s="498">
        <f t="shared" si="141"/>
        <v>0</v>
      </c>
      <c r="AA93" s="131">
        <f t="shared" si="184"/>
        <v>0</v>
      </c>
      <c r="AB93" s="131">
        <f t="shared" si="142"/>
        <v>-496</v>
      </c>
      <c r="AC93" s="498">
        <v>0</v>
      </c>
      <c r="AD93" s="498">
        <v>0</v>
      </c>
      <c r="AE93" s="498">
        <f t="shared" si="143"/>
        <v>0</v>
      </c>
      <c r="AF93" s="498">
        <f t="shared" si="144"/>
        <v>-496</v>
      </c>
      <c r="AG93" s="499">
        <v>0</v>
      </c>
      <c r="AH93" s="499">
        <v>-0.13</v>
      </c>
      <c r="AI93" s="499">
        <v>0</v>
      </c>
      <c r="AJ93" s="499">
        <v>0</v>
      </c>
      <c r="AK93" s="499">
        <v>0</v>
      </c>
      <c r="AL93" s="499">
        <f t="shared" si="147"/>
        <v>0</v>
      </c>
      <c r="AM93" s="499">
        <f t="shared" si="148"/>
        <v>-0.13</v>
      </c>
      <c r="AN93" s="529">
        <f t="shared" si="149"/>
        <v>-0.13</v>
      </c>
      <c r="AO93" s="579">
        <f t="shared" si="185"/>
        <v>2300569</v>
      </c>
      <c r="AP93" s="498">
        <f t="shared" si="186"/>
        <v>1645726</v>
      </c>
      <c r="AQ93" s="498">
        <f t="shared" si="187"/>
        <v>24800</v>
      </c>
      <c r="AR93" s="498">
        <f t="shared" si="188"/>
        <v>564638</v>
      </c>
      <c r="AS93" s="498">
        <f t="shared" si="188"/>
        <v>32915</v>
      </c>
      <c r="AT93" s="498">
        <f t="shared" si="189"/>
        <v>32490</v>
      </c>
      <c r="AU93" s="499">
        <f t="shared" si="190"/>
        <v>3.1887000000000003</v>
      </c>
      <c r="AV93" s="499">
        <f t="shared" si="191"/>
        <v>2.2730000000000001</v>
      </c>
      <c r="AW93" s="500">
        <f t="shared" si="191"/>
        <v>0.91570000000000007</v>
      </c>
    </row>
    <row r="94" spans="1:49" x14ac:dyDescent="0.2">
      <c r="A94" s="525">
        <v>17</v>
      </c>
      <c r="B94" s="526">
        <v>3445</v>
      </c>
      <c r="C94" s="526">
        <v>600078604</v>
      </c>
      <c r="D94" s="526">
        <v>70695849</v>
      </c>
      <c r="E94" s="524" t="s">
        <v>118</v>
      </c>
      <c r="F94" s="526">
        <v>3117</v>
      </c>
      <c r="G94" s="527" t="s">
        <v>318</v>
      </c>
      <c r="H94" s="528" t="s">
        <v>284</v>
      </c>
      <c r="I94" s="575">
        <f t="shared" si="179"/>
        <v>0</v>
      </c>
      <c r="J94" s="496">
        <v>0</v>
      </c>
      <c r="K94" s="131">
        <f t="shared" si="180"/>
        <v>0</v>
      </c>
      <c r="L94" s="131">
        <f t="shared" si="181"/>
        <v>0</v>
      </c>
      <c r="M94" s="316">
        <v>0</v>
      </c>
      <c r="N94" s="576">
        <f t="shared" si="182"/>
        <v>0</v>
      </c>
      <c r="O94" s="577">
        <v>0</v>
      </c>
      <c r="P94" s="578">
        <v>0</v>
      </c>
      <c r="Q94" s="497">
        <f t="shared" si="183"/>
        <v>0</v>
      </c>
      <c r="R94" s="496">
        <v>282969</v>
      </c>
      <c r="S94" s="498">
        <v>0</v>
      </c>
      <c r="T94" s="498">
        <v>0</v>
      </c>
      <c r="U94" s="498">
        <f t="shared" si="145"/>
        <v>282969</v>
      </c>
      <c r="V94" s="498">
        <v>0</v>
      </c>
      <c r="W94" s="498">
        <v>0</v>
      </c>
      <c r="X94" s="498">
        <v>0</v>
      </c>
      <c r="Y94" s="498">
        <f t="shared" si="146"/>
        <v>0</v>
      </c>
      <c r="Z94" s="498">
        <f t="shared" si="141"/>
        <v>282969</v>
      </c>
      <c r="AA94" s="131">
        <f t="shared" si="184"/>
        <v>95644</v>
      </c>
      <c r="AB94" s="131">
        <f t="shared" si="142"/>
        <v>5659</v>
      </c>
      <c r="AC94" s="498">
        <v>0</v>
      </c>
      <c r="AD94" s="498">
        <v>0</v>
      </c>
      <c r="AE94" s="498">
        <f t="shared" si="143"/>
        <v>0</v>
      </c>
      <c r="AF94" s="498">
        <f t="shared" si="144"/>
        <v>384272</v>
      </c>
      <c r="AG94" s="499">
        <v>0</v>
      </c>
      <c r="AH94" s="499">
        <v>0</v>
      </c>
      <c r="AI94" s="499">
        <v>0.8</v>
      </c>
      <c r="AJ94" s="499">
        <v>0</v>
      </c>
      <c r="AK94" s="499">
        <v>0</v>
      </c>
      <c r="AL94" s="499">
        <f t="shared" si="147"/>
        <v>0.8</v>
      </c>
      <c r="AM94" s="499">
        <f t="shared" si="148"/>
        <v>0</v>
      </c>
      <c r="AN94" s="529">
        <f t="shared" si="149"/>
        <v>0.8</v>
      </c>
      <c r="AO94" s="579">
        <f t="shared" si="185"/>
        <v>384272</v>
      </c>
      <c r="AP94" s="498">
        <f t="shared" si="186"/>
        <v>282969</v>
      </c>
      <c r="AQ94" s="498">
        <f t="shared" si="187"/>
        <v>0</v>
      </c>
      <c r="AR94" s="498">
        <f t="shared" si="188"/>
        <v>95644</v>
      </c>
      <c r="AS94" s="498">
        <f t="shared" si="188"/>
        <v>5659</v>
      </c>
      <c r="AT94" s="498">
        <f t="shared" si="189"/>
        <v>0</v>
      </c>
      <c r="AU94" s="499">
        <f t="shared" si="190"/>
        <v>0.8</v>
      </c>
      <c r="AV94" s="499">
        <f t="shared" si="191"/>
        <v>0.8</v>
      </c>
      <c r="AW94" s="500">
        <f t="shared" si="191"/>
        <v>0</v>
      </c>
    </row>
    <row r="95" spans="1:49" x14ac:dyDescent="0.2">
      <c r="A95" s="525">
        <v>17</v>
      </c>
      <c r="B95" s="526">
        <v>3445</v>
      </c>
      <c r="C95" s="526">
        <v>600078604</v>
      </c>
      <c r="D95" s="526">
        <v>70695849</v>
      </c>
      <c r="E95" s="524" t="s">
        <v>118</v>
      </c>
      <c r="F95" s="526">
        <v>3141</v>
      </c>
      <c r="G95" s="527" t="s">
        <v>321</v>
      </c>
      <c r="H95" s="528" t="s">
        <v>284</v>
      </c>
      <c r="I95" s="575">
        <f t="shared" si="179"/>
        <v>587968</v>
      </c>
      <c r="J95" s="496">
        <v>431129</v>
      </c>
      <c r="K95" s="131">
        <f t="shared" si="180"/>
        <v>145722</v>
      </c>
      <c r="L95" s="131">
        <f t="shared" si="181"/>
        <v>8623</v>
      </c>
      <c r="M95" s="316">
        <v>2494</v>
      </c>
      <c r="N95" s="576">
        <f t="shared" si="182"/>
        <v>1.47</v>
      </c>
      <c r="O95" s="577">
        <v>0</v>
      </c>
      <c r="P95" s="578">
        <v>1.47</v>
      </c>
      <c r="Q95" s="497">
        <f t="shared" si="183"/>
        <v>-16000</v>
      </c>
      <c r="R95" s="498">
        <v>0</v>
      </c>
      <c r="S95" s="498">
        <v>0</v>
      </c>
      <c r="T95" s="498">
        <v>0</v>
      </c>
      <c r="U95" s="498">
        <f t="shared" si="145"/>
        <v>-16000</v>
      </c>
      <c r="V95" s="498">
        <v>16000</v>
      </c>
      <c r="W95" s="498">
        <v>0</v>
      </c>
      <c r="X95" s="498">
        <v>0</v>
      </c>
      <c r="Y95" s="498">
        <f t="shared" si="146"/>
        <v>16000</v>
      </c>
      <c r="Z95" s="498">
        <f t="shared" si="141"/>
        <v>0</v>
      </c>
      <c r="AA95" s="131">
        <f t="shared" si="184"/>
        <v>0</v>
      </c>
      <c r="AB95" s="131">
        <f t="shared" si="142"/>
        <v>-320</v>
      </c>
      <c r="AC95" s="498">
        <v>0</v>
      </c>
      <c r="AD95" s="498">
        <v>0</v>
      </c>
      <c r="AE95" s="498">
        <f t="shared" si="143"/>
        <v>0</v>
      </c>
      <c r="AF95" s="498">
        <f t="shared" si="144"/>
        <v>-320</v>
      </c>
      <c r="AG95" s="499">
        <v>0</v>
      </c>
      <c r="AH95" s="499">
        <v>0</v>
      </c>
      <c r="AI95" s="499">
        <v>0</v>
      </c>
      <c r="AJ95" s="499">
        <v>0</v>
      </c>
      <c r="AK95" s="499">
        <v>0</v>
      </c>
      <c r="AL95" s="499">
        <f t="shared" si="147"/>
        <v>0</v>
      </c>
      <c r="AM95" s="499">
        <f t="shared" si="148"/>
        <v>0</v>
      </c>
      <c r="AN95" s="529">
        <f t="shared" si="149"/>
        <v>0</v>
      </c>
      <c r="AO95" s="579">
        <f t="shared" si="185"/>
        <v>587648</v>
      </c>
      <c r="AP95" s="498">
        <f t="shared" si="186"/>
        <v>415129</v>
      </c>
      <c r="AQ95" s="498">
        <f t="shared" si="187"/>
        <v>16000</v>
      </c>
      <c r="AR95" s="498">
        <f t="shared" si="188"/>
        <v>145722</v>
      </c>
      <c r="AS95" s="498">
        <f t="shared" si="188"/>
        <v>8303</v>
      </c>
      <c r="AT95" s="498">
        <f t="shared" si="189"/>
        <v>2494</v>
      </c>
      <c r="AU95" s="499">
        <f t="shared" si="190"/>
        <v>1.47</v>
      </c>
      <c r="AV95" s="499">
        <f t="shared" si="191"/>
        <v>0</v>
      </c>
      <c r="AW95" s="500">
        <f t="shared" si="191"/>
        <v>1.47</v>
      </c>
    </row>
    <row r="96" spans="1:49" s="3" customFormat="1" x14ac:dyDescent="0.2">
      <c r="A96" s="525">
        <v>17</v>
      </c>
      <c r="B96" s="526">
        <v>3445</v>
      </c>
      <c r="C96" s="526">
        <v>600078604</v>
      </c>
      <c r="D96" s="526">
        <v>70695849</v>
      </c>
      <c r="E96" s="524" t="s">
        <v>118</v>
      </c>
      <c r="F96" s="526">
        <v>3143</v>
      </c>
      <c r="G96" s="527" t="s">
        <v>635</v>
      </c>
      <c r="H96" s="574" t="s">
        <v>283</v>
      </c>
      <c r="I96" s="575">
        <f t="shared" si="179"/>
        <v>533354</v>
      </c>
      <c r="J96" s="496">
        <v>392751</v>
      </c>
      <c r="K96" s="131">
        <v>132749</v>
      </c>
      <c r="L96" s="131">
        <v>7854</v>
      </c>
      <c r="M96" s="316">
        <v>0</v>
      </c>
      <c r="N96" s="576">
        <f t="shared" si="182"/>
        <v>0.88329999999999997</v>
      </c>
      <c r="O96" s="577">
        <v>0.88329999999999997</v>
      </c>
      <c r="P96" s="578">
        <v>0</v>
      </c>
      <c r="Q96" s="497">
        <f t="shared" si="183"/>
        <v>0</v>
      </c>
      <c r="R96" s="498">
        <v>0</v>
      </c>
      <c r="S96" s="498">
        <v>0</v>
      </c>
      <c r="T96" s="498">
        <v>0</v>
      </c>
      <c r="U96" s="498">
        <f t="shared" si="145"/>
        <v>0</v>
      </c>
      <c r="V96" s="498">
        <v>0</v>
      </c>
      <c r="W96" s="498">
        <v>0</v>
      </c>
      <c r="X96" s="498">
        <v>0</v>
      </c>
      <c r="Y96" s="498">
        <f t="shared" si="146"/>
        <v>0</v>
      </c>
      <c r="Z96" s="498">
        <f t="shared" si="141"/>
        <v>0</v>
      </c>
      <c r="AA96" s="131">
        <f t="shared" si="184"/>
        <v>0</v>
      </c>
      <c r="AB96" s="131">
        <f t="shared" si="142"/>
        <v>0</v>
      </c>
      <c r="AC96" s="498">
        <v>0</v>
      </c>
      <c r="AD96" s="498">
        <v>0</v>
      </c>
      <c r="AE96" s="498">
        <f t="shared" si="143"/>
        <v>0</v>
      </c>
      <c r="AF96" s="498">
        <f t="shared" si="144"/>
        <v>0</v>
      </c>
      <c r="AG96" s="499">
        <v>0</v>
      </c>
      <c r="AH96" s="499">
        <v>0</v>
      </c>
      <c r="AI96" s="499">
        <v>0</v>
      </c>
      <c r="AJ96" s="499">
        <v>0</v>
      </c>
      <c r="AK96" s="499">
        <v>0</v>
      </c>
      <c r="AL96" s="499">
        <f t="shared" si="147"/>
        <v>0</v>
      </c>
      <c r="AM96" s="499">
        <f t="shared" si="148"/>
        <v>0</v>
      </c>
      <c r="AN96" s="529">
        <f t="shared" si="149"/>
        <v>0</v>
      </c>
      <c r="AO96" s="579">
        <f t="shared" si="185"/>
        <v>533354</v>
      </c>
      <c r="AP96" s="498">
        <f t="shared" si="186"/>
        <v>392751</v>
      </c>
      <c r="AQ96" s="498">
        <f t="shared" si="187"/>
        <v>0</v>
      </c>
      <c r="AR96" s="498">
        <f t="shared" si="188"/>
        <v>132749</v>
      </c>
      <c r="AS96" s="498">
        <f t="shared" si="188"/>
        <v>7854</v>
      </c>
      <c r="AT96" s="498">
        <f t="shared" si="189"/>
        <v>0</v>
      </c>
      <c r="AU96" s="499">
        <f t="shared" si="190"/>
        <v>0.88329999999999997</v>
      </c>
      <c r="AV96" s="499">
        <f t="shared" si="191"/>
        <v>0.88329999999999997</v>
      </c>
      <c r="AW96" s="500">
        <f t="shared" si="191"/>
        <v>0</v>
      </c>
    </row>
    <row r="97" spans="1:51" s="3" customFormat="1" x14ac:dyDescent="0.2">
      <c r="A97" s="525">
        <v>17</v>
      </c>
      <c r="B97" s="526">
        <v>3445</v>
      </c>
      <c r="C97" s="526">
        <v>600078604</v>
      </c>
      <c r="D97" s="526">
        <v>70695849</v>
      </c>
      <c r="E97" s="524" t="s">
        <v>118</v>
      </c>
      <c r="F97" s="526">
        <v>3143</v>
      </c>
      <c r="G97" s="527" t="s">
        <v>636</v>
      </c>
      <c r="H97" s="574" t="s">
        <v>284</v>
      </c>
      <c r="I97" s="575">
        <f>SUM(J97:M97)</f>
        <v>13342</v>
      </c>
      <c r="J97" s="496">
        <v>9405</v>
      </c>
      <c r="K97" s="131">
        <f t="shared" ref="K97" si="192">ROUND((J97)*33.8%,0)</f>
        <v>3179</v>
      </c>
      <c r="L97" s="131">
        <f t="shared" ref="L97" si="193">ROUND(J97*2%,0)</f>
        <v>188</v>
      </c>
      <c r="M97" s="316">
        <v>570</v>
      </c>
      <c r="N97" s="576">
        <f t="shared" si="182"/>
        <v>0.04</v>
      </c>
      <c r="O97" s="577">
        <v>0</v>
      </c>
      <c r="P97" s="578">
        <v>0.04</v>
      </c>
      <c r="Q97" s="497">
        <f t="shared" si="183"/>
        <v>0</v>
      </c>
      <c r="R97" s="498">
        <v>0</v>
      </c>
      <c r="S97" s="498">
        <v>0</v>
      </c>
      <c r="T97" s="498">
        <v>0</v>
      </c>
      <c r="U97" s="498">
        <f t="shared" si="145"/>
        <v>0</v>
      </c>
      <c r="V97" s="498">
        <v>0</v>
      </c>
      <c r="W97" s="498">
        <v>0</v>
      </c>
      <c r="X97" s="498">
        <v>0</v>
      </c>
      <c r="Y97" s="498">
        <f t="shared" si="146"/>
        <v>0</v>
      </c>
      <c r="Z97" s="498">
        <f t="shared" si="141"/>
        <v>0</v>
      </c>
      <c r="AA97" s="131">
        <f t="shared" si="184"/>
        <v>0</v>
      </c>
      <c r="AB97" s="131">
        <f t="shared" si="142"/>
        <v>0</v>
      </c>
      <c r="AC97" s="498">
        <v>0</v>
      </c>
      <c r="AD97" s="498">
        <v>0</v>
      </c>
      <c r="AE97" s="498">
        <f t="shared" si="143"/>
        <v>0</v>
      </c>
      <c r="AF97" s="498">
        <f t="shared" si="144"/>
        <v>0</v>
      </c>
      <c r="AG97" s="499">
        <v>0</v>
      </c>
      <c r="AH97" s="499">
        <v>0</v>
      </c>
      <c r="AI97" s="499">
        <v>0</v>
      </c>
      <c r="AJ97" s="499">
        <v>0</v>
      </c>
      <c r="AK97" s="499">
        <v>0</v>
      </c>
      <c r="AL97" s="499">
        <f t="shared" si="147"/>
        <v>0</v>
      </c>
      <c r="AM97" s="499">
        <f t="shared" si="148"/>
        <v>0</v>
      </c>
      <c r="AN97" s="529">
        <f t="shared" si="149"/>
        <v>0</v>
      </c>
      <c r="AO97" s="579">
        <f t="shared" si="185"/>
        <v>13342</v>
      </c>
      <c r="AP97" s="498">
        <f t="shared" si="186"/>
        <v>9405</v>
      </c>
      <c r="AQ97" s="498">
        <f t="shared" si="187"/>
        <v>0</v>
      </c>
      <c r="AR97" s="498">
        <f t="shared" si="188"/>
        <v>3179</v>
      </c>
      <c r="AS97" s="498">
        <f t="shared" si="188"/>
        <v>188</v>
      </c>
      <c r="AT97" s="498">
        <f t="shared" si="189"/>
        <v>570</v>
      </c>
      <c r="AU97" s="499">
        <f t="shared" si="190"/>
        <v>0.04</v>
      </c>
      <c r="AV97" s="499">
        <f t="shared" si="191"/>
        <v>0</v>
      </c>
      <c r="AW97" s="500">
        <f t="shared" si="191"/>
        <v>0.04</v>
      </c>
    </row>
    <row r="98" spans="1:51" ht="13.5" thickBot="1" x14ac:dyDescent="0.25">
      <c r="A98" s="306">
        <v>17</v>
      </c>
      <c r="B98" s="62">
        <v>3445</v>
      </c>
      <c r="C98" s="62">
        <v>600078604</v>
      </c>
      <c r="D98" s="62">
        <v>70695849</v>
      </c>
      <c r="E98" s="600" t="s">
        <v>119</v>
      </c>
      <c r="F98" s="62"/>
      <c r="G98" s="307"/>
      <c r="H98" s="601"/>
      <c r="I98" s="464">
        <f t="shared" ref="I98:P98" si="194">SUM(I92:I97)</f>
        <v>5004544</v>
      </c>
      <c r="J98" s="89">
        <f t="shared" si="194"/>
        <v>3651097</v>
      </c>
      <c r="K98" s="89">
        <f t="shared" si="194"/>
        <v>1234071</v>
      </c>
      <c r="L98" s="89">
        <f t="shared" si="194"/>
        <v>73022</v>
      </c>
      <c r="M98" s="89">
        <f t="shared" si="194"/>
        <v>46354</v>
      </c>
      <c r="N98" s="293">
        <f t="shared" si="194"/>
        <v>8.2228999999999992</v>
      </c>
      <c r="O98" s="293">
        <f t="shared" si="194"/>
        <v>5.1562999999999999</v>
      </c>
      <c r="P98" s="294">
        <f t="shared" si="194"/>
        <v>3.0666000000000002</v>
      </c>
      <c r="Q98" s="300">
        <f t="shared" ref="Q98:AW98" si="195">SUM(Q92:Q97)</f>
        <v>-75200</v>
      </c>
      <c r="R98" s="89">
        <f t="shared" si="195"/>
        <v>282969</v>
      </c>
      <c r="S98" s="89">
        <f t="shared" si="195"/>
        <v>0</v>
      </c>
      <c r="T98" s="89">
        <f t="shared" si="195"/>
        <v>0</v>
      </c>
      <c r="U98" s="89">
        <f t="shared" si="195"/>
        <v>207769</v>
      </c>
      <c r="V98" s="89">
        <f t="shared" si="195"/>
        <v>75200</v>
      </c>
      <c r="W98" s="89">
        <f t="shared" si="195"/>
        <v>0</v>
      </c>
      <c r="X98" s="89">
        <f t="shared" si="195"/>
        <v>0</v>
      </c>
      <c r="Y98" s="89">
        <f t="shared" si="195"/>
        <v>75200</v>
      </c>
      <c r="Z98" s="89">
        <f t="shared" si="195"/>
        <v>282969</v>
      </c>
      <c r="AA98" s="89">
        <f t="shared" si="195"/>
        <v>95644</v>
      </c>
      <c r="AB98" s="89">
        <f t="shared" si="195"/>
        <v>4155</v>
      </c>
      <c r="AC98" s="89">
        <f t="shared" si="195"/>
        <v>0</v>
      </c>
      <c r="AD98" s="89">
        <f t="shared" si="195"/>
        <v>0</v>
      </c>
      <c r="AE98" s="89">
        <f t="shared" si="195"/>
        <v>0</v>
      </c>
      <c r="AF98" s="89">
        <f t="shared" si="195"/>
        <v>382768</v>
      </c>
      <c r="AG98" s="293">
        <f t="shared" si="195"/>
        <v>0</v>
      </c>
      <c r="AH98" s="293">
        <f t="shared" si="195"/>
        <v>-0.31</v>
      </c>
      <c r="AI98" s="293">
        <f t="shared" si="195"/>
        <v>0.8</v>
      </c>
      <c r="AJ98" s="293">
        <f t="shared" si="195"/>
        <v>0</v>
      </c>
      <c r="AK98" s="293">
        <f t="shared" si="195"/>
        <v>0</v>
      </c>
      <c r="AL98" s="293">
        <f t="shared" si="195"/>
        <v>0.8</v>
      </c>
      <c r="AM98" s="293">
        <f t="shared" si="195"/>
        <v>-0.31</v>
      </c>
      <c r="AN98" s="465">
        <f t="shared" si="195"/>
        <v>0.49000000000000005</v>
      </c>
      <c r="AO98" s="464">
        <f t="shared" si="195"/>
        <v>5387312</v>
      </c>
      <c r="AP98" s="89">
        <f t="shared" si="195"/>
        <v>3858866</v>
      </c>
      <c r="AQ98" s="89">
        <f t="shared" si="195"/>
        <v>75200</v>
      </c>
      <c r="AR98" s="89">
        <f t="shared" si="195"/>
        <v>1329715</v>
      </c>
      <c r="AS98" s="89">
        <f t="shared" si="195"/>
        <v>77177</v>
      </c>
      <c r="AT98" s="89">
        <f t="shared" si="195"/>
        <v>46354</v>
      </c>
      <c r="AU98" s="293">
        <f t="shared" si="195"/>
        <v>8.7128999999999994</v>
      </c>
      <c r="AV98" s="293">
        <f t="shared" si="195"/>
        <v>5.9562999999999997</v>
      </c>
      <c r="AW98" s="294">
        <f t="shared" si="195"/>
        <v>2.7566000000000002</v>
      </c>
    </row>
    <row r="99" spans="1:51" ht="13.5" thickBot="1" x14ac:dyDescent="0.25">
      <c r="A99" s="308"/>
      <c r="B99" s="57"/>
      <c r="C99" s="57"/>
      <c r="D99" s="57"/>
      <c r="E99" s="157" t="s">
        <v>798</v>
      </c>
      <c r="F99" s="57"/>
      <c r="G99" s="309"/>
      <c r="H99" s="466"/>
      <c r="I99" s="70">
        <f>I15+I17+I23+I28+I30+I37+I44+I48+I54+I61+I65+I71+I74+I80+I84+I91+I98</f>
        <v>216333946</v>
      </c>
      <c r="J99" s="58">
        <f t="shared" ref="J99:AW99" si="196">J15+J17+J23+J28+J30+J37+J44+J48+J54+J61+J65+J71+J74+J80+J84+J91+J98</f>
        <v>156836692</v>
      </c>
      <c r="K99" s="58">
        <f t="shared" si="196"/>
        <v>53010803</v>
      </c>
      <c r="L99" s="58">
        <f t="shared" si="196"/>
        <v>3136734</v>
      </c>
      <c r="M99" s="58">
        <f t="shared" si="196"/>
        <v>3349717</v>
      </c>
      <c r="N99" s="59">
        <f t="shared" si="196"/>
        <v>339.16399999999993</v>
      </c>
      <c r="O99" s="59">
        <f t="shared" si="196"/>
        <v>232.07770000000002</v>
      </c>
      <c r="P99" s="91">
        <f t="shared" si="196"/>
        <v>107.08629999999999</v>
      </c>
      <c r="Q99" s="90">
        <f t="shared" si="196"/>
        <v>-787200</v>
      </c>
      <c r="R99" s="58">
        <f t="shared" si="196"/>
        <v>16755829</v>
      </c>
      <c r="S99" s="58">
        <f t="shared" si="196"/>
        <v>0</v>
      </c>
      <c r="T99" s="58">
        <f t="shared" si="196"/>
        <v>263408</v>
      </c>
      <c r="U99" s="58">
        <f t="shared" si="196"/>
        <v>16232037</v>
      </c>
      <c r="V99" s="58">
        <f t="shared" si="196"/>
        <v>787200</v>
      </c>
      <c r="W99" s="58">
        <f t="shared" si="196"/>
        <v>73088</v>
      </c>
      <c r="X99" s="58">
        <f t="shared" si="196"/>
        <v>0</v>
      </c>
      <c r="Y99" s="58">
        <f t="shared" si="196"/>
        <v>860288</v>
      </c>
      <c r="Z99" s="58">
        <f t="shared" si="196"/>
        <v>17092325</v>
      </c>
      <c r="AA99" s="58">
        <f t="shared" si="196"/>
        <v>5777208</v>
      </c>
      <c r="AB99" s="58">
        <f t="shared" si="196"/>
        <v>324639</v>
      </c>
      <c r="AC99" s="58">
        <f t="shared" si="196"/>
        <v>21250</v>
      </c>
      <c r="AD99" s="58">
        <f t="shared" si="196"/>
        <v>16180</v>
      </c>
      <c r="AE99" s="58">
        <f t="shared" si="196"/>
        <v>37430</v>
      </c>
      <c r="AF99" s="58">
        <f t="shared" si="196"/>
        <v>23231602</v>
      </c>
      <c r="AG99" s="59">
        <f t="shared" si="196"/>
        <v>-0.4</v>
      </c>
      <c r="AH99" s="59">
        <f t="shared" si="196"/>
        <v>-1.8</v>
      </c>
      <c r="AI99" s="59">
        <f t="shared" si="196"/>
        <v>47.220000000000006</v>
      </c>
      <c r="AJ99" s="59">
        <f t="shared" si="196"/>
        <v>0.47</v>
      </c>
      <c r="AK99" s="59">
        <f t="shared" si="196"/>
        <v>0</v>
      </c>
      <c r="AL99" s="59">
        <f t="shared" si="196"/>
        <v>47.290000000000006</v>
      </c>
      <c r="AM99" s="59">
        <f t="shared" si="196"/>
        <v>-1.8</v>
      </c>
      <c r="AN99" s="71">
        <f t="shared" si="196"/>
        <v>45.490000000000009</v>
      </c>
      <c r="AO99" s="70">
        <f t="shared" si="196"/>
        <v>239565548</v>
      </c>
      <c r="AP99" s="58">
        <f t="shared" si="196"/>
        <v>173068729</v>
      </c>
      <c r="AQ99" s="58">
        <f t="shared" si="196"/>
        <v>860288</v>
      </c>
      <c r="AR99" s="58">
        <f t="shared" si="196"/>
        <v>58788011</v>
      </c>
      <c r="AS99" s="58">
        <f t="shared" si="196"/>
        <v>3461373</v>
      </c>
      <c r="AT99" s="58">
        <f t="shared" si="196"/>
        <v>3387147</v>
      </c>
      <c r="AU99" s="59">
        <f t="shared" si="196"/>
        <v>384.65399999999994</v>
      </c>
      <c r="AV99" s="59">
        <f t="shared" si="196"/>
        <v>279.36770000000001</v>
      </c>
      <c r="AW99" s="91">
        <f t="shared" si="196"/>
        <v>105.28630000000001</v>
      </c>
    </row>
    <row r="100" spans="1:51" x14ac:dyDescent="0.2">
      <c r="D100" s="17"/>
      <c r="E100" s="12"/>
      <c r="F100" s="17"/>
      <c r="G100" s="42"/>
      <c r="H100" s="12"/>
      <c r="I100" s="584">
        <f>SUM(J99:M99)</f>
        <v>216333946</v>
      </c>
      <c r="J100" s="584"/>
      <c r="K100" s="584"/>
      <c r="L100" s="584"/>
      <c r="M100" s="584"/>
      <c r="N100" s="585">
        <f>SUM(O99:P99)</f>
        <v>339.16399999999999</v>
      </c>
      <c r="O100" s="585"/>
      <c r="P100" s="585"/>
      <c r="Q100" s="585"/>
      <c r="R100" s="585"/>
      <c r="S100" s="585"/>
      <c r="T100" s="585"/>
      <c r="U100" s="602">
        <f>SUM(Q99:T99)</f>
        <v>16232037</v>
      </c>
      <c r="V100" s="603"/>
      <c r="W100" s="603"/>
      <c r="X100" s="603"/>
      <c r="Y100" s="602">
        <f>SUM(V99:X99)</f>
        <v>860288</v>
      </c>
      <c r="Z100" s="602">
        <f>U99+Y99</f>
        <v>17092325</v>
      </c>
      <c r="AA100" s="604"/>
      <c r="AB100" s="604"/>
      <c r="AC100" s="603"/>
      <c r="AD100" s="603"/>
      <c r="AE100" s="602">
        <f>SUM(AC99:AD99)</f>
        <v>37430</v>
      </c>
      <c r="AF100" s="602">
        <f>Z99+AA99+AB99+AE99</f>
        <v>23231602</v>
      </c>
      <c r="AG100" s="605"/>
      <c r="AH100" s="605"/>
      <c r="AI100" s="605"/>
      <c r="AJ100" s="605"/>
      <c r="AK100" s="605"/>
      <c r="AL100" s="606">
        <f>AG99+AI99+AJ99</f>
        <v>47.290000000000006</v>
      </c>
      <c r="AM100" s="606">
        <f>AH99+AK99</f>
        <v>-1.8</v>
      </c>
      <c r="AN100" s="606">
        <f>SUM(AL99:AM99)</f>
        <v>45.490000000000009</v>
      </c>
      <c r="AO100" s="584">
        <f>SUM(AP99:AT99)</f>
        <v>239565548</v>
      </c>
      <c r="AP100" s="114"/>
      <c r="AQ100" s="114"/>
      <c r="AR100" s="114"/>
      <c r="AS100" s="114"/>
      <c r="AT100" s="114"/>
      <c r="AU100" s="585">
        <f>SUM(AV99:AW99)</f>
        <v>384.654</v>
      </c>
      <c r="AV100" s="166"/>
      <c r="AW100" s="166"/>
    </row>
    <row r="101" spans="1:51" ht="13.5" thickBot="1" x14ac:dyDescent="0.25">
      <c r="D101" s="17"/>
      <c r="E101" s="12"/>
      <c r="F101" s="17"/>
      <c r="G101" s="42"/>
      <c r="H101" s="12"/>
      <c r="I101" s="162">
        <f ca="1">SUM(J102:M102)</f>
        <v>216333946</v>
      </c>
      <c r="J101" s="163"/>
      <c r="K101" s="163"/>
      <c r="L101" s="163"/>
      <c r="M101" s="163"/>
      <c r="N101" s="164">
        <f ca="1">SUM(O102:P102)</f>
        <v>339.16399999999999</v>
      </c>
      <c r="O101" s="336"/>
      <c r="P101" s="336"/>
      <c r="Q101" s="420"/>
      <c r="R101" s="420"/>
      <c r="S101" s="420"/>
      <c r="T101" s="420"/>
      <c r="U101" s="590">
        <f ca="1">SUM(Q102:T102)</f>
        <v>16232037</v>
      </c>
      <c r="V101" s="591"/>
      <c r="W101" s="591"/>
      <c r="X101" s="591"/>
      <c r="Y101" s="590">
        <f ca="1">SUM(V102:X102)</f>
        <v>860288</v>
      </c>
      <c r="Z101" s="590">
        <f ca="1">U102+Y102</f>
        <v>17092325</v>
      </c>
      <c r="AA101" s="417"/>
      <c r="AB101" s="417"/>
      <c r="AC101" s="591"/>
      <c r="AD101" s="591"/>
      <c r="AE101" s="590">
        <f ca="1">SUM(AC102:AD102)</f>
        <v>37430</v>
      </c>
      <c r="AF101" s="590">
        <f ca="1">Z102+AA102+AB102+AE102</f>
        <v>23231602</v>
      </c>
      <c r="AG101" s="592"/>
      <c r="AH101" s="592"/>
      <c r="AI101" s="592"/>
      <c r="AJ101" s="592"/>
      <c r="AK101" s="592"/>
      <c r="AL101" s="593">
        <f ca="1">AG102+AI102+AJ102</f>
        <v>47.29</v>
      </c>
      <c r="AM101" s="593">
        <f ca="1">AH102+AK102</f>
        <v>-1.7999999999999998</v>
      </c>
      <c r="AN101" s="593">
        <f ca="1">SUM(AL102:AM102)</f>
        <v>45.490000000000009</v>
      </c>
      <c r="AO101" s="432">
        <f ca="1">SUM(AP102:AT102)</f>
        <v>239565548</v>
      </c>
      <c r="AP101" s="433"/>
      <c r="AQ101" s="433"/>
      <c r="AR101" s="433"/>
      <c r="AS101" s="433"/>
      <c r="AT101" s="433"/>
      <c r="AU101" s="420">
        <f ca="1">SUM(AV102:AW102)</f>
        <v>384.654</v>
      </c>
      <c r="AV101" s="623"/>
      <c r="AW101" s="623"/>
    </row>
    <row r="102" spans="1:51" ht="13.5" thickBot="1" x14ac:dyDescent="0.25">
      <c r="D102" s="17"/>
      <c r="E102" s="12"/>
      <c r="F102" s="17"/>
      <c r="G102" s="42"/>
      <c r="H102" s="268" t="s">
        <v>0</v>
      </c>
      <c r="I102" s="271">
        <f t="shared" ref="I102:AW102" ca="1" si="197">SUM(I103:I112)</f>
        <v>216333946</v>
      </c>
      <c r="J102" s="63">
        <f t="shared" ca="1" si="197"/>
        <v>156836692</v>
      </c>
      <c r="K102" s="63">
        <f t="shared" ca="1" si="197"/>
        <v>53010803</v>
      </c>
      <c r="L102" s="63">
        <f t="shared" ca="1" si="197"/>
        <v>3136734</v>
      </c>
      <c r="M102" s="63">
        <f t="shared" ca="1" si="197"/>
        <v>3349717</v>
      </c>
      <c r="N102" s="64">
        <f t="shared" ca="1" si="197"/>
        <v>339.16399999999993</v>
      </c>
      <c r="O102" s="64">
        <f t="shared" ca="1" si="197"/>
        <v>232.07769999999999</v>
      </c>
      <c r="P102" s="288">
        <f t="shared" ca="1" si="197"/>
        <v>107.08629999999999</v>
      </c>
      <c r="Q102" s="271">
        <f t="shared" ca="1" si="197"/>
        <v>-787200</v>
      </c>
      <c r="R102" s="289">
        <f t="shared" ca="1" si="197"/>
        <v>16755829</v>
      </c>
      <c r="S102" s="289">
        <f t="shared" ca="1" si="197"/>
        <v>0</v>
      </c>
      <c r="T102" s="289">
        <f t="shared" ca="1" si="197"/>
        <v>263408</v>
      </c>
      <c r="U102" s="289">
        <f t="shared" ca="1" si="197"/>
        <v>16232037</v>
      </c>
      <c r="V102" s="289">
        <f t="shared" ca="1" si="197"/>
        <v>787200</v>
      </c>
      <c r="W102" s="289">
        <f t="shared" ca="1" si="197"/>
        <v>73088</v>
      </c>
      <c r="X102" s="289">
        <f t="shared" ca="1" si="197"/>
        <v>0</v>
      </c>
      <c r="Y102" s="289">
        <f t="shared" ca="1" si="197"/>
        <v>860288</v>
      </c>
      <c r="Z102" s="289">
        <f t="shared" ca="1" si="197"/>
        <v>17092325</v>
      </c>
      <c r="AA102" s="289">
        <f t="shared" ca="1" si="197"/>
        <v>5777208</v>
      </c>
      <c r="AB102" s="289">
        <f t="shared" ca="1" si="197"/>
        <v>324639</v>
      </c>
      <c r="AC102" s="289">
        <f t="shared" ca="1" si="197"/>
        <v>21250</v>
      </c>
      <c r="AD102" s="289">
        <f t="shared" ca="1" si="197"/>
        <v>16180</v>
      </c>
      <c r="AE102" s="289">
        <f t="shared" ca="1" si="197"/>
        <v>37430</v>
      </c>
      <c r="AF102" s="289">
        <f t="shared" ca="1" si="197"/>
        <v>23231602</v>
      </c>
      <c r="AG102" s="459">
        <f t="shared" ca="1" si="197"/>
        <v>-0.4</v>
      </c>
      <c r="AH102" s="459">
        <f t="shared" ca="1" si="197"/>
        <v>-1.7999999999999998</v>
      </c>
      <c r="AI102" s="459">
        <f t="shared" ca="1" si="197"/>
        <v>47.22</v>
      </c>
      <c r="AJ102" s="459">
        <f t="shared" ca="1" si="197"/>
        <v>0.47</v>
      </c>
      <c r="AK102" s="459">
        <f t="shared" ca="1" si="197"/>
        <v>0</v>
      </c>
      <c r="AL102" s="459">
        <f t="shared" ca="1" si="197"/>
        <v>47.290000000000006</v>
      </c>
      <c r="AM102" s="459">
        <f t="shared" ca="1" si="197"/>
        <v>-1.7999999999999998</v>
      </c>
      <c r="AN102" s="460">
        <f t="shared" ca="1" si="197"/>
        <v>45.49</v>
      </c>
      <c r="AO102" s="289">
        <f t="shared" ca="1" si="197"/>
        <v>239565548</v>
      </c>
      <c r="AP102" s="289">
        <f t="shared" ca="1" si="197"/>
        <v>173068729</v>
      </c>
      <c r="AQ102" s="289">
        <f t="shared" ca="1" si="197"/>
        <v>860288</v>
      </c>
      <c r="AR102" s="289">
        <f t="shared" ca="1" si="197"/>
        <v>58788011</v>
      </c>
      <c r="AS102" s="289">
        <f t="shared" ca="1" si="197"/>
        <v>3461373</v>
      </c>
      <c r="AT102" s="289">
        <f t="shared" ca="1" si="197"/>
        <v>3387147</v>
      </c>
      <c r="AU102" s="459">
        <f t="shared" ca="1" si="197"/>
        <v>384.654</v>
      </c>
      <c r="AV102" s="459">
        <f t="shared" ca="1" si="197"/>
        <v>279.36770000000001</v>
      </c>
      <c r="AW102" s="459">
        <f t="shared" ca="1" si="197"/>
        <v>105.2863</v>
      </c>
    </row>
    <row r="103" spans="1:51" x14ac:dyDescent="0.2">
      <c r="D103" s="17"/>
      <c r="E103" s="12"/>
      <c r="F103" s="17"/>
      <c r="G103" s="42"/>
      <c r="H103" s="269">
        <v>3111</v>
      </c>
      <c r="I103" s="318">
        <f t="shared" ref="I103:AW103" ca="1" si="198">SUMIF($F$12:$F$426,"=3111",I$12:I$382)</f>
        <v>44606792</v>
      </c>
      <c r="J103" s="319">
        <f t="shared" ca="1" si="198"/>
        <v>32638322</v>
      </c>
      <c r="K103" s="319">
        <f t="shared" ca="1" si="198"/>
        <v>11031754</v>
      </c>
      <c r="L103" s="319">
        <f t="shared" ca="1" si="198"/>
        <v>652766</v>
      </c>
      <c r="M103" s="319">
        <f t="shared" ca="1" si="198"/>
        <v>283950</v>
      </c>
      <c r="N103" s="320">
        <f t="shared" ca="1" si="198"/>
        <v>75.135200000000012</v>
      </c>
      <c r="O103" s="320">
        <f t="shared" ca="1" si="198"/>
        <v>55.496699999999997</v>
      </c>
      <c r="P103" s="323">
        <f t="shared" ca="1" si="198"/>
        <v>19.638500000000001</v>
      </c>
      <c r="Q103" s="318">
        <f t="shared" ca="1" si="198"/>
        <v>-186400</v>
      </c>
      <c r="R103" s="322">
        <f t="shared" ca="1" si="198"/>
        <v>2078733</v>
      </c>
      <c r="S103" s="322">
        <f t="shared" ca="1" si="198"/>
        <v>0</v>
      </c>
      <c r="T103" s="322">
        <f t="shared" ca="1" si="198"/>
        <v>0</v>
      </c>
      <c r="U103" s="322">
        <f t="shared" ca="1" si="198"/>
        <v>1892333</v>
      </c>
      <c r="V103" s="322">
        <f t="shared" ca="1" si="198"/>
        <v>186400</v>
      </c>
      <c r="W103" s="322">
        <f t="shared" ca="1" si="198"/>
        <v>0</v>
      </c>
      <c r="X103" s="322">
        <f t="shared" ca="1" si="198"/>
        <v>0</v>
      </c>
      <c r="Y103" s="322">
        <f t="shared" ca="1" si="198"/>
        <v>186400</v>
      </c>
      <c r="Z103" s="322">
        <f t="shared" ca="1" si="198"/>
        <v>2078733</v>
      </c>
      <c r="AA103" s="322">
        <f t="shared" ca="1" si="198"/>
        <v>702612</v>
      </c>
      <c r="AB103" s="322">
        <f t="shared" ca="1" si="198"/>
        <v>37847</v>
      </c>
      <c r="AC103" s="322">
        <f t="shared" ca="1" si="198"/>
        <v>0</v>
      </c>
      <c r="AD103" s="322">
        <f t="shared" ca="1" si="198"/>
        <v>0</v>
      </c>
      <c r="AE103" s="322">
        <f t="shared" ca="1" si="198"/>
        <v>0</v>
      </c>
      <c r="AF103" s="322">
        <f t="shared" ca="1" si="198"/>
        <v>2819192</v>
      </c>
      <c r="AG103" s="446">
        <f t="shared" ca="1" si="198"/>
        <v>0</v>
      </c>
      <c r="AH103" s="446">
        <f t="shared" ca="1" si="198"/>
        <v>-0.62999999999999989</v>
      </c>
      <c r="AI103" s="446">
        <f t="shared" ca="1" si="198"/>
        <v>6.1</v>
      </c>
      <c r="AJ103" s="446">
        <f t="shared" ca="1" si="198"/>
        <v>0</v>
      </c>
      <c r="AK103" s="446">
        <f t="shared" ca="1" si="198"/>
        <v>0</v>
      </c>
      <c r="AL103" s="446">
        <f t="shared" ca="1" si="198"/>
        <v>6.1</v>
      </c>
      <c r="AM103" s="446">
        <f t="shared" ca="1" si="198"/>
        <v>-0.62999999999999989</v>
      </c>
      <c r="AN103" s="461">
        <f t="shared" ca="1" si="198"/>
        <v>5.4700000000000006</v>
      </c>
      <c r="AO103" s="322">
        <f t="shared" ca="1" si="198"/>
        <v>47425984</v>
      </c>
      <c r="AP103" s="322">
        <f t="shared" ca="1" si="198"/>
        <v>34530655</v>
      </c>
      <c r="AQ103" s="322">
        <f t="shared" ca="1" si="198"/>
        <v>186400</v>
      </c>
      <c r="AR103" s="322">
        <f t="shared" ca="1" si="198"/>
        <v>11734366</v>
      </c>
      <c r="AS103" s="322">
        <f t="shared" ca="1" si="198"/>
        <v>690613</v>
      </c>
      <c r="AT103" s="322">
        <f t="shared" ca="1" si="198"/>
        <v>283950</v>
      </c>
      <c r="AU103" s="446">
        <f t="shared" ca="1" si="198"/>
        <v>80.605199999999996</v>
      </c>
      <c r="AV103" s="446">
        <f t="shared" ca="1" si="198"/>
        <v>61.596699999999998</v>
      </c>
      <c r="AW103" s="446">
        <f t="shared" ca="1" si="198"/>
        <v>19.008499999999998</v>
      </c>
      <c r="AY103" s="7"/>
    </row>
    <row r="104" spans="1:51" x14ac:dyDescent="0.2">
      <c r="D104" s="17"/>
      <c r="E104" s="12"/>
      <c r="F104" s="17"/>
      <c r="G104" s="42"/>
      <c r="H104" s="33">
        <v>3113</v>
      </c>
      <c r="I104" s="324">
        <f t="shared" ref="I104:AW104" si="199">SUMIF($F$12:$F$426,"=3113",I$12:I$426)</f>
        <v>115860102</v>
      </c>
      <c r="J104" s="325">
        <f t="shared" si="199"/>
        <v>83354331</v>
      </c>
      <c r="K104" s="325">
        <f t="shared" si="199"/>
        <v>28173764</v>
      </c>
      <c r="L104" s="325">
        <f t="shared" si="199"/>
        <v>1667087</v>
      </c>
      <c r="M104" s="325">
        <f t="shared" si="199"/>
        <v>2664920</v>
      </c>
      <c r="N104" s="326">
        <f t="shared" si="199"/>
        <v>164.97219999999999</v>
      </c>
      <c r="O104" s="326">
        <f t="shared" si="199"/>
        <v>126.24459999999999</v>
      </c>
      <c r="P104" s="329">
        <f t="shared" si="199"/>
        <v>38.727599999999995</v>
      </c>
      <c r="Q104" s="324">
        <f t="shared" si="199"/>
        <v>-128000</v>
      </c>
      <c r="R104" s="328">
        <f t="shared" si="199"/>
        <v>13107349</v>
      </c>
      <c r="S104" s="328">
        <f t="shared" si="199"/>
        <v>0</v>
      </c>
      <c r="T104" s="328">
        <f t="shared" si="199"/>
        <v>263408</v>
      </c>
      <c r="U104" s="328">
        <f t="shared" si="199"/>
        <v>13242757</v>
      </c>
      <c r="V104" s="328">
        <f t="shared" si="199"/>
        <v>128000</v>
      </c>
      <c r="W104" s="328">
        <f t="shared" si="199"/>
        <v>73088</v>
      </c>
      <c r="X104" s="328">
        <f t="shared" si="199"/>
        <v>0</v>
      </c>
      <c r="Y104" s="328">
        <f t="shared" si="199"/>
        <v>201088</v>
      </c>
      <c r="Z104" s="328">
        <f t="shared" si="199"/>
        <v>13443845</v>
      </c>
      <c r="AA104" s="328">
        <f t="shared" si="199"/>
        <v>4544021</v>
      </c>
      <c r="AB104" s="328">
        <f t="shared" si="199"/>
        <v>264854</v>
      </c>
      <c r="AC104" s="328">
        <f t="shared" si="199"/>
        <v>21250</v>
      </c>
      <c r="AD104" s="328">
        <f t="shared" si="199"/>
        <v>16180</v>
      </c>
      <c r="AE104" s="328">
        <f t="shared" si="199"/>
        <v>37430</v>
      </c>
      <c r="AF104" s="328">
        <f t="shared" si="199"/>
        <v>18290150</v>
      </c>
      <c r="AG104" s="447">
        <f t="shared" si="199"/>
        <v>-0.05</v>
      </c>
      <c r="AH104" s="447">
        <f t="shared" si="199"/>
        <v>-0.16</v>
      </c>
      <c r="AI104" s="447">
        <f t="shared" si="199"/>
        <v>36.65</v>
      </c>
      <c r="AJ104" s="447">
        <f t="shared" si="199"/>
        <v>0.47</v>
      </c>
      <c r="AK104" s="447">
        <f t="shared" si="199"/>
        <v>0</v>
      </c>
      <c r="AL104" s="447">
        <f t="shared" si="199"/>
        <v>37.07</v>
      </c>
      <c r="AM104" s="447">
        <f t="shared" si="199"/>
        <v>-0.16</v>
      </c>
      <c r="AN104" s="462">
        <f t="shared" si="199"/>
        <v>36.910000000000004</v>
      </c>
      <c r="AO104" s="328">
        <f t="shared" si="199"/>
        <v>134150252</v>
      </c>
      <c r="AP104" s="328">
        <f t="shared" si="199"/>
        <v>96597088</v>
      </c>
      <c r="AQ104" s="328">
        <f t="shared" si="199"/>
        <v>201088</v>
      </c>
      <c r="AR104" s="328">
        <f t="shared" si="199"/>
        <v>32717785</v>
      </c>
      <c r="AS104" s="328">
        <f t="shared" si="199"/>
        <v>1931941</v>
      </c>
      <c r="AT104" s="328">
        <f t="shared" si="199"/>
        <v>2702350</v>
      </c>
      <c r="AU104" s="447">
        <f t="shared" si="199"/>
        <v>201.88219999999998</v>
      </c>
      <c r="AV104" s="447">
        <f t="shared" si="199"/>
        <v>163.31459999999998</v>
      </c>
      <c r="AW104" s="447">
        <f t="shared" si="199"/>
        <v>38.567599999999999</v>
      </c>
      <c r="AY104" s="7"/>
    </row>
    <row r="105" spans="1:51" x14ac:dyDescent="0.2">
      <c r="D105" s="17"/>
      <c r="E105" s="12"/>
      <c r="F105" s="17"/>
      <c r="G105" s="42"/>
      <c r="H105" s="33">
        <v>3114</v>
      </c>
      <c r="I105" s="324">
        <f t="shared" ref="I105:AW105" si="200">SUMIF($F$12:$F$426,"=3114",I$12:I$426)</f>
        <v>0</v>
      </c>
      <c r="J105" s="325">
        <f t="shared" si="200"/>
        <v>0</v>
      </c>
      <c r="K105" s="325">
        <f t="shared" si="200"/>
        <v>0</v>
      </c>
      <c r="L105" s="325">
        <f t="shared" si="200"/>
        <v>0</v>
      </c>
      <c r="M105" s="325">
        <f t="shared" si="200"/>
        <v>0</v>
      </c>
      <c r="N105" s="326">
        <f t="shared" si="200"/>
        <v>0</v>
      </c>
      <c r="O105" s="326">
        <f t="shared" si="200"/>
        <v>0</v>
      </c>
      <c r="P105" s="329">
        <f t="shared" si="200"/>
        <v>0</v>
      </c>
      <c r="Q105" s="324">
        <f t="shared" si="200"/>
        <v>0</v>
      </c>
      <c r="R105" s="328">
        <f t="shared" si="200"/>
        <v>0</v>
      </c>
      <c r="S105" s="328">
        <f t="shared" si="200"/>
        <v>0</v>
      </c>
      <c r="T105" s="328">
        <f t="shared" si="200"/>
        <v>0</v>
      </c>
      <c r="U105" s="328">
        <f t="shared" si="200"/>
        <v>0</v>
      </c>
      <c r="V105" s="328">
        <f t="shared" si="200"/>
        <v>0</v>
      </c>
      <c r="W105" s="328">
        <f t="shared" si="200"/>
        <v>0</v>
      </c>
      <c r="X105" s="328">
        <f t="shared" si="200"/>
        <v>0</v>
      </c>
      <c r="Y105" s="328">
        <f t="shared" si="200"/>
        <v>0</v>
      </c>
      <c r="Z105" s="328">
        <f t="shared" si="200"/>
        <v>0</v>
      </c>
      <c r="AA105" s="328">
        <f t="shared" si="200"/>
        <v>0</v>
      </c>
      <c r="AB105" s="328">
        <f t="shared" si="200"/>
        <v>0</v>
      </c>
      <c r="AC105" s="328">
        <f t="shared" si="200"/>
        <v>0</v>
      </c>
      <c r="AD105" s="328">
        <f t="shared" si="200"/>
        <v>0</v>
      </c>
      <c r="AE105" s="328">
        <f t="shared" si="200"/>
        <v>0</v>
      </c>
      <c r="AF105" s="328">
        <f t="shared" si="200"/>
        <v>0</v>
      </c>
      <c r="AG105" s="447">
        <f t="shared" si="200"/>
        <v>0</v>
      </c>
      <c r="AH105" s="447">
        <f t="shared" si="200"/>
        <v>0</v>
      </c>
      <c r="AI105" s="447">
        <f t="shared" si="200"/>
        <v>0</v>
      </c>
      <c r="AJ105" s="447">
        <f t="shared" si="200"/>
        <v>0</v>
      </c>
      <c r="AK105" s="447">
        <f t="shared" si="200"/>
        <v>0</v>
      </c>
      <c r="AL105" s="447">
        <f t="shared" si="200"/>
        <v>0</v>
      </c>
      <c r="AM105" s="447">
        <f t="shared" si="200"/>
        <v>0</v>
      </c>
      <c r="AN105" s="462">
        <f t="shared" si="200"/>
        <v>0</v>
      </c>
      <c r="AO105" s="328">
        <f t="shared" si="200"/>
        <v>0</v>
      </c>
      <c r="AP105" s="328">
        <f t="shared" si="200"/>
        <v>0</v>
      </c>
      <c r="AQ105" s="328">
        <f t="shared" si="200"/>
        <v>0</v>
      </c>
      <c r="AR105" s="328">
        <f t="shared" si="200"/>
        <v>0</v>
      </c>
      <c r="AS105" s="328">
        <f t="shared" si="200"/>
        <v>0</v>
      </c>
      <c r="AT105" s="328">
        <f t="shared" si="200"/>
        <v>0</v>
      </c>
      <c r="AU105" s="447">
        <f t="shared" si="200"/>
        <v>0</v>
      </c>
      <c r="AV105" s="447">
        <f t="shared" si="200"/>
        <v>0</v>
      </c>
      <c r="AW105" s="447">
        <f t="shared" si="200"/>
        <v>0</v>
      </c>
      <c r="AY105" s="7"/>
    </row>
    <row r="106" spans="1:51" x14ac:dyDescent="0.2">
      <c r="D106" s="17"/>
      <c r="E106" s="12"/>
      <c r="F106" s="17"/>
      <c r="G106" s="42"/>
      <c r="H106" s="33">
        <v>3117</v>
      </c>
      <c r="I106" s="324">
        <f t="shared" ref="I106:AW106" si="201">SUMIF($F$12:$F$426,"=3117",I$12:I$426)</f>
        <v>11979448</v>
      </c>
      <c r="J106" s="325">
        <f t="shared" si="201"/>
        <v>8662730</v>
      </c>
      <c r="K106" s="325">
        <f t="shared" si="201"/>
        <v>2928003</v>
      </c>
      <c r="L106" s="325">
        <f t="shared" si="201"/>
        <v>173255</v>
      </c>
      <c r="M106" s="325">
        <f t="shared" si="201"/>
        <v>215460</v>
      </c>
      <c r="N106" s="326">
        <f t="shared" si="201"/>
        <v>17.710899999999999</v>
      </c>
      <c r="O106" s="326">
        <f t="shared" si="201"/>
        <v>11.9841</v>
      </c>
      <c r="P106" s="329">
        <f t="shared" si="201"/>
        <v>5.7267999999999999</v>
      </c>
      <c r="Q106" s="324">
        <f t="shared" si="201"/>
        <v>-132800</v>
      </c>
      <c r="R106" s="328">
        <f t="shared" si="201"/>
        <v>1569747</v>
      </c>
      <c r="S106" s="328">
        <f t="shared" si="201"/>
        <v>0</v>
      </c>
      <c r="T106" s="328">
        <f t="shared" si="201"/>
        <v>0</v>
      </c>
      <c r="U106" s="328">
        <f t="shared" si="201"/>
        <v>1436947</v>
      </c>
      <c r="V106" s="328">
        <f t="shared" si="201"/>
        <v>132800</v>
      </c>
      <c r="W106" s="328">
        <f t="shared" si="201"/>
        <v>0</v>
      </c>
      <c r="X106" s="328">
        <f t="shared" si="201"/>
        <v>0</v>
      </c>
      <c r="Y106" s="328">
        <f t="shared" si="201"/>
        <v>132800</v>
      </c>
      <c r="Z106" s="328">
        <f t="shared" si="201"/>
        <v>1569747</v>
      </c>
      <c r="AA106" s="328">
        <f t="shared" si="201"/>
        <v>530575</v>
      </c>
      <c r="AB106" s="328">
        <f t="shared" si="201"/>
        <v>28738</v>
      </c>
      <c r="AC106" s="328">
        <f t="shared" si="201"/>
        <v>0</v>
      </c>
      <c r="AD106" s="328">
        <f t="shared" si="201"/>
        <v>0</v>
      </c>
      <c r="AE106" s="328">
        <f t="shared" si="201"/>
        <v>0</v>
      </c>
      <c r="AF106" s="328">
        <f t="shared" si="201"/>
        <v>2129060</v>
      </c>
      <c r="AG106" s="447">
        <f t="shared" si="201"/>
        <v>0</v>
      </c>
      <c r="AH106" s="447">
        <f t="shared" si="201"/>
        <v>-0.61</v>
      </c>
      <c r="AI106" s="447">
        <f t="shared" si="201"/>
        <v>4.47</v>
      </c>
      <c r="AJ106" s="447">
        <f t="shared" si="201"/>
        <v>0</v>
      </c>
      <c r="AK106" s="447">
        <f t="shared" si="201"/>
        <v>0</v>
      </c>
      <c r="AL106" s="447">
        <f t="shared" si="201"/>
        <v>4.47</v>
      </c>
      <c r="AM106" s="447">
        <f t="shared" si="201"/>
        <v>-0.61</v>
      </c>
      <c r="AN106" s="462">
        <f t="shared" si="201"/>
        <v>3.8600000000000003</v>
      </c>
      <c r="AO106" s="328">
        <f t="shared" si="201"/>
        <v>14108508</v>
      </c>
      <c r="AP106" s="328">
        <f t="shared" si="201"/>
        <v>10099677</v>
      </c>
      <c r="AQ106" s="328">
        <f t="shared" si="201"/>
        <v>132800</v>
      </c>
      <c r="AR106" s="328">
        <f t="shared" si="201"/>
        <v>3458578</v>
      </c>
      <c r="AS106" s="328">
        <f t="shared" si="201"/>
        <v>201993</v>
      </c>
      <c r="AT106" s="328">
        <f t="shared" si="201"/>
        <v>215460</v>
      </c>
      <c r="AU106" s="447">
        <f t="shared" si="201"/>
        <v>21.570900000000002</v>
      </c>
      <c r="AV106" s="447">
        <f t="shared" si="201"/>
        <v>16.4541</v>
      </c>
      <c r="AW106" s="447">
        <f t="shared" si="201"/>
        <v>5.1168000000000005</v>
      </c>
      <c r="AY106" s="7"/>
    </row>
    <row r="107" spans="1:51" x14ac:dyDescent="0.2">
      <c r="D107" s="17"/>
      <c r="E107" s="12"/>
      <c r="F107" s="17"/>
      <c r="G107" s="42"/>
      <c r="H107" s="33">
        <v>3122</v>
      </c>
      <c r="I107" s="324">
        <f t="shared" ref="I107:AW107" si="202">SUMIF($F$12:$F$382,"=3122",I$12:I$382)</f>
        <v>0</v>
      </c>
      <c r="J107" s="325">
        <f t="shared" si="202"/>
        <v>0</v>
      </c>
      <c r="K107" s="325">
        <f t="shared" si="202"/>
        <v>0</v>
      </c>
      <c r="L107" s="325">
        <f t="shared" si="202"/>
        <v>0</v>
      </c>
      <c r="M107" s="325">
        <f t="shared" si="202"/>
        <v>0</v>
      </c>
      <c r="N107" s="326">
        <f t="shared" si="202"/>
        <v>0</v>
      </c>
      <c r="O107" s="326">
        <f t="shared" si="202"/>
        <v>0</v>
      </c>
      <c r="P107" s="329">
        <f t="shared" si="202"/>
        <v>0</v>
      </c>
      <c r="Q107" s="324">
        <f t="shared" si="202"/>
        <v>0</v>
      </c>
      <c r="R107" s="328">
        <f t="shared" si="202"/>
        <v>0</v>
      </c>
      <c r="S107" s="328">
        <f t="shared" si="202"/>
        <v>0</v>
      </c>
      <c r="T107" s="328">
        <f t="shared" si="202"/>
        <v>0</v>
      </c>
      <c r="U107" s="328">
        <f t="shared" si="202"/>
        <v>0</v>
      </c>
      <c r="V107" s="328">
        <f t="shared" si="202"/>
        <v>0</v>
      </c>
      <c r="W107" s="328">
        <f t="shared" si="202"/>
        <v>0</v>
      </c>
      <c r="X107" s="328">
        <f t="shared" si="202"/>
        <v>0</v>
      </c>
      <c r="Y107" s="328">
        <f t="shared" si="202"/>
        <v>0</v>
      </c>
      <c r="Z107" s="328">
        <f t="shared" si="202"/>
        <v>0</v>
      </c>
      <c r="AA107" s="328">
        <f t="shared" si="202"/>
        <v>0</v>
      </c>
      <c r="AB107" s="328">
        <f t="shared" si="202"/>
        <v>0</v>
      </c>
      <c r="AC107" s="328">
        <f t="shared" si="202"/>
        <v>0</v>
      </c>
      <c r="AD107" s="328">
        <f t="shared" si="202"/>
        <v>0</v>
      </c>
      <c r="AE107" s="328">
        <f t="shared" si="202"/>
        <v>0</v>
      </c>
      <c r="AF107" s="328">
        <f t="shared" si="202"/>
        <v>0</v>
      </c>
      <c r="AG107" s="447">
        <f t="shared" si="202"/>
        <v>0</v>
      </c>
      <c r="AH107" s="447">
        <f t="shared" si="202"/>
        <v>0</v>
      </c>
      <c r="AI107" s="447">
        <f t="shared" si="202"/>
        <v>0</v>
      </c>
      <c r="AJ107" s="447">
        <f t="shared" si="202"/>
        <v>0</v>
      </c>
      <c r="AK107" s="447">
        <f t="shared" si="202"/>
        <v>0</v>
      </c>
      <c r="AL107" s="447">
        <f t="shared" si="202"/>
        <v>0</v>
      </c>
      <c r="AM107" s="447">
        <f t="shared" si="202"/>
        <v>0</v>
      </c>
      <c r="AN107" s="462">
        <f t="shared" si="202"/>
        <v>0</v>
      </c>
      <c r="AO107" s="328">
        <f t="shared" si="202"/>
        <v>0</v>
      </c>
      <c r="AP107" s="328">
        <f t="shared" si="202"/>
        <v>0</v>
      </c>
      <c r="AQ107" s="328">
        <f t="shared" si="202"/>
        <v>0</v>
      </c>
      <c r="AR107" s="328">
        <f t="shared" si="202"/>
        <v>0</v>
      </c>
      <c r="AS107" s="328">
        <f t="shared" si="202"/>
        <v>0</v>
      </c>
      <c r="AT107" s="328">
        <f t="shared" si="202"/>
        <v>0</v>
      </c>
      <c r="AU107" s="447">
        <f t="shared" si="202"/>
        <v>0</v>
      </c>
      <c r="AV107" s="447">
        <f t="shared" si="202"/>
        <v>0</v>
      </c>
      <c r="AW107" s="447">
        <f t="shared" si="202"/>
        <v>0</v>
      </c>
      <c r="AY107" s="7"/>
    </row>
    <row r="108" spans="1:51" x14ac:dyDescent="0.2">
      <c r="D108" s="17"/>
      <c r="E108" s="12"/>
      <c r="F108" s="17"/>
      <c r="G108" s="42"/>
      <c r="H108" s="33">
        <v>3124</v>
      </c>
      <c r="I108" s="324">
        <f t="shared" ref="I108:AW108" si="203">SUMIF($F$12:$F$382,"=3124",I$12:I$382)</f>
        <v>0</v>
      </c>
      <c r="J108" s="325">
        <f t="shared" si="203"/>
        <v>0</v>
      </c>
      <c r="K108" s="325">
        <f t="shared" si="203"/>
        <v>0</v>
      </c>
      <c r="L108" s="325">
        <f t="shared" si="203"/>
        <v>0</v>
      </c>
      <c r="M108" s="325">
        <f t="shared" si="203"/>
        <v>0</v>
      </c>
      <c r="N108" s="326">
        <f t="shared" si="203"/>
        <v>0</v>
      </c>
      <c r="O108" s="326">
        <f t="shared" si="203"/>
        <v>0</v>
      </c>
      <c r="P108" s="329">
        <f t="shared" si="203"/>
        <v>0</v>
      </c>
      <c r="Q108" s="324">
        <f t="shared" si="203"/>
        <v>0</v>
      </c>
      <c r="R108" s="328">
        <f t="shared" si="203"/>
        <v>0</v>
      </c>
      <c r="S108" s="328">
        <f t="shared" si="203"/>
        <v>0</v>
      </c>
      <c r="T108" s="328">
        <f t="shared" si="203"/>
        <v>0</v>
      </c>
      <c r="U108" s="328">
        <f t="shared" si="203"/>
        <v>0</v>
      </c>
      <c r="V108" s="328">
        <f t="shared" si="203"/>
        <v>0</v>
      </c>
      <c r="W108" s="328">
        <f t="shared" si="203"/>
        <v>0</v>
      </c>
      <c r="X108" s="328">
        <f t="shared" si="203"/>
        <v>0</v>
      </c>
      <c r="Y108" s="328">
        <f t="shared" si="203"/>
        <v>0</v>
      </c>
      <c r="Z108" s="328">
        <f t="shared" si="203"/>
        <v>0</v>
      </c>
      <c r="AA108" s="328">
        <f t="shared" si="203"/>
        <v>0</v>
      </c>
      <c r="AB108" s="328">
        <f t="shared" si="203"/>
        <v>0</v>
      </c>
      <c r="AC108" s="328">
        <f t="shared" si="203"/>
        <v>0</v>
      </c>
      <c r="AD108" s="328">
        <f t="shared" si="203"/>
        <v>0</v>
      </c>
      <c r="AE108" s="328">
        <f t="shared" si="203"/>
        <v>0</v>
      </c>
      <c r="AF108" s="328">
        <f t="shared" si="203"/>
        <v>0</v>
      </c>
      <c r="AG108" s="447">
        <f t="shared" si="203"/>
        <v>0</v>
      </c>
      <c r="AH108" s="447">
        <f t="shared" si="203"/>
        <v>0</v>
      </c>
      <c r="AI108" s="447">
        <f t="shared" si="203"/>
        <v>0</v>
      </c>
      <c r="AJ108" s="447">
        <f t="shared" si="203"/>
        <v>0</v>
      </c>
      <c r="AK108" s="447">
        <f t="shared" si="203"/>
        <v>0</v>
      </c>
      <c r="AL108" s="447">
        <f t="shared" si="203"/>
        <v>0</v>
      </c>
      <c r="AM108" s="447">
        <f t="shared" si="203"/>
        <v>0</v>
      </c>
      <c r="AN108" s="462">
        <f t="shared" si="203"/>
        <v>0</v>
      </c>
      <c r="AO108" s="328">
        <f t="shared" si="203"/>
        <v>0</v>
      </c>
      <c r="AP108" s="328">
        <f t="shared" si="203"/>
        <v>0</v>
      </c>
      <c r="AQ108" s="328">
        <f t="shared" si="203"/>
        <v>0</v>
      </c>
      <c r="AR108" s="328">
        <f t="shared" si="203"/>
        <v>0</v>
      </c>
      <c r="AS108" s="328">
        <f t="shared" si="203"/>
        <v>0</v>
      </c>
      <c r="AT108" s="328">
        <f t="shared" si="203"/>
        <v>0</v>
      </c>
      <c r="AU108" s="447">
        <f t="shared" si="203"/>
        <v>0</v>
      </c>
      <c r="AV108" s="447">
        <f t="shared" si="203"/>
        <v>0</v>
      </c>
      <c r="AW108" s="447">
        <f t="shared" si="203"/>
        <v>0</v>
      </c>
      <c r="AY108" s="7"/>
    </row>
    <row r="109" spans="1:51" x14ac:dyDescent="0.2">
      <c r="D109" s="17"/>
      <c r="E109" s="12"/>
      <c r="F109" s="17"/>
      <c r="G109" s="42"/>
      <c r="H109" s="33">
        <v>3141</v>
      </c>
      <c r="I109" s="324">
        <f t="shared" ref="I109:AW109" si="204">SUMIF($F$12:$F$426,"=3141",I$12:I$426)</f>
        <v>15250309</v>
      </c>
      <c r="J109" s="325">
        <f t="shared" si="204"/>
        <v>11158725</v>
      </c>
      <c r="K109" s="325">
        <f t="shared" si="204"/>
        <v>3771649</v>
      </c>
      <c r="L109" s="325">
        <f t="shared" si="204"/>
        <v>223175</v>
      </c>
      <c r="M109" s="325">
        <f t="shared" si="204"/>
        <v>96760</v>
      </c>
      <c r="N109" s="326">
        <f t="shared" si="204"/>
        <v>37.96</v>
      </c>
      <c r="O109" s="326">
        <f t="shared" si="204"/>
        <v>0</v>
      </c>
      <c r="P109" s="329">
        <f t="shared" si="204"/>
        <v>37.96</v>
      </c>
      <c r="Q109" s="324">
        <f t="shared" si="204"/>
        <v>-80000</v>
      </c>
      <c r="R109" s="328">
        <f t="shared" si="204"/>
        <v>0</v>
      </c>
      <c r="S109" s="328">
        <f t="shared" si="204"/>
        <v>0</v>
      </c>
      <c r="T109" s="328">
        <f t="shared" si="204"/>
        <v>0</v>
      </c>
      <c r="U109" s="328">
        <f t="shared" si="204"/>
        <v>-80000</v>
      </c>
      <c r="V109" s="328">
        <f t="shared" si="204"/>
        <v>80000</v>
      </c>
      <c r="W109" s="328">
        <f t="shared" si="204"/>
        <v>0</v>
      </c>
      <c r="X109" s="328">
        <f t="shared" si="204"/>
        <v>0</v>
      </c>
      <c r="Y109" s="328">
        <f t="shared" si="204"/>
        <v>80000</v>
      </c>
      <c r="Z109" s="328">
        <f t="shared" si="204"/>
        <v>0</v>
      </c>
      <c r="AA109" s="328">
        <f t="shared" si="204"/>
        <v>0</v>
      </c>
      <c r="AB109" s="328">
        <f t="shared" si="204"/>
        <v>-1600</v>
      </c>
      <c r="AC109" s="328">
        <f t="shared" si="204"/>
        <v>0</v>
      </c>
      <c r="AD109" s="328">
        <f t="shared" si="204"/>
        <v>0</v>
      </c>
      <c r="AE109" s="328">
        <f t="shared" si="204"/>
        <v>0</v>
      </c>
      <c r="AF109" s="328">
        <f t="shared" si="204"/>
        <v>-1600</v>
      </c>
      <c r="AG109" s="447">
        <f t="shared" si="204"/>
        <v>0</v>
      </c>
      <c r="AH109" s="447">
        <f t="shared" si="204"/>
        <v>-0.13</v>
      </c>
      <c r="AI109" s="447">
        <f t="shared" si="204"/>
        <v>0</v>
      </c>
      <c r="AJ109" s="447">
        <f t="shared" si="204"/>
        <v>0</v>
      </c>
      <c r="AK109" s="447">
        <f t="shared" si="204"/>
        <v>0</v>
      </c>
      <c r="AL109" s="447">
        <f t="shared" si="204"/>
        <v>0</v>
      </c>
      <c r="AM109" s="447">
        <f t="shared" si="204"/>
        <v>-0.13</v>
      </c>
      <c r="AN109" s="462">
        <f t="shared" si="204"/>
        <v>-0.13</v>
      </c>
      <c r="AO109" s="328">
        <f t="shared" si="204"/>
        <v>15248709</v>
      </c>
      <c r="AP109" s="328">
        <f t="shared" si="204"/>
        <v>11078725</v>
      </c>
      <c r="AQ109" s="328">
        <f t="shared" si="204"/>
        <v>80000</v>
      </c>
      <c r="AR109" s="328">
        <f t="shared" si="204"/>
        <v>3771649</v>
      </c>
      <c r="AS109" s="328">
        <f t="shared" si="204"/>
        <v>221575</v>
      </c>
      <c r="AT109" s="328">
        <f t="shared" si="204"/>
        <v>96760</v>
      </c>
      <c r="AU109" s="447">
        <f t="shared" si="204"/>
        <v>37.83</v>
      </c>
      <c r="AV109" s="447">
        <f t="shared" si="204"/>
        <v>0</v>
      </c>
      <c r="AW109" s="447">
        <f t="shared" si="204"/>
        <v>37.83</v>
      </c>
      <c r="AY109" s="7"/>
    </row>
    <row r="110" spans="1:51" x14ac:dyDescent="0.2">
      <c r="D110" s="17"/>
      <c r="E110" s="12"/>
      <c r="F110" s="17"/>
      <c r="G110" s="42"/>
      <c r="H110" s="33">
        <v>3143</v>
      </c>
      <c r="I110" s="324">
        <f t="shared" ref="I110:AW110" si="205">SUMIF($F$12:$F$426,"=3143",I$12:I$426)</f>
        <v>12098045</v>
      </c>
      <c r="J110" s="325">
        <f t="shared" si="205"/>
        <v>8897081</v>
      </c>
      <c r="K110" s="325">
        <f t="shared" si="205"/>
        <v>3007213</v>
      </c>
      <c r="L110" s="325">
        <f t="shared" si="205"/>
        <v>177941</v>
      </c>
      <c r="M110" s="325">
        <f t="shared" si="205"/>
        <v>15810</v>
      </c>
      <c r="N110" s="326">
        <f t="shared" si="205"/>
        <v>19.053499999999996</v>
      </c>
      <c r="O110" s="326">
        <f t="shared" si="205"/>
        <v>17.963499999999996</v>
      </c>
      <c r="P110" s="329">
        <f t="shared" si="205"/>
        <v>1.0900000000000003</v>
      </c>
      <c r="Q110" s="324">
        <f t="shared" si="205"/>
        <v>-44000</v>
      </c>
      <c r="R110" s="328">
        <f t="shared" si="205"/>
        <v>0</v>
      </c>
      <c r="S110" s="328">
        <f t="shared" si="205"/>
        <v>0</v>
      </c>
      <c r="T110" s="328">
        <f t="shared" si="205"/>
        <v>0</v>
      </c>
      <c r="U110" s="328">
        <f t="shared" si="205"/>
        <v>-44000</v>
      </c>
      <c r="V110" s="328">
        <f t="shared" si="205"/>
        <v>44000</v>
      </c>
      <c r="W110" s="328">
        <f t="shared" si="205"/>
        <v>0</v>
      </c>
      <c r="X110" s="328">
        <f t="shared" si="205"/>
        <v>0</v>
      </c>
      <c r="Y110" s="328">
        <f t="shared" si="205"/>
        <v>44000</v>
      </c>
      <c r="Z110" s="328">
        <f t="shared" si="205"/>
        <v>0</v>
      </c>
      <c r="AA110" s="328">
        <f t="shared" si="205"/>
        <v>0</v>
      </c>
      <c r="AB110" s="328">
        <f t="shared" si="205"/>
        <v>-880</v>
      </c>
      <c r="AC110" s="328">
        <f t="shared" si="205"/>
        <v>0</v>
      </c>
      <c r="AD110" s="328">
        <f t="shared" si="205"/>
        <v>0</v>
      </c>
      <c r="AE110" s="328">
        <f t="shared" si="205"/>
        <v>0</v>
      </c>
      <c r="AF110" s="328">
        <f t="shared" si="205"/>
        <v>-880</v>
      </c>
      <c r="AG110" s="447">
        <f t="shared" si="205"/>
        <v>-0.08</v>
      </c>
      <c r="AH110" s="447">
        <f t="shared" si="205"/>
        <v>0</v>
      </c>
      <c r="AI110" s="447">
        <f t="shared" si="205"/>
        <v>0</v>
      </c>
      <c r="AJ110" s="447">
        <f t="shared" si="205"/>
        <v>0</v>
      </c>
      <c r="AK110" s="447">
        <f t="shared" si="205"/>
        <v>0</v>
      </c>
      <c r="AL110" s="447">
        <f t="shared" si="205"/>
        <v>-0.08</v>
      </c>
      <c r="AM110" s="447">
        <f t="shared" si="205"/>
        <v>0</v>
      </c>
      <c r="AN110" s="462">
        <f t="shared" si="205"/>
        <v>-0.08</v>
      </c>
      <c r="AO110" s="328">
        <f t="shared" si="205"/>
        <v>12097165</v>
      </c>
      <c r="AP110" s="328">
        <f t="shared" si="205"/>
        <v>8853081</v>
      </c>
      <c r="AQ110" s="328">
        <f t="shared" si="205"/>
        <v>44000</v>
      </c>
      <c r="AR110" s="328">
        <f t="shared" si="205"/>
        <v>3007213</v>
      </c>
      <c r="AS110" s="328">
        <f t="shared" si="205"/>
        <v>177061</v>
      </c>
      <c r="AT110" s="328">
        <f t="shared" si="205"/>
        <v>15810</v>
      </c>
      <c r="AU110" s="447">
        <f t="shared" si="205"/>
        <v>18.973499999999998</v>
      </c>
      <c r="AV110" s="447">
        <f t="shared" si="205"/>
        <v>17.883499999999998</v>
      </c>
      <c r="AW110" s="447">
        <f t="shared" si="205"/>
        <v>1.0900000000000003</v>
      </c>
      <c r="AY110" s="7"/>
    </row>
    <row r="111" spans="1:51" x14ac:dyDescent="0.2">
      <c r="D111" s="17"/>
      <c r="E111" s="12"/>
      <c r="F111" s="17"/>
      <c r="G111" s="42"/>
      <c r="H111" s="33">
        <v>3231</v>
      </c>
      <c r="I111" s="324">
        <f t="shared" ref="I111:AW111" si="206">SUMIF($F$12:$F$426,"=3231",I$12:I$426)</f>
        <v>13250645</v>
      </c>
      <c r="J111" s="325">
        <f t="shared" si="206"/>
        <v>9726200</v>
      </c>
      <c r="K111" s="325">
        <f t="shared" si="206"/>
        <v>3287456</v>
      </c>
      <c r="L111" s="325">
        <f t="shared" si="206"/>
        <v>194524</v>
      </c>
      <c r="M111" s="325">
        <f t="shared" si="206"/>
        <v>42465</v>
      </c>
      <c r="N111" s="326">
        <f t="shared" si="206"/>
        <v>18.822200000000002</v>
      </c>
      <c r="O111" s="326">
        <f t="shared" si="206"/>
        <v>16.758800000000001</v>
      </c>
      <c r="P111" s="329">
        <f t="shared" si="206"/>
        <v>2.0634000000000001</v>
      </c>
      <c r="Q111" s="324">
        <f t="shared" si="206"/>
        <v>-136000</v>
      </c>
      <c r="R111" s="328">
        <f t="shared" si="206"/>
        <v>0</v>
      </c>
      <c r="S111" s="328">
        <f t="shared" si="206"/>
        <v>0</v>
      </c>
      <c r="T111" s="328">
        <f t="shared" si="206"/>
        <v>0</v>
      </c>
      <c r="U111" s="328">
        <f t="shared" si="206"/>
        <v>-136000</v>
      </c>
      <c r="V111" s="328">
        <f t="shared" si="206"/>
        <v>136000</v>
      </c>
      <c r="W111" s="328">
        <f t="shared" si="206"/>
        <v>0</v>
      </c>
      <c r="X111" s="328">
        <f t="shared" si="206"/>
        <v>0</v>
      </c>
      <c r="Y111" s="328">
        <f t="shared" si="206"/>
        <v>136000</v>
      </c>
      <c r="Z111" s="328">
        <f t="shared" si="206"/>
        <v>0</v>
      </c>
      <c r="AA111" s="328">
        <f t="shared" si="206"/>
        <v>0</v>
      </c>
      <c r="AB111" s="328">
        <f t="shared" si="206"/>
        <v>-2720</v>
      </c>
      <c r="AC111" s="328">
        <f t="shared" si="206"/>
        <v>0</v>
      </c>
      <c r="AD111" s="328">
        <f t="shared" si="206"/>
        <v>0</v>
      </c>
      <c r="AE111" s="328">
        <f t="shared" si="206"/>
        <v>0</v>
      </c>
      <c r="AF111" s="328">
        <f t="shared" si="206"/>
        <v>-2720</v>
      </c>
      <c r="AG111" s="447">
        <f t="shared" si="206"/>
        <v>-0.11</v>
      </c>
      <c r="AH111" s="447">
        <f t="shared" si="206"/>
        <v>-0.27</v>
      </c>
      <c r="AI111" s="447">
        <f t="shared" si="206"/>
        <v>0</v>
      </c>
      <c r="AJ111" s="447">
        <f t="shared" si="206"/>
        <v>0</v>
      </c>
      <c r="AK111" s="447">
        <f t="shared" si="206"/>
        <v>0</v>
      </c>
      <c r="AL111" s="447">
        <f t="shared" si="206"/>
        <v>-0.11</v>
      </c>
      <c r="AM111" s="447">
        <f t="shared" si="206"/>
        <v>-0.27</v>
      </c>
      <c r="AN111" s="462">
        <f t="shared" si="206"/>
        <v>-0.38</v>
      </c>
      <c r="AO111" s="328">
        <f t="shared" si="206"/>
        <v>13247925</v>
      </c>
      <c r="AP111" s="328">
        <f t="shared" si="206"/>
        <v>9590200</v>
      </c>
      <c r="AQ111" s="328">
        <f t="shared" si="206"/>
        <v>136000</v>
      </c>
      <c r="AR111" s="328">
        <f t="shared" si="206"/>
        <v>3287456</v>
      </c>
      <c r="AS111" s="328">
        <f t="shared" si="206"/>
        <v>191804</v>
      </c>
      <c r="AT111" s="328">
        <f t="shared" si="206"/>
        <v>42465</v>
      </c>
      <c r="AU111" s="447">
        <f t="shared" si="206"/>
        <v>18.442200000000003</v>
      </c>
      <c r="AV111" s="447">
        <f t="shared" si="206"/>
        <v>16.648800000000001</v>
      </c>
      <c r="AW111" s="447">
        <f t="shared" si="206"/>
        <v>1.7934000000000001</v>
      </c>
      <c r="AY111" s="7"/>
    </row>
    <row r="112" spans="1:51" ht="13.5" thickBot="1" x14ac:dyDescent="0.25">
      <c r="D112" s="17"/>
      <c r="E112" s="12"/>
      <c r="F112" s="17"/>
      <c r="G112" s="42"/>
      <c r="H112" s="270">
        <v>3233</v>
      </c>
      <c r="I112" s="330">
        <f t="shared" ref="I112:AW112" si="207">SUMIF($F$12:$F$426,"=3233",I$12:I$426)</f>
        <v>3288605</v>
      </c>
      <c r="J112" s="331">
        <f t="shared" si="207"/>
        <v>2399303</v>
      </c>
      <c r="K112" s="331">
        <f t="shared" si="207"/>
        <v>810964</v>
      </c>
      <c r="L112" s="331">
        <f t="shared" si="207"/>
        <v>47986</v>
      </c>
      <c r="M112" s="331">
        <f t="shared" si="207"/>
        <v>30352</v>
      </c>
      <c r="N112" s="332">
        <f t="shared" si="207"/>
        <v>5.51</v>
      </c>
      <c r="O112" s="332">
        <f t="shared" si="207"/>
        <v>3.63</v>
      </c>
      <c r="P112" s="335">
        <f t="shared" si="207"/>
        <v>1.88</v>
      </c>
      <c r="Q112" s="330">
        <f t="shared" si="207"/>
        <v>-80000</v>
      </c>
      <c r="R112" s="334">
        <f t="shared" si="207"/>
        <v>0</v>
      </c>
      <c r="S112" s="334">
        <f t="shared" si="207"/>
        <v>0</v>
      </c>
      <c r="T112" s="334">
        <f t="shared" si="207"/>
        <v>0</v>
      </c>
      <c r="U112" s="334">
        <f t="shared" si="207"/>
        <v>-80000</v>
      </c>
      <c r="V112" s="334">
        <f t="shared" si="207"/>
        <v>80000</v>
      </c>
      <c r="W112" s="334">
        <f t="shared" si="207"/>
        <v>0</v>
      </c>
      <c r="X112" s="334">
        <f t="shared" si="207"/>
        <v>0</v>
      </c>
      <c r="Y112" s="334">
        <f t="shared" si="207"/>
        <v>80000</v>
      </c>
      <c r="Z112" s="334">
        <f t="shared" si="207"/>
        <v>0</v>
      </c>
      <c r="AA112" s="334">
        <f t="shared" si="207"/>
        <v>0</v>
      </c>
      <c r="AB112" s="334">
        <f t="shared" si="207"/>
        <v>-1600</v>
      </c>
      <c r="AC112" s="334">
        <f t="shared" si="207"/>
        <v>0</v>
      </c>
      <c r="AD112" s="334">
        <f t="shared" si="207"/>
        <v>0</v>
      </c>
      <c r="AE112" s="334">
        <f t="shared" si="207"/>
        <v>0</v>
      </c>
      <c r="AF112" s="334">
        <f t="shared" si="207"/>
        <v>-1600</v>
      </c>
      <c r="AG112" s="448">
        <f t="shared" si="207"/>
        <v>-0.16</v>
      </c>
      <c r="AH112" s="448">
        <f t="shared" si="207"/>
        <v>0</v>
      </c>
      <c r="AI112" s="448">
        <f t="shared" si="207"/>
        <v>0</v>
      </c>
      <c r="AJ112" s="448">
        <f t="shared" si="207"/>
        <v>0</v>
      </c>
      <c r="AK112" s="448">
        <f t="shared" si="207"/>
        <v>0</v>
      </c>
      <c r="AL112" s="448">
        <f t="shared" si="207"/>
        <v>-0.16</v>
      </c>
      <c r="AM112" s="448">
        <f t="shared" si="207"/>
        <v>0</v>
      </c>
      <c r="AN112" s="463">
        <f t="shared" si="207"/>
        <v>-0.16</v>
      </c>
      <c r="AO112" s="334">
        <f t="shared" si="207"/>
        <v>3287005</v>
      </c>
      <c r="AP112" s="334">
        <f t="shared" si="207"/>
        <v>2319303</v>
      </c>
      <c r="AQ112" s="334">
        <f t="shared" si="207"/>
        <v>80000</v>
      </c>
      <c r="AR112" s="334">
        <f t="shared" si="207"/>
        <v>810964</v>
      </c>
      <c r="AS112" s="334">
        <f t="shared" si="207"/>
        <v>46386</v>
      </c>
      <c r="AT112" s="334">
        <f t="shared" si="207"/>
        <v>30352</v>
      </c>
      <c r="AU112" s="448">
        <f t="shared" si="207"/>
        <v>5.35</v>
      </c>
      <c r="AV112" s="448">
        <f t="shared" si="207"/>
        <v>3.4699999999999998</v>
      </c>
      <c r="AW112" s="448">
        <f t="shared" si="207"/>
        <v>1.88</v>
      </c>
      <c r="AY112" s="7"/>
    </row>
    <row r="113" spans="4:18" x14ac:dyDescent="0.2">
      <c r="D113" s="12"/>
      <c r="E113" s="12"/>
      <c r="F113" s="12"/>
      <c r="G113" s="42"/>
      <c r="H113" s="12"/>
      <c r="I113" s="28"/>
      <c r="J113" s="28"/>
      <c r="K113" s="28"/>
      <c r="L113" s="28"/>
      <c r="M113" s="28"/>
      <c r="N113" s="7"/>
      <c r="O113" s="7"/>
      <c r="P113" s="7"/>
    </row>
    <row r="115" spans="4:18" x14ac:dyDescent="0.2">
      <c r="N115" s="16"/>
      <c r="O115" s="16"/>
      <c r="P115" s="16"/>
      <c r="R115" s="16"/>
    </row>
    <row r="116" spans="4:18" x14ac:dyDescent="0.2">
      <c r="N116" s="16"/>
      <c r="O116" s="16"/>
      <c r="P116" s="16"/>
      <c r="R116" s="16"/>
    </row>
  </sheetData>
  <mergeCells count="24">
    <mergeCell ref="AO6:AW7"/>
    <mergeCell ref="Z7:Z10"/>
    <mergeCell ref="AB7:AB10"/>
    <mergeCell ref="AC7:AE9"/>
    <mergeCell ref="AF7:AF10"/>
    <mergeCell ref="AG7:AN7"/>
    <mergeCell ref="AG8:AH9"/>
    <mergeCell ref="AI8:AI9"/>
    <mergeCell ref="AJ8:AK9"/>
    <mergeCell ref="AL8:AN9"/>
    <mergeCell ref="AO8:AO10"/>
    <mergeCell ref="AP8:AT9"/>
    <mergeCell ref="AU8:AU10"/>
    <mergeCell ref="AV8:AW9"/>
    <mergeCell ref="AA7:AA10"/>
    <mergeCell ref="A3:E3"/>
    <mergeCell ref="I8:I10"/>
    <mergeCell ref="I6:P7"/>
    <mergeCell ref="Q6:AN6"/>
    <mergeCell ref="Q7:U9"/>
    <mergeCell ref="V7:Y9"/>
    <mergeCell ref="J8:M9"/>
    <mergeCell ref="N8:N10"/>
    <mergeCell ref="O8:P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Y92"/>
  <sheetViews>
    <sheetView workbookViewId="0">
      <pane xSplit="8" ySplit="11" topLeftCell="AI12" activePane="bottomRight" state="frozen"/>
      <selection activeCell="AU1" sqref="AU1:AW1048576"/>
      <selection pane="topRight" activeCell="AU1" sqref="AU1:AW1048576"/>
      <selection pane="bottomLeft" activeCell="AU1" sqref="AU1:AW1048576"/>
      <selection pane="bottomRight" activeCell="AO6" sqref="AO6:AW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bestFit="1" customWidth="1"/>
    <col min="7" max="7" width="10.28515625" style="97" customWidth="1"/>
    <col min="8" max="8" width="8" customWidth="1"/>
    <col min="9" max="13" width="10.7109375" style="16" customWidth="1"/>
    <col min="14" max="14" width="11.7109375" style="15" customWidth="1"/>
    <col min="15" max="16" width="10.7109375" style="15" customWidth="1"/>
    <col min="17" max="17" width="10.7109375" style="16" customWidth="1"/>
    <col min="18" max="32" width="10.7109375" customWidth="1"/>
    <col min="33" max="40" width="10.7109375" style="15" customWidth="1"/>
    <col min="41" max="46" width="10.7109375" customWidth="1"/>
    <col min="47" max="47" width="11.7109375" style="15" customWidth="1"/>
    <col min="48" max="49" width="10.7109375" style="15" customWidth="1"/>
    <col min="222" max="222" width="7" customWidth="1"/>
    <col min="223" max="223" width="33.140625" customWidth="1"/>
    <col min="224" max="224" width="6.42578125" customWidth="1"/>
    <col min="225" max="225" width="29" customWidth="1"/>
    <col min="226" max="226" width="11.42578125" customWidth="1"/>
    <col min="227" max="227" width="10.7109375" customWidth="1"/>
    <col min="228" max="228" width="10.85546875" customWidth="1"/>
    <col min="229" max="229" width="11.28515625" customWidth="1"/>
    <col min="231" max="231" width="9.7109375" customWidth="1"/>
    <col min="234" max="234" width="10.42578125" customWidth="1"/>
    <col min="478" max="478" width="7" customWidth="1"/>
    <col min="479" max="479" width="33.140625" customWidth="1"/>
    <col min="480" max="480" width="6.42578125" customWidth="1"/>
    <col min="481" max="481" width="29" customWidth="1"/>
    <col min="482" max="482" width="11.42578125" customWidth="1"/>
    <col min="483" max="483" width="10.7109375" customWidth="1"/>
    <col min="484" max="484" width="10.85546875" customWidth="1"/>
    <col min="485" max="485" width="11.28515625" customWidth="1"/>
    <col min="487" max="487" width="9.7109375" customWidth="1"/>
    <col min="490" max="490" width="10.42578125" customWidth="1"/>
    <col min="734" max="734" width="7" customWidth="1"/>
    <col min="735" max="735" width="33.140625" customWidth="1"/>
    <col min="736" max="736" width="6.42578125" customWidth="1"/>
    <col min="737" max="737" width="29" customWidth="1"/>
    <col min="738" max="738" width="11.42578125" customWidth="1"/>
    <col min="739" max="739" width="10.7109375" customWidth="1"/>
    <col min="740" max="740" width="10.85546875" customWidth="1"/>
    <col min="741" max="741" width="11.28515625" customWidth="1"/>
    <col min="743" max="743" width="9.7109375" customWidth="1"/>
    <col min="746" max="746" width="10.42578125" customWidth="1"/>
    <col min="990" max="990" width="7" customWidth="1"/>
    <col min="991" max="991" width="33.140625" customWidth="1"/>
    <col min="992" max="992" width="6.42578125" customWidth="1"/>
    <col min="993" max="993" width="29" customWidth="1"/>
    <col min="994" max="994" width="11.42578125" customWidth="1"/>
    <col min="995" max="995" width="10.7109375" customWidth="1"/>
    <col min="996" max="996" width="10.85546875" customWidth="1"/>
    <col min="997" max="997" width="11.28515625" customWidth="1"/>
    <col min="999" max="999" width="9.7109375" customWidth="1"/>
    <col min="1002" max="1002" width="10.42578125" customWidth="1"/>
    <col min="1246" max="1246" width="7" customWidth="1"/>
    <col min="1247" max="1247" width="33.140625" customWidth="1"/>
    <col min="1248" max="1248" width="6.42578125" customWidth="1"/>
    <col min="1249" max="1249" width="29" customWidth="1"/>
    <col min="1250" max="1250" width="11.42578125" customWidth="1"/>
    <col min="1251" max="1251" width="10.7109375" customWidth="1"/>
    <col min="1252" max="1252" width="10.85546875" customWidth="1"/>
    <col min="1253" max="1253" width="11.28515625" customWidth="1"/>
    <col min="1255" max="1255" width="9.7109375" customWidth="1"/>
    <col min="1258" max="1258" width="10.42578125" customWidth="1"/>
    <col min="1502" max="1502" width="7" customWidth="1"/>
    <col min="1503" max="1503" width="33.140625" customWidth="1"/>
    <col min="1504" max="1504" width="6.42578125" customWidth="1"/>
    <col min="1505" max="1505" width="29" customWidth="1"/>
    <col min="1506" max="1506" width="11.42578125" customWidth="1"/>
    <col min="1507" max="1507" width="10.7109375" customWidth="1"/>
    <col min="1508" max="1508" width="10.85546875" customWidth="1"/>
    <col min="1509" max="1509" width="11.28515625" customWidth="1"/>
    <col min="1511" max="1511" width="9.7109375" customWidth="1"/>
    <col min="1514" max="1514" width="10.42578125" customWidth="1"/>
    <col min="1758" max="1758" width="7" customWidth="1"/>
    <col min="1759" max="1759" width="33.140625" customWidth="1"/>
    <col min="1760" max="1760" width="6.42578125" customWidth="1"/>
    <col min="1761" max="1761" width="29" customWidth="1"/>
    <col min="1762" max="1762" width="11.42578125" customWidth="1"/>
    <col min="1763" max="1763" width="10.7109375" customWidth="1"/>
    <col min="1764" max="1764" width="10.85546875" customWidth="1"/>
    <col min="1765" max="1765" width="11.28515625" customWidth="1"/>
    <col min="1767" max="1767" width="9.7109375" customWidth="1"/>
    <col min="1770" max="1770" width="10.42578125" customWidth="1"/>
    <col min="2014" max="2014" width="7" customWidth="1"/>
    <col min="2015" max="2015" width="33.140625" customWidth="1"/>
    <col min="2016" max="2016" width="6.42578125" customWidth="1"/>
    <col min="2017" max="2017" width="29" customWidth="1"/>
    <col min="2018" max="2018" width="11.42578125" customWidth="1"/>
    <col min="2019" max="2019" width="10.7109375" customWidth="1"/>
    <col min="2020" max="2020" width="10.85546875" customWidth="1"/>
    <col min="2021" max="2021" width="11.28515625" customWidth="1"/>
    <col min="2023" max="2023" width="9.7109375" customWidth="1"/>
    <col min="2026" max="2026" width="10.42578125" customWidth="1"/>
    <col min="2270" max="2270" width="7" customWidth="1"/>
    <col min="2271" max="2271" width="33.140625" customWidth="1"/>
    <col min="2272" max="2272" width="6.42578125" customWidth="1"/>
    <col min="2273" max="2273" width="29" customWidth="1"/>
    <col min="2274" max="2274" width="11.42578125" customWidth="1"/>
    <col min="2275" max="2275" width="10.7109375" customWidth="1"/>
    <col min="2276" max="2276" width="10.85546875" customWidth="1"/>
    <col min="2277" max="2277" width="11.28515625" customWidth="1"/>
    <col min="2279" max="2279" width="9.7109375" customWidth="1"/>
    <col min="2282" max="2282" width="10.42578125" customWidth="1"/>
    <col min="2526" max="2526" width="7" customWidth="1"/>
    <col min="2527" max="2527" width="33.140625" customWidth="1"/>
    <col min="2528" max="2528" width="6.42578125" customWidth="1"/>
    <col min="2529" max="2529" width="29" customWidth="1"/>
    <col min="2530" max="2530" width="11.42578125" customWidth="1"/>
    <col min="2531" max="2531" width="10.7109375" customWidth="1"/>
    <col min="2532" max="2532" width="10.85546875" customWidth="1"/>
    <col min="2533" max="2533" width="11.28515625" customWidth="1"/>
    <col min="2535" max="2535" width="9.7109375" customWidth="1"/>
    <col min="2538" max="2538" width="10.42578125" customWidth="1"/>
    <col min="2782" max="2782" width="7" customWidth="1"/>
    <col min="2783" max="2783" width="33.140625" customWidth="1"/>
    <col min="2784" max="2784" width="6.42578125" customWidth="1"/>
    <col min="2785" max="2785" width="29" customWidth="1"/>
    <col min="2786" max="2786" width="11.42578125" customWidth="1"/>
    <col min="2787" max="2787" width="10.7109375" customWidth="1"/>
    <col min="2788" max="2788" width="10.85546875" customWidth="1"/>
    <col min="2789" max="2789" width="11.28515625" customWidth="1"/>
    <col min="2791" max="2791" width="9.7109375" customWidth="1"/>
    <col min="2794" max="2794" width="10.42578125" customWidth="1"/>
    <col min="3038" max="3038" width="7" customWidth="1"/>
    <col min="3039" max="3039" width="33.140625" customWidth="1"/>
    <col min="3040" max="3040" width="6.42578125" customWidth="1"/>
    <col min="3041" max="3041" width="29" customWidth="1"/>
    <col min="3042" max="3042" width="11.42578125" customWidth="1"/>
    <col min="3043" max="3043" width="10.7109375" customWidth="1"/>
    <col min="3044" max="3044" width="10.85546875" customWidth="1"/>
    <col min="3045" max="3045" width="11.28515625" customWidth="1"/>
    <col min="3047" max="3047" width="9.7109375" customWidth="1"/>
    <col min="3050" max="3050" width="10.42578125" customWidth="1"/>
    <col min="3294" max="3294" width="7" customWidth="1"/>
    <col min="3295" max="3295" width="33.140625" customWidth="1"/>
    <col min="3296" max="3296" width="6.42578125" customWidth="1"/>
    <col min="3297" max="3297" width="29" customWidth="1"/>
    <col min="3298" max="3298" width="11.42578125" customWidth="1"/>
    <col min="3299" max="3299" width="10.7109375" customWidth="1"/>
    <col min="3300" max="3300" width="10.85546875" customWidth="1"/>
    <col min="3301" max="3301" width="11.28515625" customWidth="1"/>
    <col min="3303" max="3303" width="9.7109375" customWidth="1"/>
    <col min="3306" max="3306" width="10.42578125" customWidth="1"/>
    <col min="3550" max="3550" width="7" customWidth="1"/>
    <col min="3551" max="3551" width="33.140625" customWidth="1"/>
    <col min="3552" max="3552" width="6.42578125" customWidth="1"/>
    <col min="3553" max="3553" width="29" customWidth="1"/>
    <col min="3554" max="3554" width="11.42578125" customWidth="1"/>
    <col min="3555" max="3555" width="10.7109375" customWidth="1"/>
    <col min="3556" max="3556" width="10.85546875" customWidth="1"/>
    <col min="3557" max="3557" width="11.28515625" customWidth="1"/>
    <col min="3559" max="3559" width="9.7109375" customWidth="1"/>
    <col min="3562" max="3562" width="10.42578125" customWidth="1"/>
    <col min="3806" max="3806" width="7" customWidth="1"/>
    <col min="3807" max="3807" width="33.140625" customWidth="1"/>
    <col min="3808" max="3808" width="6.42578125" customWidth="1"/>
    <col min="3809" max="3809" width="29" customWidth="1"/>
    <col min="3810" max="3810" width="11.42578125" customWidth="1"/>
    <col min="3811" max="3811" width="10.7109375" customWidth="1"/>
    <col min="3812" max="3812" width="10.85546875" customWidth="1"/>
    <col min="3813" max="3813" width="11.28515625" customWidth="1"/>
    <col min="3815" max="3815" width="9.7109375" customWidth="1"/>
    <col min="3818" max="3818" width="10.42578125" customWidth="1"/>
    <col min="4062" max="4062" width="7" customWidth="1"/>
    <col min="4063" max="4063" width="33.140625" customWidth="1"/>
    <col min="4064" max="4064" width="6.42578125" customWidth="1"/>
    <col min="4065" max="4065" width="29" customWidth="1"/>
    <col min="4066" max="4066" width="11.42578125" customWidth="1"/>
    <col min="4067" max="4067" width="10.7109375" customWidth="1"/>
    <col min="4068" max="4068" width="10.85546875" customWidth="1"/>
    <col min="4069" max="4069" width="11.28515625" customWidth="1"/>
    <col min="4071" max="4071" width="9.7109375" customWidth="1"/>
    <col min="4074" max="4074" width="10.42578125" customWidth="1"/>
    <col min="4318" max="4318" width="7" customWidth="1"/>
    <col min="4319" max="4319" width="33.140625" customWidth="1"/>
    <col min="4320" max="4320" width="6.42578125" customWidth="1"/>
    <col min="4321" max="4321" width="29" customWidth="1"/>
    <col min="4322" max="4322" width="11.42578125" customWidth="1"/>
    <col min="4323" max="4323" width="10.7109375" customWidth="1"/>
    <col min="4324" max="4324" width="10.85546875" customWidth="1"/>
    <col min="4325" max="4325" width="11.28515625" customWidth="1"/>
    <col min="4327" max="4327" width="9.7109375" customWidth="1"/>
    <col min="4330" max="4330" width="10.42578125" customWidth="1"/>
    <col min="4574" max="4574" width="7" customWidth="1"/>
    <col min="4575" max="4575" width="33.140625" customWidth="1"/>
    <col min="4576" max="4576" width="6.42578125" customWidth="1"/>
    <col min="4577" max="4577" width="29" customWidth="1"/>
    <col min="4578" max="4578" width="11.42578125" customWidth="1"/>
    <col min="4579" max="4579" width="10.7109375" customWidth="1"/>
    <col min="4580" max="4580" width="10.85546875" customWidth="1"/>
    <col min="4581" max="4581" width="11.28515625" customWidth="1"/>
    <col min="4583" max="4583" width="9.7109375" customWidth="1"/>
    <col min="4586" max="4586" width="10.42578125" customWidth="1"/>
    <col min="4830" max="4830" width="7" customWidth="1"/>
    <col min="4831" max="4831" width="33.140625" customWidth="1"/>
    <col min="4832" max="4832" width="6.42578125" customWidth="1"/>
    <col min="4833" max="4833" width="29" customWidth="1"/>
    <col min="4834" max="4834" width="11.42578125" customWidth="1"/>
    <col min="4835" max="4835" width="10.7109375" customWidth="1"/>
    <col min="4836" max="4836" width="10.85546875" customWidth="1"/>
    <col min="4837" max="4837" width="11.28515625" customWidth="1"/>
    <col min="4839" max="4839" width="9.7109375" customWidth="1"/>
    <col min="4842" max="4842" width="10.42578125" customWidth="1"/>
    <col min="5086" max="5086" width="7" customWidth="1"/>
    <col min="5087" max="5087" width="33.140625" customWidth="1"/>
    <col min="5088" max="5088" width="6.42578125" customWidth="1"/>
    <col min="5089" max="5089" width="29" customWidth="1"/>
    <col min="5090" max="5090" width="11.42578125" customWidth="1"/>
    <col min="5091" max="5091" width="10.7109375" customWidth="1"/>
    <col min="5092" max="5092" width="10.85546875" customWidth="1"/>
    <col min="5093" max="5093" width="11.28515625" customWidth="1"/>
    <col min="5095" max="5095" width="9.7109375" customWidth="1"/>
    <col min="5098" max="5098" width="10.42578125" customWidth="1"/>
    <col min="5342" max="5342" width="7" customWidth="1"/>
    <col min="5343" max="5343" width="33.140625" customWidth="1"/>
    <col min="5344" max="5344" width="6.42578125" customWidth="1"/>
    <col min="5345" max="5345" width="29" customWidth="1"/>
    <col min="5346" max="5346" width="11.42578125" customWidth="1"/>
    <col min="5347" max="5347" width="10.7109375" customWidth="1"/>
    <col min="5348" max="5348" width="10.85546875" customWidth="1"/>
    <col min="5349" max="5349" width="11.28515625" customWidth="1"/>
    <col min="5351" max="5351" width="9.7109375" customWidth="1"/>
    <col min="5354" max="5354" width="10.42578125" customWidth="1"/>
    <col min="5598" max="5598" width="7" customWidth="1"/>
    <col min="5599" max="5599" width="33.140625" customWidth="1"/>
    <col min="5600" max="5600" width="6.42578125" customWidth="1"/>
    <col min="5601" max="5601" width="29" customWidth="1"/>
    <col min="5602" max="5602" width="11.42578125" customWidth="1"/>
    <col min="5603" max="5603" width="10.7109375" customWidth="1"/>
    <col min="5604" max="5604" width="10.85546875" customWidth="1"/>
    <col min="5605" max="5605" width="11.28515625" customWidth="1"/>
    <col min="5607" max="5607" width="9.7109375" customWidth="1"/>
    <col min="5610" max="5610" width="10.42578125" customWidth="1"/>
    <col min="5854" max="5854" width="7" customWidth="1"/>
    <col min="5855" max="5855" width="33.140625" customWidth="1"/>
    <col min="5856" max="5856" width="6.42578125" customWidth="1"/>
    <col min="5857" max="5857" width="29" customWidth="1"/>
    <col min="5858" max="5858" width="11.42578125" customWidth="1"/>
    <col min="5859" max="5859" width="10.7109375" customWidth="1"/>
    <col min="5860" max="5860" width="10.85546875" customWidth="1"/>
    <col min="5861" max="5861" width="11.28515625" customWidth="1"/>
    <col min="5863" max="5863" width="9.7109375" customWidth="1"/>
    <col min="5866" max="5866" width="10.42578125" customWidth="1"/>
    <col min="6110" max="6110" width="7" customWidth="1"/>
    <col min="6111" max="6111" width="33.140625" customWidth="1"/>
    <col min="6112" max="6112" width="6.42578125" customWidth="1"/>
    <col min="6113" max="6113" width="29" customWidth="1"/>
    <col min="6114" max="6114" width="11.42578125" customWidth="1"/>
    <col min="6115" max="6115" width="10.7109375" customWidth="1"/>
    <col min="6116" max="6116" width="10.85546875" customWidth="1"/>
    <col min="6117" max="6117" width="11.28515625" customWidth="1"/>
    <col min="6119" max="6119" width="9.7109375" customWidth="1"/>
    <col min="6122" max="6122" width="10.42578125" customWidth="1"/>
    <col min="6366" max="6366" width="7" customWidth="1"/>
    <col min="6367" max="6367" width="33.140625" customWidth="1"/>
    <col min="6368" max="6368" width="6.42578125" customWidth="1"/>
    <col min="6369" max="6369" width="29" customWidth="1"/>
    <col min="6370" max="6370" width="11.42578125" customWidth="1"/>
    <col min="6371" max="6371" width="10.7109375" customWidth="1"/>
    <col min="6372" max="6372" width="10.85546875" customWidth="1"/>
    <col min="6373" max="6373" width="11.28515625" customWidth="1"/>
    <col min="6375" max="6375" width="9.7109375" customWidth="1"/>
    <col min="6378" max="6378" width="10.42578125" customWidth="1"/>
    <col min="6622" max="6622" width="7" customWidth="1"/>
    <col min="6623" max="6623" width="33.140625" customWidth="1"/>
    <col min="6624" max="6624" width="6.42578125" customWidth="1"/>
    <col min="6625" max="6625" width="29" customWidth="1"/>
    <col min="6626" max="6626" width="11.42578125" customWidth="1"/>
    <col min="6627" max="6627" width="10.7109375" customWidth="1"/>
    <col min="6628" max="6628" width="10.85546875" customWidth="1"/>
    <col min="6629" max="6629" width="11.28515625" customWidth="1"/>
    <col min="6631" max="6631" width="9.7109375" customWidth="1"/>
    <col min="6634" max="6634" width="10.42578125" customWidth="1"/>
    <col min="6878" max="6878" width="7" customWidth="1"/>
    <col min="6879" max="6879" width="33.140625" customWidth="1"/>
    <col min="6880" max="6880" width="6.42578125" customWidth="1"/>
    <col min="6881" max="6881" width="29" customWidth="1"/>
    <col min="6882" max="6882" width="11.42578125" customWidth="1"/>
    <col min="6883" max="6883" width="10.7109375" customWidth="1"/>
    <col min="6884" max="6884" width="10.85546875" customWidth="1"/>
    <col min="6885" max="6885" width="11.28515625" customWidth="1"/>
    <col min="6887" max="6887" width="9.7109375" customWidth="1"/>
    <col min="6890" max="6890" width="10.42578125" customWidth="1"/>
    <col min="7134" max="7134" width="7" customWidth="1"/>
    <col min="7135" max="7135" width="33.140625" customWidth="1"/>
    <col min="7136" max="7136" width="6.42578125" customWidth="1"/>
    <col min="7137" max="7137" width="29" customWidth="1"/>
    <col min="7138" max="7138" width="11.42578125" customWidth="1"/>
    <col min="7139" max="7139" width="10.7109375" customWidth="1"/>
    <col min="7140" max="7140" width="10.85546875" customWidth="1"/>
    <col min="7141" max="7141" width="11.28515625" customWidth="1"/>
    <col min="7143" max="7143" width="9.7109375" customWidth="1"/>
    <col min="7146" max="7146" width="10.42578125" customWidth="1"/>
    <col min="7390" max="7390" width="7" customWidth="1"/>
    <col min="7391" max="7391" width="33.140625" customWidth="1"/>
    <col min="7392" max="7392" width="6.42578125" customWidth="1"/>
    <col min="7393" max="7393" width="29" customWidth="1"/>
    <col min="7394" max="7394" width="11.42578125" customWidth="1"/>
    <col min="7395" max="7395" width="10.7109375" customWidth="1"/>
    <col min="7396" max="7396" width="10.85546875" customWidth="1"/>
    <col min="7397" max="7397" width="11.28515625" customWidth="1"/>
    <col min="7399" max="7399" width="9.7109375" customWidth="1"/>
    <col min="7402" max="7402" width="10.42578125" customWidth="1"/>
    <col min="7646" max="7646" width="7" customWidth="1"/>
    <col min="7647" max="7647" width="33.140625" customWidth="1"/>
    <col min="7648" max="7648" width="6.42578125" customWidth="1"/>
    <col min="7649" max="7649" width="29" customWidth="1"/>
    <col min="7650" max="7650" width="11.42578125" customWidth="1"/>
    <col min="7651" max="7651" width="10.7109375" customWidth="1"/>
    <col min="7652" max="7652" width="10.85546875" customWidth="1"/>
    <col min="7653" max="7653" width="11.28515625" customWidth="1"/>
    <col min="7655" max="7655" width="9.7109375" customWidth="1"/>
    <col min="7658" max="7658" width="10.42578125" customWidth="1"/>
    <col min="7902" max="7902" width="7" customWidth="1"/>
    <col min="7903" max="7903" width="33.140625" customWidth="1"/>
    <col min="7904" max="7904" width="6.42578125" customWidth="1"/>
    <col min="7905" max="7905" width="29" customWidth="1"/>
    <col min="7906" max="7906" width="11.42578125" customWidth="1"/>
    <col min="7907" max="7907" width="10.7109375" customWidth="1"/>
    <col min="7908" max="7908" width="10.85546875" customWidth="1"/>
    <col min="7909" max="7909" width="11.28515625" customWidth="1"/>
    <col min="7911" max="7911" width="9.7109375" customWidth="1"/>
    <col min="7914" max="7914" width="10.42578125" customWidth="1"/>
    <col min="8158" max="8158" width="7" customWidth="1"/>
    <col min="8159" max="8159" width="33.140625" customWidth="1"/>
    <col min="8160" max="8160" width="6.42578125" customWidth="1"/>
    <col min="8161" max="8161" width="29" customWidth="1"/>
    <col min="8162" max="8162" width="11.42578125" customWidth="1"/>
    <col min="8163" max="8163" width="10.7109375" customWidth="1"/>
    <col min="8164" max="8164" width="10.85546875" customWidth="1"/>
    <col min="8165" max="8165" width="11.28515625" customWidth="1"/>
    <col min="8167" max="8167" width="9.7109375" customWidth="1"/>
    <col min="8170" max="8170" width="10.42578125" customWidth="1"/>
    <col min="8414" max="8414" width="7" customWidth="1"/>
    <col min="8415" max="8415" width="33.140625" customWidth="1"/>
    <col min="8416" max="8416" width="6.42578125" customWidth="1"/>
    <col min="8417" max="8417" width="29" customWidth="1"/>
    <col min="8418" max="8418" width="11.42578125" customWidth="1"/>
    <col min="8419" max="8419" width="10.7109375" customWidth="1"/>
    <col min="8420" max="8420" width="10.85546875" customWidth="1"/>
    <col min="8421" max="8421" width="11.28515625" customWidth="1"/>
    <col min="8423" max="8423" width="9.7109375" customWidth="1"/>
    <col min="8426" max="8426" width="10.42578125" customWidth="1"/>
    <col min="8670" max="8670" width="7" customWidth="1"/>
    <col min="8671" max="8671" width="33.140625" customWidth="1"/>
    <col min="8672" max="8672" width="6.42578125" customWidth="1"/>
    <col min="8673" max="8673" width="29" customWidth="1"/>
    <col min="8674" max="8674" width="11.42578125" customWidth="1"/>
    <col min="8675" max="8675" width="10.7109375" customWidth="1"/>
    <col min="8676" max="8676" width="10.85546875" customWidth="1"/>
    <col min="8677" max="8677" width="11.28515625" customWidth="1"/>
    <col min="8679" max="8679" width="9.7109375" customWidth="1"/>
    <col min="8682" max="8682" width="10.42578125" customWidth="1"/>
    <col min="8926" max="8926" width="7" customWidth="1"/>
    <col min="8927" max="8927" width="33.140625" customWidth="1"/>
    <col min="8928" max="8928" width="6.42578125" customWidth="1"/>
    <col min="8929" max="8929" width="29" customWidth="1"/>
    <col min="8930" max="8930" width="11.42578125" customWidth="1"/>
    <col min="8931" max="8931" width="10.7109375" customWidth="1"/>
    <col min="8932" max="8932" width="10.85546875" customWidth="1"/>
    <col min="8933" max="8933" width="11.28515625" customWidth="1"/>
    <col min="8935" max="8935" width="9.7109375" customWidth="1"/>
    <col min="8938" max="8938" width="10.42578125" customWidth="1"/>
    <col min="9182" max="9182" width="7" customWidth="1"/>
    <col min="9183" max="9183" width="33.140625" customWidth="1"/>
    <col min="9184" max="9184" width="6.42578125" customWidth="1"/>
    <col min="9185" max="9185" width="29" customWidth="1"/>
    <col min="9186" max="9186" width="11.42578125" customWidth="1"/>
    <col min="9187" max="9187" width="10.7109375" customWidth="1"/>
    <col min="9188" max="9188" width="10.85546875" customWidth="1"/>
    <col min="9189" max="9189" width="11.28515625" customWidth="1"/>
    <col min="9191" max="9191" width="9.7109375" customWidth="1"/>
    <col min="9194" max="9194" width="10.42578125" customWidth="1"/>
    <col min="9438" max="9438" width="7" customWidth="1"/>
    <col min="9439" max="9439" width="33.140625" customWidth="1"/>
    <col min="9440" max="9440" width="6.42578125" customWidth="1"/>
    <col min="9441" max="9441" width="29" customWidth="1"/>
    <col min="9442" max="9442" width="11.42578125" customWidth="1"/>
    <col min="9443" max="9443" width="10.7109375" customWidth="1"/>
    <col min="9444" max="9444" width="10.85546875" customWidth="1"/>
    <col min="9445" max="9445" width="11.28515625" customWidth="1"/>
    <col min="9447" max="9447" width="9.7109375" customWidth="1"/>
    <col min="9450" max="9450" width="10.42578125" customWidth="1"/>
    <col min="9694" max="9694" width="7" customWidth="1"/>
    <col min="9695" max="9695" width="33.140625" customWidth="1"/>
    <col min="9696" max="9696" width="6.42578125" customWidth="1"/>
    <col min="9697" max="9697" width="29" customWidth="1"/>
    <col min="9698" max="9698" width="11.42578125" customWidth="1"/>
    <col min="9699" max="9699" width="10.7109375" customWidth="1"/>
    <col min="9700" max="9700" width="10.85546875" customWidth="1"/>
    <col min="9701" max="9701" width="11.28515625" customWidth="1"/>
    <col min="9703" max="9703" width="9.7109375" customWidth="1"/>
    <col min="9706" max="9706" width="10.42578125" customWidth="1"/>
    <col min="9950" max="9950" width="7" customWidth="1"/>
    <col min="9951" max="9951" width="33.140625" customWidth="1"/>
    <col min="9952" max="9952" width="6.42578125" customWidth="1"/>
    <col min="9953" max="9953" width="29" customWidth="1"/>
    <col min="9954" max="9954" width="11.42578125" customWidth="1"/>
    <col min="9955" max="9955" width="10.7109375" customWidth="1"/>
    <col min="9956" max="9956" width="10.85546875" customWidth="1"/>
    <col min="9957" max="9957" width="11.28515625" customWidth="1"/>
    <col min="9959" max="9959" width="9.7109375" customWidth="1"/>
    <col min="9962" max="9962" width="10.42578125" customWidth="1"/>
    <col min="10206" max="10206" width="7" customWidth="1"/>
    <col min="10207" max="10207" width="33.140625" customWidth="1"/>
    <col min="10208" max="10208" width="6.42578125" customWidth="1"/>
    <col min="10209" max="10209" width="29" customWidth="1"/>
    <col min="10210" max="10210" width="11.42578125" customWidth="1"/>
    <col min="10211" max="10211" width="10.7109375" customWidth="1"/>
    <col min="10212" max="10212" width="10.85546875" customWidth="1"/>
    <col min="10213" max="10213" width="11.28515625" customWidth="1"/>
    <col min="10215" max="10215" width="9.7109375" customWidth="1"/>
    <col min="10218" max="10218" width="10.42578125" customWidth="1"/>
    <col min="10462" max="10462" width="7" customWidth="1"/>
    <col min="10463" max="10463" width="33.140625" customWidth="1"/>
    <col min="10464" max="10464" width="6.42578125" customWidth="1"/>
    <col min="10465" max="10465" width="29" customWidth="1"/>
    <col min="10466" max="10466" width="11.42578125" customWidth="1"/>
    <col min="10467" max="10467" width="10.7109375" customWidth="1"/>
    <col min="10468" max="10468" width="10.85546875" customWidth="1"/>
    <col min="10469" max="10469" width="11.28515625" customWidth="1"/>
    <col min="10471" max="10471" width="9.7109375" customWidth="1"/>
    <col min="10474" max="10474" width="10.42578125" customWidth="1"/>
    <col min="10718" max="10718" width="7" customWidth="1"/>
    <col min="10719" max="10719" width="33.140625" customWidth="1"/>
    <col min="10720" max="10720" width="6.42578125" customWidth="1"/>
    <col min="10721" max="10721" width="29" customWidth="1"/>
    <col min="10722" max="10722" width="11.42578125" customWidth="1"/>
    <col min="10723" max="10723" width="10.7109375" customWidth="1"/>
    <col min="10724" max="10724" width="10.85546875" customWidth="1"/>
    <col min="10725" max="10725" width="11.28515625" customWidth="1"/>
    <col min="10727" max="10727" width="9.7109375" customWidth="1"/>
    <col min="10730" max="10730" width="10.42578125" customWidth="1"/>
    <col min="10974" max="10974" width="7" customWidth="1"/>
    <col min="10975" max="10975" width="33.140625" customWidth="1"/>
    <col min="10976" max="10976" width="6.42578125" customWidth="1"/>
    <col min="10977" max="10977" width="29" customWidth="1"/>
    <col min="10978" max="10978" width="11.42578125" customWidth="1"/>
    <col min="10979" max="10979" width="10.7109375" customWidth="1"/>
    <col min="10980" max="10980" width="10.85546875" customWidth="1"/>
    <col min="10981" max="10981" width="11.28515625" customWidth="1"/>
    <col min="10983" max="10983" width="9.7109375" customWidth="1"/>
    <col min="10986" max="10986" width="10.42578125" customWidth="1"/>
    <col min="11230" max="11230" width="7" customWidth="1"/>
    <col min="11231" max="11231" width="33.140625" customWidth="1"/>
    <col min="11232" max="11232" width="6.42578125" customWidth="1"/>
    <col min="11233" max="11233" width="29" customWidth="1"/>
    <col min="11234" max="11234" width="11.42578125" customWidth="1"/>
    <col min="11235" max="11235" width="10.7109375" customWidth="1"/>
    <col min="11236" max="11236" width="10.85546875" customWidth="1"/>
    <col min="11237" max="11237" width="11.28515625" customWidth="1"/>
    <col min="11239" max="11239" width="9.7109375" customWidth="1"/>
    <col min="11242" max="11242" width="10.42578125" customWidth="1"/>
    <col min="11486" max="11486" width="7" customWidth="1"/>
    <col min="11487" max="11487" width="33.140625" customWidth="1"/>
    <col min="11488" max="11488" width="6.42578125" customWidth="1"/>
    <col min="11489" max="11489" width="29" customWidth="1"/>
    <col min="11490" max="11490" width="11.42578125" customWidth="1"/>
    <col min="11491" max="11491" width="10.7109375" customWidth="1"/>
    <col min="11492" max="11492" width="10.85546875" customWidth="1"/>
    <col min="11493" max="11493" width="11.28515625" customWidth="1"/>
    <col min="11495" max="11495" width="9.7109375" customWidth="1"/>
    <col min="11498" max="11498" width="10.42578125" customWidth="1"/>
    <col min="11742" max="11742" width="7" customWidth="1"/>
    <col min="11743" max="11743" width="33.140625" customWidth="1"/>
    <col min="11744" max="11744" width="6.42578125" customWidth="1"/>
    <col min="11745" max="11745" width="29" customWidth="1"/>
    <col min="11746" max="11746" width="11.42578125" customWidth="1"/>
    <col min="11747" max="11747" width="10.7109375" customWidth="1"/>
    <col min="11748" max="11748" width="10.85546875" customWidth="1"/>
    <col min="11749" max="11749" width="11.28515625" customWidth="1"/>
    <col min="11751" max="11751" width="9.7109375" customWidth="1"/>
    <col min="11754" max="11754" width="10.42578125" customWidth="1"/>
    <col min="11998" max="11998" width="7" customWidth="1"/>
    <col min="11999" max="11999" width="33.140625" customWidth="1"/>
    <col min="12000" max="12000" width="6.42578125" customWidth="1"/>
    <col min="12001" max="12001" width="29" customWidth="1"/>
    <col min="12002" max="12002" width="11.42578125" customWidth="1"/>
    <col min="12003" max="12003" width="10.7109375" customWidth="1"/>
    <col min="12004" max="12004" width="10.85546875" customWidth="1"/>
    <col min="12005" max="12005" width="11.28515625" customWidth="1"/>
    <col min="12007" max="12007" width="9.7109375" customWidth="1"/>
    <col min="12010" max="12010" width="10.42578125" customWidth="1"/>
    <col min="12254" max="12254" width="7" customWidth="1"/>
    <col min="12255" max="12255" width="33.140625" customWidth="1"/>
    <col min="12256" max="12256" width="6.42578125" customWidth="1"/>
    <col min="12257" max="12257" width="29" customWidth="1"/>
    <col min="12258" max="12258" width="11.42578125" customWidth="1"/>
    <col min="12259" max="12259" width="10.7109375" customWidth="1"/>
    <col min="12260" max="12260" width="10.85546875" customWidth="1"/>
    <col min="12261" max="12261" width="11.28515625" customWidth="1"/>
    <col min="12263" max="12263" width="9.7109375" customWidth="1"/>
    <col min="12266" max="12266" width="10.42578125" customWidth="1"/>
    <col min="12510" max="12510" width="7" customWidth="1"/>
    <col min="12511" max="12511" width="33.140625" customWidth="1"/>
    <col min="12512" max="12512" width="6.42578125" customWidth="1"/>
    <col min="12513" max="12513" width="29" customWidth="1"/>
    <col min="12514" max="12514" width="11.42578125" customWidth="1"/>
    <col min="12515" max="12515" width="10.7109375" customWidth="1"/>
    <col min="12516" max="12516" width="10.85546875" customWidth="1"/>
    <col min="12517" max="12517" width="11.28515625" customWidth="1"/>
    <col min="12519" max="12519" width="9.7109375" customWidth="1"/>
    <col min="12522" max="12522" width="10.42578125" customWidth="1"/>
    <col min="12766" max="12766" width="7" customWidth="1"/>
    <col min="12767" max="12767" width="33.140625" customWidth="1"/>
    <col min="12768" max="12768" width="6.42578125" customWidth="1"/>
    <col min="12769" max="12769" width="29" customWidth="1"/>
    <col min="12770" max="12770" width="11.42578125" customWidth="1"/>
    <col min="12771" max="12771" width="10.7109375" customWidth="1"/>
    <col min="12772" max="12772" width="10.85546875" customWidth="1"/>
    <col min="12773" max="12773" width="11.28515625" customWidth="1"/>
    <col min="12775" max="12775" width="9.7109375" customWidth="1"/>
    <col min="12778" max="12778" width="10.42578125" customWidth="1"/>
    <col min="13022" max="13022" width="7" customWidth="1"/>
    <col min="13023" max="13023" width="33.140625" customWidth="1"/>
    <col min="13024" max="13024" width="6.42578125" customWidth="1"/>
    <col min="13025" max="13025" width="29" customWidth="1"/>
    <col min="13026" max="13026" width="11.42578125" customWidth="1"/>
    <col min="13027" max="13027" width="10.7109375" customWidth="1"/>
    <col min="13028" max="13028" width="10.85546875" customWidth="1"/>
    <col min="13029" max="13029" width="11.28515625" customWidth="1"/>
    <col min="13031" max="13031" width="9.7109375" customWidth="1"/>
    <col min="13034" max="13034" width="10.42578125" customWidth="1"/>
    <col min="13278" max="13278" width="7" customWidth="1"/>
    <col min="13279" max="13279" width="33.140625" customWidth="1"/>
    <col min="13280" max="13280" width="6.42578125" customWidth="1"/>
    <col min="13281" max="13281" width="29" customWidth="1"/>
    <col min="13282" max="13282" width="11.42578125" customWidth="1"/>
    <col min="13283" max="13283" width="10.7109375" customWidth="1"/>
    <col min="13284" max="13284" width="10.85546875" customWidth="1"/>
    <col min="13285" max="13285" width="11.28515625" customWidth="1"/>
    <col min="13287" max="13287" width="9.7109375" customWidth="1"/>
    <col min="13290" max="13290" width="10.42578125" customWidth="1"/>
    <col min="13534" max="13534" width="7" customWidth="1"/>
    <col min="13535" max="13535" width="33.140625" customWidth="1"/>
    <col min="13536" max="13536" width="6.42578125" customWidth="1"/>
    <col min="13537" max="13537" width="29" customWidth="1"/>
    <col min="13538" max="13538" width="11.42578125" customWidth="1"/>
    <col min="13539" max="13539" width="10.7109375" customWidth="1"/>
    <col min="13540" max="13540" width="10.85546875" customWidth="1"/>
    <col min="13541" max="13541" width="11.28515625" customWidth="1"/>
    <col min="13543" max="13543" width="9.7109375" customWidth="1"/>
    <col min="13546" max="13546" width="10.42578125" customWidth="1"/>
    <col min="13790" max="13790" width="7" customWidth="1"/>
    <col min="13791" max="13791" width="33.140625" customWidth="1"/>
    <col min="13792" max="13792" width="6.42578125" customWidth="1"/>
    <col min="13793" max="13793" width="29" customWidth="1"/>
    <col min="13794" max="13794" width="11.42578125" customWidth="1"/>
    <col min="13795" max="13795" width="10.7109375" customWidth="1"/>
    <col min="13796" max="13796" width="10.85546875" customWidth="1"/>
    <col min="13797" max="13797" width="11.28515625" customWidth="1"/>
    <col min="13799" max="13799" width="9.7109375" customWidth="1"/>
    <col min="13802" max="13802" width="10.42578125" customWidth="1"/>
    <col min="14046" max="14046" width="7" customWidth="1"/>
    <col min="14047" max="14047" width="33.140625" customWidth="1"/>
    <col min="14048" max="14048" width="6.42578125" customWidth="1"/>
    <col min="14049" max="14049" width="29" customWidth="1"/>
    <col min="14050" max="14050" width="11.42578125" customWidth="1"/>
    <col min="14051" max="14051" width="10.7109375" customWidth="1"/>
    <col min="14052" max="14052" width="10.85546875" customWidth="1"/>
    <col min="14053" max="14053" width="11.28515625" customWidth="1"/>
    <col min="14055" max="14055" width="9.7109375" customWidth="1"/>
    <col min="14058" max="14058" width="10.42578125" customWidth="1"/>
    <col min="14302" max="14302" width="7" customWidth="1"/>
    <col min="14303" max="14303" width="33.140625" customWidth="1"/>
    <col min="14304" max="14304" width="6.42578125" customWidth="1"/>
    <col min="14305" max="14305" width="29" customWidth="1"/>
    <col min="14306" max="14306" width="11.42578125" customWidth="1"/>
    <col min="14307" max="14307" width="10.7109375" customWidth="1"/>
    <col min="14308" max="14308" width="10.85546875" customWidth="1"/>
    <col min="14309" max="14309" width="11.28515625" customWidth="1"/>
    <col min="14311" max="14311" width="9.7109375" customWidth="1"/>
    <col min="14314" max="14314" width="10.42578125" customWidth="1"/>
    <col min="14558" max="14558" width="7" customWidth="1"/>
    <col min="14559" max="14559" width="33.140625" customWidth="1"/>
    <col min="14560" max="14560" width="6.42578125" customWidth="1"/>
    <col min="14561" max="14561" width="29" customWidth="1"/>
    <col min="14562" max="14562" width="11.42578125" customWidth="1"/>
    <col min="14563" max="14563" width="10.7109375" customWidth="1"/>
    <col min="14564" max="14564" width="10.85546875" customWidth="1"/>
    <col min="14565" max="14565" width="11.28515625" customWidth="1"/>
    <col min="14567" max="14567" width="9.7109375" customWidth="1"/>
    <col min="14570" max="14570" width="10.42578125" customWidth="1"/>
    <col min="14814" max="14814" width="7" customWidth="1"/>
    <col min="14815" max="14815" width="33.140625" customWidth="1"/>
    <col min="14816" max="14816" width="6.42578125" customWidth="1"/>
    <col min="14817" max="14817" width="29" customWidth="1"/>
    <col min="14818" max="14818" width="11.42578125" customWidth="1"/>
    <col min="14819" max="14819" width="10.7109375" customWidth="1"/>
    <col min="14820" max="14820" width="10.85546875" customWidth="1"/>
    <col min="14821" max="14821" width="11.28515625" customWidth="1"/>
    <col min="14823" max="14823" width="9.7109375" customWidth="1"/>
    <col min="14826" max="14826" width="10.42578125" customWidth="1"/>
    <col min="15070" max="15070" width="7" customWidth="1"/>
    <col min="15071" max="15071" width="33.140625" customWidth="1"/>
    <col min="15072" max="15072" width="6.42578125" customWidth="1"/>
    <col min="15073" max="15073" width="29" customWidth="1"/>
    <col min="15074" max="15074" width="11.42578125" customWidth="1"/>
    <col min="15075" max="15075" width="10.7109375" customWidth="1"/>
    <col min="15076" max="15076" width="10.85546875" customWidth="1"/>
    <col min="15077" max="15077" width="11.28515625" customWidth="1"/>
    <col min="15079" max="15079" width="9.7109375" customWidth="1"/>
    <col min="15082" max="15082" width="10.42578125" customWidth="1"/>
    <col min="15326" max="15326" width="7" customWidth="1"/>
    <col min="15327" max="15327" width="33.140625" customWidth="1"/>
    <col min="15328" max="15328" width="6.42578125" customWidth="1"/>
    <col min="15329" max="15329" width="29" customWidth="1"/>
    <col min="15330" max="15330" width="11.42578125" customWidth="1"/>
    <col min="15331" max="15331" width="10.7109375" customWidth="1"/>
    <col min="15332" max="15332" width="10.85546875" customWidth="1"/>
    <col min="15333" max="15333" width="11.28515625" customWidth="1"/>
    <col min="15335" max="15335" width="9.7109375" customWidth="1"/>
    <col min="15338" max="15338" width="10.42578125" customWidth="1"/>
    <col min="15582" max="15582" width="7" customWidth="1"/>
    <col min="15583" max="15583" width="33.140625" customWidth="1"/>
    <col min="15584" max="15584" width="6.42578125" customWidth="1"/>
    <col min="15585" max="15585" width="29" customWidth="1"/>
    <col min="15586" max="15586" width="11.42578125" customWidth="1"/>
    <col min="15587" max="15587" width="10.7109375" customWidth="1"/>
    <col min="15588" max="15588" width="10.85546875" customWidth="1"/>
    <col min="15589" max="15589" width="11.28515625" customWidth="1"/>
    <col min="15591" max="15591" width="9.7109375" customWidth="1"/>
    <col min="15594" max="15594" width="10.42578125" customWidth="1"/>
    <col min="15838" max="15838" width="7" customWidth="1"/>
    <col min="15839" max="15839" width="33.140625" customWidth="1"/>
    <col min="15840" max="15840" width="6.42578125" customWidth="1"/>
    <col min="15841" max="15841" width="29" customWidth="1"/>
    <col min="15842" max="15842" width="11.42578125" customWidth="1"/>
    <col min="15843" max="15843" width="10.7109375" customWidth="1"/>
    <col min="15844" max="15844" width="10.85546875" customWidth="1"/>
    <col min="15845" max="15845" width="11.28515625" customWidth="1"/>
    <col min="15847" max="15847" width="9.7109375" customWidth="1"/>
    <col min="15850" max="15850" width="10.42578125" customWidth="1"/>
    <col min="16094" max="16094" width="7" customWidth="1"/>
    <col min="16095" max="16095" width="33.140625" customWidth="1"/>
    <col min="16096" max="16096" width="6.42578125" customWidth="1"/>
    <col min="16097" max="16097" width="29" customWidth="1"/>
    <col min="16098" max="16098" width="11.42578125" customWidth="1"/>
    <col min="16099" max="16099" width="10.7109375" customWidth="1"/>
    <col min="16100" max="16100" width="10.85546875" customWidth="1"/>
    <col min="16101" max="16101" width="11.28515625" customWidth="1"/>
    <col min="16103" max="16103" width="9.7109375" customWidth="1"/>
    <col min="16106" max="16106" width="10.42578125" customWidth="1"/>
  </cols>
  <sheetData>
    <row r="1" spans="1:50" ht="15" x14ac:dyDescent="0.25">
      <c r="A1" s="708" t="s">
        <v>2</v>
      </c>
      <c r="B1" s="708"/>
      <c r="C1" s="97"/>
      <c r="D1" s="708"/>
      <c r="E1" s="708"/>
      <c r="F1" s="179"/>
      <c r="G1" s="179"/>
      <c r="H1" s="179"/>
      <c r="I1" s="709"/>
      <c r="J1" s="181"/>
      <c r="K1" s="181"/>
      <c r="L1" s="181"/>
      <c r="M1" s="181"/>
      <c r="N1" s="710"/>
      <c r="O1" s="182"/>
      <c r="P1" s="182"/>
      <c r="Q1" s="182"/>
      <c r="R1" s="112"/>
      <c r="S1" s="112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2"/>
      <c r="AH1" s="542"/>
      <c r="AI1" s="542"/>
      <c r="AJ1" s="113"/>
      <c r="AK1" s="113"/>
      <c r="AL1" s="113"/>
      <c r="AM1" s="113"/>
      <c r="AN1" s="113"/>
      <c r="AO1" s="112"/>
      <c r="AP1" s="112"/>
      <c r="AQ1" s="112"/>
      <c r="AR1" s="112"/>
      <c r="AS1" s="112"/>
      <c r="AT1" s="113"/>
      <c r="AU1" s="113"/>
      <c r="AV1" s="113"/>
      <c r="AW1" s="113"/>
    </row>
    <row r="2" spans="1:50" ht="15" x14ac:dyDescent="0.25">
      <c r="A2" s="708" t="s">
        <v>3</v>
      </c>
      <c r="B2" s="708"/>
      <c r="C2" s="97"/>
      <c r="D2" s="708"/>
      <c r="E2" s="708"/>
      <c r="F2" s="179"/>
      <c r="G2" s="179"/>
      <c r="H2" s="179"/>
      <c r="I2" s="543"/>
      <c r="J2" s="543"/>
      <c r="K2" s="543"/>
      <c r="L2" s="543"/>
      <c r="M2" s="543"/>
      <c r="N2" s="544"/>
      <c r="O2" s="544"/>
      <c r="P2" s="544"/>
      <c r="Q2" s="543"/>
      <c r="R2" s="543"/>
      <c r="S2" s="543"/>
      <c r="T2" s="543"/>
      <c r="U2" s="543"/>
      <c r="V2" s="543"/>
      <c r="W2" s="543"/>
      <c r="X2" s="543"/>
      <c r="Y2" s="543"/>
      <c r="Z2" s="543"/>
      <c r="AA2" s="543"/>
      <c r="AB2" s="543"/>
      <c r="AC2" s="543"/>
      <c r="AD2" s="543"/>
      <c r="AE2" s="543"/>
      <c r="AF2" s="544"/>
      <c r="AG2" s="544"/>
      <c r="AH2" s="544"/>
      <c r="AI2" s="544"/>
      <c r="AJ2" s="544"/>
      <c r="AK2" s="544"/>
      <c r="AL2" s="544"/>
      <c r="AM2" s="544"/>
      <c r="AN2" s="544"/>
      <c r="AO2" s="543"/>
      <c r="AP2" s="543"/>
      <c r="AQ2" s="543"/>
      <c r="AR2" s="543"/>
      <c r="AS2" s="543"/>
      <c r="AT2" s="544"/>
      <c r="AU2" s="544"/>
      <c r="AV2" s="544"/>
      <c r="AW2" s="113"/>
    </row>
    <row r="3" spans="1:50" ht="12.75" customHeight="1" x14ac:dyDescent="0.25">
      <c r="A3" s="1164" t="s">
        <v>4</v>
      </c>
      <c r="B3" s="1164"/>
      <c r="C3" s="1164"/>
      <c r="D3" s="1164"/>
      <c r="E3" s="1164"/>
      <c r="F3" s="179"/>
      <c r="G3" s="179"/>
      <c r="H3" s="179"/>
      <c r="I3" s="543"/>
      <c r="J3" s="543"/>
      <c r="K3" s="543"/>
      <c r="L3" s="543"/>
      <c r="M3" s="543"/>
      <c r="N3" s="544"/>
      <c r="O3" s="544"/>
      <c r="P3" s="544"/>
      <c r="Q3" s="545"/>
      <c r="R3" s="545"/>
      <c r="S3" s="545"/>
      <c r="T3" s="545"/>
      <c r="U3" s="545"/>
      <c r="V3" s="545"/>
      <c r="W3" s="545"/>
      <c r="X3" s="545"/>
      <c r="Y3" s="546"/>
      <c r="Z3" s="546"/>
      <c r="AA3" s="546"/>
      <c r="AB3" s="547"/>
      <c r="AC3" s="547"/>
      <c r="AD3" s="547"/>
      <c r="AE3" s="546"/>
      <c r="AF3" s="548"/>
      <c r="AG3" s="548"/>
      <c r="AH3" s="548"/>
      <c r="AI3" s="548"/>
      <c r="AJ3" s="548"/>
      <c r="AK3" s="548"/>
      <c r="AL3" s="548"/>
      <c r="AM3" s="548"/>
      <c r="AN3" s="544"/>
      <c r="AO3" s="543"/>
      <c r="AP3" s="543"/>
      <c r="AQ3" s="543"/>
      <c r="AR3" s="543"/>
      <c r="AS3" s="543"/>
      <c r="AT3" s="544"/>
      <c r="AU3" s="544"/>
      <c r="AV3" s="544"/>
      <c r="AW3" s="113"/>
    </row>
    <row r="4" spans="1:50" ht="12.75" customHeight="1" x14ac:dyDescent="0.25">
      <c r="A4" s="183"/>
      <c r="B4" s="708"/>
      <c r="C4" s="708"/>
      <c r="D4" s="708"/>
      <c r="E4" s="708"/>
      <c r="F4" s="179"/>
      <c r="G4" s="179"/>
      <c r="H4" s="179"/>
      <c r="I4" s="543"/>
      <c r="J4" s="543"/>
      <c r="K4" s="543"/>
      <c r="L4" s="543"/>
      <c r="M4" s="543"/>
      <c r="N4" s="544"/>
      <c r="O4" s="544"/>
      <c r="P4" s="544"/>
      <c r="Q4" s="545"/>
      <c r="R4" s="545"/>
      <c r="S4" s="545"/>
      <c r="T4" s="545"/>
      <c r="U4" s="545"/>
      <c r="V4" s="545"/>
      <c r="W4" s="545"/>
      <c r="X4" s="545"/>
      <c r="Y4" s="546"/>
      <c r="Z4" s="546"/>
      <c r="AA4" s="546"/>
      <c r="AB4" s="547"/>
      <c r="AC4" s="547"/>
      <c r="AD4" s="547"/>
      <c r="AE4" s="546"/>
      <c r="AF4" s="548"/>
      <c r="AG4" s="548"/>
      <c r="AH4" s="548"/>
      <c r="AI4" s="548"/>
      <c r="AJ4" s="548"/>
      <c r="AK4" s="548"/>
      <c r="AL4" s="548"/>
      <c r="AM4" s="548"/>
      <c r="AN4" s="544"/>
      <c r="AO4" s="543"/>
      <c r="AP4" s="543"/>
      <c r="AQ4" s="543"/>
      <c r="AR4" s="543"/>
      <c r="AS4" s="543"/>
      <c r="AT4" s="544"/>
      <c r="AU4" s="544"/>
      <c r="AV4" s="544"/>
      <c r="AW4" s="113"/>
    </row>
    <row r="5" spans="1:50" ht="16.5" thickBot="1" x14ac:dyDescent="0.3">
      <c r="A5" s="400" t="s">
        <v>838</v>
      </c>
      <c r="B5" s="163"/>
      <c r="C5" s="163"/>
      <c r="D5" s="163"/>
      <c r="E5" s="177"/>
      <c r="F5" s="177"/>
      <c r="G5" s="177"/>
      <c r="H5" s="177"/>
      <c r="I5" s="549"/>
      <c r="J5" s="549"/>
      <c r="K5" s="549"/>
      <c r="L5" s="549"/>
      <c r="M5" s="549"/>
      <c r="N5" s="550"/>
      <c r="O5" s="550"/>
      <c r="P5" s="550"/>
      <c r="Q5" s="545"/>
      <c r="R5" s="545"/>
      <c r="S5" s="545"/>
      <c r="T5" s="545"/>
      <c r="U5" s="112"/>
      <c r="V5" s="545"/>
      <c r="W5" s="545"/>
      <c r="X5" s="545"/>
      <c r="Y5" s="546"/>
      <c r="Z5" s="546"/>
      <c r="AA5" s="546"/>
      <c r="AB5" s="547"/>
      <c r="AC5" s="547"/>
      <c r="AD5" s="547"/>
      <c r="AE5" s="546"/>
      <c r="AF5" s="113"/>
      <c r="AG5" s="113"/>
      <c r="AH5" s="551"/>
      <c r="AI5" s="551"/>
      <c r="AJ5" s="551"/>
      <c r="AK5" s="551"/>
      <c r="AL5" s="551"/>
      <c r="AM5" s="551"/>
      <c r="AN5" s="550"/>
      <c r="AO5" s="549"/>
      <c r="AP5" s="549"/>
      <c r="AQ5" s="549"/>
      <c r="AR5" s="549"/>
      <c r="AS5" s="549"/>
      <c r="AT5" s="550"/>
      <c r="AU5" s="550"/>
      <c r="AV5" s="550"/>
      <c r="AW5" s="113"/>
    </row>
    <row r="6" spans="1:50" ht="15" x14ac:dyDescent="0.25">
      <c r="A6" s="179"/>
      <c r="B6" s="183"/>
      <c r="C6" s="183"/>
      <c r="D6" s="183"/>
      <c r="E6" s="179"/>
      <c r="F6" s="179"/>
      <c r="G6" s="179"/>
      <c r="H6" s="179"/>
      <c r="I6" s="1158" t="s">
        <v>837</v>
      </c>
      <c r="J6" s="1159"/>
      <c r="K6" s="1159"/>
      <c r="L6" s="1159"/>
      <c r="M6" s="1159"/>
      <c r="N6" s="1159"/>
      <c r="O6" s="1159"/>
      <c r="P6" s="1160"/>
      <c r="Q6" s="1182" t="s">
        <v>839</v>
      </c>
      <c r="R6" s="1183"/>
      <c r="S6" s="1183"/>
      <c r="T6" s="1183"/>
      <c r="U6" s="1183"/>
      <c r="V6" s="1183"/>
      <c r="W6" s="1183"/>
      <c r="X6" s="1183"/>
      <c r="Y6" s="1183"/>
      <c r="Z6" s="1183"/>
      <c r="AA6" s="1183"/>
      <c r="AB6" s="1183"/>
      <c r="AC6" s="1183"/>
      <c r="AD6" s="1183"/>
      <c r="AE6" s="1183"/>
      <c r="AF6" s="1183"/>
      <c r="AG6" s="1183"/>
      <c r="AH6" s="1183"/>
      <c r="AI6" s="1183"/>
      <c r="AJ6" s="1183"/>
      <c r="AK6" s="1183"/>
      <c r="AL6" s="1183"/>
      <c r="AM6" s="1183"/>
      <c r="AN6" s="1184"/>
      <c r="AO6" s="1185" t="s">
        <v>868</v>
      </c>
      <c r="AP6" s="1186"/>
      <c r="AQ6" s="1186"/>
      <c r="AR6" s="1186"/>
      <c r="AS6" s="1186"/>
      <c r="AT6" s="1186"/>
      <c r="AU6" s="1186"/>
      <c r="AV6" s="1186"/>
      <c r="AW6" s="1187"/>
    </row>
    <row r="7" spans="1:50" ht="16.5" customHeight="1" thickBot="1" x14ac:dyDescent="0.3">
      <c r="A7" s="183"/>
      <c r="B7" s="552"/>
      <c r="D7" s="553"/>
      <c r="E7" s="552"/>
      <c r="F7" s="179"/>
      <c r="G7" s="179"/>
      <c r="H7" s="179"/>
      <c r="I7" s="1161"/>
      <c r="J7" s="1162"/>
      <c r="K7" s="1162"/>
      <c r="L7" s="1162"/>
      <c r="M7" s="1162"/>
      <c r="N7" s="1162"/>
      <c r="O7" s="1162"/>
      <c r="P7" s="1163"/>
      <c r="Q7" s="1191" t="s">
        <v>289</v>
      </c>
      <c r="R7" s="1192"/>
      <c r="S7" s="1192"/>
      <c r="T7" s="1192"/>
      <c r="U7" s="1193"/>
      <c r="V7" s="1200" t="s">
        <v>290</v>
      </c>
      <c r="W7" s="1192"/>
      <c r="X7" s="1192"/>
      <c r="Y7" s="1193"/>
      <c r="Z7" s="1165" t="s">
        <v>291</v>
      </c>
      <c r="AA7" s="1165" t="s">
        <v>5</v>
      </c>
      <c r="AB7" s="1165" t="s">
        <v>292</v>
      </c>
      <c r="AC7" s="1203" t="s">
        <v>293</v>
      </c>
      <c r="AD7" s="1204"/>
      <c r="AE7" s="1205"/>
      <c r="AF7" s="1165" t="s">
        <v>315</v>
      </c>
      <c r="AG7" s="1212" t="s">
        <v>294</v>
      </c>
      <c r="AH7" s="1213"/>
      <c r="AI7" s="1213"/>
      <c r="AJ7" s="1213"/>
      <c r="AK7" s="1213"/>
      <c r="AL7" s="1213"/>
      <c r="AM7" s="1213"/>
      <c r="AN7" s="1214"/>
      <c r="AO7" s="1188"/>
      <c r="AP7" s="1189"/>
      <c r="AQ7" s="1189"/>
      <c r="AR7" s="1189"/>
      <c r="AS7" s="1189"/>
      <c r="AT7" s="1189"/>
      <c r="AU7" s="1189"/>
      <c r="AV7" s="1189"/>
      <c r="AW7" s="1190"/>
    </row>
    <row r="8" spans="1:50" ht="19.5" customHeight="1" x14ac:dyDescent="0.25">
      <c r="A8" s="240"/>
      <c r="B8" s="185"/>
      <c r="C8" s="185"/>
      <c r="D8" s="185"/>
      <c r="E8" s="185"/>
      <c r="F8" s="185"/>
      <c r="G8" s="185"/>
      <c r="H8" s="185"/>
      <c r="I8" s="1168" t="s">
        <v>6</v>
      </c>
      <c r="J8" s="1234" t="s">
        <v>827</v>
      </c>
      <c r="K8" s="1235"/>
      <c r="L8" s="1235"/>
      <c r="M8" s="1236"/>
      <c r="N8" s="1177" t="s">
        <v>286</v>
      </c>
      <c r="O8" s="1234" t="s">
        <v>828</v>
      </c>
      <c r="P8" s="1240"/>
      <c r="Q8" s="1194"/>
      <c r="R8" s="1233"/>
      <c r="S8" s="1233"/>
      <c r="T8" s="1233"/>
      <c r="U8" s="1196"/>
      <c r="V8" s="1201"/>
      <c r="W8" s="1233"/>
      <c r="X8" s="1233"/>
      <c r="Y8" s="1196"/>
      <c r="Z8" s="1166"/>
      <c r="AA8" s="1166"/>
      <c r="AB8" s="1166"/>
      <c r="AC8" s="1206"/>
      <c r="AD8" s="1242"/>
      <c r="AE8" s="1208"/>
      <c r="AF8" s="1166"/>
      <c r="AG8" s="1215" t="s">
        <v>295</v>
      </c>
      <c r="AH8" s="1216"/>
      <c r="AI8" s="1231" t="s">
        <v>296</v>
      </c>
      <c r="AJ8" s="1215" t="s">
        <v>297</v>
      </c>
      <c r="AK8" s="1216"/>
      <c r="AL8" s="1219" t="s">
        <v>298</v>
      </c>
      <c r="AM8" s="1220"/>
      <c r="AN8" s="1221"/>
      <c r="AO8" s="1168" t="s">
        <v>6</v>
      </c>
      <c r="AP8" s="1243" t="s">
        <v>827</v>
      </c>
      <c r="AQ8" s="1244"/>
      <c r="AR8" s="1244"/>
      <c r="AS8" s="1244"/>
      <c r="AT8" s="1245"/>
      <c r="AU8" s="1177" t="s">
        <v>286</v>
      </c>
      <c r="AV8" s="1234" t="s">
        <v>829</v>
      </c>
      <c r="AW8" s="1240"/>
    </row>
    <row r="9" spans="1:50" ht="13.5" thickBot="1" x14ac:dyDescent="0.25">
      <c r="A9" s="554" t="s">
        <v>820</v>
      </c>
      <c r="D9" s="554"/>
      <c r="F9" s="186"/>
      <c r="G9" s="555"/>
      <c r="H9" s="555"/>
      <c r="I9" s="1169"/>
      <c r="J9" s="1237"/>
      <c r="K9" s="1238"/>
      <c r="L9" s="1238"/>
      <c r="M9" s="1239"/>
      <c r="N9" s="1178"/>
      <c r="O9" s="1237"/>
      <c r="P9" s="1241"/>
      <c r="Q9" s="1197"/>
      <c r="R9" s="1198"/>
      <c r="S9" s="1198"/>
      <c r="T9" s="1198"/>
      <c r="U9" s="1199"/>
      <c r="V9" s="1202"/>
      <c r="W9" s="1198"/>
      <c r="X9" s="1198"/>
      <c r="Y9" s="1199"/>
      <c r="Z9" s="1166"/>
      <c r="AA9" s="1166"/>
      <c r="AB9" s="1166"/>
      <c r="AC9" s="1209"/>
      <c r="AD9" s="1210"/>
      <c r="AE9" s="1211"/>
      <c r="AF9" s="1166"/>
      <c r="AG9" s="1217"/>
      <c r="AH9" s="1218"/>
      <c r="AI9" s="1232"/>
      <c r="AJ9" s="1217"/>
      <c r="AK9" s="1218"/>
      <c r="AL9" s="1222"/>
      <c r="AM9" s="1223"/>
      <c r="AN9" s="1224"/>
      <c r="AO9" s="1169"/>
      <c r="AP9" s="1246"/>
      <c r="AQ9" s="1247"/>
      <c r="AR9" s="1247"/>
      <c r="AS9" s="1247"/>
      <c r="AT9" s="1248"/>
      <c r="AU9" s="1178"/>
      <c r="AV9" s="1237"/>
      <c r="AW9" s="1241"/>
    </row>
    <row r="10" spans="1:50" ht="34.5" customHeight="1" thickBot="1" x14ac:dyDescent="0.25">
      <c r="A10" s="189" t="s">
        <v>800</v>
      </c>
      <c r="B10" s="190" t="s">
        <v>566</v>
      </c>
      <c r="C10" s="190" t="s">
        <v>567</v>
      </c>
      <c r="D10" s="190" t="s">
        <v>270</v>
      </c>
      <c r="E10" s="310" t="s">
        <v>802</v>
      </c>
      <c r="F10" s="190" t="s">
        <v>0</v>
      </c>
      <c r="G10" s="594" t="s">
        <v>271</v>
      </c>
      <c r="H10" s="74" t="s">
        <v>282</v>
      </c>
      <c r="I10" s="1170"/>
      <c r="J10" s="75" t="s">
        <v>280</v>
      </c>
      <c r="K10" s="76" t="s">
        <v>5</v>
      </c>
      <c r="L10" s="76" t="s">
        <v>1</v>
      </c>
      <c r="M10" s="76" t="s">
        <v>7</v>
      </c>
      <c r="N10" s="1179"/>
      <c r="O10" s="711" t="s">
        <v>287</v>
      </c>
      <c r="P10" s="712" t="s">
        <v>288</v>
      </c>
      <c r="Q10" s="483" t="s">
        <v>299</v>
      </c>
      <c r="R10" s="81" t="s">
        <v>296</v>
      </c>
      <c r="S10" s="81" t="s">
        <v>815</v>
      </c>
      <c r="T10" s="81" t="s">
        <v>297</v>
      </c>
      <c r="U10" s="81" t="s">
        <v>791</v>
      </c>
      <c r="V10" s="85" t="s">
        <v>300</v>
      </c>
      <c r="W10" s="81" t="s">
        <v>826</v>
      </c>
      <c r="X10" s="85" t="s">
        <v>301</v>
      </c>
      <c r="Y10" s="81" t="s">
        <v>792</v>
      </c>
      <c r="Z10" s="1167"/>
      <c r="AA10" s="1167"/>
      <c r="AB10" s="1167"/>
      <c r="AC10" s="81" t="s">
        <v>296</v>
      </c>
      <c r="AD10" s="81" t="s">
        <v>302</v>
      </c>
      <c r="AE10" s="81" t="s">
        <v>793</v>
      </c>
      <c r="AF10" s="1167"/>
      <c r="AG10" s="713" t="s">
        <v>287</v>
      </c>
      <c r="AH10" s="714" t="s">
        <v>288</v>
      </c>
      <c r="AI10" s="713" t="s">
        <v>287</v>
      </c>
      <c r="AJ10" s="713" t="s">
        <v>287</v>
      </c>
      <c r="AK10" s="714" t="s">
        <v>288</v>
      </c>
      <c r="AL10" s="713" t="s">
        <v>287</v>
      </c>
      <c r="AM10" s="714" t="s">
        <v>288</v>
      </c>
      <c r="AN10" s="715" t="s">
        <v>311</v>
      </c>
      <c r="AO10" s="1170"/>
      <c r="AP10" s="79" t="s">
        <v>280</v>
      </c>
      <c r="AQ10" s="80" t="s">
        <v>290</v>
      </c>
      <c r="AR10" s="76" t="s">
        <v>5</v>
      </c>
      <c r="AS10" s="76" t="s">
        <v>1</v>
      </c>
      <c r="AT10" s="76" t="s">
        <v>7</v>
      </c>
      <c r="AU10" s="1179"/>
      <c r="AV10" s="711" t="s">
        <v>287</v>
      </c>
      <c r="AW10" s="712" t="s">
        <v>288</v>
      </c>
    </row>
    <row r="11" spans="1:50" s="247" customFormat="1" ht="11.25" customHeight="1" thickBot="1" x14ac:dyDescent="0.25">
      <c r="A11" s="263" t="s">
        <v>568</v>
      </c>
      <c r="B11" s="264" t="s">
        <v>569</v>
      </c>
      <c r="C11" s="264" t="s">
        <v>272</v>
      </c>
      <c r="D11" s="264" t="s">
        <v>273</v>
      </c>
      <c r="E11" s="264" t="s">
        <v>570</v>
      </c>
      <c r="F11" s="264" t="s">
        <v>0</v>
      </c>
      <c r="G11" s="264" t="s">
        <v>571</v>
      </c>
      <c r="H11" s="265" t="s">
        <v>796</v>
      </c>
      <c r="I11" s="266" t="s">
        <v>274</v>
      </c>
      <c r="J11" s="267" t="s">
        <v>275</v>
      </c>
      <c r="K11" s="267" t="s">
        <v>276</v>
      </c>
      <c r="L11" s="267" t="s">
        <v>277</v>
      </c>
      <c r="M11" s="267" t="s">
        <v>278</v>
      </c>
      <c r="N11" s="481" t="s">
        <v>279</v>
      </c>
      <c r="O11" s="481" t="s">
        <v>572</v>
      </c>
      <c r="P11" s="482" t="s">
        <v>573</v>
      </c>
      <c r="Q11" s="272" t="s">
        <v>303</v>
      </c>
      <c r="R11" s="484" t="s">
        <v>303</v>
      </c>
      <c r="S11" s="273" t="s">
        <v>303</v>
      </c>
      <c r="T11" s="273" t="s">
        <v>303</v>
      </c>
      <c r="U11" s="273" t="s">
        <v>303</v>
      </c>
      <c r="V11" s="273" t="s">
        <v>304</v>
      </c>
      <c r="W11" s="273" t="s">
        <v>304</v>
      </c>
      <c r="X11" s="273" t="s">
        <v>305</v>
      </c>
      <c r="Y11" s="273" t="s">
        <v>304</v>
      </c>
      <c r="Z11" s="273" t="s">
        <v>306</v>
      </c>
      <c r="AA11" s="273" t="s">
        <v>307</v>
      </c>
      <c r="AB11" s="273" t="s">
        <v>308</v>
      </c>
      <c r="AC11" s="273" t="s">
        <v>310</v>
      </c>
      <c r="AD11" s="273" t="s">
        <v>309</v>
      </c>
      <c r="AE11" s="273" t="s">
        <v>309</v>
      </c>
      <c r="AF11" s="273" t="s">
        <v>316</v>
      </c>
      <c r="AG11" s="481" t="s">
        <v>312</v>
      </c>
      <c r="AH11" s="481" t="s">
        <v>313</v>
      </c>
      <c r="AI11" s="481" t="s">
        <v>312</v>
      </c>
      <c r="AJ11" s="481" t="s">
        <v>312</v>
      </c>
      <c r="AK11" s="481" t="s">
        <v>313</v>
      </c>
      <c r="AL11" s="481" t="s">
        <v>312</v>
      </c>
      <c r="AM11" s="481" t="s">
        <v>313</v>
      </c>
      <c r="AN11" s="482" t="s">
        <v>314</v>
      </c>
      <c r="AO11" s="272" t="s">
        <v>274</v>
      </c>
      <c r="AP11" s="273" t="s">
        <v>275</v>
      </c>
      <c r="AQ11" s="273" t="s">
        <v>281</v>
      </c>
      <c r="AR11" s="273" t="s">
        <v>276</v>
      </c>
      <c r="AS11" s="273" t="s">
        <v>277</v>
      </c>
      <c r="AT11" s="273" t="s">
        <v>278</v>
      </c>
      <c r="AU11" s="274" t="s">
        <v>279</v>
      </c>
      <c r="AV11" s="274" t="s">
        <v>572</v>
      </c>
      <c r="AW11" s="348" t="s">
        <v>573</v>
      </c>
    </row>
    <row r="12" spans="1:50" ht="13.5" customHeight="1" thickBot="1" x14ac:dyDescent="0.25">
      <c r="A12" s="595">
        <v>1</v>
      </c>
      <c r="B12" s="596">
        <v>3475</v>
      </c>
      <c r="C12" s="596">
        <v>691008604</v>
      </c>
      <c r="D12" s="596">
        <v>4624548</v>
      </c>
      <c r="E12" s="597" t="s">
        <v>120</v>
      </c>
      <c r="F12" s="596">
        <v>3111</v>
      </c>
      <c r="G12" s="598" t="s">
        <v>317</v>
      </c>
      <c r="H12" s="599" t="s">
        <v>283</v>
      </c>
      <c r="I12" s="575">
        <f>SUM(J12:M12)</f>
        <v>3353281</v>
      </c>
      <c r="J12" s="496">
        <v>2452711</v>
      </c>
      <c r="K12" s="131">
        <f>ROUND((J12)*33.8%,0)</f>
        <v>829016</v>
      </c>
      <c r="L12" s="131">
        <f>ROUND(J12*2%,0)</f>
        <v>49054</v>
      </c>
      <c r="M12" s="496">
        <v>22500</v>
      </c>
      <c r="N12" s="618">
        <f t="shared" ref="N12:N14" si="0">SUM(O12:P12)</f>
        <v>5.5542999999999996</v>
      </c>
      <c r="O12" s="619">
        <v>4.0644999999999998</v>
      </c>
      <c r="P12" s="622">
        <v>1.4898</v>
      </c>
      <c r="Q12" s="564">
        <f>V12*-1</f>
        <v>0</v>
      </c>
      <c r="R12" s="565">
        <v>0</v>
      </c>
      <c r="S12" s="565">
        <v>0</v>
      </c>
      <c r="T12" s="565">
        <v>0</v>
      </c>
      <c r="U12" s="565">
        <f>SUM(Q12:T12)</f>
        <v>0</v>
      </c>
      <c r="V12" s="565">
        <v>0</v>
      </c>
      <c r="W12" s="565">
        <v>0</v>
      </c>
      <c r="X12" s="565">
        <v>0</v>
      </c>
      <c r="Y12" s="565">
        <f>SUM(V12:X12)</f>
        <v>0</v>
      </c>
      <c r="Z12" s="565">
        <f>U12+Y12</f>
        <v>0</v>
      </c>
      <c r="AA12" s="280">
        <f>ROUND((U12+V12+W12)*33.8%,0)</f>
        <v>0</v>
      </c>
      <c r="AB12" s="280">
        <f>ROUND(U12*2%,0)</f>
        <v>0</v>
      </c>
      <c r="AC12" s="565">
        <v>0</v>
      </c>
      <c r="AD12" s="565">
        <v>0</v>
      </c>
      <c r="AE12" s="565">
        <f>SUM(AC12:AD12)</f>
        <v>0</v>
      </c>
      <c r="AF12" s="565">
        <f>Z12+AA12+AB12+AE12</f>
        <v>0</v>
      </c>
      <c r="AG12" s="610">
        <v>0</v>
      </c>
      <c r="AH12" s="610">
        <v>0</v>
      </c>
      <c r="AI12" s="610">
        <v>0</v>
      </c>
      <c r="AJ12" s="610">
        <v>0</v>
      </c>
      <c r="AK12" s="610">
        <v>0</v>
      </c>
      <c r="AL12" s="610">
        <f t="shared" ref="AL12:AL14" si="1">AG12+AI12+AJ12</f>
        <v>0</v>
      </c>
      <c r="AM12" s="610">
        <f t="shared" ref="AM12:AM14" si="2">AH12+AK12</f>
        <v>0</v>
      </c>
      <c r="AN12" s="621">
        <f t="shared" ref="AN12:AN14" si="3">SUM(AL12:AM12)</f>
        <v>0</v>
      </c>
      <c r="AO12" s="564">
        <f>I12+AF12</f>
        <v>3353281</v>
      </c>
      <c r="AP12" s="565">
        <f>J12+U12</f>
        <v>2452711</v>
      </c>
      <c r="AQ12" s="565">
        <f>Y12</f>
        <v>0</v>
      </c>
      <c r="AR12" s="565">
        <f>K12+AA12</f>
        <v>829016</v>
      </c>
      <c r="AS12" s="565">
        <f>L12+AB12</f>
        <v>49054</v>
      </c>
      <c r="AT12" s="565">
        <f>M12+AE12</f>
        <v>22500</v>
      </c>
      <c r="AU12" s="566">
        <f>N12+AN12</f>
        <v>5.5542999999999996</v>
      </c>
      <c r="AV12" s="566">
        <f>O12+AL12</f>
        <v>4.0644999999999998</v>
      </c>
      <c r="AW12" s="568">
        <f>P12+AM12</f>
        <v>1.4898</v>
      </c>
      <c r="AX12" s="16"/>
    </row>
    <row r="13" spans="1:50" ht="13.5" customHeight="1" x14ac:dyDescent="0.2">
      <c r="A13" s="525">
        <v>1</v>
      </c>
      <c r="B13" s="526">
        <v>3475</v>
      </c>
      <c r="C13" s="526">
        <v>691008604</v>
      </c>
      <c r="D13" s="526">
        <v>4624548</v>
      </c>
      <c r="E13" s="524" t="s">
        <v>121</v>
      </c>
      <c r="F13" s="526">
        <v>3111</v>
      </c>
      <c r="G13" s="527" t="s">
        <v>318</v>
      </c>
      <c r="H13" s="528" t="s">
        <v>284</v>
      </c>
      <c r="I13" s="575">
        <f>SUM(J13:M13)</f>
        <v>0</v>
      </c>
      <c r="J13" s="496">
        <v>0</v>
      </c>
      <c r="K13" s="131">
        <f>ROUND((J13)*33.8%,0)</f>
        <v>0</v>
      </c>
      <c r="L13" s="131">
        <f>ROUND(J13*2%,0)</f>
        <v>0</v>
      </c>
      <c r="M13" s="496">
        <v>0</v>
      </c>
      <c r="N13" s="576">
        <f t="shared" si="0"/>
        <v>0</v>
      </c>
      <c r="O13" s="577">
        <v>0</v>
      </c>
      <c r="P13" s="607">
        <v>0</v>
      </c>
      <c r="Q13" s="579">
        <f>V13*-1</f>
        <v>0</v>
      </c>
      <c r="R13" s="496">
        <v>173222</v>
      </c>
      <c r="S13" s="498">
        <v>0</v>
      </c>
      <c r="T13" s="498">
        <v>0</v>
      </c>
      <c r="U13" s="498">
        <f t="shared" ref="U13:U71" si="4">SUM(Q13:T13)</f>
        <v>173222</v>
      </c>
      <c r="V13" s="498">
        <v>0</v>
      </c>
      <c r="W13" s="498">
        <v>0</v>
      </c>
      <c r="X13" s="498">
        <v>0</v>
      </c>
      <c r="Y13" s="498">
        <f t="shared" ref="Y13:Y71" si="5">SUM(V13:X13)</f>
        <v>0</v>
      </c>
      <c r="Z13" s="498">
        <f t="shared" ref="Z13:Z71" si="6">U13+Y13</f>
        <v>173222</v>
      </c>
      <c r="AA13" s="131">
        <f>ROUND((U13+V13+W13)*33.8%,0)</f>
        <v>58549</v>
      </c>
      <c r="AB13" s="131">
        <f t="shared" ref="AB13:AB71" si="7">ROUND(U13*2%,0)</f>
        <v>3464</v>
      </c>
      <c r="AC13" s="608">
        <v>0</v>
      </c>
      <c r="AD13" s="565">
        <v>0</v>
      </c>
      <c r="AE13" s="565">
        <f>SUM(AC13:AD13)</f>
        <v>0</v>
      </c>
      <c r="AF13" s="565">
        <f>Z13+AA13+AB13+AE13</f>
        <v>235235</v>
      </c>
      <c r="AG13" s="499">
        <v>0</v>
      </c>
      <c r="AH13" s="499">
        <v>0</v>
      </c>
      <c r="AI13" s="499">
        <v>0.5</v>
      </c>
      <c r="AJ13" s="499">
        <v>0</v>
      </c>
      <c r="AK13" s="499">
        <v>0</v>
      </c>
      <c r="AL13" s="499">
        <f t="shared" si="1"/>
        <v>0.5</v>
      </c>
      <c r="AM13" s="499">
        <f t="shared" si="2"/>
        <v>0</v>
      </c>
      <c r="AN13" s="529">
        <f t="shared" si="3"/>
        <v>0.5</v>
      </c>
      <c r="AO13" s="579">
        <f t="shared" ref="AO13:AO14" si="8">I13+AF13</f>
        <v>235235</v>
      </c>
      <c r="AP13" s="498">
        <f t="shared" ref="AP13:AP14" si="9">J13+U13</f>
        <v>173222</v>
      </c>
      <c r="AQ13" s="498">
        <f t="shared" ref="AQ13:AQ14" si="10">Y13</f>
        <v>0</v>
      </c>
      <c r="AR13" s="498">
        <f t="shared" ref="AR13:AS14" si="11">K13+AA13</f>
        <v>58549</v>
      </c>
      <c r="AS13" s="498">
        <f t="shared" si="11"/>
        <v>3464</v>
      </c>
      <c r="AT13" s="498">
        <f t="shared" ref="AT13:AT14" si="12">M13+AE13</f>
        <v>0</v>
      </c>
      <c r="AU13" s="499">
        <f t="shared" ref="AU13:AU14" si="13">N13+AN13</f>
        <v>0.5</v>
      </c>
      <c r="AV13" s="499">
        <f t="shared" ref="AV13:AW14" si="14">O13+AL13</f>
        <v>0.5</v>
      </c>
      <c r="AW13" s="500">
        <f t="shared" si="14"/>
        <v>0</v>
      </c>
      <c r="AX13" s="16"/>
    </row>
    <row r="14" spans="1:50" ht="13.5" customHeight="1" x14ac:dyDescent="0.2">
      <c r="A14" s="525">
        <v>1</v>
      </c>
      <c r="B14" s="526">
        <v>3475</v>
      </c>
      <c r="C14" s="526">
        <v>691008604</v>
      </c>
      <c r="D14" s="526">
        <v>4624548</v>
      </c>
      <c r="E14" s="524" t="s">
        <v>121</v>
      </c>
      <c r="F14" s="526">
        <v>3141</v>
      </c>
      <c r="G14" s="527" t="s">
        <v>321</v>
      </c>
      <c r="H14" s="528" t="s">
        <v>284</v>
      </c>
      <c r="I14" s="575">
        <f>SUM(J14:M14)</f>
        <v>636990</v>
      </c>
      <c r="J14" s="496">
        <v>466929</v>
      </c>
      <c r="K14" s="131">
        <f>ROUND((J14)*33.8%,0)</f>
        <v>157822</v>
      </c>
      <c r="L14" s="131">
        <f>ROUND(J14*2%,0)</f>
        <v>9339</v>
      </c>
      <c r="M14" s="496">
        <v>2900</v>
      </c>
      <c r="N14" s="576">
        <f t="shared" si="0"/>
        <v>1.59</v>
      </c>
      <c r="O14" s="577">
        <v>0</v>
      </c>
      <c r="P14" s="607">
        <v>1.59</v>
      </c>
      <c r="Q14" s="579">
        <f>V14*-1</f>
        <v>-16000</v>
      </c>
      <c r="R14" s="498">
        <v>0</v>
      </c>
      <c r="S14" s="498">
        <v>0</v>
      </c>
      <c r="T14" s="498">
        <v>0</v>
      </c>
      <c r="U14" s="498">
        <f t="shared" si="4"/>
        <v>-16000</v>
      </c>
      <c r="V14" s="498">
        <v>16000</v>
      </c>
      <c r="W14" s="498">
        <v>0</v>
      </c>
      <c r="X14" s="498">
        <v>0</v>
      </c>
      <c r="Y14" s="498">
        <f t="shared" si="5"/>
        <v>16000</v>
      </c>
      <c r="Z14" s="498">
        <f t="shared" si="6"/>
        <v>0</v>
      </c>
      <c r="AA14" s="131">
        <f>ROUND((U14+V14+W14)*33.8%,0)</f>
        <v>0</v>
      </c>
      <c r="AB14" s="131">
        <f t="shared" si="7"/>
        <v>-320</v>
      </c>
      <c r="AC14" s="498">
        <v>0</v>
      </c>
      <c r="AD14" s="498">
        <v>0</v>
      </c>
      <c r="AE14" s="498">
        <f t="shared" ref="AE14:AE71" si="15">SUM(AC14:AD14)</f>
        <v>0</v>
      </c>
      <c r="AF14" s="498">
        <f t="shared" ref="AF14:AF71" si="16">Z14+AA14+AB14+AE14</f>
        <v>-320</v>
      </c>
      <c r="AG14" s="499">
        <v>0</v>
      </c>
      <c r="AH14" s="499">
        <v>0</v>
      </c>
      <c r="AI14" s="499">
        <v>0</v>
      </c>
      <c r="AJ14" s="499">
        <v>0</v>
      </c>
      <c r="AK14" s="499">
        <v>0</v>
      </c>
      <c r="AL14" s="499">
        <f t="shared" si="1"/>
        <v>0</v>
      </c>
      <c r="AM14" s="499">
        <f t="shared" si="2"/>
        <v>0</v>
      </c>
      <c r="AN14" s="529">
        <f t="shared" si="3"/>
        <v>0</v>
      </c>
      <c r="AO14" s="579">
        <f t="shared" si="8"/>
        <v>636670</v>
      </c>
      <c r="AP14" s="498">
        <f t="shared" si="9"/>
        <v>450929</v>
      </c>
      <c r="AQ14" s="498">
        <f t="shared" si="10"/>
        <v>16000</v>
      </c>
      <c r="AR14" s="498">
        <f t="shared" si="11"/>
        <v>157822</v>
      </c>
      <c r="AS14" s="498">
        <f t="shared" si="11"/>
        <v>9019</v>
      </c>
      <c r="AT14" s="498">
        <f t="shared" si="12"/>
        <v>2900</v>
      </c>
      <c r="AU14" s="499">
        <f t="shared" si="13"/>
        <v>1.59</v>
      </c>
      <c r="AV14" s="499">
        <f t="shared" si="14"/>
        <v>0</v>
      </c>
      <c r="AW14" s="500">
        <f t="shared" si="14"/>
        <v>1.59</v>
      </c>
      <c r="AX14" s="16"/>
    </row>
    <row r="15" spans="1:50" ht="13.5" customHeight="1" x14ac:dyDescent="0.2">
      <c r="A15" s="302">
        <v>1</v>
      </c>
      <c r="B15" s="32">
        <v>3475</v>
      </c>
      <c r="C15" s="32">
        <v>691008604</v>
      </c>
      <c r="D15" s="32">
        <v>4624548</v>
      </c>
      <c r="E15" s="311" t="s">
        <v>122</v>
      </c>
      <c r="F15" s="32"/>
      <c r="G15" s="301"/>
      <c r="H15" s="454"/>
      <c r="I15" s="5">
        <f t="shared" ref="I15:AW15" si="17">SUM(I12:I14)</f>
        <v>3990271</v>
      </c>
      <c r="J15" s="8">
        <f t="shared" si="17"/>
        <v>2919640</v>
      </c>
      <c r="K15" s="8">
        <f t="shared" si="17"/>
        <v>986838</v>
      </c>
      <c r="L15" s="8">
        <f t="shared" si="17"/>
        <v>58393</v>
      </c>
      <c r="M15" s="8">
        <f t="shared" si="17"/>
        <v>25400</v>
      </c>
      <c r="N15" s="9">
        <f t="shared" si="17"/>
        <v>7.1442999999999994</v>
      </c>
      <c r="O15" s="9">
        <f t="shared" si="17"/>
        <v>4.0644999999999998</v>
      </c>
      <c r="P15" s="39">
        <f t="shared" si="17"/>
        <v>3.0798000000000001</v>
      </c>
      <c r="Q15" s="5">
        <f t="shared" si="17"/>
        <v>-16000</v>
      </c>
      <c r="R15" s="8">
        <f t="shared" si="17"/>
        <v>173222</v>
      </c>
      <c r="S15" s="8">
        <f t="shared" si="17"/>
        <v>0</v>
      </c>
      <c r="T15" s="8">
        <f t="shared" si="17"/>
        <v>0</v>
      </c>
      <c r="U15" s="8">
        <f t="shared" si="17"/>
        <v>157222</v>
      </c>
      <c r="V15" s="8">
        <f t="shared" si="17"/>
        <v>16000</v>
      </c>
      <c r="W15" s="8">
        <f t="shared" si="17"/>
        <v>0</v>
      </c>
      <c r="X15" s="8">
        <f t="shared" si="17"/>
        <v>0</v>
      </c>
      <c r="Y15" s="8">
        <f t="shared" si="17"/>
        <v>16000</v>
      </c>
      <c r="Z15" s="8">
        <f t="shared" si="17"/>
        <v>173222</v>
      </c>
      <c r="AA15" s="8">
        <f t="shared" si="17"/>
        <v>58549</v>
      </c>
      <c r="AB15" s="8">
        <f t="shared" si="17"/>
        <v>3144</v>
      </c>
      <c r="AC15" s="8">
        <f t="shared" si="17"/>
        <v>0</v>
      </c>
      <c r="AD15" s="8">
        <f t="shared" si="17"/>
        <v>0</v>
      </c>
      <c r="AE15" s="8">
        <f t="shared" si="17"/>
        <v>0</v>
      </c>
      <c r="AF15" s="8">
        <f t="shared" si="17"/>
        <v>234915</v>
      </c>
      <c r="AG15" s="9">
        <f t="shared" si="17"/>
        <v>0</v>
      </c>
      <c r="AH15" s="9">
        <f t="shared" si="17"/>
        <v>0</v>
      </c>
      <c r="AI15" s="9">
        <f t="shared" si="17"/>
        <v>0.5</v>
      </c>
      <c r="AJ15" s="9">
        <f t="shared" si="17"/>
        <v>0</v>
      </c>
      <c r="AK15" s="9">
        <f t="shared" si="17"/>
        <v>0</v>
      </c>
      <c r="AL15" s="9">
        <f t="shared" si="17"/>
        <v>0.5</v>
      </c>
      <c r="AM15" s="9">
        <f t="shared" si="17"/>
        <v>0</v>
      </c>
      <c r="AN15" s="39">
        <f t="shared" si="17"/>
        <v>0.5</v>
      </c>
      <c r="AO15" s="5">
        <f t="shared" si="17"/>
        <v>4225186</v>
      </c>
      <c r="AP15" s="8">
        <f t="shared" si="17"/>
        <v>3076862</v>
      </c>
      <c r="AQ15" s="8">
        <f t="shared" si="17"/>
        <v>16000</v>
      </c>
      <c r="AR15" s="8">
        <f t="shared" si="17"/>
        <v>1045387</v>
      </c>
      <c r="AS15" s="8">
        <f t="shared" si="17"/>
        <v>61537</v>
      </c>
      <c r="AT15" s="8">
        <f t="shared" si="17"/>
        <v>25400</v>
      </c>
      <c r="AU15" s="9">
        <f t="shared" si="17"/>
        <v>7.6442999999999994</v>
      </c>
      <c r="AV15" s="9">
        <f t="shared" si="17"/>
        <v>4.5644999999999998</v>
      </c>
      <c r="AW15" s="92">
        <f t="shared" si="17"/>
        <v>3.0798000000000001</v>
      </c>
      <c r="AX15" s="16"/>
    </row>
    <row r="16" spans="1:50" ht="13.5" customHeight="1" x14ac:dyDescent="0.2">
      <c r="A16" s="525">
        <v>2</v>
      </c>
      <c r="B16" s="526">
        <v>3449</v>
      </c>
      <c r="C16" s="526">
        <v>600078116</v>
      </c>
      <c r="D16" s="526">
        <v>70695016</v>
      </c>
      <c r="E16" s="524" t="s">
        <v>123</v>
      </c>
      <c r="F16" s="526">
        <v>3111</v>
      </c>
      <c r="G16" s="527" t="s">
        <v>317</v>
      </c>
      <c r="H16" s="528" t="s">
        <v>283</v>
      </c>
      <c r="I16" s="575">
        <f>SUM(J16:M16)</f>
        <v>5031135</v>
      </c>
      <c r="J16" s="496">
        <v>3679628</v>
      </c>
      <c r="K16" s="131">
        <f t="shared" ref="K16:K17" si="18">ROUND((J16)*33.8%,0)</f>
        <v>1243714</v>
      </c>
      <c r="L16" s="131">
        <f t="shared" ref="L16:L17" si="19">ROUND(J16*2%,0)</f>
        <v>73593</v>
      </c>
      <c r="M16" s="496">
        <v>34200</v>
      </c>
      <c r="N16" s="576">
        <f t="shared" ref="N16:N17" si="20">SUM(O16:P16)</f>
        <v>8.1341999999999999</v>
      </c>
      <c r="O16" s="577">
        <v>6</v>
      </c>
      <c r="P16" s="607">
        <v>2.1341999999999999</v>
      </c>
      <c r="Q16" s="579">
        <f t="shared" ref="Q16:Q17" si="21">V16*-1</f>
        <v>0</v>
      </c>
      <c r="R16" s="498">
        <v>0</v>
      </c>
      <c r="S16" s="498">
        <v>0</v>
      </c>
      <c r="T16" s="498">
        <v>0</v>
      </c>
      <c r="U16" s="498">
        <f t="shared" si="4"/>
        <v>0</v>
      </c>
      <c r="V16" s="498">
        <v>0</v>
      </c>
      <c r="W16" s="498">
        <v>0</v>
      </c>
      <c r="X16" s="498">
        <v>0</v>
      </c>
      <c r="Y16" s="498">
        <f t="shared" si="5"/>
        <v>0</v>
      </c>
      <c r="Z16" s="498">
        <f t="shared" si="6"/>
        <v>0</v>
      </c>
      <c r="AA16" s="131">
        <f t="shared" ref="AA16:AA17" si="22">ROUND((U16+V16+W16)*33.8%,0)</f>
        <v>0</v>
      </c>
      <c r="AB16" s="131">
        <f t="shared" si="7"/>
        <v>0</v>
      </c>
      <c r="AC16" s="498">
        <v>0</v>
      </c>
      <c r="AD16" s="498">
        <v>0</v>
      </c>
      <c r="AE16" s="498">
        <f t="shared" si="15"/>
        <v>0</v>
      </c>
      <c r="AF16" s="498">
        <f t="shared" si="16"/>
        <v>0</v>
      </c>
      <c r="AG16" s="499">
        <v>0</v>
      </c>
      <c r="AH16" s="499">
        <v>0</v>
      </c>
      <c r="AI16" s="499">
        <v>0</v>
      </c>
      <c r="AJ16" s="499">
        <v>0</v>
      </c>
      <c r="AK16" s="499">
        <v>0</v>
      </c>
      <c r="AL16" s="499">
        <f t="shared" ref="AL16:AL17" si="23">AG16+AI16+AJ16</f>
        <v>0</v>
      </c>
      <c r="AM16" s="499">
        <f t="shared" ref="AM16:AM17" si="24">AH16+AK16</f>
        <v>0</v>
      </c>
      <c r="AN16" s="529">
        <f t="shared" ref="AN16:AN17" si="25">SUM(AL16:AM16)</f>
        <v>0</v>
      </c>
      <c r="AO16" s="579">
        <f t="shared" ref="AO16:AO17" si="26">I16+AF16</f>
        <v>5031135</v>
      </c>
      <c r="AP16" s="498">
        <f t="shared" ref="AP16:AP17" si="27">J16+U16</f>
        <v>3679628</v>
      </c>
      <c r="AQ16" s="498">
        <f t="shared" ref="AQ16:AQ17" si="28">Y16</f>
        <v>0</v>
      </c>
      <c r="AR16" s="498">
        <f t="shared" ref="AR16:AS17" si="29">K16+AA16</f>
        <v>1243714</v>
      </c>
      <c r="AS16" s="498">
        <f t="shared" si="29"/>
        <v>73593</v>
      </c>
      <c r="AT16" s="498">
        <f t="shared" ref="AT16:AT17" si="30">M16+AE16</f>
        <v>34200</v>
      </c>
      <c r="AU16" s="499">
        <f t="shared" ref="AU16:AU17" si="31">N16+AN16</f>
        <v>8.1341999999999999</v>
      </c>
      <c r="AV16" s="499">
        <f t="shared" ref="AV16:AW17" si="32">O16+AL16</f>
        <v>6</v>
      </c>
      <c r="AW16" s="500">
        <f t="shared" si="32"/>
        <v>2.1341999999999999</v>
      </c>
      <c r="AX16" s="16"/>
    </row>
    <row r="17" spans="1:50" ht="13.5" customHeight="1" x14ac:dyDescent="0.2">
      <c r="A17" s="525">
        <v>2</v>
      </c>
      <c r="B17" s="526">
        <v>3449</v>
      </c>
      <c r="C17" s="526">
        <v>600078116</v>
      </c>
      <c r="D17" s="526">
        <v>70695016</v>
      </c>
      <c r="E17" s="524" t="s">
        <v>123</v>
      </c>
      <c r="F17" s="526">
        <v>3141</v>
      </c>
      <c r="G17" s="527" t="s">
        <v>321</v>
      </c>
      <c r="H17" s="528" t="s">
        <v>284</v>
      </c>
      <c r="I17" s="575">
        <f>SUM(J17:M17)</f>
        <v>860795</v>
      </c>
      <c r="J17" s="496">
        <v>630538</v>
      </c>
      <c r="K17" s="131">
        <f t="shared" si="18"/>
        <v>213122</v>
      </c>
      <c r="L17" s="131">
        <f t="shared" si="19"/>
        <v>12611</v>
      </c>
      <c r="M17" s="496">
        <v>4524</v>
      </c>
      <c r="N17" s="576">
        <f t="shared" si="20"/>
        <v>2.14</v>
      </c>
      <c r="O17" s="577">
        <v>0</v>
      </c>
      <c r="P17" s="607">
        <v>2.14</v>
      </c>
      <c r="Q17" s="579">
        <f t="shared" si="21"/>
        <v>0</v>
      </c>
      <c r="R17" s="498">
        <v>0</v>
      </c>
      <c r="S17" s="498">
        <v>0</v>
      </c>
      <c r="T17" s="498">
        <v>0</v>
      </c>
      <c r="U17" s="498">
        <f t="shared" si="4"/>
        <v>0</v>
      </c>
      <c r="V17" s="498">
        <v>0</v>
      </c>
      <c r="W17" s="498">
        <v>0</v>
      </c>
      <c r="X17" s="498">
        <v>0</v>
      </c>
      <c r="Y17" s="498">
        <f t="shared" si="5"/>
        <v>0</v>
      </c>
      <c r="Z17" s="498">
        <f t="shared" si="6"/>
        <v>0</v>
      </c>
      <c r="AA17" s="131">
        <f t="shared" si="22"/>
        <v>0</v>
      </c>
      <c r="AB17" s="131">
        <f t="shared" si="7"/>
        <v>0</v>
      </c>
      <c r="AC17" s="498">
        <v>0</v>
      </c>
      <c r="AD17" s="498">
        <v>0</v>
      </c>
      <c r="AE17" s="498">
        <f t="shared" si="15"/>
        <v>0</v>
      </c>
      <c r="AF17" s="498">
        <f t="shared" si="16"/>
        <v>0</v>
      </c>
      <c r="AG17" s="499">
        <v>0</v>
      </c>
      <c r="AH17" s="499">
        <v>0</v>
      </c>
      <c r="AI17" s="499">
        <v>0</v>
      </c>
      <c r="AJ17" s="499">
        <v>0</v>
      </c>
      <c r="AK17" s="499">
        <v>0</v>
      </c>
      <c r="AL17" s="499">
        <f t="shared" si="23"/>
        <v>0</v>
      </c>
      <c r="AM17" s="499">
        <f t="shared" si="24"/>
        <v>0</v>
      </c>
      <c r="AN17" s="529">
        <f t="shared" si="25"/>
        <v>0</v>
      </c>
      <c r="AO17" s="579">
        <f t="shared" si="26"/>
        <v>860795</v>
      </c>
      <c r="AP17" s="498">
        <f t="shared" si="27"/>
        <v>630538</v>
      </c>
      <c r="AQ17" s="498">
        <f t="shared" si="28"/>
        <v>0</v>
      </c>
      <c r="AR17" s="498">
        <f t="shared" si="29"/>
        <v>213122</v>
      </c>
      <c r="AS17" s="498">
        <f t="shared" si="29"/>
        <v>12611</v>
      </c>
      <c r="AT17" s="498">
        <f t="shared" si="30"/>
        <v>4524</v>
      </c>
      <c r="AU17" s="499">
        <f t="shared" si="31"/>
        <v>2.14</v>
      </c>
      <c r="AV17" s="499">
        <f t="shared" si="32"/>
        <v>0</v>
      </c>
      <c r="AW17" s="500">
        <f t="shared" si="32"/>
        <v>2.14</v>
      </c>
      <c r="AX17" s="16"/>
    </row>
    <row r="18" spans="1:50" ht="13.5" customHeight="1" x14ac:dyDescent="0.2">
      <c r="A18" s="302">
        <v>2</v>
      </c>
      <c r="B18" s="32">
        <v>3449</v>
      </c>
      <c r="C18" s="32">
        <v>600078116</v>
      </c>
      <c r="D18" s="32">
        <v>70695016</v>
      </c>
      <c r="E18" s="311" t="s">
        <v>124</v>
      </c>
      <c r="F18" s="32"/>
      <c r="G18" s="301"/>
      <c r="H18" s="454"/>
      <c r="I18" s="5">
        <f t="shared" ref="I18:AW18" si="33">SUM(I16:I17)</f>
        <v>5891930</v>
      </c>
      <c r="J18" s="8">
        <f t="shared" si="33"/>
        <v>4310166</v>
      </c>
      <c r="K18" s="8">
        <f t="shared" si="33"/>
        <v>1456836</v>
      </c>
      <c r="L18" s="8">
        <f t="shared" si="33"/>
        <v>86204</v>
      </c>
      <c r="M18" s="8">
        <f t="shared" si="33"/>
        <v>38724</v>
      </c>
      <c r="N18" s="9">
        <f t="shared" si="33"/>
        <v>10.2742</v>
      </c>
      <c r="O18" s="9">
        <f t="shared" si="33"/>
        <v>6</v>
      </c>
      <c r="P18" s="39">
        <f t="shared" si="33"/>
        <v>4.2742000000000004</v>
      </c>
      <c r="Q18" s="5">
        <f t="shared" si="33"/>
        <v>0</v>
      </c>
      <c r="R18" s="8">
        <f t="shared" si="33"/>
        <v>0</v>
      </c>
      <c r="S18" s="8">
        <f t="shared" si="33"/>
        <v>0</v>
      </c>
      <c r="T18" s="8">
        <f t="shared" si="33"/>
        <v>0</v>
      </c>
      <c r="U18" s="8">
        <f t="shared" si="33"/>
        <v>0</v>
      </c>
      <c r="V18" s="8">
        <f t="shared" si="33"/>
        <v>0</v>
      </c>
      <c r="W18" s="8">
        <f t="shared" si="33"/>
        <v>0</v>
      </c>
      <c r="X18" s="8">
        <f t="shared" si="33"/>
        <v>0</v>
      </c>
      <c r="Y18" s="8">
        <f t="shared" si="33"/>
        <v>0</v>
      </c>
      <c r="Z18" s="8">
        <f t="shared" si="33"/>
        <v>0</v>
      </c>
      <c r="AA18" s="8">
        <f t="shared" si="33"/>
        <v>0</v>
      </c>
      <c r="AB18" s="8">
        <f t="shared" si="33"/>
        <v>0</v>
      </c>
      <c r="AC18" s="8">
        <f t="shared" si="33"/>
        <v>0</v>
      </c>
      <c r="AD18" s="8">
        <f t="shared" si="33"/>
        <v>0</v>
      </c>
      <c r="AE18" s="8">
        <f t="shared" si="33"/>
        <v>0</v>
      </c>
      <c r="AF18" s="8">
        <f t="shared" si="33"/>
        <v>0</v>
      </c>
      <c r="AG18" s="9">
        <f t="shared" si="33"/>
        <v>0</v>
      </c>
      <c r="AH18" s="9">
        <f t="shared" si="33"/>
        <v>0</v>
      </c>
      <c r="AI18" s="9">
        <f t="shared" si="33"/>
        <v>0</v>
      </c>
      <c r="AJ18" s="9">
        <f t="shared" si="33"/>
        <v>0</v>
      </c>
      <c r="AK18" s="9">
        <f t="shared" si="33"/>
        <v>0</v>
      </c>
      <c r="AL18" s="9">
        <f t="shared" si="33"/>
        <v>0</v>
      </c>
      <c r="AM18" s="9">
        <f t="shared" si="33"/>
        <v>0</v>
      </c>
      <c r="AN18" s="39">
        <f t="shared" si="33"/>
        <v>0</v>
      </c>
      <c r="AO18" s="5">
        <f t="shared" si="33"/>
        <v>5891930</v>
      </c>
      <c r="AP18" s="8">
        <f t="shared" si="33"/>
        <v>4310166</v>
      </c>
      <c r="AQ18" s="8">
        <f t="shared" si="33"/>
        <v>0</v>
      </c>
      <c r="AR18" s="8">
        <f t="shared" si="33"/>
        <v>1456836</v>
      </c>
      <c r="AS18" s="8">
        <f t="shared" si="33"/>
        <v>86204</v>
      </c>
      <c r="AT18" s="8">
        <f t="shared" si="33"/>
        <v>38724</v>
      </c>
      <c r="AU18" s="9">
        <f t="shared" si="33"/>
        <v>10.2742</v>
      </c>
      <c r="AV18" s="9">
        <f t="shared" si="33"/>
        <v>6</v>
      </c>
      <c r="AW18" s="92">
        <f t="shared" si="33"/>
        <v>4.2742000000000004</v>
      </c>
      <c r="AX18" s="16"/>
    </row>
    <row r="19" spans="1:50" ht="13.5" customHeight="1" x14ac:dyDescent="0.2">
      <c r="A19" s="525">
        <v>3</v>
      </c>
      <c r="B19" s="526">
        <v>3451</v>
      </c>
      <c r="C19" s="526">
        <v>600078621</v>
      </c>
      <c r="D19" s="526">
        <v>70694991</v>
      </c>
      <c r="E19" s="524" t="s">
        <v>125</v>
      </c>
      <c r="F19" s="526">
        <v>3111</v>
      </c>
      <c r="G19" s="527" t="s">
        <v>317</v>
      </c>
      <c r="H19" s="528" t="s">
        <v>283</v>
      </c>
      <c r="I19" s="575">
        <f>SUM(J19:M19)</f>
        <v>5067128</v>
      </c>
      <c r="J19" s="496">
        <v>3702561</v>
      </c>
      <c r="K19" s="131">
        <f t="shared" ref="K19:K21" si="34">ROUND((J19)*33.8%,0)</f>
        <v>1251466</v>
      </c>
      <c r="L19" s="131">
        <f t="shared" ref="L19:L21" si="35">ROUND(J19*2%,0)</f>
        <v>74051</v>
      </c>
      <c r="M19" s="496">
        <v>39050</v>
      </c>
      <c r="N19" s="576">
        <f t="shared" ref="N19:N21" si="36">SUM(O19:P19)</f>
        <v>8.2311999999999994</v>
      </c>
      <c r="O19" s="577">
        <v>6</v>
      </c>
      <c r="P19" s="607">
        <v>2.2311999999999999</v>
      </c>
      <c r="Q19" s="579">
        <f t="shared" ref="Q19:Q21" si="37">V19*-1</f>
        <v>0</v>
      </c>
      <c r="R19" s="498">
        <v>0</v>
      </c>
      <c r="S19" s="498">
        <v>0</v>
      </c>
      <c r="T19" s="498">
        <v>15650</v>
      </c>
      <c r="U19" s="498">
        <f t="shared" si="4"/>
        <v>15650</v>
      </c>
      <c r="V19" s="498">
        <v>0</v>
      </c>
      <c r="W19" s="498">
        <v>0</v>
      </c>
      <c r="X19" s="498">
        <v>0</v>
      </c>
      <c r="Y19" s="498">
        <f t="shared" si="5"/>
        <v>0</v>
      </c>
      <c r="Z19" s="498">
        <f t="shared" si="6"/>
        <v>15650</v>
      </c>
      <c r="AA19" s="131">
        <f t="shared" ref="AA19:AA21" si="38">ROUND((U19+V19+W19)*33.8%,0)</f>
        <v>5290</v>
      </c>
      <c r="AB19" s="131">
        <f t="shared" si="7"/>
        <v>313</v>
      </c>
      <c r="AC19" s="498">
        <v>0</v>
      </c>
      <c r="AD19" s="498">
        <v>0</v>
      </c>
      <c r="AE19" s="498">
        <f t="shared" si="15"/>
        <v>0</v>
      </c>
      <c r="AF19" s="498">
        <f t="shared" si="16"/>
        <v>21253</v>
      </c>
      <c r="AG19" s="499">
        <v>0</v>
      </c>
      <c r="AH19" s="499">
        <v>0</v>
      </c>
      <c r="AI19" s="499">
        <v>0</v>
      </c>
      <c r="AJ19" s="499">
        <v>0.03</v>
      </c>
      <c r="AK19" s="499">
        <v>0</v>
      </c>
      <c r="AL19" s="499">
        <f t="shared" ref="AL19:AL21" si="39">AG19+AI19+AJ19</f>
        <v>0.03</v>
      </c>
      <c r="AM19" s="499">
        <f t="shared" ref="AM19:AM21" si="40">AH19+AK19</f>
        <v>0</v>
      </c>
      <c r="AN19" s="529">
        <f t="shared" ref="AN19:AN21" si="41">SUM(AL19:AM19)</f>
        <v>0.03</v>
      </c>
      <c r="AO19" s="579">
        <f t="shared" ref="AO19:AO21" si="42">I19+AF19</f>
        <v>5088381</v>
      </c>
      <c r="AP19" s="498">
        <f t="shared" ref="AP19:AP21" si="43">J19+U19</f>
        <v>3718211</v>
      </c>
      <c r="AQ19" s="498">
        <f t="shared" ref="AQ19:AQ21" si="44">Y19</f>
        <v>0</v>
      </c>
      <c r="AR19" s="498">
        <f t="shared" ref="AR19:AS21" si="45">K19+AA19</f>
        <v>1256756</v>
      </c>
      <c r="AS19" s="498">
        <f t="shared" si="45"/>
        <v>74364</v>
      </c>
      <c r="AT19" s="498">
        <f t="shared" ref="AT19:AT21" si="46">M19+AE19</f>
        <v>39050</v>
      </c>
      <c r="AU19" s="499">
        <f t="shared" ref="AU19:AU21" si="47">N19+AN19</f>
        <v>8.2611999999999988</v>
      </c>
      <c r="AV19" s="499">
        <f t="shared" ref="AV19:AW21" si="48">O19+AL19</f>
        <v>6.03</v>
      </c>
      <c r="AW19" s="500">
        <f t="shared" si="48"/>
        <v>2.2311999999999999</v>
      </c>
      <c r="AX19" s="16"/>
    </row>
    <row r="20" spans="1:50" ht="13.5" customHeight="1" x14ac:dyDescent="0.2">
      <c r="A20" s="525">
        <v>3</v>
      </c>
      <c r="B20" s="526">
        <v>3451</v>
      </c>
      <c r="C20" s="526">
        <v>600078621</v>
      </c>
      <c r="D20" s="526">
        <v>70694991</v>
      </c>
      <c r="E20" s="524" t="s">
        <v>125</v>
      </c>
      <c r="F20" s="526">
        <v>3111</v>
      </c>
      <c r="G20" s="527" t="s">
        <v>318</v>
      </c>
      <c r="H20" s="528" t="s">
        <v>284</v>
      </c>
      <c r="I20" s="575">
        <f>SUM(J20:M20)</f>
        <v>0</v>
      </c>
      <c r="J20" s="496">
        <v>0</v>
      </c>
      <c r="K20" s="131">
        <f t="shared" si="34"/>
        <v>0</v>
      </c>
      <c r="L20" s="131">
        <f t="shared" si="35"/>
        <v>0</v>
      </c>
      <c r="M20" s="496">
        <v>0</v>
      </c>
      <c r="N20" s="576">
        <f t="shared" si="36"/>
        <v>0</v>
      </c>
      <c r="O20" s="577">
        <v>0</v>
      </c>
      <c r="P20" s="607">
        <v>0</v>
      </c>
      <c r="Q20" s="579">
        <f t="shared" si="37"/>
        <v>0</v>
      </c>
      <c r="R20" s="496">
        <v>173222</v>
      </c>
      <c r="S20" s="498">
        <v>0</v>
      </c>
      <c r="T20" s="498">
        <v>0</v>
      </c>
      <c r="U20" s="498">
        <f t="shared" si="4"/>
        <v>173222</v>
      </c>
      <c r="V20" s="498">
        <v>0</v>
      </c>
      <c r="W20" s="498">
        <v>0</v>
      </c>
      <c r="X20" s="498">
        <v>0</v>
      </c>
      <c r="Y20" s="498">
        <f t="shared" si="5"/>
        <v>0</v>
      </c>
      <c r="Z20" s="498">
        <f t="shared" si="6"/>
        <v>173222</v>
      </c>
      <c r="AA20" s="131">
        <f t="shared" si="38"/>
        <v>58549</v>
      </c>
      <c r="AB20" s="131">
        <f t="shared" si="7"/>
        <v>3464</v>
      </c>
      <c r="AC20" s="498">
        <v>0</v>
      </c>
      <c r="AD20" s="498">
        <v>0</v>
      </c>
      <c r="AE20" s="498">
        <f t="shared" ref="AE20" si="49">SUM(AC20:AD20)</f>
        <v>0</v>
      </c>
      <c r="AF20" s="498">
        <f t="shared" si="16"/>
        <v>235235</v>
      </c>
      <c r="AG20" s="499">
        <v>0</v>
      </c>
      <c r="AH20" s="499">
        <v>0</v>
      </c>
      <c r="AI20" s="499">
        <v>0.5</v>
      </c>
      <c r="AJ20" s="499">
        <v>0</v>
      </c>
      <c r="AK20" s="499">
        <v>0</v>
      </c>
      <c r="AL20" s="499">
        <f t="shared" si="39"/>
        <v>0.5</v>
      </c>
      <c r="AM20" s="499">
        <f t="shared" si="40"/>
        <v>0</v>
      </c>
      <c r="AN20" s="529">
        <f t="shared" si="41"/>
        <v>0.5</v>
      </c>
      <c r="AO20" s="579">
        <f t="shared" si="42"/>
        <v>235235</v>
      </c>
      <c r="AP20" s="498">
        <f t="shared" si="43"/>
        <v>173222</v>
      </c>
      <c r="AQ20" s="498">
        <f t="shared" si="44"/>
        <v>0</v>
      </c>
      <c r="AR20" s="498">
        <f t="shared" si="45"/>
        <v>58549</v>
      </c>
      <c r="AS20" s="498">
        <f t="shared" si="45"/>
        <v>3464</v>
      </c>
      <c r="AT20" s="498">
        <f t="shared" si="46"/>
        <v>0</v>
      </c>
      <c r="AU20" s="499">
        <f t="shared" si="47"/>
        <v>0.5</v>
      </c>
      <c r="AV20" s="499">
        <f t="shared" si="48"/>
        <v>0.5</v>
      </c>
      <c r="AW20" s="500">
        <f t="shared" si="48"/>
        <v>0</v>
      </c>
      <c r="AX20" s="16"/>
    </row>
    <row r="21" spans="1:50" ht="13.5" customHeight="1" x14ac:dyDescent="0.2">
      <c r="A21" s="525">
        <v>3</v>
      </c>
      <c r="B21" s="526">
        <v>3451</v>
      </c>
      <c r="C21" s="526">
        <v>600078621</v>
      </c>
      <c r="D21" s="526">
        <v>70694991</v>
      </c>
      <c r="E21" s="524" t="s">
        <v>125</v>
      </c>
      <c r="F21" s="526">
        <v>3141</v>
      </c>
      <c r="G21" s="527" t="s">
        <v>321</v>
      </c>
      <c r="H21" s="528" t="s">
        <v>284</v>
      </c>
      <c r="I21" s="575">
        <f>SUM(J21:M21)</f>
        <v>760831</v>
      </c>
      <c r="J21" s="496">
        <v>557482</v>
      </c>
      <c r="K21" s="131">
        <f t="shared" si="34"/>
        <v>188429</v>
      </c>
      <c r="L21" s="131">
        <f t="shared" si="35"/>
        <v>11150</v>
      </c>
      <c r="M21" s="496">
        <v>3770</v>
      </c>
      <c r="N21" s="576">
        <f t="shared" si="36"/>
        <v>1.9</v>
      </c>
      <c r="O21" s="577">
        <v>0</v>
      </c>
      <c r="P21" s="607">
        <v>1.9</v>
      </c>
      <c r="Q21" s="579">
        <f t="shared" si="37"/>
        <v>-16000</v>
      </c>
      <c r="R21" s="498">
        <v>0</v>
      </c>
      <c r="S21" s="498">
        <v>0</v>
      </c>
      <c r="T21" s="498">
        <v>0</v>
      </c>
      <c r="U21" s="498">
        <f t="shared" si="4"/>
        <v>-16000</v>
      </c>
      <c r="V21" s="498">
        <v>16000</v>
      </c>
      <c r="W21" s="498">
        <v>0</v>
      </c>
      <c r="X21" s="498">
        <v>0</v>
      </c>
      <c r="Y21" s="498">
        <f t="shared" si="5"/>
        <v>16000</v>
      </c>
      <c r="Z21" s="498">
        <f t="shared" si="6"/>
        <v>0</v>
      </c>
      <c r="AA21" s="131">
        <f t="shared" si="38"/>
        <v>0</v>
      </c>
      <c r="AB21" s="131">
        <f t="shared" si="7"/>
        <v>-320</v>
      </c>
      <c r="AC21" s="498">
        <v>0</v>
      </c>
      <c r="AD21" s="498">
        <v>0</v>
      </c>
      <c r="AE21" s="498">
        <f t="shared" si="15"/>
        <v>0</v>
      </c>
      <c r="AF21" s="498">
        <f t="shared" si="16"/>
        <v>-320</v>
      </c>
      <c r="AG21" s="499">
        <v>0</v>
      </c>
      <c r="AH21" s="499">
        <v>0</v>
      </c>
      <c r="AI21" s="499">
        <v>0</v>
      </c>
      <c r="AJ21" s="499">
        <v>0</v>
      </c>
      <c r="AK21" s="499">
        <v>0</v>
      </c>
      <c r="AL21" s="499">
        <f t="shared" si="39"/>
        <v>0</v>
      </c>
      <c r="AM21" s="499">
        <f t="shared" si="40"/>
        <v>0</v>
      </c>
      <c r="AN21" s="529">
        <f t="shared" si="41"/>
        <v>0</v>
      </c>
      <c r="AO21" s="579">
        <f t="shared" si="42"/>
        <v>760511</v>
      </c>
      <c r="AP21" s="498">
        <f t="shared" si="43"/>
        <v>541482</v>
      </c>
      <c r="AQ21" s="498">
        <f t="shared" si="44"/>
        <v>16000</v>
      </c>
      <c r="AR21" s="498">
        <f t="shared" si="45"/>
        <v>188429</v>
      </c>
      <c r="AS21" s="498">
        <f t="shared" si="45"/>
        <v>10830</v>
      </c>
      <c r="AT21" s="498">
        <f t="shared" si="46"/>
        <v>3770</v>
      </c>
      <c r="AU21" s="499">
        <f t="shared" si="47"/>
        <v>1.9</v>
      </c>
      <c r="AV21" s="499">
        <f t="shared" si="48"/>
        <v>0</v>
      </c>
      <c r="AW21" s="500">
        <f t="shared" si="48"/>
        <v>1.9</v>
      </c>
      <c r="AX21" s="16"/>
    </row>
    <row r="22" spans="1:50" ht="13.5" customHeight="1" x14ac:dyDescent="0.2">
      <c r="A22" s="302">
        <v>3</v>
      </c>
      <c r="B22" s="32">
        <v>3451</v>
      </c>
      <c r="C22" s="32">
        <v>600078621</v>
      </c>
      <c r="D22" s="32">
        <v>70694991</v>
      </c>
      <c r="E22" s="311" t="s">
        <v>126</v>
      </c>
      <c r="F22" s="32"/>
      <c r="G22" s="301"/>
      <c r="H22" s="454"/>
      <c r="I22" s="5">
        <f t="shared" ref="I22:AW22" si="50">SUM(I19:I21)</f>
        <v>5827959</v>
      </c>
      <c r="J22" s="8">
        <f t="shared" si="50"/>
        <v>4260043</v>
      </c>
      <c r="K22" s="8">
        <f t="shared" si="50"/>
        <v>1439895</v>
      </c>
      <c r="L22" s="8">
        <f t="shared" si="50"/>
        <v>85201</v>
      </c>
      <c r="M22" s="8">
        <f t="shared" si="50"/>
        <v>42820</v>
      </c>
      <c r="N22" s="9">
        <f t="shared" si="50"/>
        <v>10.1312</v>
      </c>
      <c r="O22" s="9">
        <f t="shared" si="50"/>
        <v>6</v>
      </c>
      <c r="P22" s="39">
        <f t="shared" si="50"/>
        <v>4.1311999999999998</v>
      </c>
      <c r="Q22" s="5">
        <f t="shared" si="50"/>
        <v>-16000</v>
      </c>
      <c r="R22" s="8">
        <f t="shared" si="50"/>
        <v>173222</v>
      </c>
      <c r="S22" s="8">
        <f t="shared" si="50"/>
        <v>0</v>
      </c>
      <c r="T22" s="8">
        <f t="shared" si="50"/>
        <v>15650</v>
      </c>
      <c r="U22" s="8">
        <f t="shared" si="50"/>
        <v>172872</v>
      </c>
      <c r="V22" s="8">
        <f t="shared" si="50"/>
        <v>16000</v>
      </c>
      <c r="W22" s="8">
        <f t="shared" si="50"/>
        <v>0</v>
      </c>
      <c r="X22" s="8">
        <f t="shared" si="50"/>
        <v>0</v>
      </c>
      <c r="Y22" s="8">
        <f t="shared" si="50"/>
        <v>16000</v>
      </c>
      <c r="Z22" s="8">
        <f t="shared" si="50"/>
        <v>188872</v>
      </c>
      <c r="AA22" s="8">
        <f t="shared" si="50"/>
        <v>63839</v>
      </c>
      <c r="AB22" s="8">
        <f t="shared" si="50"/>
        <v>3457</v>
      </c>
      <c r="AC22" s="8">
        <f t="shared" si="50"/>
        <v>0</v>
      </c>
      <c r="AD22" s="8">
        <f t="shared" si="50"/>
        <v>0</v>
      </c>
      <c r="AE22" s="8">
        <f t="shared" si="50"/>
        <v>0</v>
      </c>
      <c r="AF22" s="8">
        <f t="shared" si="50"/>
        <v>256168</v>
      </c>
      <c r="AG22" s="9">
        <f t="shared" si="50"/>
        <v>0</v>
      </c>
      <c r="AH22" s="9">
        <f t="shared" si="50"/>
        <v>0</v>
      </c>
      <c r="AI22" s="9">
        <f t="shared" si="50"/>
        <v>0.5</v>
      </c>
      <c r="AJ22" s="9">
        <f t="shared" si="50"/>
        <v>0.03</v>
      </c>
      <c r="AK22" s="9">
        <f t="shared" si="50"/>
        <v>0</v>
      </c>
      <c r="AL22" s="9">
        <f t="shared" si="50"/>
        <v>0.53</v>
      </c>
      <c r="AM22" s="9">
        <f t="shared" si="50"/>
        <v>0</v>
      </c>
      <c r="AN22" s="39">
        <f t="shared" si="50"/>
        <v>0.53</v>
      </c>
      <c r="AO22" s="5">
        <f t="shared" si="50"/>
        <v>6084127</v>
      </c>
      <c r="AP22" s="8">
        <f t="shared" si="50"/>
        <v>4432915</v>
      </c>
      <c r="AQ22" s="8">
        <f t="shared" si="50"/>
        <v>16000</v>
      </c>
      <c r="AR22" s="8">
        <f t="shared" si="50"/>
        <v>1503734</v>
      </c>
      <c r="AS22" s="8">
        <f t="shared" si="50"/>
        <v>88658</v>
      </c>
      <c r="AT22" s="8">
        <f t="shared" si="50"/>
        <v>42820</v>
      </c>
      <c r="AU22" s="9">
        <f t="shared" si="50"/>
        <v>10.661199999999999</v>
      </c>
      <c r="AV22" s="9">
        <f t="shared" si="50"/>
        <v>6.53</v>
      </c>
      <c r="AW22" s="92">
        <f t="shared" si="50"/>
        <v>4.1311999999999998</v>
      </c>
      <c r="AX22" s="16"/>
    </row>
    <row r="23" spans="1:50" ht="13.5" customHeight="1" x14ac:dyDescent="0.2">
      <c r="A23" s="525">
        <v>4</v>
      </c>
      <c r="B23" s="526">
        <v>3456</v>
      </c>
      <c r="C23" s="526">
        <v>600029051</v>
      </c>
      <c r="D23" s="526">
        <v>75125439</v>
      </c>
      <c r="E23" s="524" t="s">
        <v>127</v>
      </c>
      <c r="F23" s="526">
        <v>3233</v>
      </c>
      <c r="G23" s="527" t="s">
        <v>324</v>
      </c>
      <c r="H23" s="528" t="s">
        <v>284</v>
      </c>
      <c r="I23" s="575">
        <f>SUM(J23:M23)</f>
        <v>2193811</v>
      </c>
      <c r="J23" s="496">
        <v>1604468</v>
      </c>
      <c r="K23" s="131">
        <f>ROUND((J23)*33.8%,0)</f>
        <v>542310</v>
      </c>
      <c r="L23" s="131">
        <f>ROUND(J23*2%,0)</f>
        <v>32089</v>
      </c>
      <c r="M23" s="496">
        <v>14944</v>
      </c>
      <c r="N23" s="576">
        <f t="shared" ref="N23" si="51">SUM(O23:P23)</f>
        <v>3.57</v>
      </c>
      <c r="O23" s="577">
        <v>2.57</v>
      </c>
      <c r="P23" s="607">
        <v>1</v>
      </c>
      <c r="Q23" s="579">
        <f>V23*-1</f>
        <v>-160000</v>
      </c>
      <c r="R23" s="498">
        <v>0</v>
      </c>
      <c r="S23" s="498">
        <v>0</v>
      </c>
      <c r="T23" s="498">
        <v>0</v>
      </c>
      <c r="U23" s="498">
        <f t="shared" si="4"/>
        <v>-160000</v>
      </c>
      <c r="V23" s="498">
        <v>160000</v>
      </c>
      <c r="W23" s="498">
        <v>0</v>
      </c>
      <c r="X23" s="498">
        <v>0</v>
      </c>
      <c r="Y23" s="498">
        <f t="shared" si="5"/>
        <v>160000</v>
      </c>
      <c r="Z23" s="498">
        <f t="shared" si="6"/>
        <v>0</v>
      </c>
      <c r="AA23" s="131">
        <f>ROUND((U23+V23+W23)*33.8%,0)</f>
        <v>0</v>
      </c>
      <c r="AB23" s="131">
        <f t="shared" si="7"/>
        <v>-3200</v>
      </c>
      <c r="AC23" s="498">
        <v>0</v>
      </c>
      <c r="AD23" s="498">
        <v>0</v>
      </c>
      <c r="AE23" s="498">
        <f t="shared" si="15"/>
        <v>0</v>
      </c>
      <c r="AF23" s="498">
        <f t="shared" si="16"/>
        <v>-3200</v>
      </c>
      <c r="AG23" s="499">
        <v>-0.26</v>
      </c>
      <c r="AH23" s="499">
        <v>-0.09</v>
      </c>
      <c r="AI23" s="499">
        <v>0</v>
      </c>
      <c r="AJ23" s="499">
        <v>0</v>
      </c>
      <c r="AK23" s="499">
        <v>0</v>
      </c>
      <c r="AL23" s="499">
        <f t="shared" ref="AL23" si="52">AG23+AI23+AJ23</f>
        <v>-0.26</v>
      </c>
      <c r="AM23" s="499">
        <f t="shared" ref="AM23" si="53">AH23+AK23</f>
        <v>-0.09</v>
      </c>
      <c r="AN23" s="529">
        <f t="shared" ref="AN23" si="54">SUM(AL23:AM23)</f>
        <v>-0.35</v>
      </c>
      <c r="AO23" s="579">
        <f>I23+AF23</f>
        <v>2190611</v>
      </c>
      <c r="AP23" s="498">
        <f>J23+U23</f>
        <v>1444468</v>
      </c>
      <c r="AQ23" s="498">
        <f>Y23</f>
        <v>160000</v>
      </c>
      <c r="AR23" s="498">
        <f>K23+AA23</f>
        <v>542310</v>
      </c>
      <c r="AS23" s="498">
        <f>L23+AB23</f>
        <v>28889</v>
      </c>
      <c r="AT23" s="498">
        <f>M23+AE23</f>
        <v>14944</v>
      </c>
      <c r="AU23" s="499">
        <f>N23+AN23</f>
        <v>3.2199999999999998</v>
      </c>
      <c r="AV23" s="499">
        <f>O23+AL23</f>
        <v>2.3099999999999996</v>
      </c>
      <c r="AW23" s="500">
        <f>P23+AM23</f>
        <v>0.91</v>
      </c>
      <c r="AX23" s="16"/>
    </row>
    <row r="24" spans="1:50" ht="13.5" customHeight="1" x14ac:dyDescent="0.2">
      <c r="A24" s="302">
        <v>4</v>
      </c>
      <c r="B24" s="32">
        <v>3456</v>
      </c>
      <c r="C24" s="32">
        <v>600029051</v>
      </c>
      <c r="D24" s="32">
        <v>75125439</v>
      </c>
      <c r="E24" s="311" t="s">
        <v>128</v>
      </c>
      <c r="F24" s="32"/>
      <c r="G24" s="301"/>
      <c r="H24" s="454"/>
      <c r="I24" s="5">
        <f t="shared" ref="I24:AW24" si="55">SUM(I23)</f>
        <v>2193811</v>
      </c>
      <c r="J24" s="8">
        <f t="shared" si="55"/>
        <v>1604468</v>
      </c>
      <c r="K24" s="8">
        <f t="shared" si="55"/>
        <v>542310</v>
      </c>
      <c r="L24" s="8">
        <f t="shared" si="55"/>
        <v>32089</v>
      </c>
      <c r="M24" s="8">
        <f t="shared" si="55"/>
        <v>14944</v>
      </c>
      <c r="N24" s="9">
        <f t="shared" si="55"/>
        <v>3.57</v>
      </c>
      <c r="O24" s="9">
        <f t="shared" si="55"/>
        <v>2.57</v>
      </c>
      <c r="P24" s="39">
        <f t="shared" si="55"/>
        <v>1</v>
      </c>
      <c r="Q24" s="5">
        <f t="shared" si="55"/>
        <v>-160000</v>
      </c>
      <c r="R24" s="8">
        <f t="shared" si="55"/>
        <v>0</v>
      </c>
      <c r="S24" s="8">
        <f t="shared" si="55"/>
        <v>0</v>
      </c>
      <c r="T24" s="8">
        <f t="shared" si="55"/>
        <v>0</v>
      </c>
      <c r="U24" s="8">
        <f t="shared" si="55"/>
        <v>-160000</v>
      </c>
      <c r="V24" s="8">
        <f t="shared" si="55"/>
        <v>160000</v>
      </c>
      <c r="W24" s="8">
        <f t="shared" si="55"/>
        <v>0</v>
      </c>
      <c r="X24" s="8">
        <f t="shared" si="55"/>
        <v>0</v>
      </c>
      <c r="Y24" s="8">
        <f t="shared" si="55"/>
        <v>160000</v>
      </c>
      <c r="Z24" s="8">
        <f t="shared" si="55"/>
        <v>0</v>
      </c>
      <c r="AA24" s="8">
        <f t="shared" si="55"/>
        <v>0</v>
      </c>
      <c r="AB24" s="8">
        <f t="shared" si="55"/>
        <v>-3200</v>
      </c>
      <c r="AC24" s="8">
        <f t="shared" si="55"/>
        <v>0</v>
      </c>
      <c r="AD24" s="8">
        <f t="shared" si="55"/>
        <v>0</v>
      </c>
      <c r="AE24" s="8">
        <f t="shared" si="55"/>
        <v>0</v>
      </c>
      <c r="AF24" s="8">
        <f t="shared" si="55"/>
        <v>-3200</v>
      </c>
      <c r="AG24" s="9">
        <f t="shared" si="55"/>
        <v>-0.26</v>
      </c>
      <c r="AH24" s="9">
        <f t="shared" si="55"/>
        <v>-0.09</v>
      </c>
      <c r="AI24" s="9">
        <f t="shared" si="55"/>
        <v>0</v>
      </c>
      <c r="AJ24" s="9">
        <f t="shared" si="55"/>
        <v>0</v>
      </c>
      <c r="AK24" s="9">
        <f t="shared" si="55"/>
        <v>0</v>
      </c>
      <c r="AL24" s="9">
        <f t="shared" si="55"/>
        <v>-0.26</v>
      </c>
      <c r="AM24" s="9">
        <f t="shared" si="55"/>
        <v>-0.09</v>
      </c>
      <c r="AN24" s="39">
        <f t="shared" si="55"/>
        <v>-0.35</v>
      </c>
      <c r="AO24" s="5">
        <f t="shared" si="55"/>
        <v>2190611</v>
      </c>
      <c r="AP24" s="8">
        <f t="shared" si="55"/>
        <v>1444468</v>
      </c>
      <c r="AQ24" s="8">
        <f t="shared" si="55"/>
        <v>160000</v>
      </c>
      <c r="AR24" s="8">
        <f t="shared" si="55"/>
        <v>542310</v>
      </c>
      <c r="AS24" s="8">
        <f t="shared" si="55"/>
        <v>28889</v>
      </c>
      <c r="AT24" s="8">
        <f t="shared" si="55"/>
        <v>14944</v>
      </c>
      <c r="AU24" s="9">
        <f t="shared" si="55"/>
        <v>3.2199999999999998</v>
      </c>
      <c r="AV24" s="9">
        <f t="shared" si="55"/>
        <v>2.3099999999999996</v>
      </c>
      <c r="AW24" s="92">
        <f t="shared" si="55"/>
        <v>0.91</v>
      </c>
      <c r="AX24" s="16"/>
    </row>
    <row r="25" spans="1:50" ht="13.5" customHeight="1" x14ac:dyDescent="0.2">
      <c r="A25" s="525">
        <v>5</v>
      </c>
      <c r="B25" s="526">
        <v>3447</v>
      </c>
      <c r="C25" s="526">
        <v>600078531</v>
      </c>
      <c r="D25" s="526">
        <v>70694982</v>
      </c>
      <c r="E25" s="524" t="s">
        <v>129</v>
      </c>
      <c r="F25" s="526">
        <v>3113</v>
      </c>
      <c r="G25" s="527" t="s">
        <v>320</v>
      </c>
      <c r="H25" s="528" t="s">
        <v>283</v>
      </c>
      <c r="I25" s="575">
        <f t="shared" ref="I25:I30" si="56">SUM(J25:M25)</f>
        <v>17542835</v>
      </c>
      <c r="J25" s="496">
        <v>12682426</v>
      </c>
      <c r="K25" s="131">
        <f t="shared" ref="K25:K30" si="57">ROUND((J25)*33.8%,0)</f>
        <v>4286660</v>
      </c>
      <c r="L25" s="131">
        <f t="shared" ref="L25:L28" si="58">ROUND(J25*2%,0)</f>
        <v>253649</v>
      </c>
      <c r="M25" s="496">
        <v>320100</v>
      </c>
      <c r="N25" s="576">
        <f t="shared" ref="N25:N30" si="59">SUM(O25:P25)</f>
        <v>24.542900000000003</v>
      </c>
      <c r="O25" s="577">
        <v>18.545400000000001</v>
      </c>
      <c r="P25" s="607">
        <v>5.9975000000000005</v>
      </c>
      <c r="Q25" s="579">
        <f t="shared" ref="Q25:Q30" si="60">V25*-1</f>
        <v>-4800</v>
      </c>
      <c r="R25" s="498">
        <v>0</v>
      </c>
      <c r="S25" s="498">
        <v>0</v>
      </c>
      <c r="T25" s="498">
        <v>0</v>
      </c>
      <c r="U25" s="498">
        <f t="shared" si="4"/>
        <v>-4800</v>
      </c>
      <c r="V25" s="498">
        <v>4800</v>
      </c>
      <c r="W25" s="498">
        <v>0</v>
      </c>
      <c r="X25" s="498">
        <v>0</v>
      </c>
      <c r="Y25" s="498">
        <f t="shared" si="5"/>
        <v>4800</v>
      </c>
      <c r="Z25" s="498">
        <f t="shared" si="6"/>
        <v>0</v>
      </c>
      <c r="AA25" s="131">
        <f t="shared" ref="AA25:AA30" si="61">ROUND((U25+V25+W25)*33.8%,0)</f>
        <v>0</v>
      </c>
      <c r="AB25" s="131">
        <f t="shared" si="7"/>
        <v>-96</v>
      </c>
      <c r="AC25" s="498">
        <v>0</v>
      </c>
      <c r="AD25" s="498">
        <v>0</v>
      </c>
      <c r="AE25" s="498">
        <f t="shared" si="15"/>
        <v>0</v>
      </c>
      <c r="AF25" s="498">
        <f t="shared" si="16"/>
        <v>-96</v>
      </c>
      <c r="AG25" s="499">
        <v>0</v>
      </c>
      <c r="AH25" s="499">
        <v>0</v>
      </c>
      <c r="AI25" s="499">
        <v>0</v>
      </c>
      <c r="AJ25" s="499">
        <v>0</v>
      </c>
      <c r="AK25" s="499">
        <v>0</v>
      </c>
      <c r="AL25" s="499">
        <f t="shared" ref="AL25:AL30" si="62">AG25+AI25+AJ25</f>
        <v>0</v>
      </c>
      <c r="AM25" s="499">
        <f t="shared" ref="AM25:AM30" si="63">AH25+AK25</f>
        <v>0</v>
      </c>
      <c r="AN25" s="529">
        <f t="shared" ref="AN25:AN30" si="64">SUM(AL25:AM25)</f>
        <v>0</v>
      </c>
      <c r="AO25" s="579">
        <f t="shared" ref="AO25:AO30" si="65">I25+AF25</f>
        <v>17542739</v>
      </c>
      <c r="AP25" s="498">
        <f t="shared" ref="AP25:AP30" si="66">J25+U25</f>
        <v>12677626</v>
      </c>
      <c r="AQ25" s="498">
        <f t="shared" ref="AQ25:AQ30" si="67">Y25</f>
        <v>4800</v>
      </c>
      <c r="AR25" s="498">
        <f t="shared" ref="AR25:AS30" si="68">K25+AA25</f>
        <v>4286660</v>
      </c>
      <c r="AS25" s="498">
        <f t="shared" si="68"/>
        <v>253553</v>
      </c>
      <c r="AT25" s="498">
        <f t="shared" ref="AT25:AT30" si="69">M25+AE25</f>
        <v>320100</v>
      </c>
      <c r="AU25" s="499">
        <f t="shared" ref="AU25:AU30" si="70">N25+AN25</f>
        <v>24.542900000000003</v>
      </c>
      <c r="AV25" s="499">
        <f t="shared" ref="AV25:AW30" si="71">O25+AL25</f>
        <v>18.545400000000001</v>
      </c>
      <c r="AW25" s="500">
        <f t="shared" si="71"/>
        <v>5.9975000000000005</v>
      </c>
      <c r="AX25" s="16"/>
    </row>
    <row r="26" spans="1:50" ht="13.5" customHeight="1" x14ac:dyDescent="0.2">
      <c r="A26" s="525">
        <v>5</v>
      </c>
      <c r="B26" s="526">
        <v>3447</v>
      </c>
      <c r="C26" s="526">
        <v>600078531</v>
      </c>
      <c r="D26" s="526">
        <v>70694982</v>
      </c>
      <c r="E26" s="524" t="s">
        <v>129</v>
      </c>
      <c r="F26" s="526">
        <v>3113</v>
      </c>
      <c r="G26" s="527" t="s">
        <v>319</v>
      </c>
      <c r="H26" s="528" t="s">
        <v>283</v>
      </c>
      <c r="I26" s="575">
        <f t="shared" si="56"/>
        <v>438525</v>
      </c>
      <c r="J26" s="496">
        <v>322920</v>
      </c>
      <c r="K26" s="131">
        <f t="shared" si="57"/>
        <v>109147</v>
      </c>
      <c r="L26" s="131">
        <f t="shared" si="58"/>
        <v>6458</v>
      </c>
      <c r="M26" s="496">
        <v>0</v>
      </c>
      <c r="N26" s="576">
        <f t="shared" si="59"/>
        <v>0.75</v>
      </c>
      <c r="O26" s="577">
        <v>0.75</v>
      </c>
      <c r="P26" s="607">
        <v>0</v>
      </c>
      <c r="Q26" s="579">
        <f t="shared" si="60"/>
        <v>0</v>
      </c>
      <c r="R26" s="498">
        <v>0</v>
      </c>
      <c r="S26" s="498">
        <v>0</v>
      </c>
      <c r="T26" s="498">
        <v>0</v>
      </c>
      <c r="U26" s="498">
        <f t="shared" si="4"/>
        <v>0</v>
      </c>
      <c r="V26" s="498">
        <v>0</v>
      </c>
      <c r="W26" s="498">
        <v>0</v>
      </c>
      <c r="X26" s="498">
        <v>0</v>
      </c>
      <c r="Y26" s="498">
        <f t="shared" si="5"/>
        <v>0</v>
      </c>
      <c r="Z26" s="498">
        <f t="shared" si="6"/>
        <v>0</v>
      </c>
      <c r="AA26" s="131">
        <f t="shared" si="61"/>
        <v>0</v>
      </c>
      <c r="AB26" s="131">
        <f t="shared" si="7"/>
        <v>0</v>
      </c>
      <c r="AC26" s="498">
        <v>0</v>
      </c>
      <c r="AD26" s="498">
        <v>0</v>
      </c>
      <c r="AE26" s="498">
        <f t="shared" si="15"/>
        <v>0</v>
      </c>
      <c r="AF26" s="498">
        <f t="shared" si="16"/>
        <v>0</v>
      </c>
      <c r="AG26" s="499">
        <v>0</v>
      </c>
      <c r="AH26" s="499">
        <v>0</v>
      </c>
      <c r="AI26" s="499">
        <v>0</v>
      </c>
      <c r="AJ26" s="499">
        <v>0</v>
      </c>
      <c r="AK26" s="499">
        <v>0</v>
      </c>
      <c r="AL26" s="499">
        <f t="shared" si="62"/>
        <v>0</v>
      </c>
      <c r="AM26" s="499">
        <f t="shared" si="63"/>
        <v>0</v>
      </c>
      <c r="AN26" s="529">
        <f t="shared" si="64"/>
        <v>0</v>
      </c>
      <c r="AO26" s="579">
        <f t="shared" si="65"/>
        <v>438525</v>
      </c>
      <c r="AP26" s="498">
        <f t="shared" si="66"/>
        <v>322920</v>
      </c>
      <c r="AQ26" s="498">
        <f t="shared" si="67"/>
        <v>0</v>
      </c>
      <c r="AR26" s="498">
        <f t="shared" si="68"/>
        <v>109147</v>
      </c>
      <c r="AS26" s="498">
        <f t="shared" si="68"/>
        <v>6458</v>
      </c>
      <c r="AT26" s="498">
        <f t="shared" si="69"/>
        <v>0</v>
      </c>
      <c r="AU26" s="499">
        <f t="shared" si="70"/>
        <v>0.75</v>
      </c>
      <c r="AV26" s="499">
        <f t="shared" si="71"/>
        <v>0.75</v>
      </c>
      <c r="AW26" s="500">
        <f t="shared" si="71"/>
        <v>0</v>
      </c>
      <c r="AX26" s="16"/>
    </row>
    <row r="27" spans="1:50" ht="13.5" customHeight="1" x14ac:dyDescent="0.2">
      <c r="A27" s="525">
        <v>5</v>
      </c>
      <c r="B27" s="526">
        <v>3447</v>
      </c>
      <c r="C27" s="526">
        <v>600078531</v>
      </c>
      <c r="D27" s="526">
        <v>70694982</v>
      </c>
      <c r="E27" s="524" t="s">
        <v>129</v>
      </c>
      <c r="F27" s="526">
        <v>3113</v>
      </c>
      <c r="G27" s="527" t="s">
        <v>325</v>
      </c>
      <c r="H27" s="528" t="s">
        <v>284</v>
      </c>
      <c r="I27" s="575">
        <f t="shared" si="56"/>
        <v>0</v>
      </c>
      <c r="J27" s="496">
        <v>0</v>
      </c>
      <c r="K27" s="131">
        <f t="shared" si="57"/>
        <v>0</v>
      </c>
      <c r="L27" s="131">
        <f t="shared" si="58"/>
        <v>0</v>
      </c>
      <c r="M27" s="496">
        <v>0</v>
      </c>
      <c r="N27" s="576">
        <f t="shared" si="59"/>
        <v>0</v>
      </c>
      <c r="O27" s="577">
        <v>0</v>
      </c>
      <c r="P27" s="607">
        <v>0</v>
      </c>
      <c r="Q27" s="579">
        <f t="shared" si="60"/>
        <v>0</v>
      </c>
      <c r="R27" s="496">
        <f>1053046+158787</f>
        <v>1211833</v>
      </c>
      <c r="S27" s="498">
        <v>0</v>
      </c>
      <c r="T27" s="498">
        <v>0</v>
      </c>
      <c r="U27" s="498">
        <f t="shared" si="4"/>
        <v>1211833</v>
      </c>
      <c r="V27" s="498">
        <v>0</v>
      </c>
      <c r="W27" s="498">
        <v>0</v>
      </c>
      <c r="X27" s="498">
        <v>0</v>
      </c>
      <c r="Y27" s="498">
        <f t="shared" si="5"/>
        <v>0</v>
      </c>
      <c r="Z27" s="498">
        <f t="shared" si="6"/>
        <v>1211833</v>
      </c>
      <c r="AA27" s="131">
        <f t="shared" si="61"/>
        <v>409600</v>
      </c>
      <c r="AB27" s="131">
        <f t="shared" si="7"/>
        <v>24237</v>
      </c>
      <c r="AC27" s="498">
        <v>0</v>
      </c>
      <c r="AD27" s="498">
        <v>0</v>
      </c>
      <c r="AE27" s="498">
        <f t="shared" si="15"/>
        <v>0</v>
      </c>
      <c r="AF27" s="498">
        <f t="shared" si="16"/>
        <v>1645670</v>
      </c>
      <c r="AG27" s="499">
        <v>0</v>
      </c>
      <c r="AH27" s="499">
        <v>0</v>
      </c>
      <c r="AI27" s="499">
        <f>2.94+0.46</f>
        <v>3.4</v>
      </c>
      <c r="AJ27" s="499">
        <v>0</v>
      </c>
      <c r="AK27" s="499">
        <v>0</v>
      </c>
      <c r="AL27" s="499">
        <f t="shared" si="62"/>
        <v>3.4</v>
      </c>
      <c r="AM27" s="499">
        <f t="shared" si="63"/>
        <v>0</v>
      </c>
      <c r="AN27" s="529">
        <f t="shared" si="64"/>
        <v>3.4</v>
      </c>
      <c r="AO27" s="579">
        <f t="shared" si="65"/>
        <v>1645670</v>
      </c>
      <c r="AP27" s="498">
        <f t="shared" si="66"/>
        <v>1211833</v>
      </c>
      <c r="AQ27" s="498">
        <f t="shared" si="67"/>
        <v>0</v>
      </c>
      <c r="AR27" s="498">
        <f t="shared" si="68"/>
        <v>409600</v>
      </c>
      <c r="AS27" s="498">
        <f t="shared" si="68"/>
        <v>24237</v>
      </c>
      <c r="AT27" s="498">
        <f t="shared" si="69"/>
        <v>0</v>
      </c>
      <c r="AU27" s="499">
        <f t="shared" si="70"/>
        <v>3.4</v>
      </c>
      <c r="AV27" s="499">
        <f t="shared" si="71"/>
        <v>3.4</v>
      </c>
      <c r="AW27" s="500">
        <f t="shared" si="71"/>
        <v>0</v>
      </c>
      <c r="AX27" s="16"/>
    </row>
    <row r="28" spans="1:50" ht="13.5" customHeight="1" x14ac:dyDescent="0.2">
      <c r="A28" s="525">
        <v>5</v>
      </c>
      <c r="B28" s="526">
        <v>3447</v>
      </c>
      <c r="C28" s="526">
        <v>600078531</v>
      </c>
      <c r="D28" s="526">
        <v>70694982</v>
      </c>
      <c r="E28" s="524" t="s">
        <v>129</v>
      </c>
      <c r="F28" s="526">
        <v>3141</v>
      </c>
      <c r="G28" s="527" t="s">
        <v>321</v>
      </c>
      <c r="H28" s="528" t="s">
        <v>284</v>
      </c>
      <c r="I28" s="575">
        <f t="shared" si="56"/>
        <v>1364483</v>
      </c>
      <c r="J28" s="496">
        <v>996531</v>
      </c>
      <c r="K28" s="131">
        <f t="shared" si="57"/>
        <v>336827</v>
      </c>
      <c r="L28" s="131">
        <f t="shared" si="58"/>
        <v>19931</v>
      </c>
      <c r="M28" s="496">
        <v>11194</v>
      </c>
      <c r="N28" s="576">
        <f t="shared" si="59"/>
        <v>3.39</v>
      </c>
      <c r="O28" s="577">
        <v>0</v>
      </c>
      <c r="P28" s="607">
        <v>3.39</v>
      </c>
      <c r="Q28" s="579">
        <f t="shared" si="60"/>
        <v>-4800</v>
      </c>
      <c r="R28" s="498">
        <v>0</v>
      </c>
      <c r="S28" s="498">
        <v>0</v>
      </c>
      <c r="T28" s="498">
        <v>0</v>
      </c>
      <c r="U28" s="498">
        <f t="shared" si="4"/>
        <v>-4800</v>
      </c>
      <c r="V28" s="498">
        <v>4800</v>
      </c>
      <c r="W28" s="498">
        <v>0</v>
      </c>
      <c r="X28" s="498">
        <v>0</v>
      </c>
      <c r="Y28" s="498">
        <f t="shared" si="5"/>
        <v>4800</v>
      </c>
      <c r="Z28" s="498">
        <f t="shared" si="6"/>
        <v>0</v>
      </c>
      <c r="AA28" s="131">
        <f t="shared" si="61"/>
        <v>0</v>
      </c>
      <c r="AB28" s="131">
        <f t="shared" si="7"/>
        <v>-96</v>
      </c>
      <c r="AC28" s="498">
        <v>0</v>
      </c>
      <c r="AD28" s="498">
        <v>0</v>
      </c>
      <c r="AE28" s="498">
        <f t="shared" si="15"/>
        <v>0</v>
      </c>
      <c r="AF28" s="498">
        <f t="shared" si="16"/>
        <v>-96</v>
      </c>
      <c r="AG28" s="499">
        <v>0</v>
      </c>
      <c r="AH28" s="499">
        <v>0</v>
      </c>
      <c r="AI28" s="499">
        <v>0</v>
      </c>
      <c r="AJ28" s="499">
        <v>0</v>
      </c>
      <c r="AK28" s="499">
        <v>0</v>
      </c>
      <c r="AL28" s="499">
        <f t="shared" si="62"/>
        <v>0</v>
      </c>
      <c r="AM28" s="499">
        <f t="shared" si="63"/>
        <v>0</v>
      </c>
      <c r="AN28" s="529">
        <f t="shared" si="64"/>
        <v>0</v>
      </c>
      <c r="AO28" s="579">
        <f t="shared" si="65"/>
        <v>1364387</v>
      </c>
      <c r="AP28" s="498">
        <f t="shared" si="66"/>
        <v>991731</v>
      </c>
      <c r="AQ28" s="498">
        <f t="shared" si="67"/>
        <v>4800</v>
      </c>
      <c r="AR28" s="498">
        <f t="shared" si="68"/>
        <v>336827</v>
      </c>
      <c r="AS28" s="498">
        <f t="shared" si="68"/>
        <v>19835</v>
      </c>
      <c r="AT28" s="498">
        <f t="shared" si="69"/>
        <v>11194</v>
      </c>
      <c r="AU28" s="499">
        <f t="shared" si="70"/>
        <v>3.39</v>
      </c>
      <c r="AV28" s="499">
        <f t="shared" si="71"/>
        <v>0</v>
      </c>
      <c r="AW28" s="500">
        <f t="shared" si="71"/>
        <v>3.39</v>
      </c>
      <c r="AX28" s="16"/>
    </row>
    <row r="29" spans="1:50" ht="13.5" customHeight="1" x14ac:dyDescent="0.2">
      <c r="A29" s="525">
        <v>5</v>
      </c>
      <c r="B29" s="526">
        <v>3447</v>
      </c>
      <c r="C29" s="526">
        <v>600078531</v>
      </c>
      <c r="D29" s="526">
        <v>70694982</v>
      </c>
      <c r="E29" s="524" t="s">
        <v>129</v>
      </c>
      <c r="F29" s="526">
        <v>3143</v>
      </c>
      <c r="G29" s="527" t="s">
        <v>635</v>
      </c>
      <c r="H29" s="574" t="s">
        <v>283</v>
      </c>
      <c r="I29" s="575">
        <f t="shared" si="56"/>
        <v>1341535</v>
      </c>
      <c r="J29" s="496">
        <v>987876</v>
      </c>
      <c r="K29" s="131">
        <f t="shared" si="57"/>
        <v>333902</v>
      </c>
      <c r="L29" s="131">
        <v>19757</v>
      </c>
      <c r="M29" s="496">
        <v>0</v>
      </c>
      <c r="N29" s="576">
        <f t="shared" si="59"/>
        <v>2</v>
      </c>
      <c r="O29" s="577">
        <v>2</v>
      </c>
      <c r="P29" s="607">
        <v>0</v>
      </c>
      <c r="Q29" s="579">
        <f t="shared" si="60"/>
        <v>-3600</v>
      </c>
      <c r="R29" s="498">
        <v>0</v>
      </c>
      <c r="S29" s="498">
        <v>0</v>
      </c>
      <c r="T29" s="498">
        <v>0</v>
      </c>
      <c r="U29" s="498">
        <f t="shared" si="4"/>
        <v>-3600</v>
      </c>
      <c r="V29" s="498">
        <v>3600</v>
      </c>
      <c r="W29" s="498">
        <v>0</v>
      </c>
      <c r="X29" s="498">
        <v>0</v>
      </c>
      <c r="Y29" s="498">
        <f t="shared" si="5"/>
        <v>3600</v>
      </c>
      <c r="Z29" s="498">
        <f t="shared" si="6"/>
        <v>0</v>
      </c>
      <c r="AA29" s="131">
        <f t="shared" si="61"/>
        <v>0</v>
      </c>
      <c r="AB29" s="131">
        <f t="shared" si="7"/>
        <v>-72</v>
      </c>
      <c r="AC29" s="498">
        <v>0</v>
      </c>
      <c r="AD29" s="498">
        <v>0</v>
      </c>
      <c r="AE29" s="498">
        <f t="shared" si="15"/>
        <v>0</v>
      </c>
      <c r="AF29" s="498">
        <f t="shared" si="16"/>
        <v>-72</v>
      </c>
      <c r="AG29" s="499">
        <v>0</v>
      </c>
      <c r="AH29" s="499">
        <v>0</v>
      </c>
      <c r="AI29" s="499">
        <v>0</v>
      </c>
      <c r="AJ29" s="499">
        <v>0</v>
      </c>
      <c r="AK29" s="499">
        <v>0</v>
      </c>
      <c r="AL29" s="499">
        <f t="shared" si="62"/>
        <v>0</v>
      </c>
      <c r="AM29" s="499">
        <f t="shared" si="63"/>
        <v>0</v>
      </c>
      <c r="AN29" s="529">
        <f t="shared" si="64"/>
        <v>0</v>
      </c>
      <c r="AO29" s="579">
        <f t="shared" si="65"/>
        <v>1341463</v>
      </c>
      <c r="AP29" s="498">
        <f t="shared" si="66"/>
        <v>984276</v>
      </c>
      <c r="AQ29" s="498">
        <f t="shared" si="67"/>
        <v>3600</v>
      </c>
      <c r="AR29" s="498">
        <f t="shared" si="68"/>
        <v>333902</v>
      </c>
      <c r="AS29" s="498">
        <f t="shared" si="68"/>
        <v>19685</v>
      </c>
      <c r="AT29" s="498">
        <f t="shared" si="69"/>
        <v>0</v>
      </c>
      <c r="AU29" s="499">
        <f t="shared" si="70"/>
        <v>2</v>
      </c>
      <c r="AV29" s="499">
        <f t="shared" si="71"/>
        <v>2</v>
      </c>
      <c r="AW29" s="500">
        <f t="shared" si="71"/>
        <v>0</v>
      </c>
      <c r="AX29" s="16"/>
    </row>
    <row r="30" spans="1:50" ht="13.5" customHeight="1" x14ac:dyDescent="0.2">
      <c r="A30" s="525">
        <v>5</v>
      </c>
      <c r="B30" s="526">
        <v>3447</v>
      </c>
      <c r="C30" s="526">
        <v>600078531</v>
      </c>
      <c r="D30" s="526">
        <v>70694982</v>
      </c>
      <c r="E30" s="524" t="s">
        <v>129</v>
      </c>
      <c r="F30" s="526">
        <v>3143</v>
      </c>
      <c r="G30" s="527" t="s">
        <v>636</v>
      </c>
      <c r="H30" s="574" t="s">
        <v>284</v>
      </c>
      <c r="I30" s="575">
        <f t="shared" si="56"/>
        <v>42133</v>
      </c>
      <c r="J30" s="496">
        <v>29700</v>
      </c>
      <c r="K30" s="131">
        <f t="shared" si="57"/>
        <v>10039</v>
      </c>
      <c r="L30" s="131">
        <f t="shared" ref="L30" si="72">ROUND(J30*2%,0)</f>
        <v>594</v>
      </c>
      <c r="M30" s="496">
        <v>1800</v>
      </c>
      <c r="N30" s="576">
        <f t="shared" si="59"/>
        <v>0.13</v>
      </c>
      <c r="O30" s="577">
        <v>0</v>
      </c>
      <c r="P30" s="607">
        <v>0.13</v>
      </c>
      <c r="Q30" s="579">
        <f t="shared" si="60"/>
        <v>0</v>
      </c>
      <c r="R30" s="498">
        <v>0</v>
      </c>
      <c r="S30" s="498">
        <v>0</v>
      </c>
      <c r="T30" s="498">
        <v>0</v>
      </c>
      <c r="U30" s="498">
        <f t="shared" si="4"/>
        <v>0</v>
      </c>
      <c r="V30" s="498">
        <v>0</v>
      </c>
      <c r="W30" s="498">
        <v>0</v>
      </c>
      <c r="X30" s="498">
        <v>0</v>
      </c>
      <c r="Y30" s="498">
        <f t="shared" si="5"/>
        <v>0</v>
      </c>
      <c r="Z30" s="498">
        <f t="shared" si="6"/>
        <v>0</v>
      </c>
      <c r="AA30" s="131">
        <f t="shared" si="61"/>
        <v>0</v>
      </c>
      <c r="AB30" s="131">
        <f t="shared" si="7"/>
        <v>0</v>
      </c>
      <c r="AC30" s="498">
        <v>0</v>
      </c>
      <c r="AD30" s="498">
        <v>0</v>
      </c>
      <c r="AE30" s="498">
        <f t="shared" si="15"/>
        <v>0</v>
      </c>
      <c r="AF30" s="498">
        <f t="shared" si="16"/>
        <v>0</v>
      </c>
      <c r="AG30" s="499">
        <v>0</v>
      </c>
      <c r="AH30" s="499">
        <v>0</v>
      </c>
      <c r="AI30" s="499">
        <v>0</v>
      </c>
      <c r="AJ30" s="499">
        <v>0</v>
      </c>
      <c r="AK30" s="499">
        <v>0</v>
      </c>
      <c r="AL30" s="499">
        <f t="shared" si="62"/>
        <v>0</v>
      </c>
      <c r="AM30" s="499">
        <f t="shared" si="63"/>
        <v>0</v>
      </c>
      <c r="AN30" s="529">
        <f t="shared" si="64"/>
        <v>0</v>
      </c>
      <c r="AO30" s="579">
        <f t="shared" si="65"/>
        <v>42133</v>
      </c>
      <c r="AP30" s="498">
        <f t="shared" si="66"/>
        <v>29700</v>
      </c>
      <c r="AQ30" s="498">
        <f t="shared" si="67"/>
        <v>0</v>
      </c>
      <c r="AR30" s="498">
        <f t="shared" si="68"/>
        <v>10039</v>
      </c>
      <c r="AS30" s="498">
        <f t="shared" si="68"/>
        <v>594</v>
      </c>
      <c r="AT30" s="498">
        <f t="shared" si="69"/>
        <v>1800</v>
      </c>
      <c r="AU30" s="499">
        <f t="shared" si="70"/>
        <v>0.13</v>
      </c>
      <c r="AV30" s="499">
        <f t="shared" si="71"/>
        <v>0</v>
      </c>
      <c r="AW30" s="500">
        <f t="shared" si="71"/>
        <v>0.13</v>
      </c>
      <c r="AX30" s="16"/>
    </row>
    <row r="31" spans="1:50" ht="13.5" customHeight="1" x14ac:dyDescent="0.2">
      <c r="A31" s="302">
        <v>5</v>
      </c>
      <c r="B31" s="32">
        <v>3447</v>
      </c>
      <c r="C31" s="32">
        <v>600078531</v>
      </c>
      <c r="D31" s="32">
        <v>70694982</v>
      </c>
      <c r="E31" s="311" t="s">
        <v>130</v>
      </c>
      <c r="F31" s="32"/>
      <c r="G31" s="301"/>
      <c r="H31" s="454"/>
      <c r="I31" s="5">
        <f t="shared" ref="I31:P31" si="73">SUM(I25:I30)</f>
        <v>20729511</v>
      </c>
      <c r="J31" s="8">
        <f t="shared" si="73"/>
        <v>15019453</v>
      </c>
      <c r="K31" s="8">
        <f t="shared" si="73"/>
        <v>5076575</v>
      </c>
      <c r="L31" s="8">
        <f t="shared" si="73"/>
        <v>300389</v>
      </c>
      <c r="M31" s="8">
        <f t="shared" si="73"/>
        <v>333094</v>
      </c>
      <c r="N31" s="9">
        <f t="shared" si="73"/>
        <v>30.812900000000003</v>
      </c>
      <c r="O31" s="9">
        <f t="shared" si="73"/>
        <v>21.295400000000001</v>
      </c>
      <c r="P31" s="39">
        <f t="shared" si="73"/>
        <v>9.5175000000000018</v>
      </c>
      <c r="Q31" s="5">
        <f t="shared" ref="Q31:AW31" si="74">SUM(Q25:Q30)</f>
        <v>-13200</v>
      </c>
      <c r="R31" s="8">
        <f t="shared" si="74"/>
        <v>1211833</v>
      </c>
      <c r="S31" s="8">
        <f t="shared" si="74"/>
        <v>0</v>
      </c>
      <c r="T31" s="8">
        <f t="shared" si="74"/>
        <v>0</v>
      </c>
      <c r="U31" s="8">
        <f t="shared" si="74"/>
        <v>1198633</v>
      </c>
      <c r="V31" s="8">
        <f t="shared" si="74"/>
        <v>13200</v>
      </c>
      <c r="W31" s="8">
        <f t="shared" si="74"/>
        <v>0</v>
      </c>
      <c r="X31" s="8">
        <f t="shared" si="74"/>
        <v>0</v>
      </c>
      <c r="Y31" s="8">
        <f t="shared" si="74"/>
        <v>13200</v>
      </c>
      <c r="Z31" s="8">
        <f t="shared" si="74"/>
        <v>1211833</v>
      </c>
      <c r="AA31" s="8">
        <f t="shared" si="74"/>
        <v>409600</v>
      </c>
      <c r="AB31" s="8">
        <f t="shared" si="74"/>
        <v>23973</v>
      </c>
      <c r="AC31" s="8">
        <f t="shared" si="74"/>
        <v>0</v>
      </c>
      <c r="AD31" s="8">
        <f t="shared" si="74"/>
        <v>0</v>
      </c>
      <c r="AE31" s="8">
        <f t="shared" si="74"/>
        <v>0</v>
      </c>
      <c r="AF31" s="8">
        <f t="shared" si="74"/>
        <v>1645406</v>
      </c>
      <c r="AG31" s="9">
        <f t="shared" si="74"/>
        <v>0</v>
      </c>
      <c r="AH31" s="9">
        <f t="shared" si="74"/>
        <v>0</v>
      </c>
      <c r="AI31" s="9">
        <f t="shared" si="74"/>
        <v>3.4</v>
      </c>
      <c r="AJ31" s="9">
        <f t="shared" si="74"/>
        <v>0</v>
      </c>
      <c r="AK31" s="9">
        <f t="shared" si="74"/>
        <v>0</v>
      </c>
      <c r="AL31" s="9">
        <f t="shared" si="74"/>
        <v>3.4</v>
      </c>
      <c r="AM31" s="9">
        <f t="shared" si="74"/>
        <v>0</v>
      </c>
      <c r="AN31" s="39">
        <f t="shared" si="74"/>
        <v>3.4</v>
      </c>
      <c r="AO31" s="5">
        <f t="shared" si="74"/>
        <v>22374917</v>
      </c>
      <c r="AP31" s="8">
        <f t="shared" si="74"/>
        <v>16218086</v>
      </c>
      <c r="AQ31" s="8">
        <f t="shared" si="74"/>
        <v>13200</v>
      </c>
      <c r="AR31" s="8">
        <f t="shared" si="74"/>
        <v>5486175</v>
      </c>
      <c r="AS31" s="8">
        <f t="shared" si="74"/>
        <v>324362</v>
      </c>
      <c r="AT31" s="8">
        <f t="shared" si="74"/>
        <v>333094</v>
      </c>
      <c r="AU31" s="9">
        <f t="shared" si="74"/>
        <v>34.212900000000005</v>
      </c>
      <c r="AV31" s="9">
        <f t="shared" si="74"/>
        <v>24.695399999999999</v>
      </c>
      <c r="AW31" s="92">
        <f t="shared" si="74"/>
        <v>9.5175000000000018</v>
      </c>
      <c r="AX31" s="16"/>
    </row>
    <row r="32" spans="1:50" ht="13.5" customHeight="1" x14ac:dyDescent="0.2">
      <c r="A32" s="525">
        <v>6</v>
      </c>
      <c r="B32" s="526">
        <v>3446</v>
      </c>
      <c r="C32" s="526">
        <v>600078515</v>
      </c>
      <c r="D32" s="526">
        <v>70694974</v>
      </c>
      <c r="E32" s="524" t="s">
        <v>131</v>
      </c>
      <c r="F32" s="526">
        <v>3113</v>
      </c>
      <c r="G32" s="527" t="s">
        <v>320</v>
      </c>
      <c r="H32" s="528" t="s">
        <v>283</v>
      </c>
      <c r="I32" s="575">
        <f>SUM(J32:M32)</f>
        <v>23227833</v>
      </c>
      <c r="J32" s="496">
        <v>16747374</v>
      </c>
      <c r="K32" s="131">
        <f t="shared" ref="K32:K34" si="75">ROUND((J32)*33.8%,0)</f>
        <v>5660612</v>
      </c>
      <c r="L32" s="131">
        <f t="shared" ref="L32:L36" si="76">ROUND(J32*2%,0)</f>
        <v>334947</v>
      </c>
      <c r="M32" s="496">
        <v>484900</v>
      </c>
      <c r="N32" s="576">
        <f t="shared" ref="N32:N36" si="77">SUM(O32:P32)</f>
        <v>32.317</v>
      </c>
      <c r="O32" s="577">
        <v>25.045200000000001</v>
      </c>
      <c r="P32" s="607">
        <v>7.2717999999999998</v>
      </c>
      <c r="Q32" s="579">
        <f t="shared" ref="Q32:Q36" si="78">V32*-1</f>
        <v>-16000</v>
      </c>
      <c r="R32" s="498">
        <v>0</v>
      </c>
      <c r="S32" s="498">
        <v>0</v>
      </c>
      <c r="T32" s="498">
        <v>0</v>
      </c>
      <c r="U32" s="498">
        <f t="shared" si="4"/>
        <v>-16000</v>
      </c>
      <c r="V32" s="498">
        <v>16000</v>
      </c>
      <c r="W32" s="498">
        <v>0</v>
      </c>
      <c r="X32" s="498">
        <v>0</v>
      </c>
      <c r="Y32" s="498">
        <f t="shared" si="5"/>
        <v>16000</v>
      </c>
      <c r="Z32" s="498">
        <f t="shared" si="6"/>
        <v>0</v>
      </c>
      <c r="AA32" s="131">
        <f t="shared" ref="AA32:AA36" si="79">ROUND((U32+V32+W32)*33.8%,0)</f>
        <v>0</v>
      </c>
      <c r="AB32" s="131">
        <f t="shared" si="7"/>
        <v>-320</v>
      </c>
      <c r="AC32" s="498">
        <v>0</v>
      </c>
      <c r="AD32" s="498">
        <v>0</v>
      </c>
      <c r="AE32" s="498">
        <f t="shared" si="15"/>
        <v>0</v>
      </c>
      <c r="AF32" s="498">
        <f t="shared" si="16"/>
        <v>-320</v>
      </c>
      <c r="AG32" s="499">
        <v>0</v>
      </c>
      <c r="AH32" s="499">
        <v>-0.08</v>
      </c>
      <c r="AI32" s="499">
        <v>0</v>
      </c>
      <c r="AJ32" s="499">
        <v>0</v>
      </c>
      <c r="AK32" s="499">
        <v>0</v>
      </c>
      <c r="AL32" s="499">
        <f t="shared" ref="AL32:AL36" si="80">AG32+AI32+AJ32</f>
        <v>0</v>
      </c>
      <c r="AM32" s="499">
        <f t="shared" ref="AM32:AM36" si="81">AH32+AK32</f>
        <v>-0.08</v>
      </c>
      <c r="AN32" s="529">
        <f t="shared" ref="AN32:AN36" si="82">SUM(AL32:AM32)</f>
        <v>-0.08</v>
      </c>
      <c r="AO32" s="579">
        <f t="shared" ref="AO32:AO36" si="83">I32+AF32</f>
        <v>23227513</v>
      </c>
      <c r="AP32" s="498">
        <f t="shared" ref="AP32:AP36" si="84">J32+U32</f>
        <v>16731374</v>
      </c>
      <c r="AQ32" s="498">
        <f t="shared" ref="AQ32:AQ36" si="85">Y32</f>
        <v>16000</v>
      </c>
      <c r="AR32" s="498">
        <f t="shared" ref="AR32:AS36" si="86">K32+AA32</f>
        <v>5660612</v>
      </c>
      <c r="AS32" s="498">
        <f t="shared" si="86"/>
        <v>334627</v>
      </c>
      <c r="AT32" s="498">
        <f t="shared" ref="AT32:AT36" si="87">M32+AE32</f>
        <v>484900</v>
      </c>
      <c r="AU32" s="499">
        <f t="shared" ref="AU32:AU36" si="88">N32+AN32</f>
        <v>32.237000000000002</v>
      </c>
      <c r="AV32" s="499">
        <f t="shared" ref="AV32:AW36" si="89">O32+AL32</f>
        <v>25.045200000000001</v>
      </c>
      <c r="AW32" s="500">
        <f t="shared" si="89"/>
        <v>7.1917999999999997</v>
      </c>
      <c r="AX32" s="16"/>
    </row>
    <row r="33" spans="1:50" ht="13.5" customHeight="1" x14ac:dyDescent="0.2">
      <c r="A33" s="525">
        <v>6</v>
      </c>
      <c r="B33" s="526">
        <v>3446</v>
      </c>
      <c r="C33" s="526">
        <v>600078515</v>
      </c>
      <c r="D33" s="526">
        <v>70694974</v>
      </c>
      <c r="E33" s="524" t="s">
        <v>131</v>
      </c>
      <c r="F33" s="526">
        <v>3113</v>
      </c>
      <c r="G33" s="527" t="s">
        <v>318</v>
      </c>
      <c r="H33" s="528" t="s">
        <v>284</v>
      </c>
      <c r="I33" s="575">
        <f>SUM(J33:M33)</f>
        <v>0</v>
      </c>
      <c r="J33" s="496">
        <v>0</v>
      </c>
      <c r="K33" s="131">
        <f t="shared" si="75"/>
        <v>0</v>
      </c>
      <c r="L33" s="131">
        <f t="shared" si="76"/>
        <v>0</v>
      </c>
      <c r="M33" s="496">
        <v>0</v>
      </c>
      <c r="N33" s="576">
        <f t="shared" si="77"/>
        <v>0</v>
      </c>
      <c r="O33" s="577">
        <v>0</v>
      </c>
      <c r="P33" s="607">
        <v>0</v>
      </c>
      <c r="Q33" s="579">
        <f t="shared" si="78"/>
        <v>0</v>
      </c>
      <c r="R33" s="496">
        <v>937366</v>
      </c>
      <c r="S33" s="498">
        <v>0</v>
      </c>
      <c r="T33" s="498">
        <v>0</v>
      </c>
      <c r="U33" s="498">
        <f t="shared" si="4"/>
        <v>937366</v>
      </c>
      <c r="V33" s="498">
        <v>0</v>
      </c>
      <c r="W33" s="498">
        <v>0</v>
      </c>
      <c r="X33" s="498">
        <v>0</v>
      </c>
      <c r="Y33" s="498">
        <f t="shared" si="5"/>
        <v>0</v>
      </c>
      <c r="Z33" s="498">
        <f t="shared" si="6"/>
        <v>937366</v>
      </c>
      <c r="AA33" s="131">
        <f t="shared" si="79"/>
        <v>316830</v>
      </c>
      <c r="AB33" s="131">
        <f t="shared" si="7"/>
        <v>18747</v>
      </c>
      <c r="AC33" s="498">
        <v>0</v>
      </c>
      <c r="AD33" s="498">
        <v>0</v>
      </c>
      <c r="AE33" s="498">
        <f t="shared" si="15"/>
        <v>0</v>
      </c>
      <c r="AF33" s="498">
        <f t="shared" si="16"/>
        <v>1272943</v>
      </c>
      <c r="AG33" s="499">
        <v>0</v>
      </c>
      <c r="AH33" s="499">
        <v>0</v>
      </c>
      <c r="AI33" s="499">
        <v>2.69</v>
      </c>
      <c r="AJ33" s="499">
        <v>0</v>
      </c>
      <c r="AK33" s="499">
        <v>0</v>
      </c>
      <c r="AL33" s="499">
        <f t="shared" si="80"/>
        <v>2.69</v>
      </c>
      <c r="AM33" s="499">
        <f t="shared" si="81"/>
        <v>0</v>
      </c>
      <c r="AN33" s="529">
        <f t="shared" si="82"/>
        <v>2.69</v>
      </c>
      <c r="AO33" s="579">
        <f t="shared" si="83"/>
        <v>1272943</v>
      </c>
      <c r="AP33" s="498">
        <f t="shared" si="84"/>
        <v>937366</v>
      </c>
      <c r="AQ33" s="498">
        <f t="shared" si="85"/>
        <v>0</v>
      </c>
      <c r="AR33" s="498">
        <f t="shared" si="86"/>
        <v>316830</v>
      </c>
      <c r="AS33" s="498">
        <f t="shared" si="86"/>
        <v>18747</v>
      </c>
      <c r="AT33" s="498">
        <f t="shared" si="87"/>
        <v>0</v>
      </c>
      <c r="AU33" s="499">
        <f t="shared" si="88"/>
        <v>2.69</v>
      </c>
      <c r="AV33" s="499">
        <f t="shared" si="89"/>
        <v>2.69</v>
      </c>
      <c r="AW33" s="500">
        <f t="shared" si="89"/>
        <v>0</v>
      </c>
      <c r="AX33" s="16"/>
    </row>
    <row r="34" spans="1:50" ht="13.5" customHeight="1" x14ac:dyDescent="0.2">
      <c r="A34" s="525">
        <v>6</v>
      </c>
      <c r="B34" s="526">
        <v>3446</v>
      </c>
      <c r="C34" s="526">
        <v>600078515</v>
      </c>
      <c r="D34" s="526">
        <v>70694974</v>
      </c>
      <c r="E34" s="524" t="s">
        <v>131</v>
      </c>
      <c r="F34" s="526">
        <v>3141</v>
      </c>
      <c r="G34" s="527" t="s">
        <v>321</v>
      </c>
      <c r="H34" s="528" t="s">
        <v>284</v>
      </c>
      <c r="I34" s="575">
        <f>SUM(J34:M34)</f>
        <v>1932063</v>
      </c>
      <c r="J34" s="496">
        <v>1409957</v>
      </c>
      <c r="K34" s="131">
        <f t="shared" si="75"/>
        <v>476565</v>
      </c>
      <c r="L34" s="131">
        <f t="shared" si="76"/>
        <v>28199</v>
      </c>
      <c r="M34" s="496">
        <v>17342</v>
      </c>
      <c r="N34" s="576">
        <f t="shared" si="77"/>
        <v>4.8</v>
      </c>
      <c r="O34" s="577">
        <v>0</v>
      </c>
      <c r="P34" s="607">
        <v>4.8</v>
      </c>
      <c r="Q34" s="579">
        <f t="shared" si="78"/>
        <v>0</v>
      </c>
      <c r="R34" s="498">
        <v>0</v>
      </c>
      <c r="S34" s="498">
        <v>0</v>
      </c>
      <c r="T34" s="498">
        <v>0</v>
      </c>
      <c r="U34" s="498">
        <f t="shared" si="4"/>
        <v>0</v>
      </c>
      <c r="V34" s="498">
        <v>0</v>
      </c>
      <c r="W34" s="498">
        <v>0</v>
      </c>
      <c r="X34" s="498">
        <v>0</v>
      </c>
      <c r="Y34" s="498">
        <f t="shared" si="5"/>
        <v>0</v>
      </c>
      <c r="Z34" s="498">
        <f t="shared" si="6"/>
        <v>0</v>
      </c>
      <c r="AA34" s="131">
        <f t="shared" si="79"/>
        <v>0</v>
      </c>
      <c r="AB34" s="131">
        <f t="shared" si="7"/>
        <v>0</v>
      </c>
      <c r="AC34" s="498">
        <v>0</v>
      </c>
      <c r="AD34" s="498">
        <v>0</v>
      </c>
      <c r="AE34" s="498">
        <f t="shared" si="15"/>
        <v>0</v>
      </c>
      <c r="AF34" s="498">
        <f t="shared" si="16"/>
        <v>0</v>
      </c>
      <c r="AG34" s="499">
        <v>0</v>
      </c>
      <c r="AH34" s="499">
        <v>0</v>
      </c>
      <c r="AI34" s="499">
        <v>0</v>
      </c>
      <c r="AJ34" s="499">
        <v>0</v>
      </c>
      <c r="AK34" s="499">
        <v>0</v>
      </c>
      <c r="AL34" s="499">
        <f t="shared" si="80"/>
        <v>0</v>
      </c>
      <c r="AM34" s="499">
        <f t="shared" si="81"/>
        <v>0</v>
      </c>
      <c r="AN34" s="529">
        <f t="shared" si="82"/>
        <v>0</v>
      </c>
      <c r="AO34" s="579">
        <f t="shared" si="83"/>
        <v>1932063</v>
      </c>
      <c r="AP34" s="498">
        <f t="shared" si="84"/>
        <v>1409957</v>
      </c>
      <c r="AQ34" s="498">
        <f t="shared" si="85"/>
        <v>0</v>
      </c>
      <c r="AR34" s="498">
        <f t="shared" si="86"/>
        <v>476565</v>
      </c>
      <c r="AS34" s="498">
        <f t="shared" si="86"/>
        <v>28199</v>
      </c>
      <c r="AT34" s="498">
        <f t="shared" si="87"/>
        <v>17342</v>
      </c>
      <c r="AU34" s="499">
        <f t="shared" si="88"/>
        <v>4.8</v>
      </c>
      <c r="AV34" s="499">
        <f t="shared" si="89"/>
        <v>0</v>
      </c>
      <c r="AW34" s="500">
        <f t="shared" si="89"/>
        <v>4.8</v>
      </c>
      <c r="AX34" s="16"/>
    </row>
    <row r="35" spans="1:50" ht="13.5" customHeight="1" x14ac:dyDescent="0.2">
      <c r="A35" s="525">
        <v>6</v>
      </c>
      <c r="B35" s="526">
        <v>3446</v>
      </c>
      <c r="C35" s="526">
        <v>600078515</v>
      </c>
      <c r="D35" s="526">
        <v>70694974</v>
      </c>
      <c r="E35" s="524" t="s">
        <v>131</v>
      </c>
      <c r="F35" s="526">
        <v>3143</v>
      </c>
      <c r="G35" s="527" t="s">
        <v>635</v>
      </c>
      <c r="H35" s="574" t="s">
        <v>283</v>
      </c>
      <c r="I35" s="575">
        <f>SUM(J35:M35)</f>
        <v>1366283</v>
      </c>
      <c r="J35" s="496">
        <v>1006099</v>
      </c>
      <c r="K35" s="131">
        <v>340062</v>
      </c>
      <c r="L35" s="131">
        <f t="shared" si="76"/>
        <v>20122</v>
      </c>
      <c r="M35" s="496">
        <v>0</v>
      </c>
      <c r="N35" s="576">
        <f t="shared" si="77"/>
        <v>2.4821</v>
      </c>
      <c r="O35" s="577">
        <v>2.4821</v>
      </c>
      <c r="P35" s="607">
        <v>0</v>
      </c>
      <c r="Q35" s="579">
        <f t="shared" si="78"/>
        <v>0</v>
      </c>
      <c r="R35" s="498">
        <v>0</v>
      </c>
      <c r="S35" s="498">
        <v>0</v>
      </c>
      <c r="T35" s="498">
        <v>0</v>
      </c>
      <c r="U35" s="498">
        <f t="shared" si="4"/>
        <v>0</v>
      </c>
      <c r="V35" s="498">
        <v>0</v>
      </c>
      <c r="W35" s="498">
        <v>0</v>
      </c>
      <c r="X35" s="498">
        <v>0</v>
      </c>
      <c r="Y35" s="498">
        <f t="shared" si="5"/>
        <v>0</v>
      </c>
      <c r="Z35" s="498">
        <f t="shared" si="6"/>
        <v>0</v>
      </c>
      <c r="AA35" s="131">
        <f t="shared" si="79"/>
        <v>0</v>
      </c>
      <c r="AB35" s="131">
        <f t="shared" si="7"/>
        <v>0</v>
      </c>
      <c r="AC35" s="498">
        <v>0</v>
      </c>
      <c r="AD35" s="498">
        <v>0</v>
      </c>
      <c r="AE35" s="498">
        <f t="shared" si="15"/>
        <v>0</v>
      </c>
      <c r="AF35" s="498">
        <f t="shared" si="16"/>
        <v>0</v>
      </c>
      <c r="AG35" s="499">
        <v>0</v>
      </c>
      <c r="AH35" s="499">
        <v>0</v>
      </c>
      <c r="AI35" s="499">
        <v>0</v>
      </c>
      <c r="AJ35" s="499">
        <v>0</v>
      </c>
      <c r="AK35" s="499">
        <v>0</v>
      </c>
      <c r="AL35" s="499">
        <f t="shared" si="80"/>
        <v>0</v>
      </c>
      <c r="AM35" s="499">
        <f t="shared" si="81"/>
        <v>0</v>
      </c>
      <c r="AN35" s="529">
        <f t="shared" si="82"/>
        <v>0</v>
      </c>
      <c r="AO35" s="579">
        <f t="shared" si="83"/>
        <v>1366283</v>
      </c>
      <c r="AP35" s="498">
        <f t="shared" si="84"/>
        <v>1006099</v>
      </c>
      <c r="AQ35" s="498">
        <f t="shared" si="85"/>
        <v>0</v>
      </c>
      <c r="AR35" s="498">
        <f t="shared" si="86"/>
        <v>340062</v>
      </c>
      <c r="AS35" s="498">
        <f t="shared" si="86"/>
        <v>20122</v>
      </c>
      <c r="AT35" s="498">
        <f t="shared" si="87"/>
        <v>0</v>
      </c>
      <c r="AU35" s="499">
        <f t="shared" si="88"/>
        <v>2.4821</v>
      </c>
      <c r="AV35" s="499">
        <f t="shared" si="89"/>
        <v>2.4821</v>
      </c>
      <c r="AW35" s="500">
        <f t="shared" si="89"/>
        <v>0</v>
      </c>
      <c r="AX35" s="16"/>
    </row>
    <row r="36" spans="1:50" ht="13.5" customHeight="1" x14ac:dyDescent="0.2">
      <c r="A36" s="525">
        <v>6</v>
      </c>
      <c r="B36" s="526">
        <v>3446</v>
      </c>
      <c r="C36" s="526">
        <v>600078515</v>
      </c>
      <c r="D36" s="526">
        <v>70694974</v>
      </c>
      <c r="E36" s="524" t="s">
        <v>131</v>
      </c>
      <c r="F36" s="526">
        <v>3143</v>
      </c>
      <c r="G36" s="527" t="s">
        <v>636</v>
      </c>
      <c r="H36" s="574" t="s">
        <v>284</v>
      </c>
      <c r="I36" s="575">
        <f>SUM(J36:M36)</f>
        <v>39323</v>
      </c>
      <c r="J36" s="496">
        <v>27720</v>
      </c>
      <c r="K36" s="131">
        <f t="shared" ref="K36" si="90">ROUND((J36)*33.8%,0)</f>
        <v>9369</v>
      </c>
      <c r="L36" s="131">
        <f t="shared" si="76"/>
        <v>554</v>
      </c>
      <c r="M36" s="496">
        <v>1680</v>
      </c>
      <c r="N36" s="576">
        <f t="shared" si="77"/>
        <v>0.12</v>
      </c>
      <c r="O36" s="577">
        <v>0</v>
      </c>
      <c r="P36" s="607">
        <v>0.12</v>
      </c>
      <c r="Q36" s="579">
        <f t="shared" si="78"/>
        <v>0</v>
      </c>
      <c r="R36" s="498">
        <v>0</v>
      </c>
      <c r="S36" s="498">
        <v>0</v>
      </c>
      <c r="T36" s="498">
        <v>0</v>
      </c>
      <c r="U36" s="498">
        <f t="shared" si="4"/>
        <v>0</v>
      </c>
      <c r="V36" s="498">
        <v>0</v>
      </c>
      <c r="W36" s="498">
        <v>0</v>
      </c>
      <c r="X36" s="498">
        <v>0</v>
      </c>
      <c r="Y36" s="498">
        <f t="shared" si="5"/>
        <v>0</v>
      </c>
      <c r="Z36" s="498">
        <f t="shared" si="6"/>
        <v>0</v>
      </c>
      <c r="AA36" s="131">
        <f t="shared" si="79"/>
        <v>0</v>
      </c>
      <c r="AB36" s="131">
        <f t="shared" si="7"/>
        <v>0</v>
      </c>
      <c r="AC36" s="498">
        <v>0</v>
      </c>
      <c r="AD36" s="498">
        <v>0</v>
      </c>
      <c r="AE36" s="498">
        <f t="shared" si="15"/>
        <v>0</v>
      </c>
      <c r="AF36" s="498">
        <f t="shared" si="16"/>
        <v>0</v>
      </c>
      <c r="AG36" s="499">
        <v>0</v>
      </c>
      <c r="AH36" s="499">
        <v>0</v>
      </c>
      <c r="AI36" s="499">
        <v>0</v>
      </c>
      <c r="AJ36" s="499">
        <v>0</v>
      </c>
      <c r="AK36" s="499">
        <v>0</v>
      </c>
      <c r="AL36" s="499">
        <f t="shared" si="80"/>
        <v>0</v>
      </c>
      <c r="AM36" s="499">
        <f t="shared" si="81"/>
        <v>0</v>
      </c>
      <c r="AN36" s="529">
        <f t="shared" si="82"/>
        <v>0</v>
      </c>
      <c r="AO36" s="579">
        <f t="shared" si="83"/>
        <v>39323</v>
      </c>
      <c r="AP36" s="498">
        <f t="shared" si="84"/>
        <v>27720</v>
      </c>
      <c r="AQ36" s="498">
        <f t="shared" si="85"/>
        <v>0</v>
      </c>
      <c r="AR36" s="498">
        <f t="shared" si="86"/>
        <v>9369</v>
      </c>
      <c r="AS36" s="498">
        <f t="shared" si="86"/>
        <v>554</v>
      </c>
      <c r="AT36" s="498">
        <f t="shared" si="87"/>
        <v>1680</v>
      </c>
      <c r="AU36" s="499">
        <f t="shared" si="88"/>
        <v>0.12</v>
      </c>
      <c r="AV36" s="499">
        <f t="shared" si="89"/>
        <v>0</v>
      </c>
      <c r="AW36" s="500">
        <f t="shared" si="89"/>
        <v>0.12</v>
      </c>
      <c r="AX36" s="16"/>
    </row>
    <row r="37" spans="1:50" ht="13.5" customHeight="1" x14ac:dyDescent="0.2">
      <c r="A37" s="302">
        <v>6</v>
      </c>
      <c r="B37" s="32">
        <v>3446</v>
      </c>
      <c r="C37" s="32">
        <v>600078515</v>
      </c>
      <c r="D37" s="32">
        <v>70694974</v>
      </c>
      <c r="E37" s="311" t="s">
        <v>132</v>
      </c>
      <c r="F37" s="32"/>
      <c r="G37" s="301"/>
      <c r="H37" s="454"/>
      <c r="I37" s="5">
        <f t="shared" ref="I37:P37" si="91">SUM(I32:I36)</f>
        <v>26565502</v>
      </c>
      <c r="J37" s="8">
        <f t="shared" si="91"/>
        <v>19191150</v>
      </c>
      <c r="K37" s="8">
        <f t="shared" si="91"/>
        <v>6486608</v>
      </c>
      <c r="L37" s="8">
        <f t="shared" si="91"/>
        <v>383822</v>
      </c>
      <c r="M37" s="8">
        <f t="shared" si="91"/>
        <v>503922</v>
      </c>
      <c r="N37" s="9">
        <f t="shared" si="91"/>
        <v>39.719099999999997</v>
      </c>
      <c r="O37" s="9">
        <f t="shared" si="91"/>
        <v>27.5273</v>
      </c>
      <c r="P37" s="39">
        <f t="shared" si="91"/>
        <v>12.191799999999999</v>
      </c>
      <c r="Q37" s="5">
        <f t="shared" ref="Q37:AW37" si="92">SUM(Q32:Q36)</f>
        <v>-16000</v>
      </c>
      <c r="R37" s="8">
        <f t="shared" si="92"/>
        <v>937366</v>
      </c>
      <c r="S37" s="8">
        <f t="shared" si="92"/>
        <v>0</v>
      </c>
      <c r="T37" s="8">
        <f t="shared" si="92"/>
        <v>0</v>
      </c>
      <c r="U37" s="8">
        <f t="shared" si="92"/>
        <v>921366</v>
      </c>
      <c r="V37" s="8">
        <f t="shared" si="92"/>
        <v>16000</v>
      </c>
      <c r="W37" s="8">
        <f t="shared" si="92"/>
        <v>0</v>
      </c>
      <c r="X37" s="8">
        <f t="shared" si="92"/>
        <v>0</v>
      </c>
      <c r="Y37" s="8">
        <f t="shared" si="92"/>
        <v>16000</v>
      </c>
      <c r="Z37" s="8">
        <f t="shared" si="92"/>
        <v>937366</v>
      </c>
      <c r="AA37" s="8">
        <f t="shared" si="92"/>
        <v>316830</v>
      </c>
      <c r="AB37" s="8">
        <f t="shared" si="92"/>
        <v>18427</v>
      </c>
      <c r="AC37" s="8">
        <f t="shared" si="92"/>
        <v>0</v>
      </c>
      <c r="AD37" s="8">
        <f t="shared" si="92"/>
        <v>0</v>
      </c>
      <c r="AE37" s="8">
        <f t="shared" si="92"/>
        <v>0</v>
      </c>
      <c r="AF37" s="8">
        <f t="shared" si="92"/>
        <v>1272623</v>
      </c>
      <c r="AG37" s="9">
        <f t="shared" si="92"/>
        <v>0</v>
      </c>
      <c r="AH37" s="9">
        <f t="shared" si="92"/>
        <v>-0.08</v>
      </c>
      <c r="AI37" s="9">
        <f t="shared" si="92"/>
        <v>2.69</v>
      </c>
      <c r="AJ37" s="9">
        <f t="shared" si="92"/>
        <v>0</v>
      </c>
      <c r="AK37" s="9">
        <f t="shared" si="92"/>
        <v>0</v>
      </c>
      <c r="AL37" s="9">
        <f t="shared" si="92"/>
        <v>2.69</v>
      </c>
      <c r="AM37" s="9">
        <f t="shared" si="92"/>
        <v>-0.08</v>
      </c>
      <c r="AN37" s="39">
        <f t="shared" si="92"/>
        <v>2.61</v>
      </c>
      <c r="AO37" s="5">
        <f t="shared" si="92"/>
        <v>27838125</v>
      </c>
      <c r="AP37" s="8">
        <f t="shared" si="92"/>
        <v>20112516</v>
      </c>
      <c r="AQ37" s="8">
        <f t="shared" si="92"/>
        <v>16000</v>
      </c>
      <c r="AR37" s="8">
        <f t="shared" si="92"/>
        <v>6803438</v>
      </c>
      <c r="AS37" s="8">
        <f t="shared" si="92"/>
        <v>402249</v>
      </c>
      <c r="AT37" s="8">
        <f t="shared" si="92"/>
        <v>503922</v>
      </c>
      <c r="AU37" s="9">
        <f t="shared" si="92"/>
        <v>42.329099999999997</v>
      </c>
      <c r="AV37" s="9">
        <f t="shared" si="92"/>
        <v>30.217300000000002</v>
      </c>
      <c r="AW37" s="92">
        <f t="shared" si="92"/>
        <v>12.111799999999999</v>
      </c>
      <c r="AX37" s="16"/>
    </row>
    <row r="38" spans="1:50" ht="13.5" customHeight="1" x14ac:dyDescent="0.2">
      <c r="A38" s="525">
        <v>7</v>
      </c>
      <c r="B38" s="526">
        <v>3457</v>
      </c>
      <c r="C38" s="526">
        <v>651040230</v>
      </c>
      <c r="D38" s="526">
        <v>75125412</v>
      </c>
      <c r="E38" s="524" t="s">
        <v>133</v>
      </c>
      <c r="F38" s="526">
        <v>3231</v>
      </c>
      <c r="G38" s="527"/>
      <c r="H38" s="528" t="s">
        <v>283</v>
      </c>
      <c r="I38" s="575">
        <f>SUM(J38:M38)</f>
        <v>10119521</v>
      </c>
      <c r="J38" s="496">
        <v>7426580</v>
      </c>
      <c r="K38" s="131">
        <f>ROUND((J38)*33.8%,0)</f>
        <v>2510184</v>
      </c>
      <c r="L38" s="131">
        <f>ROUND(J38*2%,0)</f>
        <v>148532</v>
      </c>
      <c r="M38" s="496">
        <v>34225</v>
      </c>
      <c r="N38" s="576">
        <f t="shared" ref="N38" si="93">SUM(O38:P38)</f>
        <v>14.388400000000001</v>
      </c>
      <c r="O38" s="577">
        <v>12.7722</v>
      </c>
      <c r="P38" s="607">
        <v>1.6162000000000001</v>
      </c>
      <c r="Q38" s="579">
        <f>V38*-1</f>
        <v>-35400</v>
      </c>
      <c r="R38" s="498">
        <v>0</v>
      </c>
      <c r="S38" s="498">
        <v>0</v>
      </c>
      <c r="T38" s="498">
        <v>-88362</v>
      </c>
      <c r="U38" s="498">
        <f t="shared" si="4"/>
        <v>-123762</v>
      </c>
      <c r="V38" s="498">
        <v>35400</v>
      </c>
      <c r="W38" s="498">
        <v>0</v>
      </c>
      <c r="X38" s="498">
        <v>0</v>
      </c>
      <c r="Y38" s="498">
        <f t="shared" si="5"/>
        <v>35400</v>
      </c>
      <c r="Z38" s="498">
        <f t="shared" si="6"/>
        <v>-88362</v>
      </c>
      <c r="AA38" s="131">
        <f>ROUND((U38+V38+W38)*33.8%,0)</f>
        <v>-29866</v>
      </c>
      <c r="AB38" s="131">
        <f t="shared" si="7"/>
        <v>-2475</v>
      </c>
      <c r="AC38" s="498">
        <v>0</v>
      </c>
      <c r="AD38" s="498">
        <v>-585</v>
      </c>
      <c r="AE38" s="498">
        <f t="shared" si="15"/>
        <v>-585</v>
      </c>
      <c r="AF38" s="498">
        <f t="shared" si="16"/>
        <v>-121288</v>
      </c>
      <c r="AG38" s="499">
        <v>-0.08</v>
      </c>
      <c r="AH38" s="499">
        <v>0</v>
      </c>
      <c r="AI38" s="499">
        <v>0</v>
      </c>
      <c r="AJ38" s="499">
        <v>-0.15</v>
      </c>
      <c r="AK38" s="499">
        <v>-2.2499999999999999E-2</v>
      </c>
      <c r="AL38" s="499">
        <f t="shared" ref="AL38" si="94">AG38+AI38+AJ38</f>
        <v>-0.22999999999999998</v>
      </c>
      <c r="AM38" s="499">
        <f t="shared" ref="AM38" si="95">AH38+AK38</f>
        <v>-2.2499999999999999E-2</v>
      </c>
      <c r="AN38" s="529">
        <f t="shared" ref="AN38" si="96">SUM(AL38:AM38)</f>
        <v>-0.2525</v>
      </c>
      <c r="AO38" s="579">
        <f>I38+AF38</f>
        <v>9998233</v>
      </c>
      <c r="AP38" s="498">
        <f>J38+U38</f>
        <v>7302818</v>
      </c>
      <c r="AQ38" s="498">
        <f>Y38</f>
        <v>35400</v>
      </c>
      <c r="AR38" s="498">
        <f>K38+AA38</f>
        <v>2480318</v>
      </c>
      <c r="AS38" s="498">
        <f>L38+AB38</f>
        <v>146057</v>
      </c>
      <c r="AT38" s="498">
        <f>M38+AE38</f>
        <v>33640</v>
      </c>
      <c r="AU38" s="499">
        <f>N38+AN38</f>
        <v>14.135900000000001</v>
      </c>
      <c r="AV38" s="499">
        <f>O38+AL38</f>
        <v>12.542199999999999</v>
      </c>
      <c r="AW38" s="500">
        <f>P38+AM38</f>
        <v>1.5937000000000001</v>
      </c>
      <c r="AX38" s="16"/>
    </row>
    <row r="39" spans="1:50" ht="13.5" customHeight="1" x14ac:dyDescent="0.2">
      <c r="A39" s="302">
        <v>7</v>
      </c>
      <c r="B39" s="32">
        <v>3457</v>
      </c>
      <c r="C39" s="32">
        <v>651040230</v>
      </c>
      <c r="D39" s="32">
        <v>75125412</v>
      </c>
      <c r="E39" s="311" t="s">
        <v>134</v>
      </c>
      <c r="F39" s="32"/>
      <c r="G39" s="301"/>
      <c r="H39" s="454"/>
      <c r="I39" s="6">
        <f t="shared" ref="I39:AW39" si="97">SUM(I38)</f>
        <v>10119521</v>
      </c>
      <c r="J39" s="10">
        <f t="shared" si="97"/>
        <v>7426580</v>
      </c>
      <c r="K39" s="10">
        <f t="shared" si="97"/>
        <v>2510184</v>
      </c>
      <c r="L39" s="10">
        <f t="shared" si="97"/>
        <v>148532</v>
      </c>
      <c r="M39" s="10">
        <f t="shared" si="97"/>
        <v>34225</v>
      </c>
      <c r="N39" s="11">
        <f t="shared" si="97"/>
        <v>14.388400000000001</v>
      </c>
      <c r="O39" s="11">
        <f t="shared" si="97"/>
        <v>12.7722</v>
      </c>
      <c r="P39" s="38">
        <f t="shared" si="97"/>
        <v>1.6162000000000001</v>
      </c>
      <c r="Q39" s="6">
        <f t="shared" si="97"/>
        <v>-35400</v>
      </c>
      <c r="R39" s="10">
        <f t="shared" si="97"/>
        <v>0</v>
      </c>
      <c r="S39" s="10">
        <f t="shared" si="97"/>
        <v>0</v>
      </c>
      <c r="T39" s="10">
        <f t="shared" si="97"/>
        <v>-88362</v>
      </c>
      <c r="U39" s="10">
        <f t="shared" si="97"/>
        <v>-123762</v>
      </c>
      <c r="V39" s="10">
        <f t="shared" si="97"/>
        <v>35400</v>
      </c>
      <c r="W39" s="10">
        <f t="shared" si="97"/>
        <v>0</v>
      </c>
      <c r="X39" s="10">
        <f t="shared" si="97"/>
        <v>0</v>
      </c>
      <c r="Y39" s="10">
        <f t="shared" si="97"/>
        <v>35400</v>
      </c>
      <c r="Z39" s="10">
        <f t="shared" si="97"/>
        <v>-88362</v>
      </c>
      <c r="AA39" s="10">
        <f t="shared" si="97"/>
        <v>-29866</v>
      </c>
      <c r="AB39" s="10">
        <f t="shared" si="97"/>
        <v>-2475</v>
      </c>
      <c r="AC39" s="10">
        <f t="shared" si="97"/>
        <v>0</v>
      </c>
      <c r="AD39" s="10">
        <f t="shared" si="97"/>
        <v>-585</v>
      </c>
      <c r="AE39" s="10">
        <f t="shared" si="97"/>
        <v>-585</v>
      </c>
      <c r="AF39" s="10">
        <f t="shared" si="97"/>
        <v>-121288</v>
      </c>
      <c r="AG39" s="11">
        <f t="shared" si="97"/>
        <v>-0.08</v>
      </c>
      <c r="AH39" s="11">
        <f t="shared" si="97"/>
        <v>0</v>
      </c>
      <c r="AI39" s="11">
        <f t="shared" si="97"/>
        <v>0</v>
      </c>
      <c r="AJ39" s="11">
        <f t="shared" si="97"/>
        <v>-0.15</v>
      </c>
      <c r="AK39" s="11">
        <f t="shared" si="97"/>
        <v>-2.2499999999999999E-2</v>
      </c>
      <c r="AL39" s="11">
        <f t="shared" si="97"/>
        <v>-0.22999999999999998</v>
      </c>
      <c r="AM39" s="11">
        <f t="shared" si="97"/>
        <v>-2.2499999999999999E-2</v>
      </c>
      <c r="AN39" s="38">
        <f t="shared" si="97"/>
        <v>-0.2525</v>
      </c>
      <c r="AO39" s="6">
        <f t="shared" si="97"/>
        <v>9998233</v>
      </c>
      <c r="AP39" s="10">
        <f t="shared" si="97"/>
        <v>7302818</v>
      </c>
      <c r="AQ39" s="10">
        <f t="shared" si="97"/>
        <v>35400</v>
      </c>
      <c r="AR39" s="10">
        <f t="shared" si="97"/>
        <v>2480318</v>
      </c>
      <c r="AS39" s="10">
        <f t="shared" si="97"/>
        <v>146057</v>
      </c>
      <c r="AT39" s="10">
        <f t="shared" si="97"/>
        <v>33640</v>
      </c>
      <c r="AU39" s="11">
        <f t="shared" si="97"/>
        <v>14.135900000000001</v>
      </c>
      <c r="AV39" s="11">
        <f t="shared" si="97"/>
        <v>12.542199999999999</v>
      </c>
      <c r="AW39" s="93">
        <f t="shared" si="97"/>
        <v>1.5937000000000001</v>
      </c>
      <c r="AX39" s="16"/>
    </row>
    <row r="40" spans="1:50" ht="13.5" customHeight="1" x14ac:dyDescent="0.2">
      <c r="A40" s="525">
        <v>8</v>
      </c>
      <c r="B40" s="526">
        <v>3423</v>
      </c>
      <c r="C40" s="526">
        <v>600078108</v>
      </c>
      <c r="D40" s="526">
        <v>70695059</v>
      </c>
      <c r="E40" s="524" t="s">
        <v>135</v>
      </c>
      <c r="F40" s="526">
        <v>3111</v>
      </c>
      <c r="G40" s="527" t="s">
        <v>317</v>
      </c>
      <c r="H40" s="528" t="s">
        <v>283</v>
      </c>
      <c r="I40" s="575">
        <f>SUM(J40:M40)</f>
        <v>3215126</v>
      </c>
      <c r="J40" s="496">
        <v>2350976</v>
      </c>
      <c r="K40" s="131">
        <f t="shared" ref="K40:K41" si="98">ROUND((J40)*33.8%,0)</f>
        <v>794630</v>
      </c>
      <c r="L40" s="131">
        <f t="shared" ref="L40:L41" si="99">ROUND(J40*2%,0)</f>
        <v>47020</v>
      </c>
      <c r="M40" s="496">
        <v>22500</v>
      </c>
      <c r="N40" s="576">
        <f t="shared" ref="N40:N41" si="100">SUM(O40:P40)</f>
        <v>5.3836000000000004</v>
      </c>
      <c r="O40" s="577">
        <v>3.8938000000000001</v>
      </c>
      <c r="P40" s="607">
        <v>1.4898</v>
      </c>
      <c r="Q40" s="579">
        <f t="shared" ref="Q40:Q41" si="101">V40*-1</f>
        <v>-16000</v>
      </c>
      <c r="R40" s="498">
        <v>0</v>
      </c>
      <c r="S40" s="498">
        <v>0</v>
      </c>
      <c r="T40" s="498">
        <v>0</v>
      </c>
      <c r="U40" s="498">
        <f t="shared" si="4"/>
        <v>-16000</v>
      </c>
      <c r="V40" s="498">
        <v>16000</v>
      </c>
      <c r="W40" s="498">
        <v>0</v>
      </c>
      <c r="X40" s="498">
        <v>0</v>
      </c>
      <c r="Y40" s="498">
        <f t="shared" si="5"/>
        <v>16000</v>
      </c>
      <c r="Z40" s="498">
        <f t="shared" si="6"/>
        <v>0</v>
      </c>
      <c r="AA40" s="131">
        <f t="shared" ref="AA40:AA41" si="102">ROUND((U40+V40+W40)*33.8%,0)</f>
        <v>0</v>
      </c>
      <c r="AB40" s="131">
        <f t="shared" si="7"/>
        <v>-320</v>
      </c>
      <c r="AC40" s="498">
        <v>0</v>
      </c>
      <c r="AD40" s="498">
        <v>0</v>
      </c>
      <c r="AE40" s="498">
        <f t="shared" si="15"/>
        <v>0</v>
      </c>
      <c r="AF40" s="498">
        <f t="shared" si="16"/>
        <v>-320</v>
      </c>
      <c r="AG40" s="499">
        <v>-0.04</v>
      </c>
      <c r="AH40" s="499">
        <v>0</v>
      </c>
      <c r="AI40" s="499">
        <v>0</v>
      </c>
      <c r="AJ40" s="499">
        <v>0</v>
      </c>
      <c r="AK40" s="499">
        <v>0</v>
      </c>
      <c r="AL40" s="499">
        <f t="shared" ref="AL40:AL41" si="103">AG40+AI40+AJ40</f>
        <v>-0.04</v>
      </c>
      <c r="AM40" s="499">
        <f t="shared" ref="AM40:AM41" si="104">AH40+AK40</f>
        <v>0</v>
      </c>
      <c r="AN40" s="529">
        <f t="shared" ref="AN40:AN41" si="105">SUM(AL40:AM40)</f>
        <v>-0.04</v>
      </c>
      <c r="AO40" s="579">
        <f t="shared" ref="AO40:AO41" si="106">I40+AF40</f>
        <v>3214806</v>
      </c>
      <c r="AP40" s="498">
        <f t="shared" ref="AP40:AP41" si="107">J40+U40</f>
        <v>2334976</v>
      </c>
      <c r="AQ40" s="498">
        <f t="shared" ref="AQ40:AQ41" si="108">Y40</f>
        <v>16000</v>
      </c>
      <c r="AR40" s="498">
        <f t="shared" ref="AR40:AS41" si="109">K40+AA40</f>
        <v>794630</v>
      </c>
      <c r="AS40" s="498">
        <f t="shared" si="109"/>
        <v>46700</v>
      </c>
      <c r="AT40" s="498">
        <f t="shared" ref="AT40:AT41" si="110">M40+AE40</f>
        <v>22500</v>
      </c>
      <c r="AU40" s="499">
        <f t="shared" ref="AU40:AU41" si="111">N40+AN40</f>
        <v>5.3436000000000003</v>
      </c>
      <c r="AV40" s="499">
        <f t="shared" ref="AV40:AW41" si="112">O40+AL40</f>
        <v>3.8538000000000001</v>
      </c>
      <c r="AW40" s="500">
        <f t="shared" si="112"/>
        <v>1.4898</v>
      </c>
      <c r="AX40" s="16"/>
    </row>
    <row r="41" spans="1:50" ht="13.5" customHeight="1" x14ac:dyDescent="0.2">
      <c r="A41" s="525">
        <v>8</v>
      </c>
      <c r="B41" s="526">
        <v>3423</v>
      </c>
      <c r="C41" s="526">
        <v>600078108</v>
      </c>
      <c r="D41" s="526">
        <v>70695059</v>
      </c>
      <c r="E41" s="524" t="s">
        <v>135</v>
      </c>
      <c r="F41" s="526">
        <v>3141</v>
      </c>
      <c r="G41" s="527" t="s">
        <v>321</v>
      </c>
      <c r="H41" s="528" t="s">
        <v>284</v>
      </c>
      <c r="I41" s="575">
        <f>SUM(J41:M41)</f>
        <v>1166492</v>
      </c>
      <c r="J41" s="496">
        <v>854451</v>
      </c>
      <c r="K41" s="131">
        <f t="shared" si="98"/>
        <v>288804</v>
      </c>
      <c r="L41" s="131">
        <f t="shared" si="99"/>
        <v>17089</v>
      </c>
      <c r="M41" s="496">
        <v>6148</v>
      </c>
      <c r="N41" s="576">
        <f t="shared" si="100"/>
        <v>2.91</v>
      </c>
      <c r="O41" s="577">
        <v>0</v>
      </c>
      <c r="P41" s="607">
        <v>2.91</v>
      </c>
      <c r="Q41" s="579">
        <f t="shared" si="101"/>
        <v>-8000</v>
      </c>
      <c r="R41" s="498">
        <v>0</v>
      </c>
      <c r="S41" s="498">
        <v>0</v>
      </c>
      <c r="T41" s="498">
        <v>0</v>
      </c>
      <c r="U41" s="498">
        <f t="shared" si="4"/>
        <v>-8000</v>
      </c>
      <c r="V41" s="498">
        <v>8000</v>
      </c>
      <c r="W41" s="498">
        <v>0</v>
      </c>
      <c r="X41" s="498">
        <v>0</v>
      </c>
      <c r="Y41" s="498">
        <f t="shared" si="5"/>
        <v>8000</v>
      </c>
      <c r="Z41" s="498">
        <f t="shared" si="6"/>
        <v>0</v>
      </c>
      <c r="AA41" s="131">
        <f t="shared" si="102"/>
        <v>0</v>
      </c>
      <c r="AB41" s="131">
        <f t="shared" si="7"/>
        <v>-160</v>
      </c>
      <c r="AC41" s="498">
        <v>0</v>
      </c>
      <c r="AD41" s="498">
        <v>0</v>
      </c>
      <c r="AE41" s="498">
        <f t="shared" si="15"/>
        <v>0</v>
      </c>
      <c r="AF41" s="498">
        <f t="shared" si="16"/>
        <v>-160</v>
      </c>
      <c r="AG41" s="499">
        <v>0</v>
      </c>
      <c r="AH41" s="499">
        <v>0</v>
      </c>
      <c r="AI41" s="499">
        <v>0</v>
      </c>
      <c r="AJ41" s="499">
        <v>0</v>
      </c>
      <c r="AK41" s="499">
        <v>0</v>
      </c>
      <c r="AL41" s="499">
        <f t="shared" si="103"/>
        <v>0</v>
      </c>
      <c r="AM41" s="499">
        <f t="shared" si="104"/>
        <v>0</v>
      </c>
      <c r="AN41" s="529">
        <f t="shared" si="105"/>
        <v>0</v>
      </c>
      <c r="AO41" s="579">
        <f t="shared" si="106"/>
        <v>1166332</v>
      </c>
      <c r="AP41" s="498">
        <f t="shared" si="107"/>
        <v>846451</v>
      </c>
      <c r="AQ41" s="498">
        <f t="shared" si="108"/>
        <v>8000</v>
      </c>
      <c r="AR41" s="498">
        <f t="shared" si="109"/>
        <v>288804</v>
      </c>
      <c r="AS41" s="498">
        <f t="shared" si="109"/>
        <v>16929</v>
      </c>
      <c r="AT41" s="498">
        <f t="shared" si="110"/>
        <v>6148</v>
      </c>
      <c r="AU41" s="499">
        <f t="shared" si="111"/>
        <v>2.91</v>
      </c>
      <c r="AV41" s="499">
        <f t="shared" si="112"/>
        <v>0</v>
      </c>
      <c r="AW41" s="500">
        <f t="shared" si="112"/>
        <v>2.91</v>
      </c>
      <c r="AX41" s="16"/>
    </row>
    <row r="42" spans="1:50" ht="13.5" customHeight="1" x14ac:dyDescent="0.2">
      <c r="A42" s="302">
        <v>8</v>
      </c>
      <c r="B42" s="32">
        <v>3423</v>
      </c>
      <c r="C42" s="32">
        <v>600078108</v>
      </c>
      <c r="D42" s="32">
        <v>70695059</v>
      </c>
      <c r="E42" s="311" t="s">
        <v>136</v>
      </c>
      <c r="F42" s="32"/>
      <c r="G42" s="301"/>
      <c r="H42" s="454"/>
      <c r="I42" s="5">
        <f t="shared" ref="I42:AW42" si="113">SUM(I40:I41)</f>
        <v>4381618</v>
      </c>
      <c r="J42" s="8">
        <f t="shared" si="113"/>
        <v>3205427</v>
      </c>
      <c r="K42" s="8">
        <f t="shared" si="113"/>
        <v>1083434</v>
      </c>
      <c r="L42" s="8">
        <f t="shared" si="113"/>
        <v>64109</v>
      </c>
      <c r="M42" s="8">
        <f t="shared" si="113"/>
        <v>28648</v>
      </c>
      <c r="N42" s="9">
        <f t="shared" si="113"/>
        <v>8.2936000000000014</v>
      </c>
      <c r="O42" s="9">
        <f t="shared" si="113"/>
        <v>3.8938000000000001</v>
      </c>
      <c r="P42" s="39">
        <f t="shared" si="113"/>
        <v>4.3997999999999999</v>
      </c>
      <c r="Q42" s="5">
        <f t="shared" si="113"/>
        <v>-24000</v>
      </c>
      <c r="R42" s="8">
        <f t="shared" si="113"/>
        <v>0</v>
      </c>
      <c r="S42" s="8">
        <f t="shared" si="113"/>
        <v>0</v>
      </c>
      <c r="T42" s="8">
        <f t="shared" si="113"/>
        <v>0</v>
      </c>
      <c r="U42" s="8">
        <f t="shared" si="113"/>
        <v>-24000</v>
      </c>
      <c r="V42" s="8">
        <f t="shared" si="113"/>
        <v>24000</v>
      </c>
      <c r="W42" s="8">
        <f t="shared" si="113"/>
        <v>0</v>
      </c>
      <c r="X42" s="8">
        <f t="shared" si="113"/>
        <v>0</v>
      </c>
      <c r="Y42" s="8">
        <f t="shared" si="113"/>
        <v>24000</v>
      </c>
      <c r="Z42" s="8">
        <f t="shared" si="113"/>
        <v>0</v>
      </c>
      <c r="AA42" s="8">
        <f t="shared" si="113"/>
        <v>0</v>
      </c>
      <c r="AB42" s="8">
        <f t="shared" si="113"/>
        <v>-480</v>
      </c>
      <c r="AC42" s="8">
        <f t="shared" si="113"/>
        <v>0</v>
      </c>
      <c r="AD42" s="8">
        <f t="shared" si="113"/>
        <v>0</v>
      </c>
      <c r="AE42" s="8">
        <f t="shared" si="113"/>
        <v>0</v>
      </c>
      <c r="AF42" s="8">
        <f t="shared" si="113"/>
        <v>-480</v>
      </c>
      <c r="AG42" s="9">
        <f t="shared" si="113"/>
        <v>-0.04</v>
      </c>
      <c r="AH42" s="9">
        <f t="shared" si="113"/>
        <v>0</v>
      </c>
      <c r="AI42" s="9">
        <f t="shared" si="113"/>
        <v>0</v>
      </c>
      <c r="AJ42" s="9">
        <f t="shared" si="113"/>
        <v>0</v>
      </c>
      <c r="AK42" s="9">
        <f t="shared" si="113"/>
        <v>0</v>
      </c>
      <c r="AL42" s="9">
        <f t="shared" si="113"/>
        <v>-0.04</v>
      </c>
      <c r="AM42" s="9">
        <f t="shared" si="113"/>
        <v>0</v>
      </c>
      <c r="AN42" s="39">
        <f t="shared" si="113"/>
        <v>-0.04</v>
      </c>
      <c r="AO42" s="5">
        <f t="shared" si="113"/>
        <v>4381138</v>
      </c>
      <c r="AP42" s="8">
        <f t="shared" si="113"/>
        <v>3181427</v>
      </c>
      <c r="AQ42" s="8">
        <f t="shared" si="113"/>
        <v>24000</v>
      </c>
      <c r="AR42" s="8">
        <f t="shared" si="113"/>
        <v>1083434</v>
      </c>
      <c r="AS42" s="8">
        <f t="shared" si="113"/>
        <v>63629</v>
      </c>
      <c r="AT42" s="8">
        <f t="shared" si="113"/>
        <v>28648</v>
      </c>
      <c r="AU42" s="9">
        <f t="shared" si="113"/>
        <v>8.2536000000000005</v>
      </c>
      <c r="AV42" s="9">
        <f t="shared" si="113"/>
        <v>3.8538000000000001</v>
      </c>
      <c r="AW42" s="92">
        <f t="shared" si="113"/>
        <v>4.3997999999999999</v>
      </c>
      <c r="AX42" s="16"/>
    </row>
    <row r="43" spans="1:50" ht="13.5" customHeight="1" x14ac:dyDescent="0.2">
      <c r="A43" s="525">
        <v>9</v>
      </c>
      <c r="B43" s="526">
        <v>3448</v>
      </c>
      <c r="C43" s="526">
        <v>600078299</v>
      </c>
      <c r="D43" s="526">
        <v>70695041</v>
      </c>
      <c r="E43" s="524" t="s">
        <v>137</v>
      </c>
      <c r="F43" s="526">
        <v>3117</v>
      </c>
      <c r="G43" s="527" t="s">
        <v>320</v>
      </c>
      <c r="H43" s="528" t="s">
        <v>283</v>
      </c>
      <c r="I43" s="575">
        <f>SUM(J43:M43)</f>
        <v>4429976</v>
      </c>
      <c r="J43" s="496">
        <v>3191617</v>
      </c>
      <c r="K43" s="131">
        <f t="shared" ref="K43:K44" si="114">ROUND((J43)*33.8%,0)</f>
        <v>1078767</v>
      </c>
      <c r="L43" s="131">
        <f t="shared" ref="L43:L46" si="115">ROUND(J43*2%,0)</f>
        <v>63832</v>
      </c>
      <c r="M43" s="496">
        <v>95760</v>
      </c>
      <c r="N43" s="576">
        <f t="shared" ref="N43:N46" si="116">SUM(O43:P43)</f>
        <v>6.6868999999999996</v>
      </c>
      <c r="O43" s="577">
        <v>4.7667999999999999</v>
      </c>
      <c r="P43" s="607">
        <v>1.9200999999999999</v>
      </c>
      <c r="Q43" s="579">
        <f t="shared" ref="Q43:Q46" si="117">V43*-1</f>
        <v>-4992</v>
      </c>
      <c r="R43" s="498">
        <v>0</v>
      </c>
      <c r="S43" s="498">
        <v>0</v>
      </c>
      <c r="T43" s="498">
        <v>0</v>
      </c>
      <c r="U43" s="498">
        <f t="shared" si="4"/>
        <v>-4992</v>
      </c>
      <c r="V43" s="498">
        <v>4992</v>
      </c>
      <c r="W43" s="498">
        <v>0</v>
      </c>
      <c r="X43" s="498">
        <v>0</v>
      </c>
      <c r="Y43" s="498">
        <f t="shared" si="5"/>
        <v>4992</v>
      </c>
      <c r="Z43" s="498">
        <f t="shared" si="6"/>
        <v>0</v>
      </c>
      <c r="AA43" s="131">
        <f t="shared" ref="AA43:AA46" si="118">ROUND((U43+V43+W43)*33.8%,0)</f>
        <v>0</v>
      </c>
      <c r="AB43" s="131">
        <f t="shared" si="7"/>
        <v>-100</v>
      </c>
      <c r="AC43" s="498">
        <v>0</v>
      </c>
      <c r="AD43" s="498">
        <v>0</v>
      </c>
      <c r="AE43" s="498">
        <f t="shared" si="15"/>
        <v>0</v>
      </c>
      <c r="AF43" s="498">
        <f t="shared" si="16"/>
        <v>-100</v>
      </c>
      <c r="AG43" s="499">
        <v>-0.01</v>
      </c>
      <c r="AH43" s="499">
        <v>0</v>
      </c>
      <c r="AI43" s="499">
        <v>0</v>
      </c>
      <c r="AJ43" s="499">
        <v>0</v>
      </c>
      <c r="AK43" s="499">
        <v>0</v>
      </c>
      <c r="AL43" s="499">
        <f t="shared" ref="AL43:AL46" si="119">AG43+AI43+AJ43</f>
        <v>-0.01</v>
      </c>
      <c r="AM43" s="499">
        <f t="shared" ref="AM43:AM46" si="120">AH43+AK43</f>
        <v>0</v>
      </c>
      <c r="AN43" s="529">
        <f t="shared" ref="AN43:AN46" si="121">SUM(AL43:AM43)</f>
        <v>-0.01</v>
      </c>
      <c r="AO43" s="579">
        <f t="shared" ref="AO43:AO46" si="122">I43+AF43</f>
        <v>4429876</v>
      </c>
      <c r="AP43" s="498">
        <f t="shared" ref="AP43:AP46" si="123">J43+U43</f>
        <v>3186625</v>
      </c>
      <c r="AQ43" s="498">
        <f t="shared" ref="AQ43:AQ46" si="124">Y43</f>
        <v>4992</v>
      </c>
      <c r="AR43" s="498">
        <f t="shared" ref="AR43:AS46" si="125">K43+AA43</f>
        <v>1078767</v>
      </c>
      <c r="AS43" s="498">
        <f t="shared" si="125"/>
        <v>63732</v>
      </c>
      <c r="AT43" s="498">
        <f t="shared" ref="AT43:AT46" si="126">M43+AE43</f>
        <v>95760</v>
      </c>
      <c r="AU43" s="499">
        <f t="shared" ref="AU43:AU46" si="127">N43+AN43</f>
        <v>6.6768999999999998</v>
      </c>
      <c r="AV43" s="499">
        <f t="shared" ref="AV43:AW46" si="128">O43+AL43</f>
        <v>4.7568000000000001</v>
      </c>
      <c r="AW43" s="500">
        <f t="shared" si="128"/>
        <v>1.9200999999999999</v>
      </c>
      <c r="AX43" s="16"/>
    </row>
    <row r="44" spans="1:50" ht="13.5" customHeight="1" x14ac:dyDescent="0.2">
      <c r="A44" s="525">
        <v>9</v>
      </c>
      <c r="B44" s="526">
        <v>3448</v>
      </c>
      <c r="C44" s="526">
        <v>600078299</v>
      </c>
      <c r="D44" s="526">
        <v>70695041</v>
      </c>
      <c r="E44" s="524" t="s">
        <v>137</v>
      </c>
      <c r="F44" s="526">
        <v>3117</v>
      </c>
      <c r="G44" s="527" t="s">
        <v>318</v>
      </c>
      <c r="H44" s="528" t="s">
        <v>284</v>
      </c>
      <c r="I44" s="575">
        <f>SUM(J44:M44)</f>
        <v>0</v>
      </c>
      <c r="J44" s="496">
        <v>0</v>
      </c>
      <c r="K44" s="131">
        <f t="shared" si="114"/>
        <v>0</v>
      </c>
      <c r="L44" s="131">
        <f t="shared" si="115"/>
        <v>0</v>
      </c>
      <c r="M44" s="496">
        <v>0</v>
      </c>
      <c r="N44" s="576">
        <f t="shared" si="116"/>
        <v>0</v>
      </c>
      <c r="O44" s="577">
        <v>0</v>
      </c>
      <c r="P44" s="607">
        <v>0</v>
      </c>
      <c r="Q44" s="579">
        <f t="shared" si="117"/>
        <v>0</v>
      </c>
      <c r="R44" s="496">
        <v>433055</v>
      </c>
      <c r="S44" s="498">
        <v>0</v>
      </c>
      <c r="T44" s="498">
        <v>0</v>
      </c>
      <c r="U44" s="498">
        <f t="shared" si="4"/>
        <v>433055</v>
      </c>
      <c r="V44" s="498">
        <v>0</v>
      </c>
      <c r="W44" s="498">
        <v>0</v>
      </c>
      <c r="X44" s="498">
        <v>0</v>
      </c>
      <c r="Y44" s="498">
        <f t="shared" si="5"/>
        <v>0</v>
      </c>
      <c r="Z44" s="498">
        <f t="shared" si="6"/>
        <v>433055</v>
      </c>
      <c r="AA44" s="131">
        <f t="shared" si="118"/>
        <v>146373</v>
      </c>
      <c r="AB44" s="131">
        <f t="shared" si="7"/>
        <v>8661</v>
      </c>
      <c r="AC44" s="498">
        <v>0</v>
      </c>
      <c r="AD44" s="498">
        <v>0</v>
      </c>
      <c r="AE44" s="498">
        <f t="shared" si="15"/>
        <v>0</v>
      </c>
      <c r="AF44" s="498">
        <f t="shared" si="16"/>
        <v>588089</v>
      </c>
      <c r="AG44" s="499">
        <v>0</v>
      </c>
      <c r="AH44" s="499">
        <v>0</v>
      </c>
      <c r="AI44" s="499">
        <v>1.25</v>
      </c>
      <c r="AJ44" s="499">
        <v>0</v>
      </c>
      <c r="AK44" s="499">
        <v>0</v>
      </c>
      <c r="AL44" s="499">
        <f t="shared" si="119"/>
        <v>1.25</v>
      </c>
      <c r="AM44" s="499">
        <f t="shared" si="120"/>
        <v>0</v>
      </c>
      <c r="AN44" s="529">
        <f t="shared" si="121"/>
        <v>1.25</v>
      </c>
      <c r="AO44" s="579">
        <f t="shared" si="122"/>
        <v>588089</v>
      </c>
      <c r="AP44" s="498">
        <f t="shared" si="123"/>
        <v>433055</v>
      </c>
      <c r="AQ44" s="498">
        <f t="shared" si="124"/>
        <v>0</v>
      </c>
      <c r="AR44" s="498">
        <f t="shared" si="125"/>
        <v>146373</v>
      </c>
      <c r="AS44" s="498">
        <f t="shared" si="125"/>
        <v>8661</v>
      </c>
      <c r="AT44" s="498">
        <f t="shared" si="126"/>
        <v>0</v>
      </c>
      <c r="AU44" s="499">
        <f t="shared" si="127"/>
        <v>1.25</v>
      </c>
      <c r="AV44" s="499">
        <f t="shared" si="128"/>
        <v>1.25</v>
      </c>
      <c r="AW44" s="500">
        <f t="shared" si="128"/>
        <v>0</v>
      </c>
      <c r="AX44" s="16"/>
    </row>
    <row r="45" spans="1:50" ht="13.5" customHeight="1" x14ac:dyDescent="0.2">
      <c r="A45" s="525">
        <v>9</v>
      </c>
      <c r="B45" s="526">
        <v>3448</v>
      </c>
      <c r="C45" s="526">
        <v>600078299</v>
      </c>
      <c r="D45" s="526">
        <v>70695041</v>
      </c>
      <c r="E45" s="524" t="s">
        <v>137</v>
      </c>
      <c r="F45" s="526">
        <v>3143</v>
      </c>
      <c r="G45" s="527" t="s">
        <v>635</v>
      </c>
      <c r="H45" s="574" t="s">
        <v>283</v>
      </c>
      <c r="I45" s="575">
        <f>SUM(J45:M45)</f>
        <v>527618</v>
      </c>
      <c r="J45" s="496">
        <v>388526</v>
      </c>
      <c r="K45" s="131">
        <v>131321</v>
      </c>
      <c r="L45" s="131">
        <f t="shared" si="115"/>
        <v>7771</v>
      </c>
      <c r="M45" s="496">
        <v>0</v>
      </c>
      <c r="N45" s="576">
        <f t="shared" si="116"/>
        <v>0.75</v>
      </c>
      <c r="O45" s="577">
        <v>0.75</v>
      </c>
      <c r="P45" s="607">
        <v>0</v>
      </c>
      <c r="Q45" s="579">
        <f t="shared" si="117"/>
        <v>0</v>
      </c>
      <c r="R45" s="498">
        <v>0</v>
      </c>
      <c r="S45" s="498">
        <v>0</v>
      </c>
      <c r="T45" s="498">
        <v>0</v>
      </c>
      <c r="U45" s="498">
        <f t="shared" si="4"/>
        <v>0</v>
      </c>
      <c r="V45" s="498">
        <v>0</v>
      </c>
      <c r="W45" s="498">
        <v>0</v>
      </c>
      <c r="X45" s="498">
        <v>0</v>
      </c>
      <c r="Y45" s="498">
        <f t="shared" si="5"/>
        <v>0</v>
      </c>
      <c r="Z45" s="498">
        <f t="shared" si="6"/>
        <v>0</v>
      </c>
      <c r="AA45" s="131">
        <f t="shared" si="118"/>
        <v>0</v>
      </c>
      <c r="AB45" s="131">
        <f t="shared" si="7"/>
        <v>0</v>
      </c>
      <c r="AC45" s="498">
        <v>0</v>
      </c>
      <c r="AD45" s="498">
        <v>0</v>
      </c>
      <c r="AE45" s="498">
        <f t="shared" si="15"/>
        <v>0</v>
      </c>
      <c r="AF45" s="498">
        <f t="shared" si="16"/>
        <v>0</v>
      </c>
      <c r="AG45" s="499">
        <v>0</v>
      </c>
      <c r="AH45" s="499">
        <v>0</v>
      </c>
      <c r="AI45" s="499">
        <v>0</v>
      </c>
      <c r="AJ45" s="499">
        <v>0</v>
      </c>
      <c r="AK45" s="499">
        <v>0</v>
      </c>
      <c r="AL45" s="499">
        <f t="shared" si="119"/>
        <v>0</v>
      </c>
      <c r="AM45" s="499">
        <f t="shared" si="120"/>
        <v>0</v>
      </c>
      <c r="AN45" s="529">
        <f t="shared" si="121"/>
        <v>0</v>
      </c>
      <c r="AO45" s="579">
        <f t="shared" si="122"/>
        <v>527618</v>
      </c>
      <c r="AP45" s="498">
        <f t="shared" si="123"/>
        <v>388526</v>
      </c>
      <c r="AQ45" s="498">
        <f t="shared" si="124"/>
        <v>0</v>
      </c>
      <c r="AR45" s="498">
        <f t="shared" si="125"/>
        <v>131321</v>
      </c>
      <c r="AS45" s="498">
        <f t="shared" si="125"/>
        <v>7771</v>
      </c>
      <c r="AT45" s="498">
        <f t="shared" si="126"/>
        <v>0</v>
      </c>
      <c r="AU45" s="499">
        <f t="shared" si="127"/>
        <v>0.75</v>
      </c>
      <c r="AV45" s="499">
        <f t="shared" si="128"/>
        <v>0.75</v>
      </c>
      <c r="AW45" s="500">
        <f t="shared" si="128"/>
        <v>0</v>
      </c>
      <c r="AX45" s="16"/>
    </row>
    <row r="46" spans="1:50" ht="13.5" customHeight="1" x14ac:dyDescent="0.2">
      <c r="A46" s="525">
        <v>9</v>
      </c>
      <c r="B46" s="526">
        <v>3448</v>
      </c>
      <c r="C46" s="526">
        <v>600078299</v>
      </c>
      <c r="D46" s="526">
        <v>70695041</v>
      </c>
      <c r="E46" s="524" t="s">
        <v>137</v>
      </c>
      <c r="F46" s="526">
        <v>3143</v>
      </c>
      <c r="G46" s="527" t="s">
        <v>636</v>
      </c>
      <c r="H46" s="574" t="s">
        <v>284</v>
      </c>
      <c r="I46" s="575">
        <f>SUM(J46:M46)</f>
        <v>21066</v>
      </c>
      <c r="J46" s="496">
        <v>14850</v>
      </c>
      <c r="K46" s="131">
        <f t="shared" ref="K46" si="129">ROUND((J46)*33.8%,0)</f>
        <v>5019</v>
      </c>
      <c r="L46" s="131">
        <f t="shared" si="115"/>
        <v>297</v>
      </c>
      <c r="M46" s="496">
        <v>900</v>
      </c>
      <c r="N46" s="576">
        <f t="shared" si="116"/>
        <v>0.06</v>
      </c>
      <c r="O46" s="577">
        <v>0</v>
      </c>
      <c r="P46" s="607">
        <v>0.06</v>
      </c>
      <c r="Q46" s="579">
        <f t="shared" si="117"/>
        <v>0</v>
      </c>
      <c r="R46" s="498">
        <v>0</v>
      </c>
      <c r="S46" s="498">
        <v>0</v>
      </c>
      <c r="T46" s="498">
        <v>0</v>
      </c>
      <c r="U46" s="498">
        <f t="shared" si="4"/>
        <v>0</v>
      </c>
      <c r="V46" s="498">
        <v>0</v>
      </c>
      <c r="W46" s="498">
        <v>0</v>
      </c>
      <c r="X46" s="498">
        <v>0</v>
      </c>
      <c r="Y46" s="498">
        <f t="shared" si="5"/>
        <v>0</v>
      </c>
      <c r="Z46" s="498">
        <f t="shared" si="6"/>
        <v>0</v>
      </c>
      <c r="AA46" s="131">
        <f t="shared" si="118"/>
        <v>0</v>
      </c>
      <c r="AB46" s="131">
        <f t="shared" si="7"/>
        <v>0</v>
      </c>
      <c r="AC46" s="498">
        <v>0</v>
      </c>
      <c r="AD46" s="498">
        <v>0</v>
      </c>
      <c r="AE46" s="498">
        <f t="shared" si="15"/>
        <v>0</v>
      </c>
      <c r="AF46" s="498">
        <f t="shared" si="16"/>
        <v>0</v>
      </c>
      <c r="AG46" s="499">
        <v>0</v>
      </c>
      <c r="AH46" s="499">
        <v>0</v>
      </c>
      <c r="AI46" s="499">
        <v>0</v>
      </c>
      <c r="AJ46" s="499">
        <v>0</v>
      </c>
      <c r="AK46" s="499">
        <v>0</v>
      </c>
      <c r="AL46" s="499">
        <f t="shared" si="119"/>
        <v>0</v>
      </c>
      <c r="AM46" s="499">
        <f t="shared" si="120"/>
        <v>0</v>
      </c>
      <c r="AN46" s="529">
        <f t="shared" si="121"/>
        <v>0</v>
      </c>
      <c r="AO46" s="579">
        <f t="shared" si="122"/>
        <v>21066</v>
      </c>
      <c r="AP46" s="498">
        <f t="shared" si="123"/>
        <v>14850</v>
      </c>
      <c r="AQ46" s="498">
        <f t="shared" si="124"/>
        <v>0</v>
      </c>
      <c r="AR46" s="498">
        <f t="shared" si="125"/>
        <v>5019</v>
      </c>
      <c r="AS46" s="498">
        <f t="shared" si="125"/>
        <v>297</v>
      </c>
      <c r="AT46" s="498">
        <f t="shared" si="126"/>
        <v>900</v>
      </c>
      <c r="AU46" s="499">
        <f t="shared" si="127"/>
        <v>0.06</v>
      </c>
      <c r="AV46" s="499">
        <f t="shared" si="128"/>
        <v>0</v>
      </c>
      <c r="AW46" s="500">
        <f t="shared" si="128"/>
        <v>0.06</v>
      </c>
      <c r="AX46" s="16"/>
    </row>
    <row r="47" spans="1:50" ht="13.5" customHeight="1" x14ac:dyDescent="0.2">
      <c r="A47" s="302">
        <v>9</v>
      </c>
      <c r="B47" s="32">
        <v>3448</v>
      </c>
      <c r="C47" s="32">
        <v>600078299</v>
      </c>
      <c r="D47" s="32">
        <v>70695041</v>
      </c>
      <c r="E47" s="311" t="s">
        <v>138</v>
      </c>
      <c r="F47" s="32"/>
      <c r="G47" s="301"/>
      <c r="H47" s="454"/>
      <c r="I47" s="5">
        <f t="shared" ref="I47:P47" si="130">SUM(I43:I46)</f>
        <v>4978660</v>
      </c>
      <c r="J47" s="8">
        <f t="shared" si="130"/>
        <v>3594993</v>
      </c>
      <c r="K47" s="8">
        <f t="shared" si="130"/>
        <v>1215107</v>
      </c>
      <c r="L47" s="8">
        <f t="shared" si="130"/>
        <v>71900</v>
      </c>
      <c r="M47" s="8">
        <f t="shared" si="130"/>
        <v>96660</v>
      </c>
      <c r="N47" s="9">
        <f t="shared" si="130"/>
        <v>7.4968999999999992</v>
      </c>
      <c r="O47" s="9">
        <f t="shared" si="130"/>
        <v>5.5167999999999999</v>
      </c>
      <c r="P47" s="39">
        <f t="shared" si="130"/>
        <v>1.9801</v>
      </c>
      <c r="Q47" s="5">
        <f t="shared" ref="Q47:AW47" si="131">SUM(Q43:Q46)</f>
        <v>-4992</v>
      </c>
      <c r="R47" s="8">
        <f t="shared" si="131"/>
        <v>433055</v>
      </c>
      <c r="S47" s="8">
        <f t="shared" si="131"/>
        <v>0</v>
      </c>
      <c r="T47" s="8">
        <f t="shared" si="131"/>
        <v>0</v>
      </c>
      <c r="U47" s="8">
        <f t="shared" si="131"/>
        <v>428063</v>
      </c>
      <c r="V47" s="8">
        <f t="shared" si="131"/>
        <v>4992</v>
      </c>
      <c r="W47" s="8">
        <f t="shared" si="131"/>
        <v>0</v>
      </c>
      <c r="X47" s="8">
        <f t="shared" si="131"/>
        <v>0</v>
      </c>
      <c r="Y47" s="8">
        <f t="shared" si="131"/>
        <v>4992</v>
      </c>
      <c r="Z47" s="8">
        <f t="shared" si="131"/>
        <v>433055</v>
      </c>
      <c r="AA47" s="8">
        <f t="shared" si="131"/>
        <v>146373</v>
      </c>
      <c r="AB47" s="8">
        <f t="shared" si="131"/>
        <v>8561</v>
      </c>
      <c r="AC47" s="8">
        <f t="shared" si="131"/>
        <v>0</v>
      </c>
      <c r="AD47" s="8">
        <f t="shared" si="131"/>
        <v>0</v>
      </c>
      <c r="AE47" s="8">
        <f t="shared" si="131"/>
        <v>0</v>
      </c>
      <c r="AF47" s="8">
        <f t="shared" si="131"/>
        <v>587989</v>
      </c>
      <c r="AG47" s="9">
        <f t="shared" si="131"/>
        <v>-0.01</v>
      </c>
      <c r="AH47" s="9">
        <f t="shared" si="131"/>
        <v>0</v>
      </c>
      <c r="AI47" s="9">
        <f t="shared" si="131"/>
        <v>1.25</v>
      </c>
      <c r="AJ47" s="9">
        <f t="shared" si="131"/>
        <v>0</v>
      </c>
      <c r="AK47" s="9">
        <f t="shared" si="131"/>
        <v>0</v>
      </c>
      <c r="AL47" s="9">
        <f t="shared" si="131"/>
        <v>1.24</v>
      </c>
      <c r="AM47" s="9">
        <f t="shared" si="131"/>
        <v>0</v>
      </c>
      <c r="AN47" s="39">
        <f t="shared" si="131"/>
        <v>1.24</v>
      </c>
      <c r="AO47" s="5">
        <f t="shared" si="131"/>
        <v>5566649</v>
      </c>
      <c r="AP47" s="8">
        <f t="shared" si="131"/>
        <v>4023056</v>
      </c>
      <c r="AQ47" s="8">
        <f t="shared" si="131"/>
        <v>4992</v>
      </c>
      <c r="AR47" s="8">
        <f t="shared" si="131"/>
        <v>1361480</v>
      </c>
      <c r="AS47" s="8">
        <f t="shared" si="131"/>
        <v>80461</v>
      </c>
      <c r="AT47" s="8">
        <f t="shared" si="131"/>
        <v>96660</v>
      </c>
      <c r="AU47" s="9">
        <f t="shared" si="131"/>
        <v>8.7369000000000003</v>
      </c>
      <c r="AV47" s="9">
        <f t="shared" si="131"/>
        <v>6.7568000000000001</v>
      </c>
      <c r="AW47" s="92">
        <f t="shared" si="131"/>
        <v>1.9801</v>
      </c>
      <c r="AX47" s="16"/>
    </row>
    <row r="48" spans="1:50" ht="13.5" customHeight="1" x14ac:dyDescent="0.2">
      <c r="A48" s="525">
        <v>10</v>
      </c>
      <c r="B48" s="526">
        <v>3402</v>
      </c>
      <c r="C48" s="526">
        <v>600078124</v>
      </c>
      <c r="D48" s="526">
        <v>70982643</v>
      </c>
      <c r="E48" s="524" t="s">
        <v>139</v>
      </c>
      <c r="F48" s="526">
        <v>3111</v>
      </c>
      <c r="G48" s="527" t="s">
        <v>317</v>
      </c>
      <c r="H48" s="528" t="s">
        <v>283</v>
      </c>
      <c r="I48" s="575">
        <f>SUM(J48:M48)</f>
        <v>4941824</v>
      </c>
      <c r="J48" s="496">
        <v>3614193</v>
      </c>
      <c r="K48" s="131">
        <f t="shared" ref="K48:K50" si="132">ROUND((J48)*33.8%,0)</f>
        <v>1221597</v>
      </c>
      <c r="L48" s="131">
        <f t="shared" ref="L48:L50" si="133">ROUND(J48*2%,0)</f>
        <v>72284</v>
      </c>
      <c r="M48" s="496">
        <v>33750</v>
      </c>
      <c r="N48" s="576">
        <f t="shared" ref="N48:N50" si="134">SUM(O48:P48)</f>
        <v>8.2341999999999995</v>
      </c>
      <c r="O48" s="577">
        <v>6.1</v>
      </c>
      <c r="P48" s="607">
        <v>2.1341999999999999</v>
      </c>
      <c r="Q48" s="579">
        <f t="shared" ref="Q48:Q50" si="135">V48*-1</f>
        <v>0</v>
      </c>
      <c r="R48" s="498">
        <v>0</v>
      </c>
      <c r="S48" s="498">
        <v>0</v>
      </c>
      <c r="T48" s="498">
        <v>0</v>
      </c>
      <c r="U48" s="498">
        <f t="shared" si="4"/>
        <v>0</v>
      </c>
      <c r="V48" s="498">
        <v>0</v>
      </c>
      <c r="W48" s="498">
        <v>0</v>
      </c>
      <c r="X48" s="498">
        <v>0</v>
      </c>
      <c r="Y48" s="498">
        <f t="shared" si="5"/>
        <v>0</v>
      </c>
      <c r="Z48" s="498">
        <f t="shared" si="6"/>
        <v>0</v>
      </c>
      <c r="AA48" s="131">
        <f t="shared" ref="AA48:AA50" si="136">ROUND((U48+V48+W48)*33.8%,0)</f>
        <v>0</v>
      </c>
      <c r="AB48" s="131">
        <f t="shared" si="7"/>
        <v>0</v>
      </c>
      <c r="AC48" s="498">
        <v>0</v>
      </c>
      <c r="AD48" s="498">
        <v>0</v>
      </c>
      <c r="AE48" s="498">
        <f t="shared" si="15"/>
        <v>0</v>
      </c>
      <c r="AF48" s="498">
        <f t="shared" si="16"/>
        <v>0</v>
      </c>
      <c r="AG48" s="499">
        <v>0</v>
      </c>
      <c r="AH48" s="499">
        <v>0</v>
      </c>
      <c r="AI48" s="499">
        <v>0</v>
      </c>
      <c r="AJ48" s="499">
        <v>0</v>
      </c>
      <c r="AK48" s="499">
        <v>0</v>
      </c>
      <c r="AL48" s="499">
        <f t="shared" ref="AL48:AL50" si="137">AG48+AI48+AJ48</f>
        <v>0</v>
      </c>
      <c r="AM48" s="499">
        <f t="shared" ref="AM48:AM50" si="138">AH48+AK48</f>
        <v>0</v>
      </c>
      <c r="AN48" s="529">
        <f t="shared" ref="AN48:AN50" si="139">SUM(AL48:AM48)</f>
        <v>0</v>
      </c>
      <c r="AO48" s="579">
        <f t="shared" ref="AO48:AO50" si="140">I48+AF48</f>
        <v>4941824</v>
      </c>
      <c r="AP48" s="498">
        <f t="shared" ref="AP48:AP50" si="141">J48+U48</f>
        <v>3614193</v>
      </c>
      <c r="AQ48" s="498">
        <f t="shared" ref="AQ48:AQ50" si="142">Y48</f>
        <v>0</v>
      </c>
      <c r="AR48" s="498">
        <f t="shared" ref="AR48:AS50" si="143">K48+AA48</f>
        <v>1221597</v>
      </c>
      <c r="AS48" s="498">
        <f t="shared" si="143"/>
        <v>72284</v>
      </c>
      <c r="AT48" s="498">
        <f t="shared" ref="AT48:AT50" si="144">M48+AE48</f>
        <v>33750</v>
      </c>
      <c r="AU48" s="499">
        <f t="shared" ref="AU48:AU50" si="145">N48+AN48</f>
        <v>8.2341999999999995</v>
      </c>
      <c r="AV48" s="499">
        <f t="shared" ref="AV48:AW50" si="146">O48+AL48</f>
        <v>6.1</v>
      </c>
      <c r="AW48" s="500">
        <f t="shared" si="146"/>
        <v>2.1341999999999999</v>
      </c>
      <c r="AX48" s="16"/>
    </row>
    <row r="49" spans="1:50" ht="13.5" customHeight="1" x14ac:dyDescent="0.2">
      <c r="A49" s="525">
        <v>10</v>
      </c>
      <c r="B49" s="526">
        <v>3402</v>
      </c>
      <c r="C49" s="526">
        <v>600078124</v>
      </c>
      <c r="D49" s="526">
        <v>70982643</v>
      </c>
      <c r="E49" s="524" t="s">
        <v>139</v>
      </c>
      <c r="F49" s="526">
        <v>3111</v>
      </c>
      <c r="G49" s="527" t="s">
        <v>318</v>
      </c>
      <c r="H49" s="528" t="s">
        <v>284</v>
      </c>
      <c r="I49" s="575">
        <f>SUM(J49:M49)</f>
        <v>0</v>
      </c>
      <c r="J49" s="496">
        <v>0</v>
      </c>
      <c r="K49" s="131">
        <f t="shared" si="132"/>
        <v>0</v>
      </c>
      <c r="L49" s="131">
        <f t="shared" si="133"/>
        <v>0</v>
      </c>
      <c r="M49" s="496">
        <v>0</v>
      </c>
      <c r="N49" s="576">
        <f t="shared" si="134"/>
        <v>0</v>
      </c>
      <c r="O49" s="577">
        <v>0</v>
      </c>
      <c r="P49" s="607">
        <v>0</v>
      </c>
      <c r="Q49" s="579">
        <f t="shared" si="135"/>
        <v>0</v>
      </c>
      <c r="R49" s="496">
        <v>346443</v>
      </c>
      <c r="S49" s="498">
        <v>0</v>
      </c>
      <c r="T49" s="498">
        <v>0</v>
      </c>
      <c r="U49" s="498">
        <f t="shared" si="4"/>
        <v>346443</v>
      </c>
      <c r="V49" s="498">
        <v>0</v>
      </c>
      <c r="W49" s="498">
        <v>0</v>
      </c>
      <c r="X49" s="498">
        <v>0</v>
      </c>
      <c r="Y49" s="498">
        <f t="shared" si="5"/>
        <v>0</v>
      </c>
      <c r="Z49" s="498">
        <f t="shared" si="6"/>
        <v>346443</v>
      </c>
      <c r="AA49" s="131">
        <f t="shared" si="136"/>
        <v>117098</v>
      </c>
      <c r="AB49" s="131">
        <f t="shared" si="7"/>
        <v>6929</v>
      </c>
      <c r="AC49" s="498">
        <v>0</v>
      </c>
      <c r="AD49" s="498">
        <v>0</v>
      </c>
      <c r="AE49" s="498">
        <f t="shared" si="15"/>
        <v>0</v>
      </c>
      <c r="AF49" s="498">
        <f t="shared" si="16"/>
        <v>470470</v>
      </c>
      <c r="AG49" s="499">
        <v>0</v>
      </c>
      <c r="AH49" s="499">
        <v>0</v>
      </c>
      <c r="AI49" s="499">
        <v>1</v>
      </c>
      <c r="AJ49" s="499">
        <v>0</v>
      </c>
      <c r="AK49" s="499">
        <v>0</v>
      </c>
      <c r="AL49" s="499">
        <f t="shared" si="137"/>
        <v>1</v>
      </c>
      <c r="AM49" s="499">
        <f t="shared" si="138"/>
        <v>0</v>
      </c>
      <c r="AN49" s="529">
        <f t="shared" si="139"/>
        <v>1</v>
      </c>
      <c r="AO49" s="579">
        <f t="shared" si="140"/>
        <v>470470</v>
      </c>
      <c r="AP49" s="498">
        <f t="shared" si="141"/>
        <v>346443</v>
      </c>
      <c r="AQ49" s="498">
        <f t="shared" si="142"/>
        <v>0</v>
      </c>
      <c r="AR49" s="498">
        <f t="shared" si="143"/>
        <v>117098</v>
      </c>
      <c r="AS49" s="498">
        <f t="shared" si="143"/>
        <v>6929</v>
      </c>
      <c r="AT49" s="498">
        <f t="shared" si="144"/>
        <v>0</v>
      </c>
      <c r="AU49" s="499">
        <f t="shared" si="145"/>
        <v>1</v>
      </c>
      <c r="AV49" s="499">
        <f t="shared" si="146"/>
        <v>1</v>
      </c>
      <c r="AW49" s="500">
        <f t="shared" si="146"/>
        <v>0</v>
      </c>
      <c r="AX49" s="16"/>
    </row>
    <row r="50" spans="1:50" ht="13.5" customHeight="1" x14ac:dyDescent="0.2">
      <c r="A50" s="525">
        <v>10</v>
      </c>
      <c r="B50" s="526">
        <v>3402</v>
      </c>
      <c r="C50" s="526">
        <v>600078124</v>
      </c>
      <c r="D50" s="526">
        <v>70982643</v>
      </c>
      <c r="E50" s="524" t="s">
        <v>139</v>
      </c>
      <c r="F50" s="526">
        <v>3141</v>
      </c>
      <c r="G50" s="527" t="s">
        <v>321</v>
      </c>
      <c r="H50" s="528" t="s">
        <v>284</v>
      </c>
      <c r="I50" s="575">
        <f>SUM(J50:M50)</f>
        <v>2378289</v>
      </c>
      <c r="J50" s="496">
        <v>1738590</v>
      </c>
      <c r="K50" s="131">
        <f t="shared" si="132"/>
        <v>587643</v>
      </c>
      <c r="L50" s="131">
        <f t="shared" si="133"/>
        <v>34772</v>
      </c>
      <c r="M50" s="496">
        <v>17284</v>
      </c>
      <c r="N50" s="576">
        <f t="shared" si="134"/>
        <v>5.91</v>
      </c>
      <c r="O50" s="577">
        <v>0</v>
      </c>
      <c r="P50" s="607">
        <v>5.91</v>
      </c>
      <c r="Q50" s="579">
        <f t="shared" si="135"/>
        <v>0</v>
      </c>
      <c r="R50" s="498">
        <v>0</v>
      </c>
      <c r="S50" s="498">
        <v>0</v>
      </c>
      <c r="T50" s="498">
        <v>0</v>
      </c>
      <c r="U50" s="498">
        <f t="shared" si="4"/>
        <v>0</v>
      </c>
      <c r="V50" s="498">
        <v>0</v>
      </c>
      <c r="W50" s="498">
        <v>0</v>
      </c>
      <c r="X50" s="498">
        <v>0</v>
      </c>
      <c r="Y50" s="498">
        <f t="shared" si="5"/>
        <v>0</v>
      </c>
      <c r="Z50" s="498">
        <f t="shared" si="6"/>
        <v>0</v>
      </c>
      <c r="AA50" s="131">
        <f t="shared" si="136"/>
        <v>0</v>
      </c>
      <c r="AB50" s="131">
        <f t="shared" si="7"/>
        <v>0</v>
      </c>
      <c r="AC50" s="498">
        <v>0</v>
      </c>
      <c r="AD50" s="498">
        <v>0</v>
      </c>
      <c r="AE50" s="498">
        <f t="shared" si="15"/>
        <v>0</v>
      </c>
      <c r="AF50" s="498">
        <f t="shared" si="16"/>
        <v>0</v>
      </c>
      <c r="AG50" s="499">
        <v>0</v>
      </c>
      <c r="AH50" s="499">
        <v>0</v>
      </c>
      <c r="AI50" s="499">
        <v>0</v>
      </c>
      <c r="AJ50" s="499">
        <v>0</v>
      </c>
      <c r="AK50" s="499">
        <v>0</v>
      </c>
      <c r="AL50" s="499">
        <f t="shared" si="137"/>
        <v>0</v>
      </c>
      <c r="AM50" s="499">
        <f t="shared" si="138"/>
        <v>0</v>
      </c>
      <c r="AN50" s="529">
        <f t="shared" si="139"/>
        <v>0</v>
      </c>
      <c r="AO50" s="579">
        <f t="shared" si="140"/>
        <v>2378289</v>
      </c>
      <c r="AP50" s="498">
        <f t="shared" si="141"/>
        <v>1738590</v>
      </c>
      <c r="AQ50" s="498">
        <f t="shared" si="142"/>
        <v>0</v>
      </c>
      <c r="AR50" s="498">
        <f t="shared" si="143"/>
        <v>587643</v>
      </c>
      <c r="AS50" s="498">
        <f t="shared" si="143"/>
        <v>34772</v>
      </c>
      <c r="AT50" s="498">
        <f t="shared" si="144"/>
        <v>17284</v>
      </c>
      <c r="AU50" s="499">
        <f t="shared" si="145"/>
        <v>5.91</v>
      </c>
      <c r="AV50" s="499">
        <f t="shared" si="146"/>
        <v>0</v>
      </c>
      <c r="AW50" s="500">
        <f t="shared" si="146"/>
        <v>5.91</v>
      </c>
      <c r="AX50" s="16"/>
    </row>
    <row r="51" spans="1:50" x14ac:dyDescent="0.2">
      <c r="A51" s="302">
        <v>10</v>
      </c>
      <c r="B51" s="32">
        <v>3402</v>
      </c>
      <c r="C51" s="32">
        <v>600078124</v>
      </c>
      <c r="D51" s="32">
        <v>70982643</v>
      </c>
      <c r="E51" s="311" t="s">
        <v>140</v>
      </c>
      <c r="F51" s="32"/>
      <c r="G51" s="301"/>
      <c r="H51" s="454"/>
      <c r="I51" s="5">
        <f t="shared" ref="I51:AW51" si="147">SUM(I48:I50)</f>
        <v>7320113</v>
      </c>
      <c r="J51" s="8">
        <f t="shared" si="147"/>
        <v>5352783</v>
      </c>
      <c r="K51" s="8">
        <f t="shared" si="147"/>
        <v>1809240</v>
      </c>
      <c r="L51" s="8">
        <f t="shared" si="147"/>
        <v>107056</v>
      </c>
      <c r="M51" s="8">
        <f t="shared" si="147"/>
        <v>51034</v>
      </c>
      <c r="N51" s="9">
        <f t="shared" si="147"/>
        <v>14.1442</v>
      </c>
      <c r="O51" s="9">
        <f t="shared" si="147"/>
        <v>6.1</v>
      </c>
      <c r="P51" s="39">
        <f t="shared" si="147"/>
        <v>8.0442</v>
      </c>
      <c r="Q51" s="5">
        <f t="shared" si="147"/>
        <v>0</v>
      </c>
      <c r="R51" s="8">
        <f t="shared" si="147"/>
        <v>346443</v>
      </c>
      <c r="S51" s="8">
        <f t="shared" si="147"/>
        <v>0</v>
      </c>
      <c r="T51" s="8">
        <f t="shared" si="147"/>
        <v>0</v>
      </c>
      <c r="U51" s="8">
        <f t="shared" si="147"/>
        <v>346443</v>
      </c>
      <c r="V51" s="8">
        <f t="shared" si="147"/>
        <v>0</v>
      </c>
      <c r="W51" s="8">
        <f t="shared" si="147"/>
        <v>0</v>
      </c>
      <c r="X51" s="8">
        <f t="shared" si="147"/>
        <v>0</v>
      </c>
      <c r="Y51" s="8">
        <f t="shared" si="147"/>
        <v>0</v>
      </c>
      <c r="Z51" s="8">
        <f t="shared" si="147"/>
        <v>346443</v>
      </c>
      <c r="AA51" s="8">
        <f t="shared" si="147"/>
        <v>117098</v>
      </c>
      <c r="AB51" s="8">
        <f t="shared" si="147"/>
        <v>6929</v>
      </c>
      <c r="AC51" s="8">
        <f t="shared" si="147"/>
        <v>0</v>
      </c>
      <c r="AD51" s="8">
        <f t="shared" si="147"/>
        <v>0</v>
      </c>
      <c r="AE51" s="8">
        <f t="shared" si="147"/>
        <v>0</v>
      </c>
      <c r="AF51" s="8">
        <f t="shared" si="147"/>
        <v>470470</v>
      </c>
      <c r="AG51" s="9">
        <f t="shared" si="147"/>
        <v>0</v>
      </c>
      <c r="AH51" s="9">
        <f t="shared" si="147"/>
        <v>0</v>
      </c>
      <c r="AI51" s="9">
        <f t="shared" si="147"/>
        <v>1</v>
      </c>
      <c r="AJ51" s="9">
        <f t="shared" si="147"/>
        <v>0</v>
      </c>
      <c r="AK51" s="9">
        <f t="shared" si="147"/>
        <v>0</v>
      </c>
      <c r="AL51" s="9">
        <f t="shared" si="147"/>
        <v>1</v>
      </c>
      <c r="AM51" s="9">
        <f t="shared" si="147"/>
        <v>0</v>
      </c>
      <c r="AN51" s="39">
        <f t="shared" si="147"/>
        <v>1</v>
      </c>
      <c r="AO51" s="5">
        <f t="shared" si="147"/>
        <v>7790583</v>
      </c>
      <c r="AP51" s="8">
        <f t="shared" si="147"/>
        <v>5699226</v>
      </c>
      <c r="AQ51" s="8">
        <f t="shared" si="147"/>
        <v>0</v>
      </c>
      <c r="AR51" s="8">
        <f t="shared" si="147"/>
        <v>1926338</v>
      </c>
      <c r="AS51" s="8">
        <f t="shared" si="147"/>
        <v>113985</v>
      </c>
      <c r="AT51" s="8">
        <f t="shared" si="147"/>
        <v>51034</v>
      </c>
      <c r="AU51" s="9">
        <f t="shared" si="147"/>
        <v>15.1442</v>
      </c>
      <c r="AV51" s="9">
        <f t="shared" si="147"/>
        <v>7.1</v>
      </c>
      <c r="AW51" s="92">
        <f t="shared" si="147"/>
        <v>8.0442</v>
      </c>
      <c r="AX51" s="16"/>
    </row>
    <row r="52" spans="1:50" x14ac:dyDescent="0.2">
      <c r="A52" s="525">
        <v>11</v>
      </c>
      <c r="B52" s="526">
        <v>3429</v>
      </c>
      <c r="C52" s="526">
        <v>600078256</v>
      </c>
      <c r="D52" s="526">
        <v>43257151</v>
      </c>
      <c r="E52" s="524" t="s">
        <v>141</v>
      </c>
      <c r="F52" s="526">
        <v>3113</v>
      </c>
      <c r="G52" s="527" t="s">
        <v>320</v>
      </c>
      <c r="H52" s="528" t="s">
        <v>283</v>
      </c>
      <c r="I52" s="575">
        <f>SUM(J52:M52)</f>
        <v>16605096</v>
      </c>
      <c r="J52" s="496">
        <v>11978480</v>
      </c>
      <c r="K52" s="131">
        <f t="shared" ref="K52:K53" si="148">ROUND((J52)*33.8%,0)</f>
        <v>4048726</v>
      </c>
      <c r="L52" s="131">
        <f t="shared" ref="L52:L53" si="149">ROUND(J52*2%,0)</f>
        <v>239570</v>
      </c>
      <c r="M52" s="496">
        <v>338320</v>
      </c>
      <c r="N52" s="576">
        <f t="shared" ref="N52:N55" si="150">SUM(O52:P52)</f>
        <v>21.195799999999998</v>
      </c>
      <c r="O52" s="577">
        <v>15.818199999999999</v>
      </c>
      <c r="P52" s="607">
        <v>5.3776000000000002</v>
      </c>
      <c r="Q52" s="579">
        <f t="shared" ref="Q52:Q55" si="151">V52*-1</f>
        <v>-184000</v>
      </c>
      <c r="R52" s="498">
        <v>0</v>
      </c>
      <c r="S52" s="498">
        <v>0</v>
      </c>
      <c r="T52" s="498">
        <v>-127405</v>
      </c>
      <c r="U52" s="498">
        <f t="shared" si="4"/>
        <v>-311405</v>
      </c>
      <c r="V52" s="498">
        <v>184000</v>
      </c>
      <c r="W52" s="498">
        <v>0</v>
      </c>
      <c r="X52" s="498">
        <v>0</v>
      </c>
      <c r="Y52" s="498">
        <f t="shared" si="5"/>
        <v>184000</v>
      </c>
      <c r="Z52" s="498">
        <f t="shared" si="6"/>
        <v>-127405</v>
      </c>
      <c r="AA52" s="131">
        <f t="shared" ref="AA52:AA55" si="152">ROUND((U52+V52+W52)*33.8%,0)</f>
        <v>-43063</v>
      </c>
      <c r="AB52" s="131">
        <f t="shared" si="7"/>
        <v>-6228</v>
      </c>
      <c r="AC52" s="498">
        <v>0</v>
      </c>
      <c r="AD52" s="498">
        <v>0</v>
      </c>
      <c r="AE52" s="498">
        <f t="shared" si="15"/>
        <v>0</v>
      </c>
      <c r="AF52" s="498">
        <f t="shared" si="16"/>
        <v>-176696</v>
      </c>
      <c r="AG52" s="499">
        <v>-0.02</v>
      </c>
      <c r="AH52" s="499">
        <v>-0.89</v>
      </c>
      <c r="AI52" s="499">
        <v>0</v>
      </c>
      <c r="AJ52" s="499">
        <v>-0.27</v>
      </c>
      <c r="AK52" s="499">
        <v>0</v>
      </c>
      <c r="AL52" s="499">
        <f t="shared" ref="AL52:AL55" si="153">AG52+AI52+AJ52</f>
        <v>-0.29000000000000004</v>
      </c>
      <c r="AM52" s="499">
        <f t="shared" ref="AM52:AM55" si="154">AH52+AK52</f>
        <v>-0.89</v>
      </c>
      <c r="AN52" s="529">
        <f t="shared" ref="AN52:AN55" si="155">SUM(AL52:AM52)</f>
        <v>-1.1800000000000002</v>
      </c>
      <c r="AO52" s="579">
        <f t="shared" ref="AO52:AO55" si="156">I52+AF52</f>
        <v>16428400</v>
      </c>
      <c r="AP52" s="498">
        <f t="shared" ref="AP52:AP55" si="157">J52+U52</f>
        <v>11667075</v>
      </c>
      <c r="AQ52" s="498">
        <f t="shared" ref="AQ52:AQ55" si="158">Y52</f>
        <v>184000</v>
      </c>
      <c r="AR52" s="498">
        <f t="shared" ref="AR52:AS55" si="159">K52+AA52</f>
        <v>4005663</v>
      </c>
      <c r="AS52" s="498">
        <f t="shared" si="159"/>
        <v>233342</v>
      </c>
      <c r="AT52" s="498">
        <f t="shared" ref="AT52:AT55" si="160">M52+AE52</f>
        <v>338320</v>
      </c>
      <c r="AU52" s="499">
        <f t="shared" ref="AU52:AU55" si="161">N52+AN52</f>
        <v>20.015799999999999</v>
      </c>
      <c r="AV52" s="499">
        <f t="shared" ref="AV52:AW55" si="162">O52+AL52</f>
        <v>15.528199999999998</v>
      </c>
      <c r="AW52" s="500">
        <f t="shared" si="162"/>
        <v>4.4876000000000005</v>
      </c>
      <c r="AX52" s="16"/>
    </row>
    <row r="53" spans="1:50" x14ac:dyDescent="0.2">
      <c r="A53" s="525">
        <v>11</v>
      </c>
      <c r="B53" s="526">
        <v>3429</v>
      </c>
      <c r="C53" s="526">
        <v>600078256</v>
      </c>
      <c r="D53" s="526">
        <v>43257151</v>
      </c>
      <c r="E53" s="524" t="s">
        <v>141</v>
      </c>
      <c r="F53" s="526">
        <v>3113</v>
      </c>
      <c r="G53" s="527" t="s">
        <v>318</v>
      </c>
      <c r="H53" s="528" t="s">
        <v>284</v>
      </c>
      <c r="I53" s="575">
        <f>SUM(J53:M53)</f>
        <v>0</v>
      </c>
      <c r="J53" s="496">
        <v>0</v>
      </c>
      <c r="K53" s="131">
        <f t="shared" si="148"/>
        <v>0</v>
      </c>
      <c r="L53" s="131">
        <f t="shared" si="149"/>
        <v>0</v>
      </c>
      <c r="M53" s="496">
        <v>0</v>
      </c>
      <c r="N53" s="576">
        <f t="shared" si="150"/>
        <v>0</v>
      </c>
      <c r="O53" s="577">
        <v>0</v>
      </c>
      <c r="P53" s="607">
        <v>0</v>
      </c>
      <c r="Q53" s="579">
        <f t="shared" si="151"/>
        <v>0</v>
      </c>
      <c r="R53" s="496">
        <v>595363</v>
      </c>
      <c r="S53" s="498">
        <v>0</v>
      </c>
      <c r="T53" s="498">
        <v>0</v>
      </c>
      <c r="U53" s="498">
        <f t="shared" si="4"/>
        <v>595363</v>
      </c>
      <c r="V53" s="498">
        <v>0</v>
      </c>
      <c r="W53" s="498">
        <v>0</v>
      </c>
      <c r="X53" s="498">
        <v>0</v>
      </c>
      <c r="Y53" s="498">
        <f t="shared" si="5"/>
        <v>0</v>
      </c>
      <c r="Z53" s="498">
        <f t="shared" si="6"/>
        <v>595363</v>
      </c>
      <c r="AA53" s="131">
        <f t="shared" si="152"/>
        <v>201233</v>
      </c>
      <c r="AB53" s="131">
        <f t="shared" si="7"/>
        <v>11907</v>
      </c>
      <c r="AC53" s="498">
        <v>0</v>
      </c>
      <c r="AD53" s="498">
        <v>0</v>
      </c>
      <c r="AE53" s="498">
        <f t="shared" si="15"/>
        <v>0</v>
      </c>
      <c r="AF53" s="498">
        <f t="shared" si="16"/>
        <v>808503</v>
      </c>
      <c r="AG53" s="499">
        <v>0</v>
      </c>
      <c r="AH53" s="499">
        <v>0</v>
      </c>
      <c r="AI53" s="499">
        <v>1.89</v>
      </c>
      <c r="AJ53" s="499">
        <v>0</v>
      </c>
      <c r="AK53" s="499">
        <v>0</v>
      </c>
      <c r="AL53" s="499">
        <f t="shared" si="153"/>
        <v>1.89</v>
      </c>
      <c r="AM53" s="499">
        <f t="shared" si="154"/>
        <v>0</v>
      </c>
      <c r="AN53" s="529">
        <f t="shared" si="155"/>
        <v>1.89</v>
      </c>
      <c r="AO53" s="579">
        <f t="shared" si="156"/>
        <v>808503</v>
      </c>
      <c r="AP53" s="498">
        <f t="shared" si="157"/>
        <v>595363</v>
      </c>
      <c r="AQ53" s="498">
        <f t="shared" si="158"/>
        <v>0</v>
      </c>
      <c r="AR53" s="498">
        <f t="shared" si="159"/>
        <v>201233</v>
      </c>
      <c r="AS53" s="498">
        <f t="shared" si="159"/>
        <v>11907</v>
      </c>
      <c r="AT53" s="498">
        <f t="shared" si="160"/>
        <v>0</v>
      </c>
      <c r="AU53" s="499">
        <f t="shared" si="161"/>
        <v>1.89</v>
      </c>
      <c r="AV53" s="499">
        <f t="shared" si="162"/>
        <v>1.89</v>
      </c>
      <c r="AW53" s="500">
        <f t="shared" si="162"/>
        <v>0</v>
      </c>
      <c r="AX53" s="16"/>
    </row>
    <row r="54" spans="1:50" s="3" customFormat="1" x14ac:dyDescent="0.2">
      <c r="A54" s="525">
        <v>11</v>
      </c>
      <c r="B54" s="526">
        <v>3429</v>
      </c>
      <c r="C54" s="526">
        <v>600078256</v>
      </c>
      <c r="D54" s="526">
        <v>43257151</v>
      </c>
      <c r="E54" s="524" t="s">
        <v>141</v>
      </c>
      <c r="F54" s="526">
        <v>3143</v>
      </c>
      <c r="G54" s="527" t="s">
        <v>635</v>
      </c>
      <c r="H54" s="574" t="s">
        <v>283</v>
      </c>
      <c r="I54" s="575">
        <f>SUM(J54:M54)</f>
        <v>1666926</v>
      </c>
      <c r="J54" s="496">
        <v>1227486</v>
      </c>
      <c r="K54" s="131">
        <v>414891</v>
      </c>
      <c r="L54" s="131">
        <v>24549</v>
      </c>
      <c r="M54" s="496">
        <v>0</v>
      </c>
      <c r="N54" s="576">
        <f t="shared" si="150"/>
        <v>2.7856000000000001</v>
      </c>
      <c r="O54" s="577">
        <v>2.7856000000000001</v>
      </c>
      <c r="P54" s="607">
        <v>0</v>
      </c>
      <c r="Q54" s="579">
        <f t="shared" si="151"/>
        <v>0</v>
      </c>
      <c r="R54" s="498">
        <v>0</v>
      </c>
      <c r="S54" s="498">
        <v>0</v>
      </c>
      <c r="T54" s="498">
        <v>-48395</v>
      </c>
      <c r="U54" s="498">
        <f t="shared" si="4"/>
        <v>-48395</v>
      </c>
      <c r="V54" s="498">
        <v>0</v>
      </c>
      <c r="W54" s="498">
        <v>0</v>
      </c>
      <c r="X54" s="498">
        <v>0</v>
      </c>
      <c r="Y54" s="498">
        <f t="shared" si="5"/>
        <v>0</v>
      </c>
      <c r="Z54" s="498">
        <f t="shared" si="6"/>
        <v>-48395</v>
      </c>
      <c r="AA54" s="131">
        <f t="shared" si="152"/>
        <v>-16358</v>
      </c>
      <c r="AB54" s="131">
        <f t="shared" si="7"/>
        <v>-968</v>
      </c>
      <c r="AC54" s="498">
        <v>0</v>
      </c>
      <c r="AD54" s="498">
        <v>0</v>
      </c>
      <c r="AE54" s="498">
        <f t="shared" si="15"/>
        <v>0</v>
      </c>
      <c r="AF54" s="498">
        <f t="shared" si="16"/>
        <v>-65721</v>
      </c>
      <c r="AG54" s="499">
        <v>0</v>
      </c>
      <c r="AH54" s="499">
        <v>0</v>
      </c>
      <c r="AI54" s="499">
        <v>0</v>
      </c>
      <c r="AJ54" s="499">
        <v>-0.11</v>
      </c>
      <c r="AK54" s="499">
        <v>0</v>
      </c>
      <c r="AL54" s="499">
        <f t="shared" si="153"/>
        <v>-0.11</v>
      </c>
      <c r="AM54" s="499">
        <f t="shared" si="154"/>
        <v>0</v>
      </c>
      <c r="AN54" s="529">
        <f t="shared" si="155"/>
        <v>-0.11</v>
      </c>
      <c r="AO54" s="579">
        <f t="shared" si="156"/>
        <v>1601205</v>
      </c>
      <c r="AP54" s="498">
        <f t="shared" si="157"/>
        <v>1179091</v>
      </c>
      <c r="AQ54" s="498">
        <f t="shared" si="158"/>
        <v>0</v>
      </c>
      <c r="AR54" s="498">
        <f t="shared" si="159"/>
        <v>398533</v>
      </c>
      <c r="AS54" s="498">
        <f t="shared" si="159"/>
        <v>23581</v>
      </c>
      <c r="AT54" s="498">
        <f t="shared" si="160"/>
        <v>0</v>
      </c>
      <c r="AU54" s="499">
        <f t="shared" si="161"/>
        <v>2.6756000000000002</v>
      </c>
      <c r="AV54" s="499">
        <f t="shared" si="162"/>
        <v>2.6756000000000002</v>
      </c>
      <c r="AW54" s="500">
        <f t="shared" si="162"/>
        <v>0</v>
      </c>
      <c r="AX54" s="16"/>
    </row>
    <row r="55" spans="1:50" s="3" customFormat="1" x14ac:dyDescent="0.2">
      <c r="A55" s="525">
        <v>11</v>
      </c>
      <c r="B55" s="526">
        <v>3429</v>
      </c>
      <c r="C55" s="526">
        <v>600078256</v>
      </c>
      <c r="D55" s="526">
        <v>43257151</v>
      </c>
      <c r="E55" s="524" t="s">
        <v>141</v>
      </c>
      <c r="F55" s="526">
        <v>3143</v>
      </c>
      <c r="G55" s="527" t="s">
        <v>636</v>
      </c>
      <c r="H55" s="574" t="s">
        <v>284</v>
      </c>
      <c r="I55" s="575">
        <f>SUM(J55:M55)</f>
        <v>42133</v>
      </c>
      <c r="J55" s="496">
        <v>29700</v>
      </c>
      <c r="K55" s="131">
        <f t="shared" ref="K55" si="163">ROUND((J55)*33.8%,0)</f>
        <v>10039</v>
      </c>
      <c r="L55" s="131">
        <f t="shared" ref="L55" si="164">ROUND(J55*2%,0)</f>
        <v>594</v>
      </c>
      <c r="M55" s="496">
        <v>1800</v>
      </c>
      <c r="N55" s="576">
        <f t="shared" si="150"/>
        <v>0.13</v>
      </c>
      <c r="O55" s="577">
        <v>0</v>
      </c>
      <c r="P55" s="607">
        <v>0.13</v>
      </c>
      <c r="Q55" s="579">
        <f t="shared" si="151"/>
        <v>0</v>
      </c>
      <c r="R55" s="498">
        <v>0</v>
      </c>
      <c r="S55" s="498">
        <v>0</v>
      </c>
      <c r="T55" s="498">
        <v>0</v>
      </c>
      <c r="U55" s="498">
        <f t="shared" si="4"/>
        <v>0</v>
      </c>
      <c r="V55" s="498">
        <v>0</v>
      </c>
      <c r="W55" s="498">
        <v>0</v>
      </c>
      <c r="X55" s="498">
        <v>0</v>
      </c>
      <c r="Y55" s="498">
        <f t="shared" si="5"/>
        <v>0</v>
      </c>
      <c r="Z55" s="498">
        <f t="shared" si="6"/>
        <v>0</v>
      </c>
      <c r="AA55" s="131">
        <f t="shared" si="152"/>
        <v>0</v>
      </c>
      <c r="AB55" s="131">
        <f t="shared" si="7"/>
        <v>0</v>
      </c>
      <c r="AC55" s="498">
        <v>0</v>
      </c>
      <c r="AD55" s="498">
        <v>0</v>
      </c>
      <c r="AE55" s="498">
        <f t="shared" si="15"/>
        <v>0</v>
      </c>
      <c r="AF55" s="498">
        <f t="shared" si="16"/>
        <v>0</v>
      </c>
      <c r="AG55" s="499">
        <v>0</v>
      </c>
      <c r="AH55" s="499">
        <v>0</v>
      </c>
      <c r="AI55" s="499">
        <v>0</v>
      </c>
      <c r="AJ55" s="499">
        <v>0</v>
      </c>
      <c r="AK55" s="499">
        <v>0</v>
      </c>
      <c r="AL55" s="499">
        <f t="shared" si="153"/>
        <v>0</v>
      </c>
      <c r="AM55" s="499">
        <f t="shared" si="154"/>
        <v>0</v>
      </c>
      <c r="AN55" s="529">
        <f t="shared" si="155"/>
        <v>0</v>
      </c>
      <c r="AO55" s="579">
        <f t="shared" si="156"/>
        <v>42133</v>
      </c>
      <c r="AP55" s="498">
        <f t="shared" si="157"/>
        <v>29700</v>
      </c>
      <c r="AQ55" s="498">
        <f t="shared" si="158"/>
        <v>0</v>
      </c>
      <c r="AR55" s="498">
        <f t="shared" si="159"/>
        <v>10039</v>
      </c>
      <c r="AS55" s="498">
        <f t="shared" si="159"/>
        <v>594</v>
      </c>
      <c r="AT55" s="498">
        <f t="shared" si="160"/>
        <v>1800</v>
      </c>
      <c r="AU55" s="499">
        <f t="shared" si="161"/>
        <v>0.13</v>
      </c>
      <c r="AV55" s="499">
        <f t="shared" si="162"/>
        <v>0</v>
      </c>
      <c r="AW55" s="500">
        <f t="shared" si="162"/>
        <v>0.13</v>
      </c>
      <c r="AX55" s="16"/>
    </row>
    <row r="56" spans="1:50" x14ac:dyDescent="0.2">
      <c r="A56" s="302">
        <v>11</v>
      </c>
      <c r="B56" s="32">
        <v>3429</v>
      </c>
      <c r="C56" s="32">
        <v>600078256</v>
      </c>
      <c r="D56" s="32">
        <v>43257151</v>
      </c>
      <c r="E56" s="311" t="s">
        <v>142</v>
      </c>
      <c r="F56" s="32"/>
      <c r="G56" s="301"/>
      <c r="H56" s="454"/>
      <c r="I56" s="5">
        <f t="shared" ref="I56:P56" si="165">SUM(I52:I55)</f>
        <v>18314155</v>
      </c>
      <c r="J56" s="8">
        <f t="shared" si="165"/>
        <v>13235666</v>
      </c>
      <c r="K56" s="8">
        <f t="shared" si="165"/>
        <v>4473656</v>
      </c>
      <c r="L56" s="8">
        <f t="shared" si="165"/>
        <v>264713</v>
      </c>
      <c r="M56" s="8">
        <f t="shared" si="165"/>
        <v>340120</v>
      </c>
      <c r="N56" s="9">
        <f t="shared" si="165"/>
        <v>24.111399999999996</v>
      </c>
      <c r="O56" s="9">
        <f t="shared" si="165"/>
        <v>18.6038</v>
      </c>
      <c r="P56" s="39">
        <f t="shared" si="165"/>
        <v>5.5076000000000001</v>
      </c>
      <c r="Q56" s="5">
        <f t="shared" ref="Q56:AW56" si="166">SUM(Q52:Q55)</f>
        <v>-184000</v>
      </c>
      <c r="R56" s="8">
        <f t="shared" si="166"/>
        <v>595363</v>
      </c>
      <c r="S56" s="8">
        <f t="shared" si="166"/>
        <v>0</v>
      </c>
      <c r="T56" s="8">
        <f t="shared" si="166"/>
        <v>-175800</v>
      </c>
      <c r="U56" s="8">
        <f t="shared" si="166"/>
        <v>235563</v>
      </c>
      <c r="V56" s="8">
        <f t="shared" si="166"/>
        <v>184000</v>
      </c>
      <c r="W56" s="8">
        <f t="shared" si="166"/>
        <v>0</v>
      </c>
      <c r="X56" s="8">
        <f t="shared" si="166"/>
        <v>0</v>
      </c>
      <c r="Y56" s="8">
        <f t="shared" si="166"/>
        <v>184000</v>
      </c>
      <c r="Z56" s="8">
        <f t="shared" si="166"/>
        <v>419563</v>
      </c>
      <c r="AA56" s="8">
        <f t="shared" si="166"/>
        <v>141812</v>
      </c>
      <c r="AB56" s="8">
        <f t="shared" si="166"/>
        <v>4711</v>
      </c>
      <c r="AC56" s="8">
        <f t="shared" si="166"/>
        <v>0</v>
      </c>
      <c r="AD56" s="8">
        <f t="shared" si="166"/>
        <v>0</v>
      </c>
      <c r="AE56" s="8">
        <f t="shared" si="166"/>
        <v>0</v>
      </c>
      <c r="AF56" s="8">
        <f t="shared" si="166"/>
        <v>566086</v>
      </c>
      <c r="AG56" s="9">
        <f t="shared" si="166"/>
        <v>-0.02</v>
      </c>
      <c r="AH56" s="9">
        <f t="shared" si="166"/>
        <v>-0.89</v>
      </c>
      <c r="AI56" s="9">
        <f t="shared" si="166"/>
        <v>1.89</v>
      </c>
      <c r="AJ56" s="9">
        <f t="shared" si="166"/>
        <v>-0.38</v>
      </c>
      <c r="AK56" s="9">
        <f t="shared" si="166"/>
        <v>0</v>
      </c>
      <c r="AL56" s="9">
        <f t="shared" si="166"/>
        <v>1.4899999999999998</v>
      </c>
      <c r="AM56" s="9">
        <f t="shared" si="166"/>
        <v>-0.89</v>
      </c>
      <c r="AN56" s="39">
        <f t="shared" si="166"/>
        <v>0.59999999999999976</v>
      </c>
      <c r="AO56" s="5">
        <f t="shared" si="166"/>
        <v>18880241</v>
      </c>
      <c r="AP56" s="8">
        <f t="shared" si="166"/>
        <v>13471229</v>
      </c>
      <c r="AQ56" s="8">
        <f t="shared" si="166"/>
        <v>184000</v>
      </c>
      <c r="AR56" s="8">
        <f t="shared" si="166"/>
        <v>4615468</v>
      </c>
      <c r="AS56" s="8">
        <f t="shared" si="166"/>
        <v>269424</v>
      </c>
      <c r="AT56" s="8">
        <f t="shared" si="166"/>
        <v>340120</v>
      </c>
      <c r="AU56" s="9">
        <f t="shared" si="166"/>
        <v>24.711399999999998</v>
      </c>
      <c r="AV56" s="9">
        <f t="shared" si="166"/>
        <v>20.093799999999998</v>
      </c>
      <c r="AW56" s="92">
        <f t="shared" si="166"/>
        <v>4.6176000000000004</v>
      </c>
      <c r="AX56" s="16"/>
    </row>
    <row r="57" spans="1:50" x14ac:dyDescent="0.2">
      <c r="A57" s="525">
        <v>12</v>
      </c>
      <c r="B57" s="526">
        <v>3405</v>
      </c>
      <c r="C57" s="526">
        <v>600078337</v>
      </c>
      <c r="D57" s="526">
        <v>70698325</v>
      </c>
      <c r="E57" s="524" t="s">
        <v>143</v>
      </c>
      <c r="F57" s="526">
        <v>3111</v>
      </c>
      <c r="G57" s="527" t="s">
        <v>317</v>
      </c>
      <c r="H57" s="528" t="s">
        <v>283</v>
      </c>
      <c r="I57" s="575">
        <f t="shared" ref="I57:I62" si="167">SUM(J57:M57)</f>
        <v>1458905</v>
      </c>
      <c r="J57" s="496">
        <v>1067345</v>
      </c>
      <c r="K57" s="131">
        <f t="shared" ref="K57:K60" si="168">ROUND((J57)*33.8%,0)</f>
        <v>360763</v>
      </c>
      <c r="L57" s="131">
        <f t="shared" ref="L57:L60" si="169">ROUND(J57*2%,0)</f>
        <v>21347</v>
      </c>
      <c r="M57" s="496">
        <v>9450</v>
      </c>
      <c r="N57" s="576">
        <f t="shared" ref="N57:N62" si="170">SUM(O57:P57)</f>
        <v>2.4382999999999999</v>
      </c>
      <c r="O57" s="577">
        <v>1.9274</v>
      </c>
      <c r="P57" s="607">
        <v>0.51090000000000002</v>
      </c>
      <c r="Q57" s="579">
        <f t="shared" ref="Q57:Q62" si="171">V57*-1</f>
        <v>0</v>
      </c>
      <c r="R57" s="498">
        <v>0</v>
      </c>
      <c r="S57" s="498">
        <v>0</v>
      </c>
      <c r="T57" s="498">
        <v>0</v>
      </c>
      <c r="U57" s="498">
        <f t="shared" si="4"/>
        <v>0</v>
      </c>
      <c r="V57" s="498">
        <v>0</v>
      </c>
      <c r="W57" s="498">
        <v>0</v>
      </c>
      <c r="X57" s="498">
        <v>0</v>
      </c>
      <c r="Y57" s="498">
        <f t="shared" si="5"/>
        <v>0</v>
      </c>
      <c r="Z57" s="498">
        <f t="shared" si="6"/>
        <v>0</v>
      </c>
      <c r="AA57" s="131">
        <f t="shared" ref="AA57:AA62" si="172">ROUND((U57+V57+W57)*33.8%,0)</f>
        <v>0</v>
      </c>
      <c r="AB57" s="131">
        <f t="shared" si="7"/>
        <v>0</v>
      </c>
      <c r="AC57" s="498">
        <v>0</v>
      </c>
      <c r="AD57" s="498">
        <v>0</v>
      </c>
      <c r="AE57" s="498">
        <f t="shared" si="15"/>
        <v>0</v>
      </c>
      <c r="AF57" s="498">
        <f t="shared" si="16"/>
        <v>0</v>
      </c>
      <c r="AG57" s="499">
        <v>0</v>
      </c>
      <c r="AH57" s="499">
        <v>0</v>
      </c>
      <c r="AI57" s="499">
        <v>0</v>
      </c>
      <c r="AJ57" s="499">
        <v>0</v>
      </c>
      <c r="AK57" s="499">
        <v>0</v>
      </c>
      <c r="AL57" s="499">
        <f t="shared" ref="AL57:AL62" si="173">AG57+AI57+AJ57</f>
        <v>0</v>
      </c>
      <c r="AM57" s="499">
        <f t="shared" ref="AM57:AM62" si="174">AH57+AK57</f>
        <v>0</v>
      </c>
      <c r="AN57" s="529">
        <f t="shared" ref="AN57:AN62" si="175">SUM(AL57:AM57)</f>
        <v>0</v>
      </c>
      <c r="AO57" s="579">
        <f t="shared" ref="AO57:AO62" si="176">I57+AF57</f>
        <v>1458905</v>
      </c>
      <c r="AP57" s="498">
        <f t="shared" ref="AP57:AP62" si="177">J57+U57</f>
        <v>1067345</v>
      </c>
      <c r="AQ57" s="498">
        <f t="shared" ref="AQ57:AQ62" si="178">Y57</f>
        <v>0</v>
      </c>
      <c r="AR57" s="498">
        <f t="shared" ref="AR57:AS62" si="179">K57+AA57</f>
        <v>360763</v>
      </c>
      <c r="AS57" s="498">
        <f t="shared" si="179"/>
        <v>21347</v>
      </c>
      <c r="AT57" s="498">
        <f t="shared" ref="AT57:AT62" si="180">M57+AE57</f>
        <v>9450</v>
      </c>
      <c r="AU57" s="499">
        <f t="shared" ref="AU57:AU62" si="181">N57+AN57</f>
        <v>2.4382999999999999</v>
      </c>
      <c r="AV57" s="499">
        <f t="shared" ref="AV57:AW62" si="182">O57+AL57</f>
        <v>1.9274</v>
      </c>
      <c r="AW57" s="500">
        <f t="shared" si="182"/>
        <v>0.51090000000000002</v>
      </c>
      <c r="AX57" s="16"/>
    </row>
    <row r="58" spans="1:50" x14ac:dyDescent="0.2">
      <c r="A58" s="525">
        <v>12</v>
      </c>
      <c r="B58" s="526">
        <v>3405</v>
      </c>
      <c r="C58" s="526">
        <v>600078337</v>
      </c>
      <c r="D58" s="526">
        <v>70698325</v>
      </c>
      <c r="E58" s="524" t="s">
        <v>143</v>
      </c>
      <c r="F58" s="526">
        <v>3117</v>
      </c>
      <c r="G58" s="527" t="s">
        <v>320</v>
      </c>
      <c r="H58" s="528" t="s">
        <v>283</v>
      </c>
      <c r="I58" s="575">
        <f t="shared" si="167"/>
        <v>1959343</v>
      </c>
      <c r="J58" s="496">
        <v>1418890</v>
      </c>
      <c r="K58" s="131">
        <f t="shared" si="168"/>
        <v>479585</v>
      </c>
      <c r="L58" s="131">
        <f t="shared" si="169"/>
        <v>28378</v>
      </c>
      <c r="M58" s="496">
        <v>32490</v>
      </c>
      <c r="N58" s="576">
        <f t="shared" si="170"/>
        <v>2.5051000000000001</v>
      </c>
      <c r="O58" s="577">
        <v>1.591</v>
      </c>
      <c r="P58" s="607">
        <v>0.91410000000000002</v>
      </c>
      <c r="Q58" s="579">
        <f t="shared" si="171"/>
        <v>0</v>
      </c>
      <c r="R58" s="498">
        <v>0</v>
      </c>
      <c r="S58" s="498">
        <v>0</v>
      </c>
      <c r="T58" s="498">
        <v>0</v>
      </c>
      <c r="U58" s="498">
        <f t="shared" si="4"/>
        <v>0</v>
      </c>
      <c r="V58" s="498">
        <v>0</v>
      </c>
      <c r="W58" s="498">
        <v>0</v>
      </c>
      <c r="X58" s="498">
        <v>0</v>
      </c>
      <c r="Y58" s="498">
        <f t="shared" si="5"/>
        <v>0</v>
      </c>
      <c r="Z58" s="498">
        <f t="shared" si="6"/>
        <v>0</v>
      </c>
      <c r="AA58" s="131">
        <f t="shared" si="172"/>
        <v>0</v>
      </c>
      <c r="AB58" s="131">
        <f t="shared" si="7"/>
        <v>0</v>
      </c>
      <c r="AC58" s="498">
        <v>0</v>
      </c>
      <c r="AD58" s="498">
        <v>0</v>
      </c>
      <c r="AE58" s="498">
        <f t="shared" si="15"/>
        <v>0</v>
      </c>
      <c r="AF58" s="498">
        <f t="shared" si="16"/>
        <v>0</v>
      </c>
      <c r="AG58" s="499">
        <v>0</v>
      </c>
      <c r="AH58" s="499">
        <v>0</v>
      </c>
      <c r="AI58" s="499">
        <v>0</v>
      </c>
      <c r="AJ58" s="499">
        <v>0</v>
      </c>
      <c r="AK58" s="499">
        <v>0</v>
      </c>
      <c r="AL58" s="499">
        <f t="shared" si="173"/>
        <v>0</v>
      </c>
      <c r="AM58" s="499">
        <f t="shared" si="174"/>
        <v>0</v>
      </c>
      <c r="AN58" s="529">
        <f t="shared" si="175"/>
        <v>0</v>
      </c>
      <c r="AO58" s="579">
        <f t="shared" si="176"/>
        <v>1959343</v>
      </c>
      <c r="AP58" s="498">
        <f t="shared" si="177"/>
        <v>1418890</v>
      </c>
      <c r="AQ58" s="498">
        <f t="shared" si="178"/>
        <v>0</v>
      </c>
      <c r="AR58" s="498">
        <f t="shared" si="179"/>
        <v>479585</v>
      </c>
      <c r="AS58" s="498">
        <f t="shared" si="179"/>
        <v>28378</v>
      </c>
      <c r="AT58" s="498">
        <f t="shared" si="180"/>
        <v>32490</v>
      </c>
      <c r="AU58" s="499">
        <f t="shared" si="181"/>
        <v>2.5051000000000001</v>
      </c>
      <c r="AV58" s="499">
        <f t="shared" si="182"/>
        <v>1.591</v>
      </c>
      <c r="AW58" s="500">
        <f t="shared" si="182"/>
        <v>0.91410000000000002</v>
      </c>
      <c r="AX58" s="16"/>
    </row>
    <row r="59" spans="1:50" x14ac:dyDescent="0.2">
      <c r="A59" s="525">
        <v>12</v>
      </c>
      <c r="B59" s="526">
        <v>3405</v>
      </c>
      <c r="C59" s="526">
        <v>600078337</v>
      </c>
      <c r="D59" s="526">
        <v>70698325</v>
      </c>
      <c r="E59" s="524" t="s">
        <v>143</v>
      </c>
      <c r="F59" s="526">
        <v>3117</v>
      </c>
      <c r="G59" s="527" t="s">
        <v>318</v>
      </c>
      <c r="H59" s="528" t="s">
        <v>284</v>
      </c>
      <c r="I59" s="575">
        <f t="shared" si="167"/>
        <v>0</v>
      </c>
      <c r="J59" s="496">
        <v>0</v>
      </c>
      <c r="K59" s="131">
        <f t="shared" si="168"/>
        <v>0</v>
      </c>
      <c r="L59" s="131">
        <f t="shared" si="169"/>
        <v>0</v>
      </c>
      <c r="M59" s="496">
        <v>0</v>
      </c>
      <c r="N59" s="576">
        <f t="shared" si="170"/>
        <v>0</v>
      </c>
      <c r="O59" s="577">
        <v>0</v>
      </c>
      <c r="P59" s="607">
        <v>0</v>
      </c>
      <c r="Q59" s="579">
        <f t="shared" si="171"/>
        <v>0</v>
      </c>
      <c r="R59" s="496">
        <v>346443</v>
      </c>
      <c r="S59" s="498">
        <v>0</v>
      </c>
      <c r="T59" s="498">
        <v>0</v>
      </c>
      <c r="U59" s="498">
        <f t="shared" si="4"/>
        <v>346443</v>
      </c>
      <c r="V59" s="498">
        <v>0</v>
      </c>
      <c r="W59" s="498">
        <v>0</v>
      </c>
      <c r="X59" s="498">
        <v>0</v>
      </c>
      <c r="Y59" s="498">
        <f t="shared" si="5"/>
        <v>0</v>
      </c>
      <c r="Z59" s="498">
        <f t="shared" si="6"/>
        <v>346443</v>
      </c>
      <c r="AA59" s="131">
        <f t="shared" si="172"/>
        <v>117098</v>
      </c>
      <c r="AB59" s="131">
        <f t="shared" si="7"/>
        <v>6929</v>
      </c>
      <c r="AC59" s="498">
        <v>0</v>
      </c>
      <c r="AD59" s="498">
        <v>0</v>
      </c>
      <c r="AE59" s="498">
        <f t="shared" si="15"/>
        <v>0</v>
      </c>
      <c r="AF59" s="498">
        <f t="shared" si="16"/>
        <v>470470</v>
      </c>
      <c r="AG59" s="499">
        <v>0</v>
      </c>
      <c r="AH59" s="499">
        <v>0</v>
      </c>
      <c r="AI59" s="499">
        <v>1</v>
      </c>
      <c r="AJ59" s="499">
        <v>0</v>
      </c>
      <c r="AK59" s="499">
        <v>0</v>
      </c>
      <c r="AL59" s="499">
        <f t="shared" si="173"/>
        <v>1</v>
      </c>
      <c r="AM59" s="499">
        <f t="shared" si="174"/>
        <v>0</v>
      </c>
      <c r="AN59" s="529">
        <f t="shared" si="175"/>
        <v>1</v>
      </c>
      <c r="AO59" s="579">
        <f t="shared" si="176"/>
        <v>470470</v>
      </c>
      <c r="AP59" s="498">
        <f t="shared" si="177"/>
        <v>346443</v>
      </c>
      <c r="AQ59" s="498">
        <f t="shared" si="178"/>
        <v>0</v>
      </c>
      <c r="AR59" s="498">
        <f t="shared" si="179"/>
        <v>117098</v>
      </c>
      <c r="AS59" s="498">
        <f t="shared" si="179"/>
        <v>6929</v>
      </c>
      <c r="AT59" s="498">
        <f t="shared" si="180"/>
        <v>0</v>
      </c>
      <c r="AU59" s="499">
        <f t="shared" si="181"/>
        <v>1</v>
      </c>
      <c r="AV59" s="499">
        <f t="shared" si="182"/>
        <v>1</v>
      </c>
      <c r="AW59" s="500">
        <f t="shared" si="182"/>
        <v>0</v>
      </c>
      <c r="AX59" s="16"/>
    </row>
    <row r="60" spans="1:50" x14ac:dyDescent="0.2">
      <c r="A60" s="525">
        <v>12</v>
      </c>
      <c r="B60" s="526">
        <v>3405</v>
      </c>
      <c r="C60" s="526">
        <v>600078337</v>
      </c>
      <c r="D60" s="526">
        <v>70698325</v>
      </c>
      <c r="E60" s="524" t="s">
        <v>143</v>
      </c>
      <c r="F60" s="526">
        <v>3141</v>
      </c>
      <c r="G60" s="527" t="s">
        <v>321</v>
      </c>
      <c r="H60" s="528" t="s">
        <v>284</v>
      </c>
      <c r="I60" s="575">
        <f t="shared" si="167"/>
        <v>539762</v>
      </c>
      <c r="J60" s="496">
        <v>395803</v>
      </c>
      <c r="K60" s="131">
        <f t="shared" si="168"/>
        <v>133781</v>
      </c>
      <c r="L60" s="131">
        <f t="shared" si="169"/>
        <v>7916</v>
      </c>
      <c r="M60" s="496">
        <v>2262</v>
      </c>
      <c r="N60" s="576">
        <f t="shared" si="170"/>
        <v>1.35</v>
      </c>
      <c r="O60" s="577">
        <v>0</v>
      </c>
      <c r="P60" s="607">
        <v>1.35</v>
      </c>
      <c r="Q60" s="579">
        <f t="shared" si="171"/>
        <v>0</v>
      </c>
      <c r="R60" s="498">
        <v>0</v>
      </c>
      <c r="S60" s="498">
        <v>0</v>
      </c>
      <c r="T60" s="498">
        <v>0</v>
      </c>
      <c r="U60" s="498">
        <f t="shared" si="4"/>
        <v>0</v>
      </c>
      <c r="V60" s="498">
        <v>0</v>
      </c>
      <c r="W60" s="498">
        <v>0</v>
      </c>
      <c r="X60" s="498">
        <v>0</v>
      </c>
      <c r="Y60" s="498">
        <f t="shared" si="5"/>
        <v>0</v>
      </c>
      <c r="Z60" s="498">
        <f t="shared" si="6"/>
        <v>0</v>
      </c>
      <c r="AA60" s="131">
        <f t="shared" si="172"/>
        <v>0</v>
      </c>
      <c r="AB60" s="131">
        <f t="shared" si="7"/>
        <v>0</v>
      </c>
      <c r="AC60" s="498">
        <v>0</v>
      </c>
      <c r="AD60" s="498">
        <v>0</v>
      </c>
      <c r="AE60" s="498">
        <f t="shared" si="15"/>
        <v>0</v>
      </c>
      <c r="AF60" s="498">
        <f t="shared" si="16"/>
        <v>0</v>
      </c>
      <c r="AG60" s="499">
        <v>0</v>
      </c>
      <c r="AH60" s="499">
        <v>0</v>
      </c>
      <c r="AI60" s="499">
        <v>0</v>
      </c>
      <c r="AJ60" s="499">
        <v>0</v>
      </c>
      <c r="AK60" s="499">
        <v>0</v>
      </c>
      <c r="AL60" s="499">
        <f t="shared" si="173"/>
        <v>0</v>
      </c>
      <c r="AM60" s="499">
        <f t="shared" si="174"/>
        <v>0</v>
      </c>
      <c r="AN60" s="529">
        <f t="shared" si="175"/>
        <v>0</v>
      </c>
      <c r="AO60" s="579">
        <f t="shared" si="176"/>
        <v>539762</v>
      </c>
      <c r="AP60" s="498">
        <f t="shared" si="177"/>
        <v>395803</v>
      </c>
      <c r="AQ60" s="498">
        <f t="shared" si="178"/>
        <v>0</v>
      </c>
      <c r="AR60" s="498">
        <f t="shared" si="179"/>
        <v>133781</v>
      </c>
      <c r="AS60" s="498">
        <f t="shared" si="179"/>
        <v>7916</v>
      </c>
      <c r="AT60" s="498">
        <f t="shared" si="180"/>
        <v>2262</v>
      </c>
      <c r="AU60" s="499">
        <f t="shared" si="181"/>
        <v>1.35</v>
      </c>
      <c r="AV60" s="499">
        <f t="shared" si="182"/>
        <v>0</v>
      </c>
      <c r="AW60" s="500">
        <f t="shared" si="182"/>
        <v>1.35</v>
      </c>
      <c r="AX60" s="16"/>
    </row>
    <row r="61" spans="1:50" x14ac:dyDescent="0.2">
      <c r="A61" s="525">
        <v>12</v>
      </c>
      <c r="B61" s="526">
        <v>3405</v>
      </c>
      <c r="C61" s="526">
        <v>600078337</v>
      </c>
      <c r="D61" s="526">
        <v>70698325</v>
      </c>
      <c r="E61" s="524" t="s">
        <v>143</v>
      </c>
      <c r="F61" s="526">
        <v>3143</v>
      </c>
      <c r="G61" s="527" t="s">
        <v>635</v>
      </c>
      <c r="H61" s="574" t="s">
        <v>283</v>
      </c>
      <c r="I61" s="575">
        <f t="shared" si="167"/>
        <v>261654</v>
      </c>
      <c r="J61" s="496">
        <v>192677</v>
      </c>
      <c r="K61" s="131">
        <v>65124</v>
      </c>
      <c r="L61" s="131">
        <v>3853</v>
      </c>
      <c r="M61" s="496">
        <v>0</v>
      </c>
      <c r="N61" s="576">
        <f t="shared" si="170"/>
        <v>0.43330000000000002</v>
      </c>
      <c r="O61" s="577">
        <v>0.43330000000000002</v>
      </c>
      <c r="P61" s="607">
        <v>0</v>
      </c>
      <c r="Q61" s="579">
        <f t="shared" si="171"/>
        <v>0</v>
      </c>
      <c r="R61" s="498">
        <v>0</v>
      </c>
      <c r="S61" s="498">
        <v>0</v>
      </c>
      <c r="T61" s="498">
        <v>0</v>
      </c>
      <c r="U61" s="498">
        <f t="shared" si="4"/>
        <v>0</v>
      </c>
      <c r="V61" s="498">
        <v>0</v>
      </c>
      <c r="W61" s="498">
        <v>0</v>
      </c>
      <c r="X61" s="498">
        <v>0</v>
      </c>
      <c r="Y61" s="498">
        <f t="shared" si="5"/>
        <v>0</v>
      </c>
      <c r="Z61" s="498">
        <f t="shared" si="6"/>
        <v>0</v>
      </c>
      <c r="AA61" s="131">
        <f t="shared" si="172"/>
        <v>0</v>
      </c>
      <c r="AB61" s="131">
        <f t="shared" si="7"/>
        <v>0</v>
      </c>
      <c r="AC61" s="498">
        <v>0</v>
      </c>
      <c r="AD61" s="498">
        <v>0</v>
      </c>
      <c r="AE61" s="498">
        <f t="shared" si="15"/>
        <v>0</v>
      </c>
      <c r="AF61" s="498">
        <f t="shared" si="16"/>
        <v>0</v>
      </c>
      <c r="AG61" s="499">
        <v>0</v>
      </c>
      <c r="AH61" s="499">
        <v>0</v>
      </c>
      <c r="AI61" s="499">
        <v>0</v>
      </c>
      <c r="AJ61" s="499">
        <v>0</v>
      </c>
      <c r="AK61" s="499">
        <v>0</v>
      </c>
      <c r="AL61" s="499">
        <f t="shared" si="173"/>
        <v>0</v>
      </c>
      <c r="AM61" s="499">
        <f t="shared" si="174"/>
        <v>0</v>
      </c>
      <c r="AN61" s="529">
        <f t="shared" si="175"/>
        <v>0</v>
      </c>
      <c r="AO61" s="579">
        <f t="shared" si="176"/>
        <v>261654</v>
      </c>
      <c r="AP61" s="498">
        <f t="shared" si="177"/>
        <v>192677</v>
      </c>
      <c r="AQ61" s="498">
        <f t="shared" si="178"/>
        <v>0</v>
      </c>
      <c r="AR61" s="498">
        <f t="shared" si="179"/>
        <v>65124</v>
      </c>
      <c r="AS61" s="498">
        <f t="shared" si="179"/>
        <v>3853</v>
      </c>
      <c r="AT61" s="498">
        <f t="shared" si="180"/>
        <v>0</v>
      </c>
      <c r="AU61" s="499">
        <f t="shared" si="181"/>
        <v>0.43330000000000002</v>
      </c>
      <c r="AV61" s="499">
        <f t="shared" si="182"/>
        <v>0.43330000000000002</v>
      </c>
      <c r="AW61" s="500">
        <f t="shared" si="182"/>
        <v>0</v>
      </c>
      <c r="AX61" s="16"/>
    </row>
    <row r="62" spans="1:50" x14ac:dyDescent="0.2">
      <c r="A62" s="525">
        <v>12</v>
      </c>
      <c r="B62" s="526">
        <v>3405</v>
      </c>
      <c r="C62" s="526">
        <v>600078337</v>
      </c>
      <c r="D62" s="526">
        <v>70698325</v>
      </c>
      <c r="E62" s="524" t="s">
        <v>143</v>
      </c>
      <c r="F62" s="526">
        <v>3143</v>
      </c>
      <c r="G62" s="527" t="s">
        <v>636</v>
      </c>
      <c r="H62" s="574" t="s">
        <v>284</v>
      </c>
      <c r="I62" s="575">
        <f t="shared" si="167"/>
        <v>10534</v>
      </c>
      <c r="J62" s="496">
        <v>7425</v>
      </c>
      <c r="K62" s="131">
        <f t="shared" ref="K62" si="183">ROUND((J62)*33.8%,0)</f>
        <v>2510</v>
      </c>
      <c r="L62" s="131">
        <f t="shared" ref="L62" si="184">ROUND(J62*2%,0)</f>
        <v>149</v>
      </c>
      <c r="M62" s="496">
        <v>450</v>
      </c>
      <c r="N62" s="576">
        <f t="shared" si="170"/>
        <v>0.03</v>
      </c>
      <c r="O62" s="577">
        <v>0</v>
      </c>
      <c r="P62" s="607">
        <v>0.03</v>
      </c>
      <c r="Q62" s="579">
        <f t="shared" si="171"/>
        <v>0</v>
      </c>
      <c r="R62" s="498">
        <v>0</v>
      </c>
      <c r="S62" s="498">
        <v>0</v>
      </c>
      <c r="T62" s="498">
        <v>0</v>
      </c>
      <c r="U62" s="498">
        <f t="shared" si="4"/>
        <v>0</v>
      </c>
      <c r="V62" s="498">
        <v>0</v>
      </c>
      <c r="W62" s="498">
        <v>0</v>
      </c>
      <c r="X62" s="498">
        <v>0</v>
      </c>
      <c r="Y62" s="498">
        <f t="shared" si="5"/>
        <v>0</v>
      </c>
      <c r="Z62" s="498">
        <f t="shared" si="6"/>
        <v>0</v>
      </c>
      <c r="AA62" s="131">
        <f t="shared" si="172"/>
        <v>0</v>
      </c>
      <c r="AB62" s="131">
        <f t="shared" si="7"/>
        <v>0</v>
      </c>
      <c r="AC62" s="498">
        <v>0</v>
      </c>
      <c r="AD62" s="498">
        <v>0</v>
      </c>
      <c r="AE62" s="498">
        <f t="shared" si="15"/>
        <v>0</v>
      </c>
      <c r="AF62" s="498">
        <f t="shared" si="16"/>
        <v>0</v>
      </c>
      <c r="AG62" s="499">
        <v>0</v>
      </c>
      <c r="AH62" s="499">
        <v>0</v>
      </c>
      <c r="AI62" s="499">
        <v>0</v>
      </c>
      <c r="AJ62" s="499">
        <v>0</v>
      </c>
      <c r="AK62" s="499">
        <v>0</v>
      </c>
      <c r="AL62" s="499">
        <f t="shared" si="173"/>
        <v>0</v>
      </c>
      <c r="AM62" s="499">
        <f t="shared" si="174"/>
        <v>0</v>
      </c>
      <c r="AN62" s="529">
        <f t="shared" si="175"/>
        <v>0</v>
      </c>
      <c r="AO62" s="579">
        <f t="shared" si="176"/>
        <v>10534</v>
      </c>
      <c r="AP62" s="498">
        <f t="shared" si="177"/>
        <v>7425</v>
      </c>
      <c r="AQ62" s="498">
        <f t="shared" si="178"/>
        <v>0</v>
      </c>
      <c r="AR62" s="498">
        <f t="shared" si="179"/>
        <v>2510</v>
      </c>
      <c r="AS62" s="498">
        <f t="shared" si="179"/>
        <v>149</v>
      </c>
      <c r="AT62" s="498">
        <f t="shared" si="180"/>
        <v>450</v>
      </c>
      <c r="AU62" s="499">
        <f t="shared" si="181"/>
        <v>0.03</v>
      </c>
      <c r="AV62" s="499">
        <f t="shared" si="182"/>
        <v>0</v>
      </c>
      <c r="AW62" s="500">
        <f t="shared" si="182"/>
        <v>0.03</v>
      </c>
      <c r="AX62" s="16"/>
    </row>
    <row r="63" spans="1:50" x14ac:dyDescent="0.2">
      <c r="A63" s="302">
        <v>12</v>
      </c>
      <c r="B63" s="32">
        <v>3405</v>
      </c>
      <c r="C63" s="32">
        <v>600078337</v>
      </c>
      <c r="D63" s="32">
        <v>70698325</v>
      </c>
      <c r="E63" s="311" t="s">
        <v>144</v>
      </c>
      <c r="F63" s="32"/>
      <c r="G63" s="301"/>
      <c r="H63" s="454"/>
      <c r="I63" s="5">
        <f t="shared" ref="I63:P63" si="185">SUM(I57:I62)</f>
        <v>4230198</v>
      </c>
      <c r="J63" s="8">
        <f t="shared" si="185"/>
        <v>3082140</v>
      </c>
      <c r="K63" s="8">
        <f t="shared" si="185"/>
        <v>1041763</v>
      </c>
      <c r="L63" s="8">
        <f t="shared" si="185"/>
        <v>61643</v>
      </c>
      <c r="M63" s="8">
        <f t="shared" si="185"/>
        <v>44652</v>
      </c>
      <c r="N63" s="9">
        <f t="shared" si="185"/>
        <v>6.7567000000000004</v>
      </c>
      <c r="O63" s="9">
        <f t="shared" si="185"/>
        <v>3.9516999999999998</v>
      </c>
      <c r="P63" s="39">
        <f t="shared" si="185"/>
        <v>2.8050000000000002</v>
      </c>
      <c r="Q63" s="5">
        <f t="shared" ref="Q63:AW63" si="186">SUM(Q57:Q62)</f>
        <v>0</v>
      </c>
      <c r="R63" s="8">
        <f t="shared" si="186"/>
        <v>346443</v>
      </c>
      <c r="S63" s="8">
        <f t="shared" si="186"/>
        <v>0</v>
      </c>
      <c r="T63" s="8">
        <f t="shared" si="186"/>
        <v>0</v>
      </c>
      <c r="U63" s="8">
        <f t="shared" si="186"/>
        <v>346443</v>
      </c>
      <c r="V63" s="8">
        <f t="shared" si="186"/>
        <v>0</v>
      </c>
      <c r="W63" s="8">
        <f t="shared" si="186"/>
        <v>0</v>
      </c>
      <c r="X63" s="8">
        <f t="shared" si="186"/>
        <v>0</v>
      </c>
      <c r="Y63" s="8">
        <f t="shared" si="186"/>
        <v>0</v>
      </c>
      <c r="Z63" s="8">
        <f t="shared" si="186"/>
        <v>346443</v>
      </c>
      <c r="AA63" s="8">
        <f t="shared" si="186"/>
        <v>117098</v>
      </c>
      <c r="AB63" s="8">
        <f t="shared" si="186"/>
        <v>6929</v>
      </c>
      <c r="AC63" s="8">
        <f t="shared" si="186"/>
        <v>0</v>
      </c>
      <c r="AD63" s="8">
        <f t="shared" si="186"/>
        <v>0</v>
      </c>
      <c r="AE63" s="8">
        <f t="shared" si="186"/>
        <v>0</v>
      </c>
      <c r="AF63" s="8">
        <f t="shared" si="186"/>
        <v>470470</v>
      </c>
      <c r="AG63" s="9">
        <f t="shared" si="186"/>
        <v>0</v>
      </c>
      <c r="AH63" s="9">
        <f t="shared" si="186"/>
        <v>0</v>
      </c>
      <c r="AI63" s="9">
        <f t="shared" si="186"/>
        <v>1</v>
      </c>
      <c r="AJ63" s="9">
        <f t="shared" si="186"/>
        <v>0</v>
      </c>
      <c r="AK63" s="9">
        <f t="shared" si="186"/>
        <v>0</v>
      </c>
      <c r="AL63" s="9">
        <f t="shared" si="186"/>
        <v>1</v>
      </c>
      <c r="AM63" s="9">
        <f t="shared" si="186"/>
        <v>0</v>
      </c>
      <c r="AN63" s="39">
        <f t="shared" si="186"/>
        <v>1</v>
      </c>
      <c r="AO63" s="5">
        <f t="shared" si="186"/>
        <v>4700668</v>
      </c>
      <c r="AP63" s="8">
        <f t="shared" si="186"/>
        <v>3428583</v>
      </c>
      <c r="AQ63" s="8">
        <f t="shared" si="186"/>
        <v>0</v>
      </c>
      <c r="AR63" s="8">
        <f t="shared" si="186"/>
        <v>1158861</v>
      </c>
      <c r="AS63" s="8">
        <f t="shared" si="186"/>
        <v>68572</v>
      </c>
      <c r="AT63" s="8">
        <f t="shared" si="186"/>
        <v>44652</v>
      </c>
      <c r="AU63" s="9">
        <f t="shared" si="186"/>
        <v>7.7567000000000004</v>
      </c>
      <c r="AV63" s="9">
        <f t="shared" si="186"/>
        <v>4.9516999999999998</v>
      </c>
      <c r="AW63" s="92">
        <f t="shared" si="186"/>
        <v>2.8050000000000002</v>
      </c>
      <c r="AX63" s="16"/>
    </row>
    <row r="64" spans="1:50" x14ac:dyDescent="0.2">
      <c r="A64" s="525">
        <v>13</v>
      </c>
      <c r="B64" s="526">
        <v>3444</v>
      </c>
      <c r="C64" s="526">
        <v>600078086</v>
      </c>
      <c r="D64" s="526">
        <v>16389573</v>
      </c>
      <c r="E64" s="524" t="s">
        <v>145</v>
      </c>
      <c r="F64" s="526">
        <v>3111</v>
      </c>
      <c r="G64" s="527" t="s">
        <v>317</v>
      </c>
      <c r="H64" s="528" t="s">
        <v>283</v>
      </c>
      <c r="I64" s="575">
        <f>SUM(J64:M64)</f>
        <v>3361609</v>
      </c>
      <c r="J64" s="496">
        <v>2457849</v>
      </c>
      <c r="K64" s="131">
        <f t="shared" ref="K64:K65" si="187">ROUND((J64)*33.8%,0)</f>
        <v>830753</v>
      </c>
      <c r="L64" s="131">
        <f t="shared" ref="L64:L65" si="188">ROUND(J64*2%,0)</f>
        <v>49157</v>
      </c>
      <c r="M64" s="496">
        <v>23850</v>
      </c>
      <c r="N64" s="576">
        <f t="shared" ref="N64:N65" si="189">SUM(O64:P64)</f>
        <v>5.4897999999999998</v>
      </c>
      <c r="O64" s="577">
        <v>4</v>
      </c>
      <c r="P64" s="607">
        <v>1.4898</v>
      </c>
      <c r="Q64" s="579">
        <f t="shared" ref="Q64:Q65" si="190">V64*-1</f>
        <v>-12000</v>
      </c>
      <c r="R64" s="498">
        <v>0</v>
      </c>
      <c r="S64" s="498">
        <v>0</v>
      </c>
      <c r="T64" s="498">
        <v>0</v>
      </c>
      <c r="U64" s="498">
        <f t="shared" si="4"/>
        <v>-12000</v>
      </c>
      <c r="V64" s="498">
        <v>12000</v>
      </c>
      <c r="W64" s="498">
        <v>0</v>
      </c>
      <c r="X64" s="498">
        <v>0</v>
      </c>
      <c r="Y64" s="498">
        <f t="shared" si="5"/>
        <v>12000</v>
      </c>
      <c r="Z64" s="498">
        <f t="shared" si="6"/>
        <v>0</v>
      </c>
      <c r="AA64" s="131">
        <f t="shared" ref="AA64:AA65" si="191">ROUND((U64+V64+W64)*33.8%,0)</f>
        <v>0</v>
      </c>
      <c r="AB64" s="131">
        <f t="shared" si="7"/>
        <v>-240</v>
      </c>
      <c r="AC64" s="498">
        <v>0</v>
      </c>
      <c r="AD64" s="498">
        <v>0</v>
      </c>
      <c r="AE64" s="498">
        <f t="shared" si="15"/>
        <v>0</v>
      </c>
      <c r="AF64" s="498">
        <f t="shared" si="16"/>
        <v>-240</v>
      </c>
      <c r="AG64" s="499">
        <v>0</v>
      </c>
      <c r="AH64" s="499">
        <v>-0.06</v>
      </c>
      <c r="AI64" s="499">
        <v>0</v>
      </c>
      <c r="AJ64" s="499">
        <v>0</v>
      </c>
      <c r="AK64" s="499">
        <v>0</v>
      </c>
      <c r="AL64" s="499">
        <f t="shared" ref="AL64:AL65" si="192">AG64+AI64+AJ64</f>
        <v>0</v>
      </c>
      <c r="AM64" s="499">
        <f t="shared" ref="AM64:AM65" si="193">AH64+AK64</f>
        <v>-0.06</v>
      </c>
      <c r="AN64" s="529">
        <f t="shared" ref="AN64:AN65" si="194">SUM(AL64:AM64)</f>
        <v>-0.06</v>
      </c>
      <c r="AO64" s="579">
        <f t="shared" ref="AO64:AO65" si="195">I64+AF64</f>
        <v>3361369</v>
      </c>
      <c r="AP64" s="498">
        <f t="shared" ref="AP64:AP65" si="196">J64+U64</f>
        <v>2445849</v>
      </c>
      <c r="AQ64" s="498">
        <f t="shared" ref="AQ64:AQ65" si="197">Y64</f>
        <v>12000</v>
      </c>
      <c r="AR64" s="498">
        <f t="shared" ref="AR64:AS65" si="198">K64+AA64</f>
        <v>830753</v>
      </c>
      <c r="AS64" s="498">
        <f t="shared" si="198"/>
        <v>48917</v>
      </c>
      <c r="AT64" s="498">
        <f t="shared" ref="AT64:AT65" si="199">M64+AE64</f>
        <v>23850</v>
      </c>
      <c r="AU64" s="499">
        <f t="shared" ref="AU64:AU65" si="200">N64+AN64</f>
        <v>5.4298000000000002</v>
      </c>
      <c r="AV64" s="499">
        <f t="shared" ref="AV64:AW65" si="201">O64+AL64</f>
        <v>4</v>
      </c>
      <c r="AW64" s="500">
        <f t="shared" si="201"/>
        <v>1.4298</v>
      </c>
      <c r="AX64" s="16"/>
    </row>
    <row r="65" spans="1:51" x14ac:dyDescent="0.2">
      <c r="A65" s="525">
        <v>13</v>
      </c>
      <c r="B65" s="526">
        <v>3444</v>
      </c>
      <c r="C65" s="526">
        <v>600078086</v>
      </c>
      <c r="D65" s="526">
        <v>16389573</v>
      </c>
      <c r="E65" s="524" t="s">
        <v>145</v>
      </c>
      <c r="F65" s="526">
        <v>3141</v>
      </c>
      <c r="G65" s="527" t="s">
        <v>321</v>
      </c>
      <c r="H65" s="528" t="s">
        <v>284</v>
      </c>
      <c r="I65" s="575">
        <f>SUM(J65:M65)</f>
        <v>662794</v>
      </c>
      <c r="J65" s="496">
        <v>485803</v>
      </c>
      <c r="K65" s="131">
        <f t="shared" si="187"/>
        <v>164201</v>
      </c>
      <c r="L65" s="131">
        <f t="shared" si="188"/>
        <v>9716</v>
      </c>
      <c r="M65" s="496">
        <v>3074</v>
      </c>
      <c r="N65" s="576">
        <f t="shared" si="189"/>
        <v>1.65</v>
      </c>
      <c r="O65" s="577">
        <v>0</v>
      </c>
      <c r="P65" s="607">
        <v>1.65</v>
      </c>
      <c r="Q65" s="579">
        <f t="shared" si="190"/>
        <v>-4000</v>
      </c>
      <c r="R65" s="498">
        <v>0</v>
      </c>
      <c r="S65" s="498">
        <v>0</v>
      </c>
      <c r="T65" s="498">
        <v>0</v>
      </c>
      <c r="U65" s="498">
        <f t="shared" si="4"/>
        <v>-4000</v>
      </c>
      <c r="V65" s="498">
        <v>4000</v>
      </c>
      <c r="W65" s="498">
        <v>0</v>
      </c>
      <c r="X65" s="498">
        <v>0</v>
      </c>
      <c r="Y65" s="498">
        <f t="shared" si="5"/>
        <v>4000</v>
      </c>
      <c r="Z65" s="498">
        <f t="shared" si="6"/>
        <v>0</v>
      </c>
      <c r="AA65" s="131">
        <f t="shared" si="191"/>
        <v>0</v>
      </c>
      <c r="AB65" s="131">
        <f t="shared" si="7"/>
        <v>-80</v>
      </c>
      <c r="AC65" s="498">
        <v>0</v>
      </c>
      <c r="AD65" s="498">
        <v>0</v>
      </c>
      <c r="AE65" s="498">
        <f t="shared" si="15"/>
        <v>0</v>
      </c>
      <c r="AF65" s="498">
        <f t="shared" si="16"/>
        <v>-80</v>
      </c>
      <c r="AG65" s="499">
        <v>0</v>
      </c>
      <c r="AH65" s="499">
        <v>0</v>
      </c>
      <c r="AI65" s="499">
        <v>0</v>
      </c>
      <c r="AJ65" s="499">
        <v>0</v>
      </c>
      <c r="AK65" s="499">
        <v>0</v>
      </c>
      <c r="AL65" s="499">
        <f t="shared" si="192"/>
        <v>0</v>
      </c>
      <c r="AM65" s="499">
        <f t="shared" si="193"/>
        <v>0</v>
      </c>
      <c r="AN65" s="529">
        <f t="shared" si="194"/>
        <v>0</v>
      </c>
      <c r="AO65" s="579">
        <f t="shared" si="195"/>
        <v>662714</v>
      </c>
      <c r="AP65" s="498">
        <f t="shared" si="196"/>
        <v>481803</v>
      </c>
      <c r="AQ65" s="498">
        <f t="shared" si="197"/>
        <v>4000</v>
      </c>
      <c r="AR65" s="498">
        <f t="shared" si="198"/>
        <v>164201</v>
      </c>
      <c r="AS65" s="498">
        <f t="shared" si="198"/>
        <v>9636</v>
      </c>
      <c r="AT65" s="498">
        <f t="shared" si="199"/>
        <v>3074</v>
      </c>
      <c r="AU65" s="499">
        <f t="shared" si="200"/>
        <v>1.65</v>
      </c>
      <c r="AV65" s="499">
        <f t="shared" si="201"/>
        <v>0</v>
      </c>
      <c r="AW65" s="500">
        <f t="shared" si="201"/>
        <v>1.65</v>
      </c>
      <c r="AX65" s="16"/>
    </row>
    <row r="66" spans="1:51" x14ac:dyDescent="0.2">
      <c r="A66" s="302">
        <v>13</v>
      </c>
      <c r="B66" s="32">
        <v>3444</v>
      </c>
      <c r="C66" s="32">
        <v>600078086</v>
      </c>
      <c r="D66" s="32">
        <v>16389573</v>
      </c>
      <c r="E66" s="311" t="s">
        <v>146</v>
      </c>
      <c r="F66" s="32"/>
      <c r="G66" s="301"/>
      <c r="H66" s="454"/>
      <c r="I66" s="5">
        <f t="shared" ref="I66:AW66" si="202">SUM(I64:I65)</f>
        <v>4024403</v>
      </c>
      <c r="J66" s="8">
        <f t="shared" si="202"/>
        <v>2943652</v>
      </c>
      <c r="K66" s="8">
        <f t="shared" si="202"/>
        <v>994954</v>
      </c>
      <c r="L66" s="8">
        <f t="shared" si="202"/>
        <v>58873</v>
      </c>
      <c r="M66" s="8">
        <f t="shared" si="202"/>
        <v>26924</v>
      </c>
      <c r="N66" s="9">
        <f t="shared" si="202"/>
        <v>7.1397999999999993</v>
      </c>
      <c r="O66" s="9">
        <f t="shared" si="202"/>
        <v>4</v>
      </c>
      <c r="P66" s="39">
        <f t="shared" si="202"/>
        <v>3.1398000000000001</v>
      </c>
      <c r="Q66" s="5">
        <f t="shared" si="202"/>
        <v>-16000</v>
      </c>
      <c r="R66" s="8">
        <f t="shared" si="202"/>
        <v>0</v>
      </c>
      <c r="S66" s="8">
        <f t="shared" si="202"/>
        <v>0</v>
      </c>
      <c r="T66" s="8">
        <f t="shared" si="202"/>
        <v>0</v>
      </c>
      <c r="U66" s="8">
        <f t="shared" si="202"/>
        <v>-16000</v>
      </c>
      <c r="V66" s="8">
        <f t="shared" si="202"/>
        <v>16000</v>
      </c>
      <c r="W66" s="8">
        <f t="shared" si="202"/>
        <v>0</v>
      </c>
      <c r="X66" s="8">
        <f t="shared" si="202"/>
        <v>0</v>
      </c>
      <c r="Y66" s="8">
        <f t="shared" si="202"/>
        <v>16000</v>
      </c>
      <c r="Z66" s="8">
        <f t="shared" si="202"/>
        <v>0</v>
      </c>
      <c r="AA66" s="8">
        <f t="shared" si="202"/>
        <v>0</v>
      </c>
      <c r="AB66" s="8">
        <f t="shared" si="202"/>
        <v>-320</v>
      </c>
      <c r="AC66" s="8">
        <f t="shared" si="202"/>
        <v>0</v>
      </c>
      <c r="AD66" s="8">
        <f t="shared" si="202"/>
        <v>0</v>
      </c>
      <c r="AE66" s="8">
        <f t="shared" si="202"/>
        <v>0</v>
      </c>
      <c r="AF66" s="8">
        <f t="shared" si="202"/>
        <v>-320</v>
      </c>
      <c r="AG66" s="9">
        <f t="shared" si="202"/>
        <v>0</v>
      </c>
      <c r="AH66" s="9">
        <f t="shared" si="202"/>
        <v>-0.06</v>
      </c>
      <c r="AI66" s="9">
        <f t="shared" si="202"/>
        <v>0</v>
      </c>
      <c r="AJ66" s="9">
        <f t="shared" si="202"/>
        <v>0</v>
      </c>
      <c r="AK66" s="9">
        <f t="shared" si="202"/>
        <v>0</v>
      </c>
      <c r="AL66" s="9">
        <f t="shared" si="202"/>
        <v>0</v>
      </c>
      <c r="AM66" s="9">
        <f t="shared" si="202"/>
        <v>-0.06</v>
      </c>
      <c r="AN66" s="39">
        <f t="shared" si="202"/>
        <v>-0.06</v>
      </c>
      <c r="AO66" s="5">
        <f t="shared" si="202"/>
        <v>4024083</v>
      </c>
      <c r="AP66" s="8">
        <f t="shared" si="202"/>
        <v>2927652</v>
      </c>
      <c r="AQ66" s="8">
        <f t="shared" si="202"/>
        <v>16000</v>
      </c>
      <c r="AR66" s="8">
        <f t="shared" si="202"/>
        <v>994954</v>
      </c>
      <c r="AS66" s="8">
        <f t="shared" si="202"/>
        <v>58553</v>
      </c>
      <c r="AT66" s="8">
        <f t="shared" si="202"/>
        <v>26924</v>
      </c>
      <c r="AU66" s="9">
        <f t="shared" si="202"/>
        <v>7.0798000000000005</v>
      </c>
      <c r="AV66" s="9">
        <f t="shared" si="202"/>
        <v>4</v>
      </c>
      <c r="AW66" s="92">
        <f t="shared" si="202"/>
        <v>3.0797999999999996</v>
      </c>
      <c r="AX66" s="16"/>
    </row>
    <row r="67" spans="1:51" x14ac:dyDescent="0.2">
      <c r="A67" s="525">
        <v>14</v>
      </c>
      <c r="B67" s="526">
        <v>3443</v>
      </c>
      <c r="C67" s="526">
        <v>600078582</v>
      </c>
      <c r="D67" s="526">
        <v>16389581</v>
      </c>
      <c r="E67" s="524" t="s">
        <v>147</v>
      </c>
      <c r="F67" s="526">
        <v>3113</v>
      </c>
      <c r="G67" s="527" t="s">
        <v>320</v>
      </c>
      <c r="H67" s="528" t="s">
        <v>283</v>
      </c>
      <c r="I67" s="575">
        <f>SUM(J67:M67)</f>
        <v>12678648</v>
      </c>
      <c r="J67" s="496">
        <v>9154475</v>
      </c>
      <c r="K67" s="131">
        <f t="shared" ref="K67:K69" si="203">ROUND((J67)*33.8%,0)</f>
        <v>3094213</v>
      </c>
      <c r="L67" s="131">
        <f t="shared" ref="L67:L71" si="204">ROUND(J67*2%,0)</f>
        <v>183090</v>
      </c>
      <c r="M67" s="496">
        <v>246870</v>
      </c>
      <c r="N67" s="576">
        <f t="shared" ref="N67:N71" si="205">SUM(O67:P67)</f>
        <v>17.4636</v>
      </c>
      <c r="O67" s="577">
        <v>12.9091</v>
      </c>
      <c r="P67" s="607">
        <v>4.5545</v>
      </c>
      <c r="Q67" s="579">
        <f t="shared" ref="Q67:Q71" si="206">V67*-1</f>
        <v>-64000</v>
      </c>
      <c r="R67" s="498">
        <v>0</v>
      </c>
      <c r="S67" s="498">
        <v>0</v>
      </c>
      <c r="T67" s="498">
        <v>0</v>
      </c>
      <c r="U67" s="498">
        <f t="shared" si="4"/>
        <v>-64000</v>
      </c>
      <c r="V67" s="498">
        <v>64000</v>
      </c>
      <c r="W67" s="498">
        <v>0</v>
      </c>
      <c r="X67" s="498">
        <v>0</v>
      </c>
      <c r="Y67" s="498">
        <f t="shared" si="5"/>
        <v>64000</v>
      </c>
      <c r="Z67" s="498">
        <f t="shared" si="6"/>
        <v>0</v>
      </c>
      <c r="AA67" s="131">
        <f t="shared" ref="AA67:AA71" si="207">ROUND((U67+V67+W67)*33.8%,0)</f>
        <v>0</v>
      </c>
      <c r="AB67" s="131">
        <f t="shared" si="7"/>
        <v>-1280</v>
      </c>
      <c r="AC67" s="498">
        <v>0</v>
      </c>
      <c r="AD67" s="498">
        <v>0</v>
      </c>
      <c r="AE67" s="498">
        <f t="shared" si="15"/>
        <v>0</v>
      </c>
      <c r="AF67" s="498">
        <f t="shared" si="16"/>
        <v>-1280</v>
      </c>
      <c r="AG67" s="499">
        <v>0</v>
      </c>
      <c r="AH67" s="499">
        <v>-0.32</v>
      </c>
      <c r="AI67" s="499">
        <v>0</v>
      </c>
      <c r="AJ67" s="499">
        <v>0</v>
      </c>
      <c r="AK67" s="499">
        <v>0</v>
      </c>
      <c r="AL67" s="499">
        <f t="shared" ref="AL67:AL71" si="208">AG67+AI67+AJ67</f>
        <v>0</v>
      </c>
      <c r="AM67" s="499">
        <f t="shared" ref="AM67:AM71" si="209">AH67+AK67</f>
        <v>-0.32</v>
      </c>
      <c r="AN67" s="529">
        <f t="shared" ref="AN67:AN71" si="210">SUM(AL67:AM67)</f>
        <v>-0.32</v>
      </c>
      <c r="AO67" s="579">
        <f t="shared" ref="AO67:AO71" si="211">I67+AF67</f>
        <v>12677368</v>
      </c>
      <c r="AP67" s="498">
        <f t="shared" ref="AP67:AP71" si="212">J67+U67</f>
        <v>9090475</v>
      </c>
      <c r="AQ67" s="498">
        <f t="shared" ref="AQ67:AQ71" si="213">Y67</f>
        <v>64000</v>
      </c>
      <c r="AR67" s="498">
        <f t="shared" ref="AR67:AS71" si="214">K67+AA67</f>
        <v>3094213</v>
      </c>
      <c r="AS67" s="498">
        <f t="shared" si="214"/>
        <v>181810</v>
      </c>
      <c r="AT67" s="498">
        <f t="shared" ref="AT67:AT71" si="215">M67+AE67</f>
        <v>246870</v>
      </c>
      <c r="AU67" s="499">
        <f t="shared" ref="AU67:AU71" si="216">N67+AN67</f>
        <v>17.143599999999999</v>
      </c>
      <c r="AV67" s="499">
        <f t="shared" ref="AV67:AW71" si="217">O67+AL67</f>
        <v>12.9091</v>
      </c>
      <c r="AW67" s="500">
        <f t="shared" si="217"/>
        <v>4.2344999999999997</v>
      </c>
      <c r="AX67" s="16"/>
    </row>
    <row r="68" spans="1:51" x14ac:dyDescent="0.2">
      <c r="A68" s="525">
        <v>14</v>
      </c>
      <c r="B68" s="526">
        <v>3443</v>
      </c>
      <c r="C68" s="526">
        <v>600078582</v>
      </c>
      <c r="D68" s="526">
        <v>16389581</v>
      </c>
      <c r="E68" s="524" t="s">
        <v>147</v>
      </c>
      <c r="F68" s="526">
        <v>3113</v>
      </c>
      <c r="G68" s="527" t="s">
        <v>318</v>
      </c>
      <c r="H68" s="528" t="s">
        <v>284</v>
      </c>
      <c r="I68" s="575">
        <f>SUM(J68:M68)</f>
        <v>0</v>
      </c>
      <c r="J68" s="496">
        <v>0</v>
      </c>
      <c r="K68" s="131">
        <f t="shared" si="203"/>
        <v>0</v>
      </c>
      <c r="L68" s="131">
        <f t="shared" si="204"/>
        <v>0</v>
      </c>
      <c r="M68" s="496">
        <v>0</v>
      </c>
      <c r="N68" s="576">
        <f t="shared" si="205"/>
        <v>0</v>
      </c>
      <c r="O68" s="577">
        <v>0</v>
      </c>
      <c r="P68" s="607">
        <v>0</v>
      </c>
      <c r="Q68" s="579">
        <f t="shared" si="206"/>
        <v>0</v>
      </c>
      <c r="R68" s="496">
        <v>519666</v>
      </c>
      <c r="S68" s="498">
        <v>0</v>
      </c>
      <c r="T68" s="498">
        <v>0</v>
      </c>
      <c r="U68" s="498">
        <f t="shared" si="4"/>
        <v>519666</v>
      </c>
      <c r="V68" s="498">
        <v>0</v>
      </c>
      <c r="W68" s="498">
        <v>0</v>
      </c>
      <c r="X68" s="498">
        <v>0</v>
      </c>
      <c r="Y68" s="498">
        <f t="shared" si="5"/>
        <v>0</v>
      </c>
      <c r="Z68" s="498">
        <f t="shared" si="6"/>
        <v>519666</v>
      </c>
      <c r="AA68" s="131">
        <f t="shared" si="207"/>
        <v>175647</v>
      </c>
      <c r="AB68" s="131">
        <f t="shared" si="7"/>
        <v>10393</v>
      </c>
      <c r="AC68" s="498">
        <v>0</v>
      </c>
      <c r="AD68" s="498">
        <v>0</v>
      </c>
      <c r="AE68" s="498">
        <f t="shared" si="15"/>
        <v>0</v>
      </c>
      <c r="AF68" s="498">
        <f t="shared" si="16"/>
        <v>705706</v>
      </c>
      <c r="AG68" s="499">
        <v>0</v>
      </c>
      <c r="AH68" s="499">
        <v>0</v>
      </c>
      <c r="AI68" s="499">
        <v>1.5</v>
      </c>
      <c r="AJ68" s="499">
        <v>0</v>
      </c>
      <c r="AK68" s="499">
        <v>0</v>
      </c>
      <c r="AL68" s="499">
        <f t="shared" si="208"/>
        <v>1.5</v>
      </c>
      <c r="AM68" s="499">
        <f t="shared" si="209"/>
        <v>0</v>
      </c>
      <c r="AN68" s="529">
        <f t="shared" si="210"/>
        <v>1.5</v>
      </c>
      <c r="AO68" s="579">
        <f t="shared" si="211"/>
        <v>705706</v>
      </c>
      <c r="AP68" s="498">
        <f t="shared" si="212"/>
        <v>519666</v>
      </c>
      <c r="AQ68" s="498">
        <f t="shared" si="213"/>
        <v>0</v>
      </c>
      <c r="AR68" s="498">
        <f t="shared" si="214"/>
        <v>175647</v>
      </c>
      <c r="AS68" s="498">
        <f t="shared" si="214"/>
        <v>10393</v>
      </c>
      <c r="AT68" s="498">
        <f t="shared" si="215"/>
        <v>0</v>
      </c>
      <c r="AU68" s="499">
        <f t="shared" si="216"/>
        <v>1.5</v>
      </c>
      <c r="AV68" s="499">
        <f t="shared" si="217"/>
        <v>1.5</v>
      </c>
      <c r="AW68" s="500">
        <f t="shared" si="217"/>
        <v>0</v>
      </c>
      <c r="AX68" s="16"/>
    </row>
    <row r="69" spans="1:51" x14ac:dyDescent="0.2">
      <c r="A69" s="525">
        <v>14</v>
      </c>
      <c r="B69" s="526">
        <v>3443</v>
      </c>
      <c r="C69" s="526">
        <v>600078582</v>
      </c>
      <c r="D69" s="526">
        <v>16389581</v>
      </c>
      <c r="E69" s="524" t="s">
        <v>147</v>
      </c>
      <c r="F69" s="526">
        <v>3141</v>
      </c>
      <c r="G69" s="527" t="s">
        <v>321</v>
      </c>
      <c r="H69" s="528" t="s">
        <v>284</v>
      </c>
      <c r="I69" s="575">
        <f>SUM(J69:M69)</f>
        <v>1125244</v>
      </c>
      <c r="J69" s="496">
        <v>822155</v>
      </c>
      <c r="K69" s="131">
        <f t="shared" si="203"/>
        <v>277888</v>
      </c>
      <c r="L69" s="131">
        <f t="shared" si="204"/>
        <v>16443</v>
      </c>
      <c r="M69" s="496">
        <v>8758</v>
      </c>
      <c r="N69" s="576">
        <f t="shared" si="205"/>
        <v>2.8</v>
      </c>
      <c r="O69" s="577">
        <v>0</v>
      </c>
      <c r="P69" s="607">
        <v>2.8</v>
      </c>
      <c r="Q69" s="579">
        <f t="shared" si="206"/>
        <v>-4800</v>
      </c>
      <c r="R69" s="498">
        <v>0</v>
      </c>
      <c r="S69" s="498">
        <v>0</v>
      </c>
      <c r="T69" s="498">
        <v>0</v>
      </c>
      <c r="U69" s="498">
        <f t="shared" si="4"/>
        <v>-4800</v>
      </c>
      <c r="V69" s="498">
        <v>4800</v>
      </c>
      <c r="W69" s="498">
        <v>0</v>
      </c>
      <c r="X69" s="498">
        <v>0</v>
      </c>
      <c r="Y69" s="498">
        <f t="shared" si="5"/>
        <v>4800</v>
      </c>
      <c r="Z69" s="498">
        <f t="shared" si="6"/>
        <v>0</v>
      </c>
      <c r="AA69" s="131">
        <f t="shared" si="207"/>
        <v>0</v>
      </c>
      <c r="AB69" s="131">
        <f t="shared" si="7"/>
        <v>-96</v>
      </c>
      <c r="AC69" s="498">
        <v>0</v>
      </c>
      <c r="AD69" s="498">
        <v>0</v>
      </c>
      <c r="AE69" s="498">
        <f t="shared" si="15"/>
        <v>0</v>
      </c>
      <c r="AF69" s="498">
        <f t="shared" si="16"/>
        <v>-96</v>
      </c>
      <c r="AG69" s="499">
        <v>0</v>
      </c>
      <c r="AH69" s="499">
        <v>0</v>
      </c>
      <c r="AI69" s="499">
        <v>0</v>
      </c>
      <c r="AJ69" s="499">
        <v>0</v>
      </c>
      <c r="AK69" s="499">
        <v>0</v>
      </c>
      <c r="AL69" s="499">
        <f t="shared" si="208"/>
        <v>0</v>
      </c>
      <c r="AM69" s="499">
        <f t="shared" si="209"/>
        <v>0</v>
      </c>
      <c r="AN69" s="529">
        <f t="shared" si="210"/>
        <v>0</v>
      </c>
      <c r="AO69" s="579">
        <f t="shared" si="211"/>
        <v>1125148</v>
      </c>
      <c r="AP69" s="498">
        <f t="shared" si="212"/>
        <v>817355</v>
      </c>
      <c r="AQ69" s="498">
        <f t="shared" si="213"/>
        <v>4800</v>
      </c>
      <c r="AR69" s="498">
        <f t="shared" si="214"/>
        <v>277888</v>
      </c>
      <c r="AS69" s="498">
        <f t="shared" si="214"/>
        <v>16347</v>
      </c>
      <c r="AT69" s="498">
        <f t="shared" si="215"/>
        <v>8758</v>
      </c>
      <c r="AU69" s="499">
        <f t="shared" si="216"/>
        <v>2.8</v>
      </c>
      <c r="AV69" s="499">
        <f t="shared" si="217"/>
        <v>0</v>
      </c>
      <c r="AW69" s="500">
        <f t="shared" si="217"/>
        <v>2.8</v>
      </c>
      <c r="AX69" s="16"/>
    </row>
    <row r="70" spans="1:51" x14ac:dyDescent="0.2">
      <c r="A70" s="525">
        <v>14</v>
      </c>
      <c r="B70" s="526">
        <v>3443</v>
      </c>
      <c r="C70" s="526">
        <v>600078582</v>
      </c>
      <c r="D70" s="526">
        <v>16389581</v>
      </c>
      <c r="E70" s="524" t="s">
        <v>147</v>
      </c>
      <c r="F70" s="526">
        <v>3143</v>
      </c>
      <c r="G70" s="527" t="s">
        <v>635</v>
      </c>
      <c r="H70" s="574" t="s">
        <v>283</v>
      </c>
      <c r="I70" s="575">
        <f>SUM(J70:M70)</f>
        <v>940987</v>
      </c>
      <c r="J70" s="496">
        <v>692922</v>
      </c>
      <c r="K70" s="131">
        <v>234207</v>
      </c>
      <c r="L70" s="131">
        <f t="shared" si="204"/>
        <v>13858</v>
      </c>
      <c r="M70" s="496">
        <v>0</v>
      </c>
      <c r="N70" s="576">
        <f t="shared" si="205"/>
        <v>1.5</v>
      </c>
      <c r="O70" s="577">
        <v>1.5</v>
      </c>
      <c r="P70" s="607">
        <v>0</v>
      </c>
      <c r="Q70" s="579">
        <f t="shared" si="206"/>
        <v>-9600</v>
      </c>
      <c r="R70" s="498">
        <v>0</v>
      </c>
      <c r="S70" s="498">
        <v>0</v>
      </c>
      <c r="T70" s="498">
        <v>0</v>
      </c>
      <c r="U70" s="498">
        <f t="shared" si="4"/>
        <v>-9600</v>
      </c>
      <c r="V70" s="498">
        <v>9600</v>
      </c>
      <c r="W70" s="498">
        <v>0</v>
      </c>
      <c r="X70" s="498">
        <v>0</v>
      </c>
      <c r="Y70" s="498">
        <f t="shared" si="5"/>
        <v>9600</v>
      </c>
      <c r="Z70" s="498">
        <f t="shared" si="6"/>
        <v>0</v>
      </c>
      <c r="AA70" s="131">
        <f t="shared" si="207"/>
        <v>0</v>
      </c>
      <c r="AB70" s="131">
        <f t="shared" si="7"/>
        <v>-192</v>
      </c>
      <c r="AC70" s="498">
        <v>0</v>
      </c>
      <c r="AD70" s="498">
        <v>0</v>
      </c>
      <c r="AE70" s="498">
        <f t="shared" si="15"/>
        <v>0</v>
      </c>
      <c r="AF70" s="498">
        <f t="shared" si="16"/>
        <v>-192</v>
      </c>
      <c r="AG70" s="499">
        <v>0</v>
      </c>
      <c r="AH70" s="499">
        <v>0</v>
      </c>
      <c r="AI70" s="499">
        <v>0</v>
      </c>
      <c r="AJ70" s="499">
        <v>0</v>
      </c>
      <c r="AK70" s="499">
        <v>0</v>
      </c>
      <c r="AL70" s="499">
        <f t="shared" si="208"/>
        <v>0</v>
      </c>
      <c r="AM70" s="499">
        <f t="shared" si="209"/>
        <v>0</v>
      </c>
      <c r="AN70" s="529">
        <f t="shared" si="210"/>
        <v>0</v>
      </c>
      <c r="AO70" s="579">
        <f t="shared" si="211"/>
        <v>940795</v>
      </c>
      <c r="AP70" s="498">
        <f t="shared" si="212"/>
        <v>683322</v>
      </c>
      <c r="AQ70" s="498">
        <f t="shared" si="213"/>
        <v>9600</v>
      </c>
      <c r="AR70" s="498">
        <f t="shared" si="214"/>
        <v>234207</v>
      </c>
      <c r="AS70" s="498">
        <f t="shared" si="214"/>
        <v>13666</v>
      </c>
      <c r="AT70" s="498">
        <f t="shared" si="215"/>
        <v>0</v>
      </c>
      <c r="AU70" s="499">
        <f t="shared" si="216"/>
        <v>1.5</v>
      </c>
      <c r="AV70" s="499">
        <f t="shared" si="217"/>
        <v>1.5</v>
      </c>
      <c r="AW70" s="500">
        <f t="shared" si="217"/>
        <v>0</v>
      </c>
      <c r="AX70" s="16"/>
    </row>
    <row r="71" spans="1:51" x14ac:dyDescent="0.2">
      <c r="A71" s="525">
        <v>14</v>
      </c>
      <c r="B71" s="526">
        <v>3443</v>
      </c>
      <c r="C71" s="526">
        <v>600078582</v>
      </c>
      <c r="D71" s="526">
        <v>16389581</v>
      </c>
      <c r="E71" s="524" t="s">
        <v>147</v>
      </c>
      <c r="F71" s="526">
        <v>3143</v>
      </c>
      <c r="G71" s="527" t="s">
        <v>636</v>
      </c>
      <c r="H71" s="574" t="s">
        <v>284</v>
      </c>
      <c r="I71" s="575">
        <f>SUM(J71:M71)</f>
        <v>33706</v>
      </c>
      <c r="J71" s="496">
        <v>23760</v>
      </c>
      <c r="K71" s="131">
        <f t="shared" ref="K71" si="218">ROUND((J71)*33.8%,0)</f>
        <v>8031</v>
      </c>
      <c r="L71" s="131">
        <f t="shared" si="204"/>
        <v>475</v>
      </c>
      <c r="M71" s="496">
        <v>1440</v>
      </c>
      <c r="N71" s="576">
        <f t="shared" si="205"/>
        <v>0.1</v>
      </c>
      <c r="O71" s="577">
        <v>0</v>
      </c>
      <c r="P71" s="607">
        <v>0.1</v>
      </c>
      <c r="Q71" s="579">
        <f t="shared" si="206"/>
        <v>0</v>
      </c>
      <c r="R71" s="498">
        <v>0</v>
      </c>
      <c r="S71" s="498">
        <v>0</v>
      </c>
      <c r="T71" s="498">
        <v>0</v>
      </c>
      <c r="U71" s="498">
        <f t="shared" si="4"/>
        <v>0</v>
      </c>
      <c r="V71" s="498">
        <v>0</v>
      </c>
      <c r="W71" s="498">
        <v>0</v>
      </c>
      <c r="X71" s="498">
        <v>0</v>
      </c>
      <c r="Y71" s="498">
        <f t="shared" si="5"/>
        <v>0</v>
      </c>
      <c r="Z71" s="498">
        <f t="shared" si="6"/>
        <v>0</v>
      </c>
      <c r="AA71" s="131">
        <f t="shared" si="207"/>
        <v>0</v>
      </c>
      <c r="AB71" s="131">
        <f t="shared" si="7"/>
        <v>0</v>
      </c>
      <c r="AC71" s="498">
        <v>0</v>
      </c>
      <c r="AD71" s="498">
        <v>0</v>
      </c>
      <c r="AE71" s="498">
        <f t="shared" si="15"/>
        <v>0</v>
      </c>
      <c r="AF71" s="498">
        <f t="shared" si="16"/>
        <v>0</v>
      </c>
      <c r="AG71" s="499">
        <v>0</v>
      </c>
      <c r="AH71" s="499">
        <v>0</v>
      </c>
      <c r="AI71" s="499">
        <v>0</v>
      </c>
      <c r="AJ71" s="499">
        <v>0</v>
      </c>
      <c r="AK71" s="499">
        <v>0</v>
      </c>
      <c r="AL71" s="499">
        <f t="shared" si="208"/>
        <v>0</v>
      </c>
      <c r="AM71" s="499">
        <f t="shared" si="209"/>
        <v>0</v>
      </c>
      <c r="AN71" s="529">
        <f t="shared" si="210"/>
        <v>0</v>
      </c>
      <c r="AO71" s="579">
        <f t="shared" si="211"/>
        <v>33706</v>
      </c>
      <c r="AP71" s="498">
        <f t="shared" si="212"/>
        <v>23760</v>
      </c>
      <c r="AQ71" s="498">
        <f t="shared" si="213"/>
        <v>0</v>
      </c>
      <c r="AR71" s="498">
        <f t="shared" si="214"/>
        <v>8031</v>
      </c>
      <c r="AS71" s="498">
        <f t="shared" si="214"/>
        <v>475</v>
      </c>
      <c r="AT71" s="498">
        <f t="shared" si="215"/>
        <v>1440</v>
      </c>
      <c r="AU71" s="499">
        <f t="shared" si="216"/>
        <v>0.1</v>
      </c>
      <c r="AV71" s="499">
        <f t="shared" si="217"/>
        <v>0</v>
      </c>
      <c r="AW71" s="500">
        <f t="shared" si="217"/>
        <v>0.1</v>
      </c>
      <c r="AX71" s="16"/>
    </row>
    <row r="72" spans="1:51" ht="13.5" thickBot="1" x14ac:dyDescent="0.25">
      <c r="A72" s="306">
        <v>14</v>
      </c>
      <c r="B72" s="62">
        <v>3443</v>
      </c>
      <c r="C72" s="62">
        <v>600078582</v>
      </c>
      <c r="D72" s="62">
        <v>16389581</v>
      </c>
      <c r="E72" s="600" t="s">
        <v>148</v>
      </c>
      <c r="F72" s="62"/>
      <c r="G72" s="307"/>
      <c r="H72" s="601"/>
      <c r="I72" s="467">
        <f t="shared" ref="I72:P72" si="219">SUM(I67:I71)</f>
        <v>14778585</v>
      </c>
      <c r="J72" s="46">
        <f t="shared" si="219"/>
        <v>10693312</v>
      </c>
      <c r="K72" s="46">
        <f t="shared" si="219"/>
        <v>3614339</v>
      </c>
      <c r="L72" s="46">
        <f t="shared" si="219"/>
        <v>213866</v>
      </c>
      <c r="M72" s="46">
        <f t="shared" si="219"/>
        <v>257068</v>
      </c>
      <c r="N72" s="48">
        <f t="shared" si="219"/>
        <v>21.863600000000002</v>
      </c>
      <c r="O72" s="48">
        <f t="shared" si="219"/>
        <v>14.4091</v>
      </c>
      <c r="P72" s="68">
        <f t="shared" si="219"/>
        <v>7.4544999999999995</v>
      </c>
      <c r="Q72" s="467">
        <f t="shared" ref="Q72:AW72" si="220">SUM(Q67:Q71)</f>
        <v>-78400</v>
      </c>
      <c r="R72" s="46">
        <f t="shared" si="220"/>
        <v>519666</v>
      </c>
      <c r="S72" s="46">
        <f t="shared" si="220"/>
        <v>0</v>
      </c>
      <c r="T72" s="46">
        <f t="shared" si="220"/>
        <v>0</v>
      </c>
      <c r="U72" s="46">
        <f t="shared" si="220"/>
        <v>441266</v>
      </c>
      <c r="V72" s="46">
        <f t="shared" si="220"/>
        <v>78400</v>
      </c>
      <c r="W72" s="46">
        <f t="shared" si="220"/>
        <v>0</v>
      </c>
      <c r="X72" s="46">
        <f t="shared" si="220"/>
        <v>0</v>
      </c>
      <c r="Y72" s="46">
        <f t="shared" si="220"/>
        <v>78400</v>
      </c>
      <c r="Z72" s="46">
        <f t="shared" si="220"/>
        <v>519666</v>
      </c>
      <c r="AA72" s="46">
        <f t="shared" si="220"/>
        <v>175647</v>
      </c>
      <c r="AB72" s="46">
        <f t="shared" si="220"/>
        <v>8825</v>
      </c>
      <c r="AC72" s="46">
        <f t="shared" si="220"/>
        <v>0</v>
      </c>
      <c r="AD72" s="46">
        <f t="shared" si="220"/>
        <v>0</v>
      </c>
      <c r="AE72" s="46">
        <f t="shared" si="220"/>
        <v>0</v>
      </c>
      <c r="AF72" s="46">
        <f t="shared" si="220"/>
        <v>704138</v>
      </c>
      <c r="AG72" s="48">
        <f t="shared" si="220"/>
        <v>0</v>
      </c>
      <c r="AH72" s="48">
        <f t="shared" si="220"/>
        <v>-0.32</v>
      </c>
      <c r="AI72" s="48">
        <f t="shared" si="220"/>
        <v>1.5</v>
      </c>
      <c r="AJ72" s="48">
        <f t="shared" si="220"/>
        <v>0</v>
      </c>
      <c r="AK72" s="48">
        <f t="shared" si="220"/>
        <v>0</v>
      </c>
      <c r="AL72" s="48">
        <f t="shared" si="220"/>
        <v>1.5</v>
      </c>
      <c r="AM72" s="48">
        <f t="shared" si="220"/>
        <v>-0.32</v>
      </c>
      <c r="AN72" s="68">
        <f t="shared" si="220"/>
        <v>1.18</v>
      </c>
      <c r="AO72" s="716">
        <f t="shared" si="220"/>
        <v>15482723</v>
      </c>
      <c r="AP72" s="717">
        <f t="shared" si="220"/>
        <v>11134578</v>
      </c>
      <c r="AQ72" s="717">
        <f t="shared" si="220"/>
        <v>78400</v>
      </c>
      <c r="AR72" s="717">
        <f t="shared" si="220"/>
        <v>3789986</v>
      </c>
      <c r="AS72" s="717">
        <f t="shared" si="220"/>
        <v>222691</v>
      </c>
      <c r="AT72" s="717">
        <f t="shared" si="220"/>
        <v>257068</v>
      </c>
      <c r="AU72" s="718">
        <f t="shared" si="220"/>
        <v>23.043600000000001</v>
      </c>
      <c r="AV72" s="718">
        <f t="shared" si="220"/>
        <v>15.9091</v>
      </c>
      <c r="AW72" s="719">
        <f t="shared" si="220"/>
        <v>7.1344999999999992</v>
      </c>
      <c r="AX72" s="16"/>
    </row>
    <row r="73" spans="1:51" ht="13.5" thickBot="1" x14ac:dyDescent="0.25">
      <c r="A73" s="308"/>
      <c r="B73" s="57"/>
      <c r="C73" s="57"/>
      <c r="D73" s="57"/>
      <c r="E73" s="157" t="s">
        <v>799</v>
      </c>
      <c r="F73" s="57"/>
      <c r="G73" s="309"/>
      <c r="H73" s="466"/>
      <c r="I73" s="70">
        <f t="shared" ref="I73:AW73" si="221">I15+I18+I22+I24+I31+I37+I39+I42+I47+I51+I56+I63+I66+I72</f>
        <v>133346237</v>
      </c>
      <c r="J73" s="58">
        <f t="shared" si="221"/>
        <v>96839473</v>
      </c>
      <c r="K73" s="58">
        <f t="shared" si="221"/>
        <v>32731739</v>
      </c>
      <c r="L73" s="58">
        <f t="shared" si="221"/>
        <v>1936790</v>
      </c>
      <c r="M73" s="58">
        <f t="shared" si="221"/>
        <v>1838235</v>
      </c>
      <c r="N73" s="59">
        <f t="shared" si="221"/>
        <v>205.84630000000001</v>
      </c>
      <c r="O73" s="59">
        <f t="shared" si="221"/>
        <v>136.7046</v>
      </c>
      <c r="P73" s="71">
        <f t="shared" si="221"/>
        <v>69.1417</v>
      </c>
      <c r="Q73" s="70">
        <f t="shared" si="221"/>
        <v>-563992</v>
      </c>
      <c r="R73" s="58">
        <f t="shared" si="221"/>
        <v>4736613</v>
      </c>
      <c r="S73" s="58">
        <f t="shared" si="221"/>
        <v>0</v>
      </c>
      <c r="T73" s="58">
        <f t="shared" si="221"/>
        <v>-248512</v>
      </c>
      <c r="U73" s="58">
        <f t="shared" si="221"/>
        <v>3924109</v>
      </c>
      <c r="V73" s="58">
        <f t="shared" si="221"/>
        <v>563992</v>
      </c>
      <c r="W73" s="58">
        <f t="shared" si="221"/>
        <v>0</v>
      </c>
      <c r="X73" s="58">
        <f t="shared" si="221"/>
        <v>0</v>
      </c>
      <c r="Y73" s="58">
        <f t="shared" si="221"/>
        <v>563992</v>
      </c>
      <c r="Z73" s="58">
        <f t="shared" si="221"/>
        <v>4488101</v>
      </c>
      <c r="AA73" s="58">
        <f t="shared" si="221"/>
        <v>1516980</v>
      </c>
      <c r="AB73" s="58">
        <f t="shared" si="221"/>
        <v>78481</v>
      </c>
      <c r="AC73" s="58">
        <f t="shared" si="221"/>
        <v>0</v>
      </c>
      <c r="AD73" s="58">
        <f t="shared" si="221"/>
        <v>-585</v>
      </c>
      <c r="AE73" s="58">
        <f t="shared" si="221"/>
        <v>-585</v>
      </c>
      <c r="AF73" s="58">
        <f t="shared" si="221"/>
        <v>6082977</v>
      </c>
      <c r="AG73" s="59">
        <f t="shared" si="221"/>
        <v>-0.41000000000000003</v>
      </c>
      <c r="AH73" s="59">
        <f t="shared" si="221"/>
        <v>-1.4400000000000002</v>
      </c>
      <c r="AI73" s="59">
        <f t="shared" si="221"/>
        <v>13.73</v>
      </c>
      <c r="AJ73" s="59">
        <f t="shared" si="221"/>
        <v>-0.5</v>
      </c>
      <c r="AK73" s="59">
        <f t="shared" si="221"/>
        <v>-2.2499999999999999E-2</v>
      </c>
      <c r="AL73" s="59">
        <f t="shared" si="221"/>
        <v>12.819999999999999</v>
      </c>
      <c r="AM73" s="59">
        <f t="shared" si="221"/>
        <v>-1.4625000000000001</v>
      </c>
      <c r="AN73" s="71">
        <f t="shared" si="221"/>
        <v>11.357499999999998</v>
      </c>
      <c r="AO73" s="720">
        <f t="shared" si="221"/>
        <v>139429214</v>
      </c>
      <c r="AP73" s="721">
        <f t="shared" si="221"/>
        <v>100763582</v>
      </c>
      <c r="AQ73" s="721">
        <f t="shared" si="221"/>
        <v>563992</v>
      </c>
      <c r="AR73" s="721">
        <f t="shared" si="221"/>
        <v>34248719</v>
      </c>
      <c r="AS73" s="721">
        <f t="shared" si="221"/>
        <v>2015271</v>
      </c>
      <c r="AT73" s="721">
        <f t="shared" si="221"/>
        <v>1837650</v>
      </c>
      <c r="AU73" s="722">
        <f t="shared" si="221"/>
        <v>217.2038</v>
      </c>
      <c r="AV73" s="722">
        <f t="shared" si="221"/>
        <v>149.52459999999999</v>
      </c>
      <c r="AW73" s="723">
        <f t="shared" si="221"/>
        <v>67.679199999999994</v>
      </c>
      <c r="AX73" s="16"/>
    </row>
    <row r="74" spans="1:51" x14ac:dyDescent="0.2">
      <c r="D74" s="17"/>
      <c r="E74" s="12"/>
      <c r="F74" s="17"/>
      <c r="G74" s="42"/>
      <c r="H74" s="12"/>
      <c r="I74" s="584">
        <f>SUM(J73:M73)</f>
        <v>133346237</v>
      </c>
      <c r="J74" s="584"/>
      <c r="K74" s="584"/>
      <c r="L74" s="584"/>
      <c r="M74" s="584"/>
      <c r="N74" s="585">
        <f>SUM(O73:P73)</f>
        <v>205.84629999999999</v>
      </c>
      <c r="O74" s="585"/>
      <c r="P74" s="585"/>
      <c r="Q74" s="585"/>
      <c r="R74" s="585"/>
      <c r="S74" s="585"/>
      <c r="T74" s="585"/>
      <c r="U74" s="602">
        <f>SUM(Q73:T73)</f>
        <v>3924109</v>
      </c>
      <c r="V74" s="603"/>
      <c r="W74" s="603"/>
      <c r="X74" s="603"/>
      <c r="Y74" s="602">
        <f>SUM(V73:X73)</f>
        <v>563992</v>
      </c>
      <c r="Z74" s="602">
        <f>U73+Y73</f>
        <v>4488101</v>
      </c>
      <c r="AA74" s="604"/>
      <c r="AB74" s="604"/>
      <c r="AC74" s="603"/>
      <c r="AD74" s="603"/>
      <c r="AE74" s="602">
        <f>SUM(AC73:AD73)</f>
        <v>-585</v>
      </c>
      <c r="AF74" s="602">
        <f>Z73+AA73+AB73+AE73</f>
        <v>6082977</v>
      </c>
      <c r="AG74" s="605"/>
      <c r="AH74" s="605"/>
      <c r="AI74" s="605"/>
      <c r="AJ74" s="605"/>
      <c r="AK74" s="605"/>
      <c r="AL74" s="606">
        <f>AG73+AI73+AJ73</f>
        <v>12.82</v>
      </c>
      <c r="AM74" s="606">
        <f>AH73+AK73</f>
        <v>-1.4625000000000001</v>
      </c>
      <c r="AN74" s="606">
        <f>SUM(AL73:AM73)</f>
        <v>11.357499999999998</v>
      </c>
      <c r="AO74" s="584">
        <f>SUM(AP73:AT73)</f>
        <v>139429214</v>
      </c>
      <c r="AP74" s="114"/>
      <c r="AQ74" s="114"/>
      <c r="AR74" s="114"/>
      <c r="AS74" s="114"/>
      <c r="AT74" s="114"/>
      <c r="AU74" s="585">
        <f>SUM(AV73:AW73)</f>
        <v>217.2038</v>
      </c>
      <c r="AV74" s="166"/>
      <c r="AW74" s="166"/>
    </row>
    <row r="75" spans="1:51" ht="13.5" thickBot="1" x14ac:dyDescent="0.25">
      <c r="D75" s="17"/>
      <c r="E75" s="12"/>
      <c r="F75" s="17"/>
      <c r="G75" s="42"/>
      <c r="H75" s="12"/>
      <c r="I75" s="162">
        <f ca="1">SUM(J76:M76)</f>
        <v>133346237</v>
      </c>
      <c r="J75" s="163"/>
      <c r="K75" s="163"/>
      <c r="L75" s="163"/>
      <c r="M75" s="163"/>
      <c r="N75" s="164">
        <f ca="1">SUM(O76:P76)</f>
        <v>205.84629999999999</v>
      </c>
      <c r="O75" s="336"/>
      <c r="P75" s="336"/>
      <c r="Q75" s="420"/>
      <c r="R75" s="420"/>
      <c r="S75" s="420"/>
      <c r="T75" s="420"/>
      <c r="U75" s="590">
        <f ca="1">SUM(Q76:T76)</f>
        <v>3924109</v>
      </c>
      <c r="V75" s="591"/>
      <c r="W75" s="591"/>
      <c r="X75" s="591"/>
      <c r="Y75" s="590">
        <f ca="1">SUM(V76:X76)</f>
        <v>563992</v>
      </c>
      <c r="Z75" s="590">
        <f ca="1">U76+Y76</f>
        <v>4488101</v>
      </c>
      <c r="AA75" s="417"/>
      <c r="AB75" s="417"/>
      <c r="AC75" s="591"/>
      <c r="AD75" s="591"/>
      <c r="AE75" s="590">
        <f ca="1">SUM(AC76:AD76)</f>
        <v>-585</v>
      </c>
      <c r="AF75" s="590">
        <f ca="1">Z76+AA76+AB76+AE76</f>
        <v>6082977</v>
      </c>
      <c r="AG75" s="592"/>
      <c r="AH75" s="592"/>
      <c r="AI75" s="592"/>
      <c r="AJ75" s="592"/>
      <c r="AK75" s="592"/>
      <c r="AL75" s="593">
        <f ca="1">AG76+AI76+AJ76</f>
        <v>12.82</v>
      </c>
      <c r="AM75" s="593">
        <f ca="1">AH76+AK76</f>
        <v>-1.4625000000000001</v>
      </c>
      <c r="AN75" s="593">
        <f ca="1">SUM(AL76:AM76)</f>
        <v>11.3575</v>
      </c>
      <c r="AO75" s="432">
        <f ca="1">SUM(AP76:AT76)</f>
        <v>139429214</v>
      </c>
      <c r="AP75" s="433"/>
      <c r="AQ75" s="433"/>
      <c r="AR75" s="433"/>
      <c r="AS75" s="433"/>
      <c r="AT75" s="433"/>
      <c r="AU75" s="420">
        <f ca="1">SUM(AV76:AW76)</f>
        <v>217.2038</v>
      </c>
      <c r="AV75" s="623"/>
      <c r="AW75" s="623"/>
    </row>
    <row r="76" spans="1:51" ht="13.5" thickBot="1" x14ac:dyDescent="0.25">
      <c r="D76" s="17"/>
      <c r="E76" s="12"/>
      <c r="F76" s="17"/>
      <c r="G76" s="42"/>
      <c r="H76" s="47" t="s">
        <v>0</v>
      </c>
      <c r="I76" s="271">
        <f t="shared" ref="I76:AW76" ca="1" si="222">SUM(I77:I86)</f>
        <v>133346237</v>
      </c>
      <c r="J76" s="63">
        <f t="shared" ca="1" si="222"/>
        <v>96839473</v>
      </c>
      <c r="K76" s="63">
        <f t="shared" ca="1" si="222"/>
        <v>32731739</v>
      </c>
      <c r="L76" s="63">
        <f t="shared" ca="1" si="222"/>
        <v>1936790</v>
      </c>
      <c r="M76" s="63">
        <f t="shared" ca="1" si="222"/>
        <v>1838235</v>
      </c>
      <c r="N76" s="64">
        <f t="shared" ca="1" si="222"/>
        <v>205.84629999999999</v>
      </c>
      <c r="O76" s="64">
        <f t="shared" ca="1" si="222"/>
        <v>136.70459999999997</v>
      </c>
      <c r="P76" s="65">
        <f t="shared" ca="1" si="222"/>
        <v>69.1417</v>
      </c>
      <c r="Q76" s="289">
        <f t="shared" ca="1" si="222"/>
        <v>-563992</v>
      </c>
      <c r="R76" s="289">
        <f t="shared" ca="1" si="222"/>
        <v>4736613</v>
      </c>
      <c r="S76" s="289">
        <f t="shared" ca="1" si="222"/>
        <v>0</v>
      </c>
      <c r="T76" s="289">
        <f t="shared" ca="1" si="222"/>
        <v>-248512</v>
      </c>
      <c r="U76" s="289">
        <f t="shared" ca="1" si="222"/>
        <v>3924109</v>
      </c>
      <c r="V76" s="289">
        <f t="shared" ca="1" si="222"/>
        <v>563992</v>
      </c>
      <c r="W76" s="289">
        <f t="shared" ca="1" si="222"/>
        <v>0</v>
      </c>
      <c r="X76" s="289">
        <f t="shared" ca="1" si="222"/>
        <v>0</v>
      </c>
      <c r="Y76" s="289">
        <f t="shared" ca="1" si="222"/>
        <v>563992</v>
      </c>
      <c r="Z76" s="289">
        <f t="shared" ca="1" si="222"/>
        <v>4488101</v>
      </c>
      <c r="AA76" s="289">
        <f t="shared" ca="1" si="222"/>
        <v>1516980</v>
      </c>
      <c r="AB76" s="289">
        <f t="shared" ca="1" si="222"/>
        <v>78481</v>
      </c>
      <c r="AC76" s="289">
        <f t="shared" ca="1" si="222"/>
        <v>0</v>
      </c>
      <c r="AD76" s="289">
        <f t="shared" ca="1" si="222"/>
        <v>-585</v>
      </c>
      <c r="AE76" s="289">
        <f t="shared" ca="1" si="222"/>
        <v>-585</v>
      </c>
      <c r="AF76" s="289">
        <f t="shared" ca="1" si="222"/>
        <v>6082977</v>
      </c>
      <c r="AG76" s="459">
        <f t="shared" ca="1" si="222"/>
        <v>-0.41000000000000003</v>
      </c>
      <c r="AH76" s="459">
        <f t="shared" ca="1" si="222"/>
        <v>-1.4400000000000002</v>
      </c>
      <c r="AI76" s="459">
        <f t="shared" ca="1" si="222"/>
        <v>13.73</v>
      </c>
      <c r="AJ76" s="459">
        <f t="shared" ca="1" si="222"/>
        <v>-0.5</v>
      </c>
      <c r="AK76" s="459">
        <f t="shared" ca="1" si="222"/>
        <v>-2.2499999999999999E-2</v>
      </c>
      <c r="AL76" s="459">
        <f t="shared" ca="1" si="222"/>
        <v>12.82</v>
      </c>
      <c r="AM76" s="459">
        <f t="shared" ca="1" si="222"/>
        <v>-1.4625000000000001</v>
      </c>
      <c r="AN76" s="442">
        <f t="shared" ca="1" si="222"/>
        <v>11.357500000000002</v>
      </c>
      <c r="AO76" s="271">
        <f t="shared" ca="1" si="222"/>
        <v>139429214</v>
      </c>
      <c r="AP76" s="289">
        <f t="shared" ca="1" si="222"/>
        <v>100763582</v>
      </c>
      <c r="AQ76" s="289">
        <f t="shared" ca="1" si="222"/>
        <v>563992</v>
      </c>
      <c r="AR76" s="289">
        <f t="shared" ca="1" si="222"/>
        <v>34248719</v>
      </c>
      <c r="AS76" s="289">
        <f t="shared" ca="1" si="222"/>
        <v>2015271</v>
      </c>
      <c r="AT76" s="289">
        <f t="shared" ca="1" si="222"/>
        <v>1837650</v>
      </c>
      <c r="AU76" s="459">
        <f t="shared" ca="1" si="222"/>
        <v>217.20379999999997</v>
      </c>
      <c r="AV76" s="459">
        <f t="shared" ca="1" si="222"/>
        <v>149.52460000000002</v>
      </c>
      <c r="AW76" s="460">
        <f t="shared" ca="1" si="222"/>
        <v>67.679199999999994</v>
      </c>
    </row>
    <row r="77" spans="1:51" x14ac:dyDescent="0.2">
      <c r="D77" s="17"/>
      <c r="E77" s="12"/>
      <c r="F77" s="17"/>
      <c r="G77" s="42"/>
      <c r="H77" s="1">
        <v>3111</v>
      </c>
      <c r="I77" s="318">
        <f t="shared" ref="I77:AW77" ca="1" si="223">SUMIF($F$12:$F$426,"=3111",I$12:I$382)</f>
        <v>26429008</v>
      </c>
      <c r="J77" s="319">
        <f t="shared" ca="1" si="223"/>
        <v>19325263</v>
      </c>
      <c r="K77" s="319">
        <f t="shared" ca="1" si="223"/>
        <v>6531939</v>
      </c>
      <c r="L77" s="319">
        <f t="shared" ca="1" si="223"/>
        <v>386506</v>
      </c>
      <c r="M77" s="319">
        <f t="shared" ca="1" si="223"/>
        <v>185300</v>
      </c>
      <c r="N77" s="320">
        <f t="shared" ca="1" si="223"/>
        <v>43.465600000000002</v>
      </c>
      <c r="O77" s="320">
        <f t="shared" ca="1" si="223"/>
        <v>31.985699999999994</v>
      </c>
      <c r="P77" s="321">
        <f t="shared" ca="1" si="223"/>
        <v>11.479899999999999</v>
      </c>
      <c r="Q77" s="322">
        <f t="shared" ca="1" si="223"/>
        <v>-28000</v>
      </c>
      <c r="R77" s="322">
        <f t="shared" ca="1" si="223"/>
        <v>692887</v>
      </c>
      <c r="S77" s="322">
        <f t="shared" ca="1" si="223"/>
        <v>0</v>
      </c>
      <c r="T77" s="322">
        <f t="shared" ca="1" si="223"/>
        <v>15650</v>
      </c>
      <c r="U77" s="322">
        <f t="shared" ca="1" si="223"/>
        <v>680537</v>
      </c>
      <c r="V77" s="322">
        <f t="shared" ca="1" si="223"/>
        <v>28000</v>
      </c>
      <c r="W77" s="322">
        <f t="shared" ca="1" si="223"/>
        <v>0</v>
      </c>
      <c r="X77" s="322">
        <f t="shared" ca="1" si="223"/>
        <v>0</v>
      </c>
      <c r="Y77" s="322">
        <f t="shared" ca="1" si="223"/>
        <v>28000</v>
      </c>
      <c r="Z77" s="322">
        <f t="shared" ca="1" si="223"/>
        <v>708537</v>
      </c>
      <c r="AA77" s="322">
        <f t="shared" ca="1" si="223"/>
        <v>239486</v>
      </c>
      <c r="AB77" s="322">
        <f t="shared" ca="1" si="223"/>
        <v>13610</v>
      </c>
      <c r="AC77" s="322">
        <f t="shared" ca="1" si="223"/>
        <v>0</v>
      </c>
      <c r="AD77" s="322">
        <f t="shared" ca="1" si="223"/>
        <v>0</v>
      </c>
      <c r="AE77" s="322">
        <f t="shared" ca="1" si="223"/>
        <v>0</v>
      </c>
      <c r="AF77" s="322">
        <f t="shared" ca="1" si="223"/>
        <v>961633</v>
      </c>
      <c r="AG77" s="446">
        <f t="shared" ca="1" si="223"/>
        <v>-0.04</v>
      </c>
      <c r="AH77" s="446">
        <f t="shared" ca="1" si="223"/>
        <v>-0.06</v>
      </c>
      <c r="AI77" s="446">
        <f t="shared" ca="1" si="223"/>
        <v>2</v>
      </c>
      <c r="AJ77" s="446">
        <f t="shared" ca="1" si="223"/>
        <v>0.03</v>
      </c>
      <c r="AK77" s="446">
        <f t="shared" ca="1" si="223"/>
        <v>0</v>
      </c>
      <c r="AL77" s="446">
        <f t="shared" ca="1" si="223"/>
        <v>1.99</v>
      </c>
      <c r="AM77" s="446">
        <f t="shared" ca="1" si="223"/>
        <v>-0.06</v>
      </c>
      <c r="AN77" s="443">
        <f t="shared" ca="1" si="223"/>
        <v>1.93</v>
      </c>
      <c r="AO77" s="318">
        <f t="shared" ca="1" si="223"/>
        <v>27390641</v>
      </c>
      <c r="AP77" s="322">
        <f t="shared" ca="1" si="223"/>
        <v>20005800</v>
      </c>
      <c r="AQ77" s="322">
        <f t="shared" ca="1" si="223"/>
        <v>28000</v>
      </c>
      <c r="AR77" s="322">
        <f t="shared" ca="1" si="223"/>
        <v>6771425</v>
      </c>
      <c r="AS77" s="322">
        <f t="shared" ca="1" si="223"/>
        <v>400116</v>
      </c>
      <c r="AT77" s="322">
        <f t="shared" ca="1" si="223"/>
        <v>185300</v>
      </c>
      <c r="AU77" s="446">
        <f t="shared" ca="1" si="223"/>
        <v>45.395600000000002</v>
      </c>
      <c r="AV77" s="446">
        <f t="shared" ca="1" si="223"/>
        <v>33.975699999999996</v>
      </c>
      <c r="AW77" s="461">
        <f t="shared" ca="1" si="223"/>
        <v>11.419899999999998</v>
      </c>
      <c r="AY77" s="7"/>
    </row>
    <row r="78" spans="1:51" x14ac:dyDescent="0.2">
      <c r="D78" s="17"/>
      <c r="E78" s="12"/>
      <c r="F78" s="17"/>
      <c r="G78" s="42"/>
      <c r="H78" s="2">
        <v>3113</v>
      </c>
      <c r="I78" s="324">
        <f t="shared" ref="I78:AW78" si="224">SUMIF($F$12:$F$426,"=3113",I$12:I$426)</f>
        <v>70492937</v>
      </c>
      <c r="J78" s="325">
        <f t="shared" si="224"/>
        <v>50885675</v>
      </c>
      <c r="K78" s="325">
        <f t="shared" si="224"/>
        <v>17199358</v>
      </c>
      <c r="L78" s="325">
        <f t="shared" si="224"/>
        <v>1017714</v>
      </c>
      <c r="M78" s="325">
        <f t="shared" si="224"/>
        <v>1390190</v>
      </c>
      <c r="N78" s="326">
        <f t="shared" si="224"/>
        <v>96.269300000000001</v>
      </c>
      <c r="O78" s="326">
        <f t="shared" si="224"/>
        <v>73.067899999999995</v>
      </c>
      <c r="P78" s="327">
        <f t="shared" si="224"/>
        <v>23.201400000000003</v>
      </c>
      <c r="Q78" s="328">
        <f t="shared" si="224"/>
        <v>-268800</v>
      </c>
      <c r="R78" s="328">
        <f t="shared" si="224"/>
        <v>3264228</v>
      </c>
      <c r="S78" s="328">
        <f t="shared" si="224"/>
        <v>0</v>
      </c>
      <c r="T78" s="328">
        <f t="shared" si="224"/>
        <v>-127405</v>
      </c>
      <c r="U78" s="328">
        <f t="shared" si="224"/>
        <v>2868023</v>
      </c>
      <c r="V78" s="328">
        <f t="shared" si="224"/>
        <v>268800</v>
      </c>
      <c r="W78" s="328">
        <f t="shared" si="224"/>
        <v>0</v>
      </c>
      <c r="X78" s="328">
        <f t="shared" si="224"/>
        <v>0</v>
      </c>
      <c r="Y78" s="328">
        <f t="shared" si="224"/>
        <v>268800</v>
      </c>
      <c r="Z78" s="328">
        <f t="shared" si="224"/>
        <v>3136823</v>
      </c>
      <c r="AA78" s="328">
        <f t="shared" si="224"/>
        <v>1060247</v>
      </c>
      <c r="AB78" s="328">
        <f t="shared" si="224"/>
        <v>57360</v>
      </c>
      <c r="AC78" s="328">
        <f t="shared" si="224"/>
        <v>0</v>
      </c>
      <c r="AD78" s="328">
        <f t="shared" si="224"/>
        <v>0</v>
      </c>
      <c r="AE78" s="328">
        <f t="shared" si="224"/>
        <v>0</v>
      </c>
      <c r="AF78" s="328">
        <f t="shared" si="224"/>
        <v>4254430</v>
      </c>
      <c r="AG78" s="447">
        <f t="shared" si="224"/>
        <v>-0.02</v>
      </c>
      <c r="AH78" s="447">
        <f t="shared" si="224"/>
        <v>-1.29</v>
      </c>
      <c r="AI78" s="447">
        <f t="shared" si="224"/>
        <v>9.48</v>
      </c>
      <c r="AJ78" s="447">
        <f t="shared" si="224"/>
        <v>-0.27</v>
      </c>
      <c r="AK78" s="447">
        <f t="shared" si="224"/>
        <v>0</v>
      </c>
      <c r="AL78" s="447">
        <f t="shared" si="224"/>
        <v>9.19</v>
      </c>
      <c r="AM78" s="447">
        <f t="shared" si="224"/>
        <v>-1.29</v>
      </c>
      <c r="AN78" s="444">
        <f t="shared" si="224"/>
        <v>7.8999999999999995</v>
      </c>
      <c r="AO78" s="324">
        <f t="shared" si="224"/>
        <v>74747367</v>
      </c>
      <c r="AP78" s="328">
        <f t="shared" si="224"/>
        <v>53753698</v>
      </c>
      <c r="AQ78" s="328">
        <f t="shared" si="224"/>
        <v>268800</v>
      </c>
      <c r="AR78" s="328">
        <f t="shared" si="224"/>
        <v>18259605</v>
      </c>
      <c r="AS78" s="328">
        <f t="shared" si="224"/>
        <v>1075074</v>
      </c>
      <c r="AT78" s="328">
        <f t="shared" si="224"/>
        <v>1390190</v>
      </c>
      <c r="AU78" s="447">
        <f t="shared" si="224"/>
        <v>104.16929999999999</v>
      </c>
      <c r="AV78" s="447">
        <f t="shared" si="224"/>
        <v>82.257899999999992</v>
      </c>
      <c r="AW78" s="462">
        <f t="shared" si="224"/>
        <v>21.9114</v>
      </c>
      <c r="AY78" s="7"/>
    </row>
    <row r="79" spans="1:51" x14ac:dyDescent="0.2">
      <c r="D79" s="17"/>
      <c r="E79" s="12"/>
      <c r="F79" s="17"/>
      <c r="G79" s="42"/>
      <c r="H79" s="2">
        <v>3114</v>
      </c>
      <c r="I79" s="324">
        <f t="shared" ref="I79:AW79" si="225">SUMIF($F$12:$F$426,"=3114",I$12:I$426)</f>
        <v>0</v>
      </c>
      <c r="J79" s="325">
        <f t="shared" si="225"/>
        <v>0</v>
      </c>
      <c r="K79" s="325">
        <f t="shared" si="225"/>
        <v>0</v>
      </c>
      <c r="L79" s="325">
        <f t="shared" si="225"/>
        <v>0</v>
      </c>
      <c r="M79" s="325">
        <f t="shared" si="225"/>
        <v>0</v>
      </c>
      <c r="N79" s="326">
        <f t="shared" si="225"/>
        <v>0</v>
      </c>
      <c r="O79" s="326">
        <f t="shared" si="225"/>
        <v>0</v>
      </c>
      <c r="P79" s="327">
        <f t="shared" si="225"/>
        <v>0</v>
      </c>
      <c r="Q79" s="328">
        <f t="shared" si="225"/>
        <v>0</v>
      </c>
      <c r="R79" s="328">
        <f t="shared" si="225"/>
        <v>0</v>
      </c>
      <c r="S79" s="328">
        <f t="shared" si="225"/>
        <v>0</v>
      </c>
      <c r="T79" s="328">
        <f t="shared" si="225"/>
        <v>0</v>
      </c>
      <c r="U79" s="328">
        <f t="shared" si="225"/>
        <v>0</v>
      </c>
      <c r="V79" s="328">
        <f t="shared" si="225"/>
        <v>0</v>
      </c>
      <c r="W79" s="328">
        <f t="shared" si="225"/>
        <v>0</v>
      </c>
      <c r="X79" s="328">
        <f t="shared" si="225"/>
        <v>0</v>
      </c>
      <c r="Y79" s="328">
        <f t="shared" si="225"/>
        <v>0</v>
      </c>
      <c r="Z79" s="328">
        <f t="shared" si="225"/>
        <v>0</v>
      </c>
      <c r="AA79" s="328">
        <f t="shared" si="225"/>
        <v>0</v>
      </c>
      <c r="AB79" s="328">
        <f t="shared" si="225"/>
        <v>0</v>
      </c>
      <c r="AC79" s="328">
        <f t="shared" si="225"/>
        <v>0</v>
      </c>
      <c r="AD79" s="328">
        <f t="shared" si="225"/>
        <v>0</v>
      </c>
      <c r="AE79" s="328">
        <f t="shared" si="225"/>
        <v>0</v>
      </c>
      <c r="AF79" s="328">
        <f t="shared" si="225"/>
        <v>0</v>
      </c>
      <c r="AG79" s="447">
        <f t="shared" si="225"/>
        <v>0</v>
      </c>
      <c r="AH79" s="447">
        <f t="shared" si="225"/>
        <v>0</v>
      </c>
      <c r="AI79" s="447">
        <f t="shared" si="225"/>
        <v>0</v>
      </c>
      <c r="AJ79" s="447">
        <f t="shared" si="225"/>
        <v>0</v>
      </c>
      <c r="AK79" s="447">
        <f t="shared" si="225"/>
        <v>0</v>
      </c>
      <c r="AL79" s="447">
        <f t="shared" si="225"/>
        <v>0</v>
      </c>
      <c r="AM79" s="447">
        <f t="shared" si="225"/>
        <v>0</v>
      </c>
      <c r="AN79" s="444">
        <f t="shared" si="225"/>
        <v>0</v>
      </c>
      <c r="AO79" s="324">
        <f t="shared" si="225"/>
        <v>0</v>
      </c>
      <c r="AP79" s="328">
        <f t="shared" si="225"/>
        <v>0</v>
      </c>
      <c r="AQ79" s="328">
        <f t="shared" si="225"/>
        <v>0</v>
      </c>
      <c r="AR79" s="328">
        <f t="shared" si="225"/>
        <v>0</v>
      </c>
      <c r="AS79" s="328">
        <f t="shared" si="225"/>
        <v>0</v>
      </c>
      <c r="AT79" s="328">
        <f t="shared" si="225"/>
        <v>0</v>
      </c>
      <c r="AU79" s="447">
        <f t="shared" si="225"/>
        <v>0</v>
      </c>
      <c r="AV79" s="447">
        <f t="shared" si="225"/>
        <v>0</v>
      </c>
      <c r="AW79" s="462">
        <f t="shared" si="225"/>
        <v>0</v>
      </c>
      <c r="AY79" s="7"/>
    </row>
    <row r="80" spans="1:51" x14ac:dyDescent="0.2">
      <c r="D80" s="17"/>
      <c r="E80" s="12"/>
      <c r="F80" s="17"/>
      <c r="G80" s="42"/>
      <c r="H80" s="2">
        <v>3117</v>
      </c>
      <c r="I80" s="324">
        <f t="shared" ref="I80:AW80" si="226">SUMIF($F$12:$F$426,"=3117",I$12:I$426)</f>
        <v>6389319</v>
      </c>
      <c r="J80" s="325">
        <f t="shared" si="226"/>
        <v>4610507</v>
      </c>
      <c r="K80" s="325">
        <f t="shared" si="226"/>
        <v>1558352</v>
      </c>
      <c r="L80" s="325">
        <f t="shared" si="226"/>
        <v>92210</v>
      </c>
      <c r="M80" s="325">
        <f t="shared" si="226"/>
        <v>128250</v>
      </c>
      <c r="N80" s="326">
        <f t="shared" si="226"/>
        <v>9.1920000000000002</v>
      </c>
      <c r="O80" s="326">
        <f t="shared" si="226"/>
        <v>6.3578000000000001</v>
      </c>
      <c r="P80" s="327">
        <f t="shared" si="226"/>
        <v>2.8342000000000001</v>
      </c>
      <c r="Q80" s="328">
        <f t="shared" si="226"/>
        <v>-4992</v>
      </c>
      <c r="R80" s="328">
        <f t="shared" si="226"/>
        <v>779498</v>
      </c>
      <c r="S80" s="328">
        <f t="shared" si="226"/>
        <v>0</v>
      </c>
      <c r="T80" s="328">
        <f t="shared" si="226"/>
        <v>0</v>
      </c>
      <c r="U80" s="328">
        <f t="shared" si="226"/>
        <v>774506</v>
      </c>
      <c r="V80" s="328">
        <f t="shared" si="226"/>
        <v>4992</v>
      </c>
      <c r="W80" s="328">
        <f t="shared" si="226"/>
        <v>0</v>
      </c>
      <c r="X80" s="328">
        <f t="shared" si="226"/>
        <v>0</v>
      </c>
      <c r="Y80" s="328">
        <f t="shared" si="226"/>
        <v>4992</v>
      </c>
      <c r="Z80" s="328">
        <f t="shared" si="226"/>
        <v>779498</v>
      </c>
      <c r="AA80" s="328">
        <f t="shared" si="226"/>
        <v>263471</v>
      </c>
      <c r="AB80" s="328">
        <f t="shared" si="226"/>
        <v>15490</v>
      </c>
      <c r="AC80" s="328">
        <f t="shared" si="226"/>
        <v>0</v>
      </c>
      <c r="AD80" s="328">
        <f t="shared" si="226"/>
        <v>0</v>
      </c>
      <c r="AE80" s="328">
        <f t="shared" si="226"/>
        <v>0</v>
      </c>
      <c r="AF80" s="328">
        <f t="shared" si="226"/>
        <v>1058459</v>
      </c>
      <c r="AG80" s="447">
        <f t="shared" si="226"/>
        <v>-0.01</v>
      </c>
      <c r="AH80" s="447">
        <f t="shared" si="226"/>
        <v>0</v>
      </c>
      <c r="AI80" s="447">
        <f t="shared" si="226"/>
        <v>2.25</v>
      </c>
      <c r="AJ80" s="447">
        <f t="shared" si="226"/>
        <v>0</v>
      </c>
      <c r="AK80" s="447">
        <f t="shared" si="226"/>
        <v>0</v>
      </c>
      <c r="AL80" s="447">
        <f t="shared" si="226"/>
        <v>2.2400000000000002</v>
      </c>
      <c r="AM80" s="447">
        <f t="shared" si="226"/>
        <v>0</v>
      </c>
      <c r="AN80" s="444">
        <f t="shared" si="226"/>
        <v>2.2400000000000002</v>
      </c>
      <c r="AO80" s="324">
        <f t="shared" si="226"/>
        <v>7447778</v>
      </c>
      <c r="AP80" s="328">
        <f t="shared" si="226"/>
        <v>5385013</v>
      </c>
      <c r="AQ80" s="328">
        <f t="shared" si="226"/>
        <v>4992</v>
      </c>
      <c r="AR80" s="328">
        <f t="shared" si="226"/>
        <v>1821823</v>
      </c>
      <c r="AS80" s="328">
        <f t="shared" si="226"/>
        <v>107700</v>
      </c>
      <c r="AT80" s="328">
        <f t="shared" si="226"/>
        <v>128250</v>
      </c>
      <c r="AU80" s="447">
        <f t="shared" si="226"/>
        <v>11.432</v>
      </c>
      <c r="AV80" s="447">
        <f t="shared" si="226"/>
        <v>8.5977999999999994</v>
      </c>
      <c r="AW80" s="462">
        <f t="shared" si="226"/>
        <v>2.8342000000000001</v>
      </c>
      <c r="AY80" s="7"/>
    </row>
    <row r="81" spans="4:51" x14ac:dyDescent="0.2">
      <c r="D81" s="17"/>
      <c r="E81" s="12"/>
      <c r="F81" s="17"/>
      <c r="G81" s="42"/>
      <c r="H81" s="2">
        <v>3122</v>
      </c>
      <c r="I81" s="324">
        <f t="shared" ref="I81:AW81" si="227">SUMIF($F$12:$F$382,"=3122",I$12:I$382)</f>
        <v>0</v>
      </c>
      <c r="J81" s="325">
        <f t="shared" si="227"/>
        <v>0</v>
      </c>
      <c r="K81" s="325">
        <f t="shared" si="227"/>
        <v>0</v>
      </c>
      <c r="L81" s="325">
        <f t="shared" si="227"/>
        <v>0</v>
      </c>
      <c r="M81" s="325">
        <f t="shared" si="227"/>
        <v>0</v>
      </c>
      <c r="N81" s="326">
        <f t="shared" si="227"/>
        <v>0</v>
      </c>
      <c r="O81" s="326">
        <f t="shared" si="227"/>
        <v>0</v>
      </c>
      <c r="P81" s="327">
        <f t="shared" si="227"/>
        <v>0</v>
      </c>
      <c r="Q81" s="328">
        <f t="shared" si="227"/>
        <v>0</v>
      </c>
      <c r="R81" s="328">
        <f t="shared" si="227"/>
        <v>0</v>
      </c>
      <c r="S81" s="328">
        <f t="shared" si="227"/>
        <v>0</v>
      </c>
      <c r="T81" s="328">
        <f t="shared" si="227"/>
        <v>0</v>
      </c>
      <c r="U81" s="328">
        <f t="shared" si="227"/>
        <v>0</v>
      </c>
      <c r="V81" s="328">
        <f t="shared" si="227"/>
        <v>0</v>
      </c>
      <c r="W81" s="328">
        <f t="shared" si="227"/>
        <v>0</v>
      </c>
      <c r="X81" s="328">
        <f t="shared" si="227"/>
        <v>0</v>
      </c>
      <c r="Y81" s="328">
        <f t="shared" si="227"/>
        <v>0</v>
      </c>
      <c r="Z81" s="328">
        <f t="shared" si="227"/>
        <v>0</v>
      </c>
      <c r="AA81" s="328">
        <f t="shared" si="227"/>
        <v>0</v>
      </c>
      <c r="AB81" s="328">
        <f t="shared" si="227"/>
        <v>0</v>
      </c>
      <c r="AC81" s="328">
        <f t="shared" si="227"/>
        <v>0</v>
      </c>
      <c r="AD81" s="328">
        <f t="shared" si="227"/>
        <v>0</v>
      </c>
      <c r="AE81" s="328">
        <f t="shared" si="227"/>
        <v>0</v>
      </c>
      <c r="AF81" s="328">
        <f t="shared" si="227"/>
        <v>0</v>
      </c>
      <c r="AG81" s="447">
        <f t="shared" si="227"/>
        <v>0</v>
      </c>
      <c r="AH81" s="447">
        <f t="shared" si="227"/>
        <v>0</v>
      </c>
      <c r="AI81" s="447">
        <f t="shared" si="227"/>
        <v>0</v>
      </c>
      <c r="AJ81" s="447">
        <f t="shared" si="227"/>
        <v>0</v>
      </c>
      <c r="AK81" s="447">
        <f t="shared" si="227"/>
        <v>0</v>
      </c>
      <c r="AL81" s="447">
        <f t="shared" si="227"/>
        <v>0</v>
      </c>
      <c r="AM81" s="447">
        <f t="shared" si="227"/>
        <v>0</v>
      </c>
      <c r="AN81" s="444">
        <f t="shared" si="227"/>
        <v>0</v>
      </c>
      <c r="AO81" s="324">
        <f t="shared" si="227"/>
        <v>0</v>
      </c>
      <c r="AP81" s="328">
        <f t="shared" si="227"/>
        <v>0</v>
      </c>
      <c r="AQ81" s="328">
        <f t="shared" si="227"/>
        <v>0</v>
      </c>
      <c r="AR81" s="328">
        <f t="shared" si="227"/>
        <v>0</v>
      </c>
      <c r="AS81" s="328">
        <f t="shared" si="227"/>
        <v>0</v>
      </c>
      <c r="AT81" s="328">
        <f t="shared" si="227"/>
        <v>0</v>
      </c>
      <c r="AU81" s="447">
        <f t="shared" si="227"/>
        <v>0</v>
      </c>
      <c r="AV81" s="447">
        <f t="shared" si="227"/>
        <v>0</v>
      </c>
      <c r="AW81" s="462">
        <f t="shared" si="227"/>
        <v>0</v>
      </c>
      <c r="AY81" s="7"/>
    </row>
    <row r="82" spans="4:51" x14ac:dyDescent="0.2">
      <c r="D82" s="17"/>
      <c r="E82" s="12"/>
      <c r="F82" s="17"/>
      <c r="G82" s="42"/>
      <c r="H82" s="2">
        <v>3124</v>
      </c>
      <c r="I82" s="324">
        <f t="shared" ref="I82:AW82" si="228">SUMIF($F$12:$F$382,"=3124",I$12:I$382)</f>
        <v>0</v>
      </c>
      <c r="J82" s="325">
        <f t="shared" si="228"/>
        <v>0</v>
      </c>
      <c r="K82" s="325">
        <f t="shared" si="228"/>
        <v>0</v>
      </c>
      <c r="L82" s="325">
        <f t="shared" si="228"/>
        <v>0</v>
      </c>
      <c r="M82" s="325">
        <f t="shared" si="228"/>
        <v>0</v>
      </c>
      <c r="N82" s="326">
        <f t="shared" si="228"/>
        <v>0</v>
      </c>
      <c r="O82" s="326">
        <f t="shared" si="228"/>
        <v>0</v>
      </c>
      <c r="P82" s="327">
        <f t="shared" si="228"/>
        <v>0</v>
      </c>
      <c r="Q82" s="328">
        <f t="shared" si="228"/>
        <v>0</v>
      </c>
      <c r="R82" s="328">
        <f t="shared" si="228"/>
        <v>0</v>
      </c>
      <c r="S82" s="328">
        <f t="shared" si="228"/>
        <v>0</v>
      </c>
      <c r="T82" s="328">
        <f t="shared" si="228"/>
        <v>0</v>
      </c>
      <c r="U82" s="328">
        <f t="shared" si="228"/>
        <v>0</v>
      </c>
      <c r="V82" s="328">
        <f t="shared" si="228"/>
        <v>0</v>
      </c>
      <c r="W82" s="328">
        <f t="shared" si="228"/>
        <v>0</v>
      </c>
      <c r="X82" s="328">
        <f t="shared" si="228"/>
        <v>0</v>
      </c>
      <c r="Y82" s="328">
        <f t="shared" si="228"/>
        <v>0</v>
      </c>
      <c r="Z82" s="328">
        <f t="shared" si="228"/>
        <v>0</v>
      </c>
      <c r="AA82" s="328">
        <f t="shared" si="228"/>
        <v>0</v>
      </c>
      <c r="AB82" s="328">
        <f t="shared" si="228"/>
        <v>0</v>
      </c>
      <c r="AC82" s="328">
        <f t="shared" si="228"/>
        <v>0</v>
      </c>
      <c r="AD82" s="328">
        <f t="shared" si="228"/>
        <v>0</v>
      </c>
      <c r="AE82" s="328">
        <f t="shared" si="228"/>
        <v>0</v>
      </c>
      <c r="AF82" s="328">
        <f t="shared" si="228"/>
        <v>0</v>
      </c>
      <c r="AG82" s="447">
        <f t="shared" si="228"/>
        <v>0</v>
      </c>
      <c r="AH82" s="447">
        <f t="shared" si="228"/>
        <v>0</v>
      </c>
      <c r="AI82" s="447">
        <f t="shared" si="228"/>
        <v>0</v>
      </c>
      <c r="AJ82" s="447">
        <f t="shared" si="228"/>
        <v>0</v>
      </c>
      <c r="AK82" s="447">
        <f t="shared" si="228"/>
        <v>0</v>
      </c>
      <c r="AL82" s="447">
        <f t="shared" si="228"/>
        <v>0</v>
      </c>
      <c r="AM82" s="447">
        <f t="shared" si="228"/>
        <v>0</v>
      </c>
      <c r="AN82" s="444">
        <f t="shared" si="228"/>
        <v>0</v>
      </c>
      <c r="AO82" s="324">
        <f t="shared" si="228"/>
        <v>0</v>
      </c>
      <c r="AP82" s="328">
        <f t="shared" si="228"/>
        <v>0</v>
      </c>
      <c r="AQ82" s="328">
        <f t="shared" si="228"/>
        <v>0</v>
      </c>
      <c r="AR82" s="328">
        <f t="shared" si="228"/>
        <v>0</v>
      </c>
      <c r="AS82" s="328">
        <f t="shared" si="228"/>
        <v>0</v>
      </c>
      <c r="AT82" s="328">
        <f t="shared" si="228"/>
        <v>0</v>
      </c>
      <c r="AU82" s="447">
        <f t="shared" si="228"/>
        <v>0</v>
      </c>
      <c r="AV82" s="447">
        <f t="shared" si="228"/>
        <v>0</v>
      </c>
      <c r="AW82" s="462">
        <f t="shared" si="228"/>
        <v>0</v>
      </c>
      <c r="AY82" s="7"/>
    </row>
    <row r="83" spans="4:51" x14ac:dyDescent="0.2">
      <c r="D83" s="17"/>
      <c r="E83" s="12"/>
      <c r="F83" s="17"/>
      <c r="G83" s="42"/>
      <c r="H83" s="2">
        <v>3141</v>
      </c>
      <c r="I83" s="324">
        <f t="shared" ref="I83:AW83" si="229">SUMIF($F$12:$F$426,"=3141",I$12:I$426)</f>
        <v>11427743</v>
      </c>
      <c r="J83" s="325">
        <f t="shared" si="229"/>
        <v>8358239</v>
      </c>
      <c r="K83" s="325">
        <f t="shared" si="229"/>
        <v>2825082</v>
      </c>
      <c r="L83" s="325">
        <f t="shared" si="229"/>
        <v>167166</v>
      </c>
      <c r="M83" s="325">
        <f t="shared" si="229"/>
        <v>77256</v>
      </c>
      <c r="N83" s="326">
        <f t="shared" si="229"/>
        <v>28.44</v>
      </c>
      <c r="O83" s="326">
        <f t="shared" si="229"/>
        <v>0</v>
      </c>
      <c r="P83" s="327">
        <f t="shared" si="229"/>
        <v>28.44</v>
      </c>
      <c r="Q83" s="328">
        <f t="shared" si="229"/>
        <v>-53600</v>
      </c>
      <c r="R83" s="328">
        <f t="shared" si="229"/>
        <v>0</v>
      </c>
      <c r="S83" s="328">
        <f t="shared" si="229"/>
        <v>0</v>
      </c>
      <c r="T83" s="328">
        <f t="shared" si="229"/>
        <v>0</v>
      </c>
      <c r="U83" s="328">
        <f t="shared" si="229"/>
        <v>-53600</v>
      </c>
      <c r="V83" s="328">
        <f t="shared" si="229"/>
        <v>53600</v>
      </c>
      <c r="W83" s="328">
        <f t="shared" si="229"/>
        <v>0</v>
      </c>
      <c r="X83" s="328">
        <f t="shared" si="229"/>
        <v>0</v>
      </c>
      <c r="Y83" s="328">
        <f t="shared" si="229"/>
        <v>53600</v>
      </c>
      <c r="Z83" s="328">
        <f t="shared" si="229"/>
        <v>0</v>
      </c>
      <c r="AA83" s="328">
        <f t="shared" si="229"/>
        <v>0</v>
      </c>
      <c r="AB83" s="328">
        <f t="shared" si="229"/>
        <v>-1072</v>
      </c>
      <c r="AC83" s="328">
        <f t="shared" si="229"/>
        <v>0</v>
      </c>
      <c r="AD83" s="328">
        <f t="shared" si="229"/>
        <v>0</v>
      </c>
      <c r="AE83" s="328">
        <f t="shared" si="229"/>
        <v>0</v>
      </c>
      <c r="AF83" s="328">
        <f t="shared" si="229"/>
        <v>-1072</v>
      </c>
      <c r="AG83" s="447">
        <f t="shared" si="229"/>
        <v>0</v>
      </c>
      <c r="AH83" s="447">
        <f t="shared" si="229"/>
        <v>0</v>
      </c>
      <c r="AI83" s="447">
        <f t="shared" si="229"/>
        <v>0</v>
      </c>
      <c r="AJ83" s="447">
        <f t="shared" si="229"/>
        <v>0</v>
      </c>
      <c r="AK83" s="447">
        <f t="shared" si="229"/>
        <v>0</v>
      </c>
      <c r="AL83" s="447">
        <f t="shared" si="229"/>
        <v>0</v>
      </c>
      <c r="AM83" s="447">
        <f t="shared" si="229"/>
        <v>0</v>
      </c>
      <c r="AN83" s="444">
        <f t="shared" si="229"/>
        <v>0</v>
      </c>
      <c r="AO83" s="324">
        <f t="shared" si="229"/>
        <v>11426671</v>
      </c>
      <c r="AP83" s="328">
        <f t="shared" si="229"/>
        <v>8304639</v>
      </c>
      <c r="AQ83" s="328">
        <f t="shared" si="229"/>
        <v>53600</v>
      </c>
      <c r="AR83" s="328">
        <f t="shared" si="229"/>
        <v>2825082</v>
      </c>
      <c r="AS83" s="328">
        <f t="shared" si="229"/>
        <v>166094</v>
      </c>
      <c r="AT83" s="328">
        <f t="shared" si="229"/>
        <v>77256</v>
      </c>
      <c r="AU83" s="447">
        <f t="shared" si="229"/>
        <v>28.44</v>
      </c>
      <c r="AV83" s="447">
        <f t="shared" si="229"/>
        <v>0</v>
      </c>
      <c r="AW83" s="462">
        <f t="shared" si="229"/>
        <v>28.44</v>
      </c>
      <c r="AY83" s="7"/>
    </row>
    <row r="84" spans="4:51" x14ac:dyDescent="0.2">
      <c r="D84" s="17"/>
      <c r="E84" s="12"/>
      <c r="F84" s="17"/>
      <c r="G84" s="42"/>
      <c r="H84" s="2">
        <v>3143</v>
      </c>
      <c r="I84" s="324">
        <f t="shared" ref="I84:AW84" si="230">SUMIF($F$12:$F$426,"=3143",I$12:I$426)</f>
        <v>6293898</v>
      </c>
      <c r="J84" s="325">
        <f t="shared" si="230"/>
        <v>4628741</v>
      </c>
      <c r="K84" s="325">
        <f t="shared" si="230"/>
        <v>1564514</v>
      </c>
      <c r="L84" s="325">
        <f t="shared" si="230"/>
        <v>92573</v>
      </c>
      <c r="M84" s="325">
        <f t="shared" si="230"/>
        <v>8070</v>
      </c>
      <c r="N84" s="326">
        <f t="shared" si="230"/>
        <v>10.521000000000001</v>
      </c>
      <c r="O84" s="326">
        <f t="shared" si="230"/>
        <v>9.9510000000000005</v>
      </c>
      <c r="P84" s="327">
        <f t="shared" si="230"/>
        <v>0.56999999999999995</v>
      </c>
      <c r="Q84" s="328">
        <f t="shared" si="230"/>
        <v>-13200</v>
      </c>
      <c r="R84" s="328">
        <f t="shared" si="230"/>
        <v>0</v>
      </c>
      <c r="S84" s="328">
        <f t="shared" si="230"/>
        <v>0</v>
      </c>
      <c r="T84" s="328">
        <f t="shared" si="230"/>
        <v>-48395</v>
      </c>
      <c r="U84" s="328">
        <f t="shared" si="230"/>
        <v>-61595</v>
      </c>
      <c r="V84" s="328">
        <f t="shared" si="230"/>
        <v>13200</v>
      </c>
      <c r="W84" s="328">
        <f t="shared" si="230"/>
        <v>0</v>
      </c>
      <c r="X84" s="328">
        <f t="shared" si="230"/>
        <v>0</v>
      </c>
      <c r="Y84" s="328">
        <f t="shared" si="230"/>
        <v>13200</v>
      </c>
      <c r="Z84" s="328">
        <f t="shared" si="230"/>
        <v>-48395</v>
      </c>
      <c r="AA84" s="328">
        <f t="shared" si="230"/>
        <v>-16358</v>
      </c>
      <c r="AB84" s="328">
        <f t="shared" si="230"/>
        <v>-1232</v>
      </c>
      <c r="AC84" s="328">
        <f t="shared" si="230"/>
        <v>0</v>
      </c>
      <c r="AD84" s="328">
        <f t="shared" si="230"/>
        <v>0</v>
      </c>
      <c r="AE84" s="328">
        <f t="shared" si="230"/>
        <v>0</v>
      </c>
      <c r="AF84" s="328">
        <f t="shared" si="230"/>
        <v>-65985</v>
      </c>
      <c r="AG84" s="447">
        <f t="shared" si="230"/>
        <v>0</v>
      </c>
      <c r="AH84" s="447">
        <f t="shared" si="230"/>
        <v>0</v>
      </c>
      <c r="AI84" s="447">
        <f t="shared" si="230"/>
        <v>0</v>
      </c>
      <c r="AJ84" s="447">
        <f t="shared" si="230"/>
        <v>-0.11</v>
      </c>
      <c r="AK84" s="447">
        <f t="shared" si="230"/>
        <v>0</v>
      </c>
      <c r="AL84" s="447">
        <f t="shared" si="230"/>
        <v>-0.11</v>
      </c>
      <c r="AM84" s="447">
        <f t="shared" si="230"/>
        <v>0</v>
      </c>
      <c r="AN84" s="444">
        <f t="shared" si="230"/>
        <v>-0.11</v>
      </c>
      <c r="AO84" s="324">
        <f t="shared" si="230"/>
        <v>6227913</v>
      </c>
      <c r="AP84" s="328">
        <f t="shared" si="230"/>
        <v>4567146</v>
      </c>
      <c r="AQ84" s="328">
        <f t="shared" si="230"/>
        <v>13200</v>
      </c>
      <c r="AR84" s="328">
        <f t="shared" si="230"/>
        <v>1548156</v>
      </c>
      <c r="AS84" s="328">
        <f t="shared" si="230"/>
        <v>91341</v>
      </c>
      <c r="AT84" s="328">
        <f t="shared" si="230"/>
        <v>8070</v>
      </c>
      <c r="AU84" s="447">
        <f t="shared" si="230"/>
        <v>10.411000000000001</v>
      </c>
      <c r="AV84" s="447">
        <f t="shared" si="230"/>
        <v>9.8410000000000011</v>
      </c>
      <c r="AW84" s="462">
        <f t="shared" si="230"/>
        <v>0.56999999999999995</v>
      </c>
      <c r="AY84" s="7"/>
    </row>
    <row r="85" spans="4:51" x14ac:dyDescent="0.2">
      <c r="D85" s="17"/>
      <c r="E85" s="12"/>
      <c r="F85" s="17"/>
      <c r="G85" s="42"/>
      <c r="H85" s="2">
        <v>3231</v>
      </c>
      <c r="I85" s="324">
        <f t="shared" ref="I85:AW85" si="231">SUMIF($F$12:$F$426,"=3231",I$12:I$426)</f>
        <v>10119521</v>
      </c>
      <c r="J85" s="325">
        <f t="shared" si="231"/>
        <v>7426580</v>
      </c>
      <c r="K85" s="325">
        <f t="shared" si="231"/>
        <v>2510184</v>
      </c>
      <c r="L85" s="325">
        <f t="shared" si="231"/>
        <v>148532</v>
      </c>
      <c r="M85" s="325">
        <f t="shared" si="231"/>
        <v>34225</v>
      </c>
      <c r="N85" s="326">
        <f t="shared" si="231"/>
        <v>14.388400000000001</v>
      </c>
      <c r="O85" s="326">
        <f t="shared" si="231"/>
        <v>12.7722</v>
      </c>
      <c r="P85" s="327">
        <f t="shared" si="231"/>
        <v>1.6162000000000001</v>
      </c>
      <c r="Q85" s="328">
        <f t="shared" si="231"/>
        <v>-35400</v>
      </c>
      <c r="R85" s="328">
        <f t="shared" si="231"/>
        <v>0</v>
      </c>
      <c r="S85" s="328">
        <f t="shared" si="231"/>
        <v>0</v>
      </c>
      <c r="T85" s="328">
        <f t="shared" si="231"/>
        <v>-88362</v>
      </c>
      <c r="U85" s="328">
        <f t="shared" si="231"/>
        <v>-123762</v>
      </c>
      <c r="V85" s="328">
        <f t="shared" si="231"/>
        <v>35400</v>
      </c>
      <c r="W85" s="328">
        <f t="shared" si="231"/>
        <v>0</v>
      </c>
      <c r="X85" s="328">
        <f t="shared" si="231"/>
        <v>0</v>
      </c>
      <c r="Y85" s="328">
        <f t="shared" si="231"/>
        <v>35400</v>
      </c>
      <c r="Z85" s="328">
        <f t="shared" si="231"/>
        <v>-88362</v>
      </c>
      <c r="AA85" s="328">
        <f t="shared" si="231"/>
        <v>-29866</v>
      </c>
      <c r="AB85" s="328">
        <f t="shared" si="231"/>
        <v>-2475</v>
      </c>
      <c r="AC85" s="328">
        <f t="shared" si="231"/>
        <v>0</v>
      </c>
      <c r="AD85" s="328">
        <f t="shared" si="231"/>
        <v>-585</v>
      </c>
      <c r="AE85" s="328">
        <f t="shared" si="231"/>
        <v>-585</v>
      </c>
      <c r="AF85" s="328">
        <f t="shared" si="231"/>
        <v>-121288</v>
      </c>
      <c r="AG85" s="447">
        <f t="shared" si="231"/>
        <v>-0.08</v>
      </c>
      <c r="AH85" s="447">
        <f t="shared" si="231"/>
        <v>0</v>
      </c>
      <c r="AI85" s="447">
        <f t="shared" si="231"/>
        <v>0</v>
      </c>
      <c r="AJ85" s="447">
        <f t="shared" si="231"/>
        <v>-0.15</v>
      </c>
      <c r="AK85" s="447">
        <f t="shared" si="231"/>
        <v>-2.2499999999999999E-2</v>
      </c>
      <c r="AL85" s="447">
        <f t="shared" si="231"/>
        <v>-0.22999999999999998</v>
      </c>
      <c r="AM85" s="447">
        <f t="shared" si="231"/>
        <v>-2.2499999999999999E-2</v>
      </c>
      <c r="AN85" s="444">
        <f t="shared" si="231"/>
        <v>-0.2525</v>
      </c>
      <c r="AO85" s="324">
        <f t="shared" si="231"/>
        <v>9998233</v>
      </c>
      <c r="AP85" s="328">
        <f t="shared" si="231"/>
        <v>7302818</v>
      </c>
      <c r="AQ85" s="328">
        <f t="shared" si="231"/>
        <v>35400</v>
      </c>
      <c r="AR85" s="328">
        <f t="shared" si="231"/>
        <v>2480318</v>
      </c>
      <c r="AS85" s="328">
        <f t="shared" si="231"/>
        <v>146057</v>
      </c>
      <c r="AT85" s="328">
        <f t="shared" si="231"/>
        <v>33640</v>
      </c>
      <c r="AU85" s="447">
        <f t="shared" si="231"/>
        <v>14.135900000000001</v>
      </c>
      <c r="AV85" s="447">
        <f t="shared" si="231"/>
        <v>12.542199999999999</v>
      </c>
      <c r="AW85" s="462">
        <f t="shared" si="231"/>
        <v>1.5937000000000001</v>
      </c>
      <c r="AY85" s="7"/>
    </row>
    <row r="86" spans="4:51" ht="13.5" thickBot="1" x14ac:dyDescent="0.25">
      <c r="D86" s="17"/>
      <c r="E86" s="12"/>
      <c r="F86" s="17"/>
      <c r="G86" s="42"/>
      <c r="H86" s="291">
        <v>3233</v>
      </c>
      <c r="I86" s="330">
        <f t="shared" ref="I86:AW86" si="232">SUMIF($F$12:$F$426,"=3233",I$12:I$426)</f>
        <v>2193811</v>
      </c>
      <c r="J86" s="331">
        <f t="shared" si="232"/>
        <v>1604468</v>
      </c>
      <c r="K86" s="331">
        <f t="shared" si="232"/>
        <v>542310</v>
      </c>
      <c r="L86" s="331">
        <f t="shared" si="232"/>
        <v>32089</v>
      </c>
      <c r="M86" s="331">
        <f t="shared" si="232"/>
        <v>14944</v>
      </c>
      <c r="N86" s="332">
        <f t="shared" si="232"/>
        <v>3.57</v>
      </c>
      <c r="O86" s="332">
        <f t="shared" si="232"/>
        <v>2.57</v>
      </c>
      <c r="P86" s="333">
        <f t="shared" si="232"/>
        <v>1</v>
      </c>
      <c r="Q86" s="334">
        <f t="shared" si="232"/>
        <v>-160000</v>
      </c>
      <c r="R86" s="334">
        <f t="shared" si="232"/>
        <v>0</v>
      </c>
      <c r="S86" s="334">
        <f t="shared" si="232"/>
        <v>0</v>
      </c>
      <c r="T86" s="334">
        <f t="shared" si="232"/>
        <v>0</v>
      </c>
      <c r="U86" s="334">
        <f t="shared" si="232"/>
        <v>-160000</v>
      </c>
      <c r="V86" s="334">
        <f t="shared" si="232"/>
        <v>160000</v>
      </c>
      <c r="W86" s="334">
        <f t="shared" si="232"/>
        <v>0</v>
      </c>
      <c r="X86" s="334">
        <f t="shared" si="232"/>
        <v>0</v>
      </c>
      <c r="Y86" s="334">
        <f t="shared" si="232"/>
        <v>160000</v>
      </c>
      <c r="Z86" s="334">
        <f t="shared" si="232"/>
        <v>0</v>
      </c>
      <c r="AA86" s="334">
        <f t="shared" si="232"/>
        <v>0</v>
      </c>
      <c r="AB86" s="334">
        <f t="shared" si="232"/>
        <v>-3200</v>
      </c>
      <c r="AC86" s="334">
        <f t="shared" si="232"/>
        <v>0</v>
      </c>
      <c r="AD86" s="334">
        <f t="shared" si="232"/>
        <v>0</v>
      </c>
      <c r="AE86" s="334">
        <f t="shared" si="232"/>
        <v>0</v>
      </c>
      <c r="AF86" s="334">
        <f t="shared" si="232"/>
        <v>-3200</v>
      </c>
      <c r="AG86" s="448">
        <f t="shared" si="232"/>
        <v>-0.26</v>
      </c>
      <c r="AH86" s="448">
        <f t="shared" si="232"/>
        <v>-0.09</v>
      </c>
      <c r="AI86" s="448">
        <f t="shared" si="232"/>
        <v>0</v>
      </c>
      <c r="AJ86" s="448">
        <f t="shared" si="232"/>
        <v>0</v>
      </c>
      <c r="AK86" s="448">
        <f t="shared" si="232"/>
        <v>0</v>
      </c>
      <c r="AL86" s="448">
        <f t="shared" si="232"/>
        <v>-0.26</v>
      </c>
      <c r="AM86" s="448">
        <f t="shared" si="232"/>
        <v>-0.09</v>
      </c>
      <c r="AN86" s="445">
        <f t="shared" si="232"/>
        <v>-0.35</v>
      </c>
      <c r="AO86" s="330">
        <f t="shared" si="232"/>
        <v>2190611</v>
      </c>
      <c r="AP86" s="334">
        <f t="shared" si="232"/>
        <v>1444468</v>
      </c>
      <c r="AQ86" s="334">
        <f t="shared" si="232"/>
        <v>160000</v>
      </c>
      <c r="AR86" s="334">
        <f t="shared" si="232"/>
        <v>542310</v>
      </c>
      <c r="AS86" s="334">
        <f t="shared" si="232"/>
        <v>28889</v>
      </c>
      <c r="AT86" s="334">
        <f t="shared" si="232"/>
        <v>14944</v>
      </c>
      <c r="AU86" s="448">
        <f t="shared" si="232"/>
        <v>3.2199999999999998</v>
      </c>
      <c r="AV86" s="448">
        <f t="shared" si="232"/>
        <v>2.3099999999999996</v>
      </c>
      <c r="AW86" s="463">
        <f t="shared" si="232"/>
        <v>0.91</v>
      </c>
      <c r="AY86" s="7"/>
    </row>
    <row r="87" spans="4:51" x14ac:dyDescent="0.2">
      <c r="D87" s="12"/>
      <c r="E87" s="12"/>
      <c r="F87" s="12"/>
      <c r="G87" s="42"/>
      <c r="H87" s="12"/>
      <c r="I87" s="28"/>
      <c r="J87" s="28"/>
      <c r="K87" s="28"/>
      <c r="L87" s="28"/>
      <c r="M87" s="28"/>
      <c r="N87" s="7"/>
      <c r="O87" s="7"/>
      <c r="P87" s="7"/>
    </row>
    <row r="89" spans="4:51" x14ac:dyDescent="0.2">
      <c r="I89"/>
      <c r="J89"/>
      <c r="K89"/>
      <c r="L89"/>
      <c r="M89"/>
      <c r="Q89"/>
    </row>
    <row r="92" spans="4:51" x14ac:dyDescent="0.2">
      <c r="N92" s="16"/>
      <c r="O92" s="16"/>
      <c r="P92" s="16"/>
    </row>
  </sheetData>
  <mergeCells count="24">
    <mergeCell ref="AO6:AW7"/>
    <mergeCell ref="Z7:Z10"/>
    <mergeCell ref="AB7:AB10"/>
    <mergeCell ref="AC7:AE9"/>
    <mergeCell ref="AF7:AF10"/>
    <mergeCell ref="AG7:AN7"/>
    <mergeCell ref="AG8:AH9"/>
    <mergeCell ref="AI8:AI9"/>
    <mergeCell ref="AJ8:AK9"/>
    <mergeCell ref="AL8:AN9"/>
    <mergeCell ref="AO8:AO10"/>
    <mergeCell ref="AP8:AT9"/>
    <mergeCell ref="AU8:AU10"/>
    <mergeCell ref="AV8:AW9"/>
    <mergeCell ref="AA7:AA10"/>
    <mergeCell ref="A3:E3"/>
    <mergeCell ref="I8:I10"/>
    <mergeCell ref="I6:P7"/>
    <mergeCell ref="Q6:AN6"/>
    <mergeCell ref="Q7:U9"/>
    <mergeCell ref="V7:Y9"/>
    <mergeCell ref="J8:M9"/>
    <mergeCell ref="N8:N10"/>
    <mergeCell ref="O8:P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Y330"/>
  <sheetViews>
    <sheetView workbookViewId="0">
      <pane xSplit="8" ySplit="11" topLeftCell="AL12" activePane="bottomRight" state="frozen"/>
      <selection activeCell="AU1" sqref="AU1:AW1048576"/>
      <selection pane="topRight" activeCell="AU1" sqref="AU1:AW1048576"/>
      <selection pane="bottomLeft" activeCell="AU1" sqref="AU1:AW1048576"/>
      <selection pane="bottomRight" activeCell="AO8" sqref="AO8:AO10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97" customWidth="1"/>
    <col min="8" max="8" width="8" customWidth="1"/>
    <col min="9" max="13" width="10.7109375" style="16" customWidth="1"/>
    <col min="14" max="14" width="11.7109375" style="15" customWidth="1"/>
    <col min="15" max="16" width="10.7109375" style="15" customWidth="1"/>
    <col min="17" max="17" width="10.7109375" style="16" customWidth="1"/>
    <col min="18" max="32" width="10.7109375" customWidth="1"/>
    <col min="33" max="40" width="10.7109375" style="15" customWidth="1"/>
    <col min="41" max="46" width="10.7109375" customWidth="1"/>
    <col min="47" max="47" width="11.7109375" style="15" customWidth="1"/>
    <col min="48" max="49" width="10.7109375" style="15" customWidth="1"/>
    <col min="216" max="216" width="6.85546875" customWidth="1"/>
    <col min="217" max="217" width="29.85546875" customWidth="1"/>
    <col min="218" max="218" width="6.7109375" customWidth="1"/>
    <col min="219" max="219" width="32.28515625" customWidth="1"/>
    <col min="220" max="220" width="10.85546875" customWidth="1"/>
    <col min="221" max="221" width="11.7109375" customWidth="1"/>
    <col min="222" max="222" width="10.85546875" customWidth="1"/>
    <col min="223" max="223" width="10.5703125" customWidth="1"/>
    <col min="225" max="225" width="10.85546875" customWidth="1"/>
    <col min="228" max="228" width="12" customWidth="1"/>
    <col min="472" max="472" width="6.85546875" customWidth="1"/>
    <col min="473" max="473" width="29.85546875" customWidth="1"/>
    <col min="474" max="474" width="6.7109375" customWidth="1"/>
    <col min="475" max="475" width="32.28515625" customWidth="1"/>
    <col min="476" max="476" width="10.85546875" customWidth="1"/>
    <col min="477" max="477" width="11.7109375" customWidth="1"/>
    <col min="478" max="478" width="10.85546875" customWidth="1"/>
    <col min="479" max="479" width="10.5703125" customWidth="1"/>
    <col min="481" max="481" width="10.85546875" customWidth="1"/>
    <col min="484" max="484" width="12" customWidth="1"/>
    <col min="728" max="728" width="6.85546875" customWidth="1"/>
    <col min="729" max="729" width="29.85546875" customWidth="1"/>
    <col min="730" max="730" width="6.7109375" customWidth="1"/>
    <col min="731" max="731" width="32.28515625" customWidth="1"/>
    <col min="732" max="732" width="10.85546875" customWidth="1"/>
    <col min="733" max="733" width="11.7109375" customWidth="1"/>
    <col min="734" max="734" width="10.85546875" customWidth="1"/>
    <col min="735" max="735" width="10.5703125" customWidth="1"/>
    <col min="737" max="737" width="10.85546875" customWidth="1"/>
    <col min="740" max="740" width="12" customWidth="1"/>
    <col min="984" max="984" width="6.85546875" customWidth="1"/>
    <col min="985" max="985" width="29.85546875" customWidth="1"/>
    <col min="986" max="986" width="6.7109375" customWidth="1"/>
    <col min="987" max="987" width="32.28515625" customWidth="1"/>
    <col min="988" max="988" width="10.85546875" customWidth="1"/>
    <col min="989" max="989" width="11.7109375" customWidth="1"/>
    <col min="990" max="990" width="10.85546875" customWidth="1"/>
    <col min="991" max="991" width="10.5703125" customWidth="1"/>
    <col min="993" max="993" width="10.85546875" customWidth="1"/>
    <col min="996" max="996" width="12" customWidth="1"/>
    <col min="1240" max="1240" width="6.85546875" customWidth="1"/>
    <col min="1241" max="1241" width="29.85546875" customWidth="1"/>
    <col min="1242" max="1242" width="6.7109375" customWidth="1"/>
    <col min="1243" max="1243" width="32.28515625" customWidth="1"/>
    <col min="1244" max="1244" width="10.85546875" customWidth="1"/>
    <col min="1245" max="1245" width="11.7109375" customWidth="1"/>
    <col min="1246" max="1246" width="10.85546875" customWidth="1"/>
    <col min="1247" max="1247" width="10.5703125" customWidth="1"/>
    <col min="1249" max="1249" width="10.85546875" customWidth="1"/>
    <col min="1252" max="1252" width="12" customWidth="1"/>
    <col min="1496" max="1496" width="6.85546875" customWidth="1"/>
    <col min="1497" max="1497" width="29.85546875" customWidth="1"/>
    <col min="1498" max="1498" width="6.7109375" customWidth="1"/>
    <col min="1499" max="1499" width="32.28515625" customWidth="1"/>
    <col min="1500" max="1500" width="10.85546875" customWidth="1"/>
    <col min="1501" max="1501" width="11.7109375" customWidth="1"/>
    <col min="1502" max="1502" width="10.85546875" customWidth="1"/>
    <col min="1503" max="1503" width="10.5703125" customWidth="1"/>
    <col min="1505" max="1505" width="10.85546875" customWidth="1"/>
    <col min="1508" max="1508" width="12" customWidth="1"/>
    <col min="1752" max="1752" width="6.85546875" customWidth="1"/>
    <col min="1753" max="1753" width="29.85546875" customWidth="1"/>
    <col min="1754" max="1754" width="6.7109375" customWidth="1"/>
    <col min="1755" max="1755" width="32.28515625" customWidth="1"/>
    <col min="1756" max="1756" width="10.85546875" customWidth="1"/>
    <col min="1757" max="1757" width="11.7109375" customWidth="1"/>
    <col min="1758" max="1758" width="10.85546875" customWidth="1"/>
    <col min="1759" max="1759" width="10.5703125" customWidth="1"/>
    <col min="1761" max="1761" width="10.85546875" customWidth="1"/>
    <col min="1764" max="1764" width="12" customWidth="1"/>
    <col min="2008" max="2008" width="6.85546875" customWidth="1"/>
    <col min="2009" max="2009" width="29.85546875" customWidth="1"/>
    <col min="2010" max="2010" width="6.7109375" customWidth="1"/>
    <col min="2011" max="2011" width="32.28515625" customWidth="1"/>
    <col min="2012" max="2012" width="10.85546875" customWidth="1"/>
    <col min="2013" max="2013" width="11.7109375" customWidth="1"/>
    <col min="2014" max="2014" width="10.85546875" customWidth="1"/>
    <col min="2015" max="2015" width="10.5703125" customWidth="1"/>
    <col min="2017" max="2017" width="10.85546875" customWidth="1"/>
    <col min="2020" max="2020" width="12" customWidth="1"/>
    <col min="2264" max="2264" width="6.85546875" customWidth="1"/>
    <col min="2265" max="2265" width="29.85546875" customWidth="1"/>
    <col min="2266" max="2266" width="6.7109375" customWidth="1"/>
    <col min="2267" max="2267" width="32.28515625" customWidth="1"/>
    <col min="2268" max="2268" width="10.85546875" customWidth="1"/>
    <col min="2269" max="2269" width="11.7109375" customWidth="1"/>
    <col min="2270" max="2270" width="10.85546875" customWidth="1"/>
    <col min="2271" max="2271" width="10.5703125" customWidth="1"/>
    <col min="2273" max="2273" width="10.85546875" customWidth="1"/>
    <col min="2276" max="2276" width="12" customWidth="1"/>
    <col min="2520" max="2520" width="6.85546875" customWidth="1"/>
    <col min="2521" max="2521" width="29.85546875" customWidth="1"/>
    <col min="2522" max="2522" width="6.7109375" customWidth="1"/>
    <col min="2523" max="2523" width="32.28515625" customWidth="1"/>
    <col min="2524" max="2524" width="10.85546875" customWidth="1"/>
    <col min="2525" max="2525" width="11.7109375" customWidth="1"/>
    <col min="2526" max="2526" width="10.85546875" customWidth="1"/>
    <col min="2527" max="2527" width="10.5703125" customWidth="1"/>
    <col min="2529" max="2529" width="10.85546875" customWidth="1"/>
    <col min="2532" max="2532" width="12" customWidth="1"/>
    <col min="2776" max="2776" width="6.85546875" customWidth="1"/>
    <col min="2777" max="2777" width="29.85546875" customWidth="1"/>
    <col min="2778" max="2778" width="6.7109375" customWidth="1"/>
    <col min="2779" max="2779" width="32.28515625" customWidth="1"/>
    <col min="2780" max="2780" width="10.85546875" customWidth="1"/>
    <col min="2781" max="2781" width="11.7109375" customWidth="1"/>
    <col min="2782" max="2782" width="10.85546875" customWidth="1"/>
    <col min="2783" max="2783" width="10.5703125" customWidth="1"/>
    <col min="2785" max="2785" width="10.85546875" customWidth="1"/>
    <col min="2788" max="2788" width="12" customWidth="1"/>
    <col min="3032" max="3032" width="6.85546875" customWidth="1"/>
    <col min="3033" max="3033" width="29.85546875" customWidth="1"/>
    <col min="3034" max="3034" width="6.7109375" customWidth="1"/>
    <col min="3035" max="3035" width="32.28515625" customWidth="1"/>
    <col min="3036" max="3036" width="10.85546875" customWidth="1"/>
    <col min="3037" max="3037" width="11.7109375" customWidth="1"/>
    <col min="3038" max="3038" width="10.85546875" customWidth="1"/>
    <col min="3039" max="3039" width="10.5703125" customWidth="1"/>
    <col min="3041" max="3041" width="10.85546875" customWidth="1"/>
    <col min="3044" max="3044" width="12" customWidth="1"/>
    <col min="3288" max="3288" width="6.85546875" customWidth="1"/>
    <col min="3289" max="3289" width="29.85546875" customWidth="1"/>
    <col min="3290" max="3290" width="6.7109375" customWidth="1"/>
    <col min="3291" max="3291" width="32.28515625" customWidth="1"/>
    <col min="3292" max="3292" width="10.85546875" customWidth="1"/>
    <col min="3293" max="3293" width="11.7109375" customWidth="1"/>
    <col min="3294" max="3294" width="10.85546875" customWidth="1"/>
    <col min="3295" max="3295" width="10.5703125" customWidth="1"/>
    <col min="3297" max="3297" width="10.85546875" customWidth="1"/>
    <col min="3300" max="3300" width="12" customWidth="1"/>
    <col min="3544" max="3544" width="6.85546875" customWidth="1"/>
    <col min="3545" max="3545" width="29.85546875" customWidth="1"/>
    <col min="3546" max="3546" width="6.7109375" customWidth="1"/>
    <col min="3547" max="3547" width="32.28515625" customWidth="1"/>
    <col min="3548" max="3548" width="10.85546875" customWidth="1"/>
    <col min="3549" max="3549" width="11.7109375" customWidth="1"/>
    <col min="3550" max="3550" width="10.85546875" customWidth="1"/>
    <col min="3551" max="3551" width="10.5703125" customWidth="1"/>
    <col min="3553" max="3553" width="10.85546875" customWidth="1"/>
    <col min="3556" max="3556" width="12" customWidth="1"/>
    <col min="3800" max="3800" width="6.85546875" customWidth="1"/>
    <col min="3801" max="3801" width="29.85546875" customWidth="1"/>
    <col min="3802" max="3802" width="6.7109375" customWidth="1"/>
    <col min="3803" max="3803" width="32.28515625" customWidth="1"/>
    <col min="3804" max="3804" width="10.85546875" customWidth="1"/>
    <col min="3805" max="3805" width="11.7109375" customWidth="1"/>
    <col min="3806" max="3806" width="10.85546875" customWidth="1"/>
    <col min="3807" max="3807" width="10.5703125" customWidth="1"/>
    <col min="3809" max="3809" width="10.85546875" customWidth="1"/>
    <col min="3812" max="3812" width="12" customWidth="1"/>
    <col min="4056" max="4056" width="6.85546875" customWidth="1"/>
    <col min="4057" max="4057" width="29.85546875" customWidth="1"/>
    <col min="4058" max="4058" width="6.7109375" customWidth="1"/>
    <col min="4059" max="4059" width="32.28515625" customWidth="1"/>
    <col min="4060" max="4060" width="10.85546875" customWidth="1"/>
    <col min="4061" max="4061" width="11.7109375" customWidth="1"/>
    <col min="4062" max="4062" width="10.85546875" customWidth="1"/>
    <col min="4063" max="4063" width="10.5703125" customWidth="1"/>
    <col min="4065" max="4065" width="10.85546875" customWidth="1"/>
    <col min="4068" max="4068" width="12" customWidth="1"/>
    <col min="4312" max="4312" width="6.85546875" customWidth="1"/>
    <col min="4313" max="4313" width="29.85546875" customWidth="1"/>
    <col min="4314" max="4314" width="6.7109375" customWidth="1"/>
    <col min="4315" max="4315" width="32.28515625" customWidth="1"/>
    <col min="4316" max="4316" width="10.85546875" customWidth="1"/>
    <col min="4317" max="4317" width="11.7109375" customWidth="1"/>
    <col min="4318" max="4318" width="10.85546875" customWidth="1"/>
    <col min="4319" max="4319" width="10.5703125" customWidth="1"/>
    <col min="4321" max="4321" width="10.85546875" customWidth="1"/>
    <col min="4324" max="4324" width="12" customWidth="1"/>
    <col min="4568" max="4568" width="6.85546875" customWidth="1"/>
    <col min="4569" max="4569" width="29.85546875" customWidth="1"/>
    <col min="4570" max="4570" width="6.7109375" customWidth="1"/>
    <col min="4571" max="4571" width="32.28515625" customWidth="1"/>
    <col min="4572" max="4572" width="10.85546875" customWidth="1"/>
    <col min="4573" max="4573" width="11.7109375" customWidth="1"/>
    <col min="4574" max="4574" width="10.85546875" customWidth="1"/>
    <col min="4575" max="4575" width="10.5703125" customWidth="1"/>
    <col min="4577" max="4577" width="10.85546875" customWidth="1"/>
    <col min="4580" max="4580" width="12" customWidth="1"/>
    <col min="4824" max="4824" width="6.85546875" customWidth="1"/>
    <col min="4825" max="4825" width="29.85546875" customWidth="1"/>
    <col min="4826" max="4826" width="6.7109375" customWidth="1"/>
    <col min="4827" max="4827" width="32.28515625" customWidth="1"/>
    <col min="4828" max="4828" width="10.85546875" customWidth="1"/>
    <col min="4829" max="4829" width="11.7109375" customWidth="1"/>
    <col min="4830" max="4830" width="10.85546875" customWidth="1"/>
    <col min="4831" max="4831" width="10.5703125" customWidth="1"/>
    <col min="4833" max="4833" width="10.85546875" customWidth="1"/>
    <col min="4836" max="4836" width="12" customWidth="1"/>
    <col min="5080" max="5080" width="6.85546875" customWidth="1"/>
    <col min="5081" max="5081" width="29.85546875" customWidth="1"/>
    <col min="5082" max="5082" width="6.7109375" customWidth="1"/>
    <col min="5083" max="5083" width="32.28515625" customWidth="1"/>
    <col min="5084" max="5084" width="10.85546875" customWidth="1"/>
    <col min="5085" max="5085" width="11.7109375" customWidth="1"/>
    <col min="5086" max="5086" width="10.85546875" customWidth="1"/>
    <col min="5087" max="5087" width="10.5703125" customWidth="1"/>
    <col min="5089" max="5089" width="10.85546875" customWidth="1"/>
    <col min="5092" max="5092" width="12" customWidth="1"/>
    <col min="5336" max="5336" width="6.85546875" customWidth="1"/>
    <col min="5337" max="5337" width="29.85546875" customWidth="1"/>
    <col min="5338" max="5338" width="6.7109375" customWidth="1"/>
    <col min="5339" max="5339" width="32.28515625" customWidth="1"/>
    <col min="5340" max="5340" width="10.85546875" customWidth="1"/>
    <col min="5341" max="5341" width="11.7109375" customWidth="1"/>
    <col min="5342" max="5342" width="10.85546875" customWidth="1"/>
    <col min="5343" max="5343" width="10.5703125" customWidth="1"/>
    <col min="5345" max="5345" width="10.85546875" customWidth="1"/>
    <col min="5348" max="5348" width="12" customWidth="1"/>
    <col min="5592" max="5592" width="6.85546875" customWidth="1"/>
    <col min="5593" max="5593" width="29.85546875" customWidth="1"/>
    <col min="5594" max="5594" width="6.7109375" customWidth="1"/>
    <col min="5595" max="5595" width="32.28515625" customWidth="1"/>
    <col min="5596" max="5596" width="10.85546875" customWidth="1"/>
    <col min="5597" max="5597" width="11.7109375" customWidth="1"/>
    <col min="5598" max="5598" width="10.85546875" customWidth="1"/>
    <col min="5599" max="5599" width="10.5703125" customWidth="1"/>
    <col min="5601" max="5601" width="10.85546875" customWidth="1"/>
    <col min="5604" max="5604" width="12" customWidth="1"/>
    <col min="5848" max="5848" width="6.85546875" customWidth="1"/>
    <col min="5849" max="5849" width="29.85546875" customWidth="1"/>
    <col min="5850" max="5850" width="6.7109375" customWidth="1"/>
    <col min="5851" max="5851" width="32.28515625" customWidth="1"/>
    <col min="5852" max="5852" width="10.85546875" customWidth="1"/>
    <col min="5853" max="5853" width="11.7109375" customWidth="1"/>
    <col min="5854" max="5854" width="10.85546875" customWidth="1"/>
    <col min="5855" max="5855" width="10.5703125" customWidth="1"/>
    <col min="5857" max="5857" width="10.85546875" customWidth="1"/>
    <col min="5860" max="5860" width="12" customWidth="1"/>
    <col min="6104" max="6104" width="6.85546875" customWidth="1"/>
    <col min="6105" max="6105" width="29.85546875" customWidth="1"/>
    <col min="6106" max="6106" width="6.7109375" customWidth="1"/>
    <col min="6107" max="6107" width="32.28515625" customWidth="1"/>
    <col min="6108" max="6108" width="10.85546875" customWidth="1"/>
    <col min="6109" max="6109" width="11.7109375" customWidth="1"/>
    <col min="6110" max="6110" width="10.85546875" customWidth="1"/>
    <col min="6111" max="6111" width="10.5703125" customWidth="1"/>
    <col min="6113" max="6113" width="10.85546875" customWidth="1"/>
    <col min="6116" max="6116" width="12" customWidth="1"/>
    <col min="6360" max="6360" width="6.85546875" customWidth="1"/>
    <col min="6361" max="6361" width="29.85546875" customWidth="1"/>
    <col min="6362" max="6362" width="6.7109375" customWidth="1"/>
    <col min="6363" max="6363" width="32.28515625" customWidth="1"/>
    <col min="6364" max="6364" width="10.85546875" customWidth="1"/>
    <col min="6365" max="6365" width="11.7109375" customWidth="1"/>
    <col min="6366" max="6366" width="10.85546875" customWidth="1"/>
    <col min="6367" max="6367" width="10.5703125" customWidth="1"/>
    <col min="6369" max="6369" width="10.85546875" customWidth="1"/>
    <col min="6372" max="6372" width="12" customWidth="1"/>
    <col min="6616" max="6616" width="6.85546875" customWidth="1"/>
    <col min="6617" max="6617" width="29.85546875" customWidth="1"/>
    <col min="6618" max="6618" width="6.7109375" customWidth="1"/>
    <col min="6619" max="6619" width="32.28515625" customWidth="1"/>
    <col min="6620" max="6620" width="10.85546875" customWidth="1"/>
    <col min="6621" max="6621" width="11.7109375" customWidth="1"/>
    <col min="6622" max="6622" width="10.85546875" customWidth="1"/>
    <col min="6623" max="6623" width="10.5703125" customWidth="1"/>
    <col min="6625" max="6625" width="10.85546875" customWidth="1"/>
    <col min="6628" max="6628" width="12" customWidth="1"/>
    <col min="6872" max="6872" width="6.85546875" customWidth="1"/>
    <col min="6873" max="6873" width="29.85546875" customWidth="1"/>
    <col min="6874" max="6874" width="6.7109375" customWidth="1"/>
    <col min="6875" max="6875" width="32.28515625" customWidth="1"/>
    <col min="6876" max="6876" width="10.85546875" customWidth="1"/>
    <col min="6877" max="6877" width="11.7109375" customWidth="1"/>
    <col min="6878" max="6878" width="10.85546875" customWidth="1"/>
    <col min="6879" max="6879" width="10.5703125" customWidth="1"/>
    <col min="6881" max="6881" width="10.85546875" customWidth="1"/>
    <col min="6884" max="6884" width="12" customWidth="1"/>
    <col min="7128" max="7128" width="6.85546875" customWidth="1"/>
    <col min="7129" max="7129" width="29.85546875" customWidth="1"/>
    <col min="7130" max="7130" width="6.7109375" customWidth="1"/>
    <col min="7131" max="7131" width="32.28515625" customWidth="1"/>
    <col min="7132" max="7132" width="10.85546875" customWidth="1"/>
    <col min="7133" max="7133" width="11.7109375" customWidth="1"/>
    <col min="7134" max="7134" width="10.85546875" customWidth="1"/>
    <col min="7135" max="7135" width="10.5703125" customWidth="1"/>
    <col min="7137" max="7137" width="10.85546875" customWidth="1"/>
    <col min="7140" max="7140" width="12" customWidth="1"/>
    <col min="7384" max="7384" width="6.85546875" customWidth="1"/>
    <col min="7385" max="7385" width="29.85546875" customWidth="1"/>
    <col min="7386" max="7386" width="6.7109375" customWidth="1"/>
    <col min="7387" max="7387" width="32.28515625" customWidth="1"/>
    <col min="7388" max="7388" width="10.85546875" customWidth="1"/>
    <col min="7389" max="7389" width="11.7109375" customWidth="1"/>
    <col min="7390" max="7390" width="10.85546875" customWidth="1"/>
    <col min="7391" max="7391" width="10.5703125" customWidth="1"/>
    <col min="7393" max="7393" width="10.85546875" customWidth="1"/>
    <col min="7396" max="7396" width="12" customWidth="1"/>
    <col min="7640" max="7640" width="6.85546875" customWidth="1"/>
    <col min="7641" max="7641" width="29.85546875" customWidth="1"/>
    <col min="7642" max="7642" width="6.7109375" customWidth="1"/>
    <col min="7643" max="7643" width="32.28515625" customWidth="1"/>
    <col min="7644" max="7644" width="10.85546875" customWidth="1"/>
    <col min="7645" max="7645" width="11.7109375" customWidth="1"/>
    <col min="7646" max="7646" width="10.85546875" customWidth="1"/>
    <col min="7647" max="7647" width="10.5703125" customWidth="1"/>
    <col min="7649" max="7649" width="10.85546875" customWidth="1"/>
    <col min="7652" max="7652" width="12" customWidth="1"/>
    <col min="7896" max="7896" width="6.85546875" customWidth="1"/>
    <col min="7897" max="7897" width="29.85546875" customWidth="1"/>
    <col min="7898" max="7898" width="6.7109375" customWidth="1"/>
    <col min="7899" max="7899" width="32.28515625" customWidth="1"/>
    <col min="7900" max="7900" width="10.85546875" customWidth="1"/>
    <col min="7901" max="7901" width="11.7109375" customWidth="1"/>
    <col min="7902" max="7902" width="10.85546875" customWidth="1"/>
    <col min="7903" max="7903" width="10.5703125" customWidth="1"/>
    <col min="7905" max="7905" width="10.85546875" customWidth="1"/>
    <col min="7908" max="7908" width="12" customWidth="1"/>
    <col min="8152" max="8152" width="6.85546875" customWidth="1"/>
    <col min="8153" max="8153" width="29.85546875" customWidth="1"/>
    <col min="8154" max="8154" width="6.7109375" customWidth="1"/>
    <col min="8155" max="8155" width="32.28515625" customWidth="1"/>
    <col min="8156" max="8156" width="10.85546875" customWidth="1"/>
    <col min="8157" max="8157" width="11.7109375" customWidth="1"/>
    <col min="8158" max="8158" width="10.85546875" customWidth="1"/>
    <col min="8159" max="8159" width="10.5703125" customWidth="1"/>
    <col min="8161" max="8161" width="10.85546875" customWidth="1"/>
    <col min="8164" max="8164" width="12" customWidth="1"/>
    <col min="8408" max="8408" width="6.85546875" customWidth="1"/>
    <col min="8409" max="8409" width="29.85546875" customWidth="1"/>
    <col min="8410" max="8410" width="6.7109375" customWidth="1"/>
    <col min="8411" max="8411" width="32.28515625" customWidth="1"/>
    <col min="8412" max="8412" width="10.85546875" customWidth="1"/>
    <col min="8413" max="8413" width="11.7109375" customWidth="1"/>
    <col min="8414" max="8414" width="10.85546875" customWidth="1"/>
    <col min="8415" max="8415" width="10.5703125" customWidth="1"/>
    <col min="8417" max="8417" width="10.85546875" customWidth="1"/>
    <col min="8420" max="8420" width="12" customWidth="1"/>
    <col min="8664" max="8664" width="6.85546875" customWidth="1"/>
    <col min="8665" max="8665" width="29.85546875" customWidth="1"/>
    <col min="8666" max="8666" width="6.7109375" customWidth="1"/>
    <col min="8667" max="8667" width="32.28515625" customWidth="1"/>
    <col min="8668" max="8668" width="10.85546875" customWidth="1"/>
    <col min="8669" max="8669" width="11.7109375" customWidth="1"/>
    <col min="8670" max="8670" width="10.85546875" customWidth="1"/>
    <col min="8671" max="8671" width="10.5703125" customWidth="1"/>
    <col min="8673" max="8673" width="10.85546875" customWidth="1"/>
    <col min="8676" max="8676" width="12" customWidth="1"/>
    <col min="8920" max="8920" width="6.85546875" customWidth="1"/>
    <col min="8921" max="8921" width="29.85546875" customWidth="1"/>
    <col min="8922" max="8922" width="6.7109375" customWidth="1"/>
    <col min="8923" max="8923" width="32.28515625" customWidth="1"/>
    <col min="8924" max="8924" width="10.85546875" customWidth="1"/>
    <col min="8925" max="8925" width="11.7109375" customWidth="1"/>
    <col min="8926" max="8926" width="10.85546875" customWidth="1"/>
    <col min="8927" max="8927" width="10.5703125" customWidth="1"/>
    <col min="8929" max="8929" width="10.85546875" customWidth="1"/>
    <col min="8932" max="8932" width="12" customWidth="1"/>
    <col min="9176" max="9176" width="6.85546875" customWidth="1"/>
    <col min="9177" max="9177" width="29.85546875" customWidth="1"/>
    <col min="9178" max="9178" width="6.7109375" customWidth="1"/>
    <col min="9179" max="9179" width="32.28515625" customWidth="1"/>
    <col min="9180" max="9180" width="10.85546875" customWidth="1"/>
    <col min="9181" max="9181" width="11.7109375" customWidth="1"/>
    <col min="9182" max="9182" width="10.85546875" customWidth="1"/>
    <col min="9183" max="9183" width="10.5703125" customWidth="1"/>
    <col min="9185" max="9185" width="10.85546875" customWidth="1"/>
    <col min="9188" max="9188" width="12" customWidth="1"/>
    <col min="9432" max="9432" width="6.85546875" customWidth="1"/>
    <col min="9433" max="9433" width="29.85546875" customWidth="1"/>
    <col min="9434" max="9434" width="6.7109375" customWidth="1"/>
    <col min="9435" max="9435" width="32.28515625" customWidth="1"/>
    <col min="9436" max="9436" width="10.85546875" customWidth="1"/>
    <col min="9437" max="9437" width="11.7109375" customWidth="1"/>
    <col min="9438" max="9438" width="10.85546875" customWidth="1"/>
    <col min="9439" max="9439" width="10.5703125" customWidth="1"/>
    <col min="9441" max="9441" width="10.85546875" customWidth="1"/>
    <col min="9444" max="9444" width="12" customWidth="1"/>
    <col min="9688" max="9688" width="6.85546875" customWidth="1"/>
    <col min="9689" max="9689" width="29.85546875" customWidth="1"/>
    <col min="9690" max="9690" width="6.7109375" customWidth="1"/>
    <col min="9691" max="9691" width="32.28515625" customWidth="1"/>
    <col min="9692" max="9692" width="10.85546875" customWidth="1"/>
    <col min="9693" max="9693" width="11.7109375" customWidth="1"/>
    <col min="9694" max="9694" width="10.85546875" customWidth="1"/>
    <col min="9695" max="9695" width="10.5703125" customWidth="1"/>
    <col min="9697" max="9697" width="10.85546875" customWidth="1"/>
    <col min="9700" max="9700" width="12" customWidth="1"/>
    <col min="9944" max="9944" width="6.85546875" customWidth="1"/>
    <col min="9945" max="9945" width="29.85546875" customWidth="1"/>
    <col min="9946" max="9946" width="6.7109375" customWidth="1"/>
    <col min="9947" max="9947" width="32.28515625" customWidth="1"/>
    <col min="9948" max="9948" width="10.85546875" customWidth="1"/>
    <col min="9949" max="9949" width="11.7109375" customWidth="1"/>
    <col min="9950" max="9950" width="10.85546875" customWidth="1"/>
    <col min="9951" max="9951" width="10.5703125" customWidth="1"/>
    <col min="9953" max="9953" width="10.85546875" customWidth="1"/>
    <col min="9956" max="9956" width="12" customWidth="1"/>
    <col min="10200" max="10200" width="6.85546875" customWidth="1"/>
    <col min="10201" max="10201" width="29.85546875" customWidth="1"/>
    <col min="10202" max="10202" width="6.7109375" customWidth="1"/>
    <col min="10203" max="10203" width="32.28515625" customWidth="1"/>
    <col min="10204" max="10204" width="10.85546875" customWidth="1"/>
    <col min="10205" max="10205" width="11.7109375" customWidth="1"/>
    <col min="10206" max="10206" width="10.85546875" customWidth="1"/>
    <col min="10207" max="10207" width="10.5703125" customWidth="1"/>
    <col min="10209" max="10209" width="10.85546875" customWidth="1"/>
    <col min="10212" max="10212" width="12" customWidth="1"/>
    <col min="10456" max="10456" width="6.85546875" customWidth="1"/>
    <col min="10457" max="10457" width="29.85546875" customWidth="1"/>
    <col min="10458" max="10458" width="6.7109375" customWidth="1"/>
    <col min="10459" max="10459" width="32.28515625" customWidth="1"/>
    <col min="10460" max="10460" width="10.85546875" customWidth="1"/>
    <col min="10461" max="10461" width="11.7109375" customWidth="1"/>
    <col min="10462" max="10462" width="10.85546875" customWidth="1"/>
    <col min="10463" max="10463" width="10.5703125" customWidth="1"/>
    <col min="10465" max="10465" width="10.85546875" customWidth="1"/>
    <col min="10468" max="10468" width="12" customWidth="1"/>
    <col min="10712" max="10712" width="6.85546875" customWidth="1"/>
    <col min="10713" max="10713" width="29.85546875" customWidth="1"/>
    <col min="10714" max="10714" width="6.7109375" customWidth="1"/>
    <col min="10715" max="10715" width="32.28515625" customWidth="1"/>
    <col min="10716" max="10716" width="10.85546875" customWidth="1"/>
    <col min="10717" max="10717" width="11.7109375" customWidth="1"/>
    <col min="10718" max="10718" width="10.85546875" customWidth="1"/>
    <col min="10719" max="10719" width="10.5703125" customWidth="1"/>
    <col min="10721" max="10721" width="10.85546875" customWidth="1"/>
    <col min="10724" max="10724" width="12" customWidth="1"/>
    <col min="10968" max="10968" width="6.85546875" customWidth="1"/>
    <col min="10969" max="10969" width="29.85546875" customWidth="1"/>
    <col min="10970" max="10970" width="6.7109375" customWidth="1"/>
    <col min="10971" max="10971" width="32.28515625" customWidth="1"/>
    <col min="10972" max="10972" width="10.85546875" customWidth="1"/>
    <col min="10973" max="10973" width="11.7109375" customWidth="1"/>
    <col min="10974" max="10974" width="10.85546875" customWidth="1"/>
    <col min="10975" max="10975" width="10.5703125" customWidth="1"/>
    <col min="10977" max="10977" width="10.85546875" customWidth="1"/>
    <col min="10980" max="10980" width="12" customWidth="1"/>
    <col min="11224" max="11224" width="6.85546875" customWidth="1"/>
    <col min="11225" max="11225" width="29.85546875" customWidth="1"/>
    <col min="11226" max="11226" width="6.7109375" customWidth="1"/>
    <col min="11227" max="11227" width="32.28515625" customWidth="1"/>
    <col min="11228" max="11228" width="10.85546875" customWidth="1"/>
    <col min="11229" max="11229" width="11.7109375" customWidth="1"/>
    <col min="11230" max="11230" width="10.85546875" customWidth="1"/>
    <col min="11231" max="11231" width="10.5703125" customWidth="1"/>
    <col min="11233" max="11233" width="10.85546875" customWidth="1"/>
    <col min="11236" max="11236" width="12" customWidth="1"/>
    <col min="11480" max="11480" width="6.85546875" customWidth="1"/>
    <col min="11481" max="11481" width="29.85546875" customWidth="1"/>
    <col min="11482" max="11482" width="6.7109375" customWidth="1"/>
    <col min="11483" max="11483" width="32.28515625" customWidth="1"/>
    <col min="11484" max="11484" width="10.85546875" customWidth="1"/>
    <col min="11485" max="11485" width="11.7109375" customWidth="1"/>
    <col min="11486" max="11486" width="10.85546875" customWidth="1"/>
    <col min="11487" max="11487" width="10.5703125" customWidth="1"/>
    <col min="11489" max="11489" width="10.85546875" customWidth="1"/>
    <col min="11492" max="11492" width="12" customWidth="1"/>
    <col min="11736" max="11736" width="6.85546875" customWidth="1"/>
    <col min="11737" max="11737" width="29.85546875" customWidth="1"/>
    <col min="11738" max="11738" width="6.7109375" customWidth="1"/>
    <col min="11739" max="11739" width="32.28515625" customWidth="1"/>
    <col min="11740" max="11740" width="10.85546875" customWidth="1"/>
    <col min="11741" max="11741" width="11.7109375" customWidth="1"/>
    <col min="11742" max="11742" width="10.85546875" customWidth="1"/>
    <col min="11743" max="11743" width="10.5703125" customWidth="1"/>
    <col min="11745" max="11745" width="10.85546875" customWidth="1"/>
    <col min="11748" max="11748" width="12" customWidth="1"/>
    <col min="11992" max="11992" width="6.85546875" customWidth="1"/>
    <col min="11993" max="11993" width="29.85546875" customWidth="1"/>
    <col min="11994" max="11994" width="6.7109375" customWidth="1"/>
    <col min="11995" max="11995" width="32.28515625" customWidth="1"/>
    <col min="11996" max="11996" width="10.85546875" customWidth="1"/>
    <col min="11997" max="11997" width="11.7109375" customWidth="1"/>
    <col min="11998" max="11998" width="10.85546875" customWidth="1"/>
    <col min="11999" max="11999" width="10.5703125" customWidth="1"/>
    <col min="12001" max="12001" width="10.85546875" customWidth="1"/>
    <col min="12004" max="12004" width="12" customWidth="1"/>
    <col min="12248" max="12248" width="6.85546875" customWidth="1"/>
    <col min="12249" max="12249" width="29.85546875" customWidth="1"/>
    <col min="12250" max="12250" width="6.7109375" customWidth="1"/>
    <col min="12251" max="12251" width="32.28515625" customWidth="1"/>
    <col min="12252" max="12252" width="10.85546875" customWidth="1"/>
    <col min="12253" max="12253" width="11.7109375" customWidth="1"/>
    <col min="12254" max="12254" width="10.85546875" customWidth="1"/>
    <col min="12255" max="12255" width="10.5703125" customWidth="1"/>
    <col min="12257" max="12257" width="10.85546875" customWidth="1"/>
    <col min="12260" max="12260" width="12" customWidth="1"/>
    <col min="12504" max="12504" width="6.85546875" customWidth="1"/>
    <col min="12505" max="12505" width="29.85546875" customWidth="1"/>
    <col min="12506" max="12506" width="6.7109375" customWidth="1"/>
    <col min="12507" max="12507" width="32.28515625" customWidth="1"/>
    <col min="12508" max="12508" width="10.85546875" customWidth="1"/>
    <col min="12509" max="12509" width="11.7109375" customWidth="1"/>
    <col min="12510" max="12510" width="10.85546875" customWidth="1"/>
    <col min="12511" max="12511" width="10.5703125" customWidth="1"/>
    <col min="12513" max="12513" width="10.85546875" customWidth="1"/>
    <col min="12516" max="12516" width="12" customWidth="1"/>
    <col min="12760" max="12760" width="6.85546875" customWidth="1"/>
    <col min="12761" max="12761" width="29.85546875" customWidth="1"/>
    <col min="12762" max="12762" width="6.7109375" customWidth="1"/>
    <col min="12763" max="12763" width="32.28515625" customWidth="1"/>
    <col min="12764" max="12764" width="10.85546875" customWidth="1"/>
    <col min="12765" max="12765" width="11.7109375" customWidth="1"/>
    <col min="12766" max="12766" width="10.85546875" customWidth="1"/>
    <col min="12767" max="12767" width="10.5703125" customWidth="1"/>
    <col min="12769" max="12769" width="10.85546875" customWidth="1"/>
    <col min="12772" max="12772" width="12" customWidth="1"/>
    <col min="13016" max="13016" width="6.85546875" customWidth="1"/>
    <col min="13017" max="13017" width="29.85546875" customWidth="1"/>
    <col min="13018" max="13018" width="6.7109375" customWidth="1"/>
    <col min="13019" max="13019" width="32.28515625" customWidth="1"/>
    <col min="13020" max="13020" width="10.85546875" customWidth="1"/>
    <col min="13021" max="13021" width="11.7109375" customWidth="1"/>
    <col min="13022" max="13022" width="10.85546875" customWidth="1"/>
    <col min="13023" max="13023" width="10.5703125" customWidth="1"/>
    <col min="13025" max="13025" width="10.85546875" customWidth="1"/>
    <col min="13028" max="13028" width="12" customWidth="1"/>
    <col min="13272" max="13272" width="6.85546875" customWidth="1"/>
    <col min="13273" max="13273" width="29.85546875" customWidth="1"/>
    <col min="13274" max="13274" width="6.7109375" customWidth="1"/>
    <col min="13275" max="13275" width="32.28515625" customWidth="1"/>
    <col min="13276" max="13276" width="10.85546875" customWidth="1"/>
    <col min="13277" max="13277" width="11.7109375" customWidth="1"/>
    <col min="13278" max="13278" width="10.85546875" customWidth="1"/>
    <col min="13279" max="13279" width="10.5703125" customWidth="1"/>
    <col min="13281" max="13281" width="10.85546875" customWidth="1"/>
    <col min="13284" max="13284" width="12" customWidth="1"/>
    <col min="13528" max="13528" width="6.85546875" customWidth="1"/>
    <col min="13529" max="13529" width="29.85546875" customWidth="1"/>
    <col min="13530" max="13530" width="6.7109375" customWidth="1"/>
    <col min="13531" max="13531" width="32.28515625" customWidth="1"/>
    <col min="13532" max="13532" width="10.85546875" customWidth="1"/>
    <col min="13533" max="13533" width="11.7109375" customWidth="1"/>
    <col min="13534" max="13534" width="10.85546875" customWidth="1"/>
    <col min="13535" max="13535" width="10.5703125" customWidth="1"/>
    <col min="13537" max="13537" width="10.85546875" customWidth="1"/>
    <col min="13540" max="13540" width="12" customWidth="1"/>
    <col min="13784" max="13784" width="6.85546875" customWidth="1"/>
    <col min="13785" max="13785" width="29.85546875" customWidth="1"/>
    <col min="13786" max="13786" width="6.7109375" customWidth="1"/>
    <col min="13787" max="13787" width="32.28515625" customWidth="1"/>
    <col min="13788" max="13788" width="10.85546875" customWidth="1"/>
    <col min="13789" max="13789" width="11.7109375" customWidth="1"/>
    <col min="13790" max="13790" width="10.85546875" customWidth="1"/>
    <col min="13791" max="13791" width="10.5703125" customWidth="1"/>
    <col min="13793" max="13793" width="10.85546875" customWidth="1"/>
    <col min="13796" max="13796" width="12" customWidth="1"/>
    <col min="14040" max="14040" width="6.85546875" customWidth="1"/>
    <col min="14041" max="14041" width="29.85546875" customWidth="1"/>
    <col min="14042" max="14042" width="6.7109375" customWidth="1"/>
    <col min="14043" max="14043" width="32.28515625" customWidth="1"/>
    <col min="14044" max="14044" width="10.85546875" customWidth="1"/>
    <col min="14045" max="14045" width="11.7109375" customWidth="1"/>
    <col min="14046" max="14046" width="10.85546875" customWidth="1"/>
    <col min="14047" max="14047" width="10.5703125" customWidth="1"/>
    <col min="14049" max="14049" width="10.85546875" customWidth="1"/>
    <col min="14052" max="14052" width="12" customWidth="1"/>
    <col min="14296" max="14296" width="6.85546875" customWidth="1"/>
    <col min="14297" max="14297" width="29.85546875" customWidth="1"/>
    <col min="14298" max="14298" width="6.7109375" customWidth="1"/>
    <col min="14299" max="14299" width="32.28515625" customWidth="1"/>
    <col min="14300" max="14300" width="10.85546875" customWidth="1"/>
    <col min="14301" max="14301" width="11.7109375" customWidth="1"/>
    <col min="14302" max="14302" width="10.85546875" customWidth="1"/>
    <col min="14303" max="14303" width="10.5703125" customWidth="1"/>
    <col min="14305" max="14305" width="10.85546875" customWidth="1"/>
    <col min="14308" max="14308" width="12" customWidth="1"/>
    <col min="14552" max="14552" width="6.85546875" customWidth="1"/>
    <col min="14553" max="14553" width="29.85546875" customWidth="1"/>
    <col min="14554" max="14554" width="6.7109375" customWidth="1"/>
    <col min="14555" max="14555" width="32.28515625" customWidth="1"/>
    <col min="14556" max="14556" width="10.85546875" customWidth="1"/>
    <col min="14557" max="14557" width="11.7109375" customWidth="1"/>
    <col min="14558" max="14558" width="10.85546875" customWidth="1"/>
    <col min="14559" max="14559" width="10.5703125" customWidth="1"/>
    <col min="14561" max="14561" width="10.85546875" customWidth="1"/>
    <col min="14564" max="14564" width="12" customWidth="1"/>
    <col min="14808" max="14808" width="6.85546875" customWidth="1"/>
    <col min="14809" max="14809" width="29.85546875" customWidth="1"/>
    <col min="14810" max="14810" width="6.7109375" customWidth="1"/>
    <col min="14811" max="14811" width="32.28515625" customWidth="1"/>
    <col min="14812" max="14812" width="10.85546875" customWidth="1"/>
    <col min="14813" max="14813" width="11.7109375" customWidth="1"/>
    <col min="14814" max="14814" width="10.85546875" customWidth="1"/>
    <col min="14815" max="14815" width="10.5703125" customWidth="1"/>
    <col min="14817" max="14817" width="10.85546875" customWidth="1"/>
    <col min="14820" max="14820" width="12" customWidth="1"/>
    <col min="15064" max="15064" width="6.85546875" customWidth="1"/>
    <col min="15065" max="15065" width="29.85546875" customWidth="1"/>
    <col min="15066" max="15066" width="6.7109375" customWidth="1"/>
    <col min="15067" max="15067" width="32.28515625" customWidth="1"/>
    <col min="15068" max="15068" width="10.85546875" customWidth="1"/>
    <col min="15069" max="15069" width="11.7109375" customWidth="1"/>
    <col min="15070" max="15070" width="10.85546875" customWidth="1"/>
    <col min="15071" max="15071" width="10.5703125" customWidth="1"/>
    <col min="15073" max="15073" width="10.85546875" customWidth="1"/>
    <col min="15076" max="15076" width="12" customWidth="1"/>
    <col min="15320" max="15320" width="6.85546875" customWidth="1"/>
    <col min="15321" max="15321" width="29.85546875" customWidth="1"/>
    <col min="15322" max="15322" width="6.7109375" customWidth="1"/>
    <col min="15323" max="15323" width="32.28515625" customWidth="1"/>
    <col min="15324" max="15324" width="10.85546875" customWidth="1"/>
    <col min="15325" max="15325" width="11.7109375" customWidth="1"/>
    <col min="15326" max="15326" width="10.85546875" customWidth="1"/>
    <col min="15327" max="15327" width="10.5703125" customWidth="1"/>
    <col min="15329" max="15329" width="10.85546875" customWidth="1"/>
    <col min="15332" max="15332" width="12" customWidth="1"/>
    <col min="15576" max="15576" width="6.85546875" customWidth="1"/>
    <col min="15577" max="15577" width="29.85546875" customWidth="1"/>
    <col min="15578" max="15578" width="6.7109375" customWidth="1"/>
    <col min="15579" max="15579" width="32.28515625" customWidth="1"/>
    <col min="15580" max="15580" width="10.85546875" customWidth="1"/>
    <col min="15581" max="15581" width="11.7109375" customWidth="1"/>
    <col min="15582" max="15582" width="10.85546875" customWidth="1"/>
    <col min="15583" max="15583" width="10.5703125" customWidth="1"/>
    <col min="15585" max="15585" width="10.85546875" customWidth="1"/>
    <col min="15588" max="15588" width="12" customWidth="1"/>
    <col min="15832" max="15832" width="6.85546875" customWidth="1"/>
    <col min="15833" max="15833" width="29.85546875" customWidth="1"/>
    <col min="15834" max="15834" width="6.7109375" customWidth="1"/>
    <col min="15835" max="15835" width="32.28515625" customWidth="1"/>
    <col min="15836" max="15836" width="10.85546875" customWidth="1"/>
    <col min="15837" max="15837" width="11.7109375" customWidth="1"/>
    <col min="15838" max="15838" width="10.85546875" customWidth="1"/>
    <col min="15839" max="15839" width="10.5703125" customWidth="1"/>
    <col min="15841" max="15841" width="10.85546875" customWidth="1"/>
    <col min="15844" max="15844" width="12" customWidth="1"/>
    <col min="16088" max="16088" width="6.85546875" customWidth="1"/>
    <col min="16089" max="16089" width="29.85546875" customWidth="1"/>
    <col min="16090" max="16090" width="6.7109375" customWidth="1"/>
    <col min="16091" max="16091" width="32.28515625" customWidth="1"/>
    <col min="16092" max="16092" width="10.85546875" customWidth="1"/>
    <col min="16093" max="16093" width="11.7109375" customWidth="1"/>
    <col min="16094" max="16094" width="10.85546875" customWidth="1"/>
    <col min="16095" max="16095" width="10.5703125" customWidth="1"/>
    <col min="16097" max="16097" width="10.85546875" customWidth="1"/>
    <col min="16100" max="16100" width="12" customWidth="1"/>
  </cols>
  <sheetData>
    <row r="1" spans="1:49" ht="15" x14ac:dyDescent="0.25">
      <c r="A1" s="708" t="s">
        <v>2</v>
      </c>
      <c r="B1" s="708"/>
      <c r="C1" s="97"/>
      <c r="D1" s="708"/>
      <c r="E1" s="708"/>
      <c r="F1" s="179"/>
      <c r="G1" s="179"/>
      <c r="H1" s="179"/>
      <c r="I1" s="709"/>
      <c r="J1" s="181"/>
      <c r="K1" s="181"/>
      <c r="L1" s="181"/>
      <c r="M1" s="181"/>
      <c r="N1" s="710"/>
      <c r="O1" s="182"/>
      <c r="P1" s="182"/>
      <c r="Q1" s="182"/>
      <c r="R1" s="112"/>
      <c r="S1" s="112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2"/>
      <c r="AH1" s="542"/>
      <c r="AI1" s="542"/>
      <c r="AJ1" s="113"/>
      <c r="AK1" s="113"/>
      <c r="AL1" s="113"/>
      <c r="AM1" s="113"/>
      <c r="AN1" s="113"/>
      <c r="AO1" s="112"/>
      <c r="AP1" s="112"/>
      <c r="AQ1" s="112"/>
      <c r="AR1" s="112"/>
      <c r="AS1" s="112"/>
      <c r="AT1" s="113"/>
      <c r="AU1" s="113"/>
      <c r="AV1" s="113"/>
      <c r="AW1" s="113"/>
    </row>
    <row r="2" spans="1:49" ht="15" x14ac:dyDescent="0.25">
      <c r="A2" s="708" t="s">
        <v>3</v>
      </c>
      <c r="B2" s="708"/>
      <c r="C2" s="97"/>
      <c r="D2" s="708"/>
      <c r="E2" s="708"/>
      <c r="F2" s="179"/>
      <c r="G2" s="179"/>
      <c r="H2" s="179"/>
      <c r="I2" s="543"/>
      <c r="J2" s="543"/>
      <c r="K2" s="543"/>
      <c r="L2" s="543"/>
      <c r="M2" s="543"/>
      <c r="N2" s="544"/>
      <c r="O2" s="544"/>
      <c r="P2" s="544"/>
      <c r="Q2" s="543"/>
      <c r="R2" s="543"/>
      <c r="S2" s="543"/>
      <c r="T2" s="543"/>
      <c r="U2" s="543"/>
      <c r="V2" s="543"/>
      <c r="W2" s="543"/>
      <c r="X2" s="543"/>
      <c r="Y2" s="543"/>
      <c r="Z2" s="543"/>
      <c r="AA2" s="543"/>
      <c r="AB2" s="543"/>
      <c r="AC2" s="543"/>
      <c r="AD2" s="543"/>
      <c r="AE2" s="543"/>
      <c r="AF2" s="544"/>
      <c r="AG2" s="544"/>
      <c r="AH2" s="544"/>
      <c r="AI2" s="544"/>
      <c r="AJ2" s="544"/>
      <c r="AK2" s="544"/>
      <c r="AL2" s="544"/>
      <c r="AM2" s="544"/>
      <c r="AN2" s="544"/>
      <c r="AO2" s="543"/>
      <c r="AP2" s="543"/>
      <c r="AQ2" s="543"/>
      <c r="AR2" s="543"/>
      <c r="AS2" s="543"/>
      <c r="AT2" s="544"/>
      <c r="AU2" s="544"/>
      <c r="AV2" s="544"/>
      <c r="AW2" s="113"/>
    </row>
    <row r="3" spans="1:49" ht="12.75" customHeight="1" x14ac:dyDescent="0.25">
      <c r="A3" s="1164" t="s">
        <v>4</v>
      </c>
      <c r="B3" s="1164"/>
      <c r="C3" s="1164"/>
      <c r="D3" s="1164"/>
      <c r="E3" s="1164"/>
      <c r="F3" s="179"/>
      <c r="G3" s="179"/>
      <c r="H3" s="179"/>
      <c r="I3" s="543"/>
      <c r="J3" s="543"/>
      <c r="K3" s="543"/>
      <c r="L3" s="543"/>
      <c r="M3" s="543"/>
      <c r="N3" s="544"/>
      <c r="O3" s="544"/>
      <c r="P3" s="544"/>
      <c r="Q3" s="545"/>
      <c r="R3" s="545"/>
      <c r="S3" s="545"/>
      <c r="T3" s="545"/>
      <c r="U3" s="545"/>
      <c r="V3" s="545"/>
      <c r="W3" s="545"/>
      <c r="X3" s="545"/>
      <c r="Y3" s="546"/>
      <c r="Z3" s="546"/>
      <c r="AA3" s="546"/>
      <c r="AB3" s="547"/>
      <c r="AC3" s="547"/>
      <c r="AD3" s="547"/>
      <c r="AE3" s="546"/>
      <c r="AF3" s="548"/>
      <c r="AG3" s="548"/>
      <c r="AH3" s="548"/>
      <c r="AI3" s="548"/>
      <c r="AJ3" s="548"/>
      <c r="AK3" s="548"/>
      <c r="AL3" s="548"/>
      <c r="AM3" s="548"/>
      <c r="AN3" s="544"/>
      <c r="AO3" s="543"/>
      <c r="AP3" s="543"/>
      <c r="AQ3" s="543"/>
      <c r="AR3" s="543"/>
      <c r="AS3" s="543"/>
      <c r="AT3" s="544"/>
      <c r="AU3" s="544"/>
      <c r="AV3" s="544"/>
      <c r="AW3" s="113"/>
    </row>
    <row r="4" spans="1:49" ht="12.75" customHeight="1" x14ac:dyDescent="0.25">
      <c r="A4" s="183"/>
      <c r="B4" s="708"/>
      <c r="C4" s="708"/>
      <c r="D4" s="708"/>
      <c r="E4" s="708"/>
      <c r="F4" s="179"/>
      <c r="G4" s="179"/>
      <c r="H4" s="179"/>
      <c r="I4" s="543"/>
      <c r="J4" s="543"/>
      <c r="K4" s="543"/>
      <c r="L4" s="543"/>
      <c r="M4" s="543"/>
      <c r="N4" s="544"/>
      <c r="O4" s="544"/>
      <c r="P4" s="544"/>
      <c r="Q4" s="545"/>
      <c r="R4" s="545"/>
      <c r="S4" s="545"/>
      <c r="T4" s="545"/>
      <c r="U4" s="545"/>
      <c r="V4" s="545"/>
      <c r="W4" s="545"/>
      <c r="X4" s="545"/>
      <c r="Y4" s="546"/>
      <c r="Z4" s="546"/>
      <c r="AA4" s="546"/>
      <c r="AB4" s="547"/>
      <c r="AC4" s="547"/>
      <c r="AD4" s="547"/>
      <c r="AE4" s="546"/>
      <c r="AF4" s="548"/>
      <c r="AG4" s="548"/>
      <c r="AH4" s="548"/>
      <c r="AI4" s="548"/>
      <c r="AJ4" s="548"/>
      <c r="AK4" s="548"/>
      <c r="AL4" s="548"/>
      <c r="AM4" s="548"/>
      <c r="AN4" s="544"/>
      <c r="AO4" s="543"/>
      <c r="AP4" s="543"/>
      <c r="AQ4" s="543"/>
      <c r="AR4" s="543"/>
      <c r="AS4" s="543"/>
      <c r="AT4" s="544"/>
      <c r="AU4" s="544"/>
      <c r="AV4" s="544"/>
      <c r="AW4" s="113"/>
    </row>
    <row r="5" spans="1:49" ht="16.5" thickBot="1" x14ac:dyDescent="0.3">
      <c r="A5" s="400" t="s">
        <v>838</v>
      </c>
      <c r="B5" s="163"/>
      <c r="C5" s="163"/>
      <c r="D5" s="163"/>
      <c r="E5" s="177"/>
      <c r="F5" s="177"/>
      <c r="G5" s="177"/>
      <c r="H5" s="177"/>
      <c r="I5" s="549"/>
      <c r="J5" s="549"/>
      <c r="K5" s="549"/>
      <c r="L5" s="549"/>
      <c r="M5" s="549"/>
      <c r="N5" s="550"/>
      <c r="O5" s="550"/>
      <c r="P5" s="550"/>
      <c r="Q5" s="545"/>
      <c r="R5" s="545"/>
      <c r="S5" s="545"/>
      <c r="T5" s="545"/>
      <c r="U5" s="112"/>
      <c r="V5" s="545"/>
      <c r="W5" s="545"/>
      <c r="X5" s="545"/>
      <c r="Y5" s="546"/>
      <c r="Z5" s="546"/>
      <c r="AA5" s="546"/>
      <c r="AB5" s="547"/>
      <c r="AC5" s="547"/>
      <c r="AD5" s="547"/>
      <c r="AE5" s="546"/>
      <c r="AF5" s="113"/>
      <c r="AG5" s="113"/>
      <c r="AH5" s="551"/>
      <c r="AI5" s="551"/>
      <c r="AJ5" s="551"/>
      <c r="AK5" s="551"/>
      <c r="AL5" s="551"/>
      <c r="AM5" s="551"/>
      <c r="AN5" s="550"/>
      <c r="AO5" s="549"/>
      <c r="AP5" s="549"/>
      <c r="AQ5" s="549"/>
      <c r="AR5" s="549"/>
      <c r="AS5" s="549"/>
      <c r="AT5" s="550"/>
      <c r="AU5" s="550"/>
      <c r="AV5" s="550"/>
      <c r="AW5" s="113"/>
    </row>
    <row r="6" spans="1:49" ht="15" x14ac:dyDescent="0.25">
      <c r="A6" s="179"/>
      <c r="B6" s="183"/>
      <c r="C6" s="183"/>
      <c r="D6" s="183"/>
      <c r="E6" s="179"/>
      <c r="F6" s="179"/>
      <c r="G6" s="179"/>
      <c r="H6" s="179"/>
      <c r="I6" s="1158" t="s">
        <v>837</v>
      </c>
      <c r="J6" s="1159"/>
      <c r="K6" s="1159"/>
      <c r="L6" s="1159"/>
      <c r="M6" s="1159"/>
      <c r="N6" s="1159"/>
      <c r="O6" s="1159"/>
      <c r="P6" s="1160"/>
      <c r="Q6" s="1182" t="s">
        <v>839</v>
      </c>
      <c r="R6" s="1183"/>
      <c r="S6" s="1183"/>
      <c r="T6" s="1183"/>
      <c r="U6" s="1183"/>
      <c r="V6" s="1183"/>
      <c r="W6" s="1183"/>
      <c r="X6" s="1183"/>
      <c r="Y6" s="1183"/>
      <c r="Z6" s="1183"/>
      <c r="AA6" s="1183"/>
      <c r="AB6" s="1183"/>
      <c r="AC6" s="1183"/>
      <c r="AD6" s="1183"/>
      <c r="AE6" s="1183"/>
      <c r="AF6" s="1183"/>
      <c r="AG6" s="1183"/>
      <c r="AH6" s="1183"/>
      <c r="AI6" s="1183"/>
      <c r="AJ6" s="1183"/>
      <c r="AK6" s="1183"/>
      <c r="AL6" s="1183"/>
      <c r="AM6" s="1183"/>
      <c r="AN6" s="1184"/>
      <c r="AO6" s="1185" t="s">
        <v>868</v>
      </c>
      <c r="AP6" s="1186"/>
      <c r="AQ6" s="1186"/>
      <c r="AR6" s="1186"/>
      <c r="AS6" s="1186"/>
      <c r="AT6" s="1186"/>
      <c r="AU6" s="1186"/>
      <c r="AV6" s="1186"/>
      <c r="AW6" s="1187"/>
    </row>
    <row r="7" spans="1:49" ht="16.5" customHeight="1" thickBot="1" x14ac:dyDescent="0.3">
      <c r="A7" s="183"/>
      <c r="B7" s="552"/>
      <c r="D7" s="553"/>
      <c r="E7" s="552"/>
      <c r="F7" s="179"/>
      <c r="G7" s="179"/>
      <c r="H7" s="179"/>
      <c r="I7" s="1161"/>
      <c r="J7" s="1162"/>
      <c r="K7" s="1162"/>
      <c r="L7" s="1162"/>
      <c r="M7" s="1162"/>
      <c r="N7" s="1162"/>
      <c r="O7" s="1162"/>
      <c r="P7" s="1163"/>
      <c r="Q7" s="1191" t="s">
        <v>289</v>
      </c>
      <c r="R7" s="1192"/>
      <c r="S7" s="1192"/>
      <c r="T7" s="1192"/>
      <c r="U7" s="1193"/>
      <c r="V7" s="1200" t="s">
        <v>290</v>
      </c>
      <c r="W7" s="1192"/>
      <c r="X7" s="1192"/>
      <c r="Y7" s="1193"/>
      <c r="Z7" s="1165" t="s">
        <v>291</v>
      </c>
      <c r="AA7" s="1165" t="s">
        <v>5</v>
      </c>
      <c r="AB7" s="1165" t="s">
        <v>292</v>
      </c>
      <c r="AC7" s="1203" t="s">
        <v>293</v>
      </c>
      <c r="AD7" s="1204"/>
      <c r="AE7" s="1205"/>
      <c r="AF7" s="1165" t="s">
        <v>315</v>
      </c>
      <c r="AG7" s="1212" t="s">
        <v>294</v>
      </c>
      <c r="AH7" s="1213"/>
      <c r="AI7" s="1213"/>
      <c r="AJ7" s="1213"/>
      <c r="AK7" s="1213"/>
      <c r="AL7" s="1213"/>
      <c r="AM7" s="1213"/>
      <c r="AN7" s="1214"/>
      <c r="AO7" s="1188"/>
      <c r="AP7" s="1189"/>
      <c r="AQ7" s="1189"/>
      <c r="AR7" s="1189"/>
      <c r="AS7" s="1189"/>
      <c r="AT7" s="1189"/>
      <c r="AU7" s="1189"/>
      <c r="AV7" s="1189"/>
      <c r="AW7" s="1190"/>
    </row>
    <row r="8" spans="1:49" ht="12.75" customHeight="1" x14ac:dyDescent="0.25">
      <c r="A8" s="240"/>
      <c r="B8" s="185"/>
      <c r="C8" s="185"/>
      <c r="D8" s="185"/>
      <c r="E8" s="185"/>
      <c r="F8" s="185"/>
      <c r="G8" s="185"/>
      <c r="H8" s="185"/>
      <c r="I8" s="1168" t="s">
        <v>6</v>
      </c>
      <c r="J8" s="1234" t="s">
        <v>827</v>
      </c>
      <c r="K8" s="1235"/>
      <c r="L8" s="1235"/>
      <c r="M8" s="1236"/>
      <c r="N8" s="1177" t="s">
        <v>286</v>
      </c>
      <c r="O8" s="1234" t="s">
        <v>828</v>
      </c>
      <c r="P8" s="1240"/>
      <c r="Q8" s="1194"/>
      <c r="R8" s="1233"/>
      <c r="S8" s="1233"/>
      <c r="T8" s="1233"/>
      <c r="U8" s="1196"/>
      <c r="V8" s="1201"/>
      <c r="W8" s="1233"/>
      <c r="X8" s="1233"/>
      <c r="Y8" s="1196"/>
      <c r="Z8" s="1166"/>
      <c r="AA8" s="1166"/>
      <c r="AB8" s="1166"/>
      <c r="AC8" s="1206"/>
      <c r="AD8" s="1242"/>
      <c r="AE8" s="1208"/>
      <c r="AF8" s="1166"/>
      <c r="AG8" s="1215" t="s">
        <v>295</v>
      </c>
      <c r="AH8" s="1216"/>
      <c r="AI8" s="1231" t="s">
        <v>296</v>
      </c>
      <c r="AJ8" s="1215" t="s">
        <v>297</v>
      </c>
      <c r="AK8" s="1216"/>
      <c r="AL8" s="1219" t="s">
        <v>298</v>
      </c>
      <c r="AM8" s="1220"/>
      <c r="AN8" s="1221"/>
      <c r="AO8" s="1168" t="s">
        <v>6</v>
      </c>
      <c r="AP8" s="1243" t="s">
        <v>827</v>
      </c>
      <c r="AQ8" s="1244"/>
      <c r="AR8" s="1244"/>
      <c r="AS8" s="1244"/>
      <c r="AT8" s="1245"/>
      <c r="AU8" s="1177" t="s">
        <v>286</v>
      </c>
      <c r="AV8" s="1234" t="s">
        <v>829</v>
      </c>
      <c r="AW8" s="1240"/>
    </row>
    <row r="9" spans="1:49" ht="13.5" thickBot="1" x14ac:dyDescent="0.25">
      <c r="A9" s="554" t="s">
        <v>821</v>
      </c>
      <c r="D9" s="554"/>
      <c r="F9" s="186"/>
      <c r="G9" s="555"/>
      <c r="H9" s="555"/>
      <c r="I9" s="1169"/>
      <c r="J9" s="1237"/>
      <c r="K9" s="1238"/>
      <c r="L9" s="1238"/>
      <c r="M9" s="1239"/>
      <c r="N9" s="1178"/>
      <c r="O9" s="1237"/>
      <c r="P9" s="1241"/>
      <c r="Q9" s="1197"/>
      <c r="R9" s="1198"/>
      <c r="S9" s="1198"/>
      <c r="T9" s="1198"/>
      <c r="U9" s="1199"/>
      <c r="V9" s="1202"/>
      <c r="W9" s="1198"/>
      <c r="X9" s="1198"/>
      <c r="Y9" s="1199"/>
      <c r="Z9" s="1166"/>
      <c r="AA9" s="1166"/>
      <c r="AB9" s="1166"/>
      <c r="AC9" s="1209"/>
      <c r="AD9" s="1210"/>
      <c r="AE9" s="1211"/>
      <c r="AF9" s="1166"/>
      <c r="AG9" s="1217"/>
      <c r="AH9" s="1218"/>
      <c r="AI9" s="1232"/>
      <c r="AJ9" s="1217"/>
      <c r="AK9" s="1218"/>
      <c r="AL9" s="1222"/>
      <c r="AM9" s="1223"/>
      <c r="AN9" s="1224"/>
      <c r="AO9" s="1169"/>
      <c r="AP9" s="1246"/>
      <c r="AQ9" s="1247"/>
      <c r="AR9" s="1247"/>
      <c r="AS9" s="1247"/>
      <c r="AT9" s="1248"/>
      <c r="AU9" s="1178"/>
      <c r="AV9" s="1237"/>
      <c r="AW9" s="1241"/>
    </row>
    <row r="10" spans="1:49" ht="23.25" thickBot="1" x14ac:dyDescent="0.25">
      <c r="A10" s="189" t="s">
        <v>800</v>
      </c>
      <c r="B10" s="190" t="s">
        <v>566</v>
      </c>
      <c r="C10" s="190" t="s">
        <v>567</v>
      </c>
      <c r="D10" s="190" t="s">
        <v>270</v>
      </c>
      <c r="E10" s="310" t="s">
        <v>802</v>
      </c>
      <c r="F10" s="190" t="s">
        <v>0</v>
      </c>
      <c r="G10" s="594" t="s">
        <v>271</v>
      </c>
      <c r="H10" s="74" t="s">
        <v>282</v>
      </c>
      <c r="I10" s="1170"/>
      <c r="J10" s="75" t="s">
        <v>280</v>
      </c>
      <c r="K10" s="76" t="s">
        <v>5</v>
      </c>
      <c r="L10" s="76" t="s">
        <v>1</v>
      </c>
      <c r="M10" s="76" t="s">
        <v>7</v>
      </c>
      <c r="N10" s="1179"/>
      <c r="O10" s="711" t="s">
        <v>287</v>
      </c>
      <c r="P10" s="712" t="s">
        <v>288</v>
      </c>
      <c r="Q10" s="483" t="s">
        <v>299</v>
      </c>
      <c r="R10" s="81" t="s">
        <v>296</v>
      </c>
      <c r="S10" s="81" t="s">
        <v>815</v>
      </c>
      <c r="T10" s="81" t="s">
        <v>297</v>
      </c>
      <c r="U10" s="81" t="s">
        <v>791</v>
      </c>
      <c r="V10" s="85" t="s">
        <v>300</v>
      </c>
      <c r="W10" s="81" t="s">
        <v>826</v>
      </c>
      <c r="X10" s="85" t="s">
        <v>301</v>
      </c>
      <c r="Y10" s="81" t="s">
        <v>792</v>
      </c>
      <c r="Z10" s="1167"/>
      <c r="AA10" s="1167"/>
      <c r="AB10" s="1167"/>
      <c r="AC10" s="81" t="s">
        <v>296</v>
      </c>
      <c r="AD10" s="81" t="s">
        <v>302</v>
      </c>
      <c r="AE10" s="81" t="s">
        <v>793</v>
      </c>
      <c r="AF10" s="1167"/>
      <c r="AG10" s="713" t="s">
        <v>287</v>
      </c>
      <c r="AH10" s="714" t="s">
        <v>288</v>
      </c>
      <c r="AI10" s="713" t="s">
        <v>287</v>
      </c>
      <c r="AJ10" s="713" t="s">
        <v>287</v>
      </c>
      <c r="AK10" s="714" t="s">
        <v>288</v>
      </c>
      <c r="AL10" s="713" t="s">
        <v>287</v>
      </c>
      <c r="AM10" s="714" t="s">
        <v>288</v>
      </c>
      <c r="AN10" s="715" t="s">
        <v>311</v>
      </c>
      <c r="AO10" s="1170"/>
      <c r="AP10" s="79" t="s">
        <v>280</v>
      </c>
      <c r="AQ10" s="80" t="s">
        <v>290</v>
      </c>
      <c r="AR10" s="76" t="s">
        <v>5</v>
      </c>
      <c r="AS10" s="76" t="s">
        <v>1</v>
      </c>
      <c r="AT10" s="76" t="s">
        <v>7</v>
      </c>
      <c r="AU10" s="1179"/>
      <c r="AV10" s="711" t="s">
        <v>287</v>
      </c>
      <c r="AW10" s="712" t="s">
        <v>288</v>
      </c>
    </row>
    <row r="11" spans="1:49" s="247" customFormat="1" ht="11.25" customHeight="1" thickBot="1" x14ac:dyDescent="0.25">
      <c r="A11" s="263" t="s">
        <v>568</v>
      </c>
      <c r="B11" s="264" t="s">
        <v>569</v>
      </c>
      <c r="C11" s="264" t="s">
        <v>272</v>
      </c>
      <c r="D11" s="264" t="s">
        <v>273</v>
      </c>
      <c r="E11" s="264" t="s">
        <v>570</v>
      </c>
      <c r="F11" s="264" t="s">
        <v>0</v>
      </c>
      <c r="G11" s="264" t="s">
        <v>571</v>
      </c>
      <c r="H11" s="265" t="s">
        <v>796</v>
      </c>
      <c r="I11" s="266" t="s">
        <v>274</v>
      </c>
      <c r="J11" s="267" t="s">
        <v>275</v>
      </c>
      <c r="K11" s="267" t="s">
        <v>276</v>
      </c>
      <c r="L11" s="267" t="s">
        <v>277</v>
      </c>
      <c r="M11" s="267" t="s">
        <v>278</v>
      </c>
      <c r="N11" s="347" t="s">
        <v>279</v>
      </c>
      <c r="O11" s="274" t="s">
        <v>572</v>
      </c>
      <c r="P11" s="348" t="s">
        <v>573</v>
      </c>
      <c r="Q11" s="272" t="s">
        <v>303</v>
      </c>
      <c r="R11" s="484" t="s">
        <v>303</v>
      </c>
      <c r="S11" s="273" t="s">
        <v>303</v>
      </c>
      <c r="T11" s="273" t="s">
        <v>303</v>
      </c>
      <c r="U11" s="273" t="s">
        <v>303</v>
      </c>
      <c r="V11" s="273" t="s">
        <v>304</v>
      </c>
      <c r="W11" s="273" t="s">
        <v>304</v>
      </c>
      <c r="X11" s="273" t="s">
        <v>305</v>
      </c>
      <c r="Y11" s="273" t="s">
        <v>304</v>
      </c>
      <c r="Z11" s="273" t="s">
        <v>306</v>
      </c>
      <c r="AA11" s="273" t="s">
        <v>307</v>
      </c>
      <c r="AB11" s="273" t="s">
        <v>308</v>
      </c>
      <c r="AC11" s="273" t="s">
        <v>310</v>
      </c>
      <c r="AD11" s="273" t="s">
        <v>309</v>
      </c>
      <c r="AE11" s="273" t="s">
        <v>309</v>
      </c>
      <c r="AF11" s="273" t="s">
        <v>316</v>
      </c>
      <c r="AG11" s="274" t="s">
        <v>312</v>
      </c>
      <c r="AH11" s="274" t="s">
        <v>313</v>
      </c>
      <c r="AI11" s="274" t="s">
        <v>312</v>
      </c>
      <c r="AJ11" s="274" t="s">
        <v>312</v>
      </c>
      <c r="AK11" s="274" t="s">
        <v>313</v>
      </c>
      <c r="AL11" s="274" t="s">
        <v>312</v>
      </c>
      <c r="AM11" s="274" t="s">
        <v>313</v>
      </c>
      <c r="AN11" s="275" t="s">
        <v>314</v>
      </c>
      <c r="AO11" s="266" t="s">
        <v>274</v>
      </c>
      <c r="AP11" s="267" t="s">
        <v>275</v>
      </c>
      <c r="AQ11" s="267" t="s">
        <v>281</v>
      </c>
      <c r="AR11" s="267" t="s">
        <v>276</v>
      </c>
      <c r="AS11" s="267" t="s">
        <v>277</v>
      </c>
      <c r="AT11" s="267" t="s">
        <v>278</v>
      </c>
      <c r="AU11" s="481" t="s">
        <v>279</v>
      </c>
      <c r="AV11" s="481" t="s">
        <v>572</v>
      </c>
      <c r="AW11" s="482" t="s">
        <v>573</v>
      </c>
    </row>
    <row r="12" spans="1:49" s="569" customFormat="1" x14ac:dyDescent="0.2">
      <c r="A12" s="612">
        <v>1</v>
      </c>
      <c r="B12" s="613">
        <v>4476</v>
      </c>
      <c r="C12" s="613">
        <v>600075184</v>
      </c>
      <c r="D12" s="613">
        <v>70200815</v>
      </c>
      <c r="E12" s="597" t="s">
        <v>149</v>
      </c>
      <c r="F12" s="613">
        <v>3233</v>
      </c>
      <c r="G12" s="614" t="s">
        <v>324</v>
      </c>
      <c r="H12" s="615" t="s">
        <v>284</v>
      </c>
      <c r="I12" s="575">
        <f>SUM(J12:M12)</f>
        <v>6785879</v>
      </c>
      <c r="J12" s="496">
        <v>4937060</v>
      </c>
      <c r="K12" s="131">
        <f>ROUND((J12)*33.8%,0)</f>
        <v>1668726</v>
      </c>
      <c r="L12" s="131">
        <f>ROUND(J12*2%,0)</f>
        <v>98741</v>
      </c>
      <c r="M12" s="496">
        <v>81352</v>
      </c>
      <c r="N12" s="576">
        <f t="shared" ref="N12" si="0">SUM(O12:P12)</f>
        <v>11.870000000000001</v>
      </c>
      <c r="O12" s="577">
        <v>6.83</v>
      </c>
      <c r="P12" s="607">
        <v>5.04</v>
      </c>
      <c r="Q12" s="564">
        <f>V12*-1</f>
        <v>-712000</v>
      </c>
      <c r="R12" s="565">
        <v>0</v>
      </c>
      <c r="S12" s="565">
        <v>0</v>
      </c>
      <c r="T12" s="565">
        <v>0</v>
      </c>
      <c r="U12" s="565">
        <f>SUM(Q12:T12)</f>
        <v>-712000</v>
      </c>
      <c r="V12" s="565">
        <v>712000</v>
      </c>
      <c r="W12" s="565">
        <v>0</v>
      </c>
      <c r="X12" s="565">
        <v>0</v>
      </c>
      <c r="Y12" s="565">
        <f>SUM(V12:X12)</f>
        <v>712000</v>
      </c>
      <c r="Z12" s="565">
        <f>U12+Y12</f>
        <v>0</v>
      </c>
      <c r="AA12" s="280">
        <f>ROUND((U12+V12+W12)*33.8%,0)</f>
        <v>0</v>
      </c>
      <c r="AB12" s="280">
        <f>ROUND(U12*2%,0)</f>
        <v>-14240</v>
      </c>
      <c r="AC12" s="565">
        <v>0</v>
      </c>
      <c r="AD12" s="565">
        <v>0</v>
      </c>
      <c r="AE12" s="565">
        <f>SUM(AC12:AD12)</f>
        <v>0</v>
      </c>
      <c r="AF12" s="565">
        <f>Z12+AA12+AB12+AE12</f>
        <v>-14240</v>
      </c>
      <c r="AG12" s="566">
        <v>-1.1299999999999999</v>
      </c>
      <c r="AH12" s="566">
        <v>-0.46</v>
      </c>
      <c r="AI12" s="566">
        <v>0</v>
      </c>
      <c r="AJ12" s="566">
        <v>0</v>
      </c>
      <c r="AK12" s="566">
        <v>0</v>
      </c>
      <c r="AL12" s="566">
        <f>AG12+AI12+AJ12</f>
        <v>-1.1299999999999999</v>
      </c>
      <c r="AM12" s="566">
        <f>AH12+AK12</f>
        <v>-0.46</v>
      </c>
      <c r="AN12" s="568">
        <f>SUM(AL12:AM12)</f>
        <v>-1.5899999999999999</v>
      </c>
      <c r="AO12" s="616">
        <f>I12+AF12</f>
        <v>6771639</v>
      </c>
      <c r="AP12" s="565">
        <f>J12+U12</f>
        <v>4225060</v>
      </c>
      <c r="AQ12" s="565">
        <f>Y12</f>
        <v>712000</v>
      </c>
      <c r="AR12" s="565">
        <f>K12+AA12</f>
        <v>1668726</v>
      </c>
      <c r="AS12" s="565">
        <f>L12+AB12</f>
        <v>84501</v>
      </c>
      <c r="AT12" s="565">
        <f>M12+AE12</f>
        <v>81352</v>
      </c>
      <c r="AU12" s="566">
        <f>N12+AN12</f>
        <v>10.280000000000001</v>
      </c>
      <c r="AV12" s="566">
        <f>O12+AL12</f>
        <v>5.7</v>
      </c>
      <c r="AW12" s="568">
        <f>P12+AM12</f>
        <v>4.58</v>
      </c>
    </row>
    <row r="13" spans="1:49" s="569" customFormat="1" x14ac:dyDescent="0.2">
      <c r="A13" s="302">
        <v>1</v>
      </c>
      <c r="B13" s="32">
        <v>4476</v>
      </c>
      <c r="C13" s="32">
        <v>600075184</v>
      </c>
      <c r="D13" s="32">
        <v>70200815</v>
      </c>
      <c r="E13" s="311" t="s">
        <v>150</v>
      </c>
      <c r="F13" s="32"/>
      <c r="G13" s="301"/>
      <c r="H13" s="454"/>
      <c r="I13" s="5">
        <f t="shared" ref="I13:AW13" si="1">SUM(I12)</f>
        <v>6785879</v>
      </c>
      <c r="J13" s="8">
        <f t="shared" si="1"/>
        <v>4937060</v>
      </c>
      <c r="K13" s="8">
        <f t="shared" si="1"/>
        <v>1668726</v>
      </c>
      <c r="L13" s="8">
        <f t="shared" si="1"/>
        <v>98741</v>
      </c>
      <c r="M13" s="8">
        <f t="shared" si="1"/>
        <v>81352</v>
      </c>
      <c r="N13" s="9">
        <f t="shared" si="1"/>
        <v>11.870000000000001</v>
      </c>
      <c r="O13" s="9">
        <f t="shared" si="1"/>
        <v>6.83</v>
      </c>
      <c r="P13" s="39">
        <f t="shared" si="1"/>
        <v>5.04</v>
      </c>
      <c r="Q13" s="5">
        <f t="shared" si="1"/>
        <v>-712000</v>
      </c>
      <c r="R13" s="8">
        <f t="shared" si="1"/>
        <v>0</v>
      </c>
      <c r="S13" s="8">
        <f t="shared" si="1"/>
        <v>0</v>
      </c>
      <c r="T13" s="8">
        <f t="shared" si="1"/>
        <v>0</v>
      </c>
      <c r="U13" s="8">
        <f t="shared" si="1"/>
        <v>-712000</v>
      </c>
      <c r="V13" s="8">
        <f t="shared" si="1"/>
        <v>712000</v>
      </c>
      <c r="W13" s="8">
        <f t="shared" si="1"/>
        <v>0</v>
      </c>
      <c r="X13" s="8">
        <f t="shared" si="1"/>
        <v>0</v>
      </c>
      <c r="Y13" s="8">
        <f t="shared" si="1"/>
        <v>712000</v>
      </c>
      <c r="Z13" s="8">
        <f t="shared" si="1"/>
        <v>0</v>
      </c>
      <c r="AA13" s="8">
        <f t="shared" si="1"/>
        <v>0</v>
      </c>
      <c r="AB13" s="8">
        <f t="shared" si="1"/>
        <v>-14240</v>
      </c>
      <c r="AC13" s="8">
        <f t="shared" si="1"/>
        <v>0</v>
      </c>
      <c r="AD13" s="8">
        <f t="shared" si="1"/>
        <v>0</v>
      </c>
      <c r="AE13" s="8">
        <f t="shared" si="1"/>
        <v>0</v>
      </c>
      <c r="AF13" s="8">
        <f t="shared" si="1"/>
        <v>-14240</v>
      </c>
      <c r="AG13" s="9">
        <f t="shared" si="1"/>
        <v>-1.1299999999999999</v>
      </c>
      <c r="AH13" s="9">
        <f t="shared" si="1"/>
        <v>-0.46</v>
      </c>
      <c r="AI13" s="9">
        <f t="shared" si="1"/>
        <v>0</v>
      </c>
      <c r="AJ13" s="9">
        <f t="shared" si="1"/>
        <v>0</v>
      </c>
      <c r="AK13" s="9">
        <f t="shared" si="1"/>
        <v>0</v>
      </c>
      <c r="AL13" s="9">
        <f t="shared" si="1"/>
        <v>-1.1299999999999999</v>
      </c>
      <c r="AM13" s="9">
        <f t="shared" si="1"/>
        <v>-0.46</v>
      </c>
      <c r="AN13" s="92">
        <f t="shared" si="1"/>
        <v>-1.5899999999999999</v>
      </c>
      <c r="AO13" s="295">
        <f t="shared" si="1"/>
        <v>6771639</v>
      </c>
      <c r="AP13" s="8">
        <f t="shared" si="1"/>
        <v>4225060</v>
      </c>
      <c r="AQ13" s="8">
        <f t="shared" si="1"/>
        <v>712000</v>
      </c>
      <c r="AR13" s="8">
        <f t="shared" si="1"/>
        <v>1668726</v>
      </c>
      <c r="AS13" s="8">
        <f t="shared" si="1"/>
        <v>84501</v>
      </c>
      <c r="AT13" s="8">
        <f t="shared" si="1"/>
        <v>81352</v>
      </c>
      <c r="AU13" s="9">
        <f t="shared" si="1"/>
        <v>10.280000000000001</v>
      </c>
      <c r="AV13" s="9">
        <f t="shared" si="1"/>
        <v>5.7</v>
      </c>
      <c r="AW13" s="92">
        <f t="shared" si="1"/>
        <v>4.58</v>
      </c>
    </row>
    <row r="14" spans="1:49" s="569" customFormat="1" x14ac:dyDescent="0.2">
      <c r="A14" s="531">
        <v>2</v>
      </c>
      <c r="B14" s="532">
        <v>4411</v>
      </c>
      <c r="C14" s="532">
        <v>600074340</v>
      </c>
      <c r="D14" s="532">
        <v>70982121</v>
      </c>
      <c r="E14" s="530" t="s">
        <v>151</v>
      </c>
      <c r="F14" s="532">
        <v>3111</v>
      </c>
      <c r="G14" s="533" t="s">
        <v>317</v>
      </c>
      <c r="H14" s="534" t="s">
        <v>283</v>
      </c>
      <c r="I14" s="575">
        <f t="shared" ref="I14:I16" si="2">SUM(J14:M14)</f>
        <v>8055095</v>
      </c>
      <c r="J14" s="496">
        <v>5898119</v>
      </c>
      <c r="K14" s="131">
        <f>ROUND((J14)*33.8%,0)</f>
        <v>1993564</v>
      </c>
      <c r="L14" s="131">
        <f>ROUND(J14*2%,0)</f>
        <v>117962</v>
      </c>
      <c r="M14" s="496">
        <v>45450</v>
      </c>
      <c r="N14" s="576">
        <f t="shared" ref="N14:N16" si="3">SUM(O14:P14)</f>
        <v>13.302199999999999</v>
      </c>
      <c r="O14" s="577">
        <v>10</v>
      </c>
      <c r="P14" s="607">
        <v>3.3022</v>
      </c>
      <c r="Q14" s="579">
        <f>V14*-1</f>
        <v>-35520</v>
      </c>
      <c r="R14" s="498">
        <v>0</v>
      </c>
      <c r="S14" s="498">
        <v>0</v>
      </c>
      <c r="T14" s="498">
        <v>0</v>
      </c>
      <c r="U14" s="498">
        <f t="shared" ref="U14:U77" si="4">SUM(Q14:T14)</f>
        <v>-35520</v>
      </c>
      <c r="V14" s="498">
        <v>35520</v>
      </c>
      <c r="W14" s="498">
        <v>0</v>
      </c>
      <c r="X14" s="498">
        <v>0</v>
      </c>
      <c r="Y14" s="498">
        <f t="shared" ref="Y14:Y78" si="5">SUM(V14:X14)</f>
        <v>35520</v>
      </c>
      <c r="Z14" s="498">
        <f t="shared" ref="Z14:Z78" si="6">U14+Y14</f>
        <v>0</v>
      </c>
      <c r="AA14" s="131">
        <f>ROUND((U14+V14+W14)*33.8%,0)</f>
        <v>0</v>
      </c>
      <c r="AB14" s="131">
        <f t="shared" ref="AB14:AB78" si="7">ROUND(U14*2%,0)</f>
        <v>-710</v>
      </c>
      <c r="AC14" s="498">
        <v>0</v>
      </c>
      <c r="AD14" s="498">
        <v>0</v>
      </c>
      <c r="AE14" s="498">
        <f t="shared" ref="AE14:AE78" si="8">SUM(AC14:AD14)</f>
        <v>0</v>
      </c>
      <c r="AF14" s="498">
        <f t="shared" ref="AF14:AF78" si="9">Z14+AA14+AB14+AE14</f>
        <v>-710</v>
      </c>
      <c r="AG14" s="499">
        <v>-0.06</v>
      </c>
      <c r="AH14" s="499">
        <v>-0.05</v>
      </c>
      <c r="AI14" s="499">
        <v>0</v>
      </c>
      <c r="AJ14" s="499">
        <v>0</v>
      </c>
      <c r="AK14" s="499">
        <v>0</v>
      </c>
      <c r="AL14" s="499">
        <f t="shared" ref="AL14:AL78" si="10">AG14+AI14+AJ14</f>
        <v>-0.06</v>
      </c>
      <c r="AM14" s="499">
        <f t="shared" ref="AM14:AM78" si="11">AH14+AK14</f>
        <v>-0.05</v>
      </c>
      <c r="AN14" s="500">
        <f t="shared" ref="AN14:AN78" si="12">SUM(AL14:AM14)</f>
        <v>-0.11</v>
      </c>
      <c r="AO14" s="497">
        <f>I14+AF14</f>
        <v>8054385</v>
      </c>
      <c r="AP14" s="498">
        <f>J14+U14</f>
        <v>5862599</v>
      </c>
      <c r="AQ14" s="498">
        <f>Y14</f>
        <v>35520</v>
      </c>
      <c r="AR14" s="498">
        <f t="shared" ref="AR14:AS16" si="13">K14+AA14</f>
        <v>1993564</v>
      </c>
      <c r="AS14" s="498">
        <f t="shared" si="13"/>
        <v>117252</v>
      </c>
      <c r="AT14" s="498">
        <f>M14+AE14</f>
        <v>45450</v>
      </c>
      <c r="AU14" s="499">
        <f>N14+AN14</f>
        <v>13.1922</v>
      </c>
      <c r="AV14" s="499">
        <f t="shared" ref="AV14:AW16" si="14">O14+AL14</f>
        <v>9.94</v>
      </c>
      <c r="AW14" s="500">
        <f t="shared" si="14"/>
        <v>3.2522000000000002</v>
      </c>
    </row>
    <row r="15" spans="1:49" s="569" customFormat="1" x14ac:dyDescent="0.2">
      <c r="A15" s="531">
        <v>2</v>
      </c>
      <c r="B15" s="532">
        <v>4411</v>
      </c>
      <c r="C15" s="532">
        <v>600074340</v>
      </c>
      <c r="D15" s="532">
        <v>70982121</v>
      </c>
      <c r="E15" s="530" t="s">
        <v>151</v>
      </c>
      <c r="F15" s="532">
        <v>3111</v>
      </c>
      <c r="G15" s="533" t="s">
        <v>318</v>
      </c>
      <c r="H15" s="534" t="s">
        <v>284</v>
      </c>
      <c r="I15" s="575">
        <f t="shared" si="2"/>
        <v>0</v>
      </c>
      <c r="J15" s="496">
        <v>0</v>
      </c>
      <c r="K15" s="131">
        <f t="shared" ref="K15" si="15">ROUND((J15)*33.8%,0)</f>
        <v>0</v>
      </c>
      <c r="L15" s="131">
        <f t="shared" ref="L15" si="16">ROUND(J15*2%,0)</f>
        <v>0</v>
      </c>
      <c r="M15" s="496">
        <v>0</v>
      </c>
      <c r="N15" s="576">
        <f t="shared" si="3"/>
        <v>0</v>
      </c>
      <c r="O15" s="577">
        <v>0</v>
      </c>
      <c r="P15" s="607">
        <v>0</v>
      </c>
      <c r="Q15" s="579">
        <f>V15*-1</f>
        <v>0</v>
      </c>
      <c r="R15" s="496">
        <v>259833</v>
      </c>
      <c r="S15" s="498">
        <v>0</v>
      </c>
      <c r="T15" s="498">
        <v>0</v>
      </c>
      <c r="U15" s="498">
        <f t="shared" si="4"/>
        <v>259833</v>
      </c>
      <c r="V15" s="498">
        <v>0</v>
      </c>
      <c r="W15" s="498">
        <v>0</v>
      </c>
      <c r="X15" s="498">
        <v>0</v>
      </c>
      <c r="Y15" s="498">
        <f t="shared" si="5"/>
        <v>0</v>
      </c>
      <c r="Z15" s="498">
        <f t="shared" si="6"/>
        <v>259833</v>
      </c>
      <c r="AA15" s="131">
        <f>ROUND((U15+V15+W15)*33.8%,0)</f>
        <v>87824</v>
      </c>
      <c r="AB15" s="131">
        <f t="shared" si="7"/>
        <v>5197</v>
      </c>
      <c r="AC15" s="498">
        <v>0</v>
      </c>
      <c r="AD15" s="498">
        <v>0</v>
      </c>
      <c r="AE15" s="498">
        <f t="shared" si="8"/>
        <v>0</v>
      </c>
      <c r="AF15" s="498">
        <f t="shared" si="9"/>
        <v>352854</v>
      </c>
      <c r="AG15" s="499">
        <v>0</v>
      </c>
      <c r="AH15" s="499">
        <v>0</v>
      </c>
      <c r="AI15" s="499">
        <v>0.75</v>
      </c>
      <c r="AJ15" s="499">
        <v>0</v>
      </c>
      <c r="AK15" s="499">
        <v>0</v>
      </c>
      <c r="AL15" s="499">
        <f t="shared" si="10"/>
        <v>0.75</v>
      </c>
      <c r="AM15" s="499">
        <f t="shared" si="11"/>
        <v>0</v>
      </c>
      <c r="AN15" s="500">
        <f t="shared" si="12"/>
        <v>0.75</v>
      </c>
      <c r="AO15" s="497">
        <f>I15+AF15</f>
        <v>352854</v>
      </c>
      <c r="AP15" s="498">
        <f>J15+U15</f>
        <v>259833</v>
      </c>
      <c r="AQ15" s="498">
        <f>Y15</f>
        <v>0</v>
      </c>
      <c r="AR15" s="498">
        <f t="shared" si="13"/>
        <v>87824</v>
      </c>
      <c r="AS15" s="498">
        <f t="shared" si="13"/>
        <v>5197</v>
      </c>
      <c r="AT15" s="498">
        <f>M15+AE15</f>
        <v>0</v>
      </c>
      <c r="AU15" s="499">
        <f>N15+AN15</f>
        <v>0.75</v>
      </c>
      <c r="AV15" s="499">
        <f t="shared" si="14"/>
        <v>0.75</v>
      </c>
      <c r="AW15" s="500">
        <f t="shared" si="14"/>
        <v>0</v>
      </c>
    </row>
    <row r="16" spans="1:49" s="569" customFormat="1" x14ac:dyDescent="0.2">
      <c r="A16" s="531">
        <v>2</v>
      </c>
      <c r="B16" s="532">
        <v>4411</v>
      </c>
      <c r="C16" s="532">
        <v>600074340</v>
      </c>
      <c r="D16" s="532">
        <v>70982121</v>
      </c>
      <c r="E16" s="530" t="s">
        <v>151</v>
      </c>
      <c r="F16" s="532">
        <v>3141</v>
      </c>
      <c r="G16" s="533" t="s">
        <v>321</v>
      </c>
      <c r="H16" s="534" t="s">
        <v>284</v>
      </c>
      <c r="I16" s="575">
        <f t="shared" si="2"/>
        <v>520665</v>
      </c>
      <c r="J16" s="496">
        <v>380524</v>
      </c>
      <c r="K16" s="131">
        <f>ROUND((J16)*33.8%,0)</f>
        <v>128617</v>
      </c>
      <c r="L16" s="131">
        <f>ROUND(J16*2%,0)</f>
        <v>7610</v>
      </c>
      <c r="M16" s="496">
        <v>3914</v>
      </c>
      <c r="N16" s="576">
        <f t="shared" si="3"/>
        <v>1.29</v>
      </c>
      <c r="O16" s="577">
        <v>0</v>
      </c>
      <c r="P16" s="607">
        <v>1.29</v>
      </c>
      <c r="Q16" s="579">
        <f>V16*-1</f>
        <v>-5760</v>
      </c>
      <c r="R16" s="498">
        <v>0</v>
      </c>
      <c r="S16" s="498">
        <v>0</v>
      </c>
      <c r="T16" s="498">
        <v>0</v>
      </c>
      <c r="U16" s="498">
        <f t="shared" si="4"/>
        <v>-5760</v>
      </c>
      <c r="V16" s="498">
        <v>5760</v>
      </c>
      <c r="W16" s="498">
        <v>0</v>
      </c>
      <c r="X16" s="498">
        <v>0</v>
      </c>
      <c r="Y16" s="498">
        <f t="shared" si="5"/>
        <v>5760</v>
      </c>
      <c r="Z16" s="498">
        <f t="shared" si="6"/>
        <v>0</v>
      </c>
      <c r="AA16" s="131">
        <f>ROUND((U16+V16+W16)*33.8%,0)</f>
        <v>0</v>
      </c>
      <c r="AB16" s="131">
        <f t="shared" si="7"/>
        <v>-115</v>
      </c>
      <c r="AC16" s="498">
        <v>0</v>
      </c>
      <c r="AD16" s="498">
        <v>0</v>
      </c>
      <c r="AE16" s="498">
        <f t="shared" si="8"/>
        <v>0</v>
      </c>
      <c r="AF16" s="498">
        <f t="shared" si="9"/>
        <v>-115</v>
      </c>
      <c r="AG16" s="499">
        <v>0</v>
      </c>
      <c r="AH16" s="499">
        <v>-0.02</v>
      </c>
      <c r="AI16" s="499">
        <v>0</v>
      </c>
      <c r="AJ16" s="499">
        <v>0</v>
      </c>
      <c r="AK16" s="499">
        <v>0</v>
      </c>
      <c r="AL16" s="499">
        <f t="shared" si="10"/>
        <v>0</v>
      </c>
      <c r="AM16" s="499">
        <f t="shared" si="11"/>
        <v>-0.02</v>
      </c>
      <c r="AN16" s="500">
        <f t="shared" si="12"/>
        <v>-0.02</v>
      </c>
      <c r="AO16" s="497">
        <f>I16+AF16</f>
        <v>520550</v>
      </c>
      <c r="AP16" s="498">
        <f>J16+U16</f>
        <v>374764</v>
      </c>
      <c r="AQ16" s="498">
        <f>Y16</f>
        <v>5760</v>
      </c>
      <c r="AR16" s="498">
        <f t="shared" si="13"/>
        <v>128617</v>
      </c>
      <c r="AS16" s="498">
        <f t="shared" si="13"/>
        <v>7495</v>
      </c>
      <c r="AT16" s="498">
        <f>M16+AE16</f>
        <v>3914</v>
      </c>
      <c r="AU16" s="499">
        <f>N16+AN16</f>
        <v>1.27</v>
      </c>
      <c r="AV16" s="499">
        <f t="shared" si="14"/>
        <v>0</v>
      </c>
      <c r="AW16" s="500">
        <f t="shared" si="14"/>
        <v>1.27</v>
      </c>
    </row>
    <row r="17" spans="1:49" s="569" customFormat="1" x14ac:dyDescent="0.2">
      <c r="A17" s="302">
        <v>2</v>
      </c>
      <c r="B17" s="32">
        <v>4411</v>
      </c>
      <c r="C17" s="32">
        <v>600074340</v>
      </c>
      <c r="D17" s="32">
        <v>70982121</v>
      </c>
      <c r="E17" s="311" t="s">
        <v>152</v>
      </c>
      <c r="F17" s="32"/>
      <c r="G17" s="301"/>
      <c r="H17" s="454"/>
      <c r="I17" s="5">
        <f t="shared" ref="I17:P17" si="17">SUM(I14:I16)</f>
        <v>8575760</v>
      </c>
      <c r="J17" s="8">
        <f t="shared" si="17"/>
        <v>6278643</v>
      </c>
      <c r="K17" s="8">
        <f t="shared" si="17"/>
        <v>2122181</v>
      </c>
      <c r="L17" s="8">
        <f t="shared" si="17"/>
        <v>125572</v>
      </c>
      <c r="M17" s="8">
        <f t="shared" si="17"/>
        <v>49364</v>
      </c>
      <c r="N17" s="9">
        <f t="shared" si="17"/>
        <v>14.592199999999998</v>
      </c>
      <c r="O17" s="9">
        <f t="shared" si="17"/>
        <v>10</v>
      </c>
      <c r="P17" s="39">
        <f t="shared" si="17"/>
        <v>4.5922000000000001</v>
      </c>
      <c r="Q17" s="5">
        <f t="shared" ref="Q17:AW17" si="18">SUM(Q14:Q16)</f>
        <v>-41280</v>
      </c>
      <c r="R17" s="8">
        <f t="shared" si="18"/>
        <v>259833</v>
      </c>
      <c r="S17" s="8">
        <f t="shared" si="18"/>
        <v>0</v>
      </c>
      <c r="T17" s="8">
        <f t="shared" si="18"/>
        <v>0</v>
      </c>
      <c r="U17" s="8">
        <f t="shared" si="18"/>
        <v>218553</v>
      </c>
      <c r="V17" s="8">
        <f t="shared" si="18"/>
        <v>41280</v>
      </c>
      <c r="W17" s="8">
        <f t="shared" si="18"/>
        <v>0</v>
      </c>
      <c r="X17" s="8">
        <f t="shared" si="18"/>
        <v>0</v>
      </c>
      <c r="Y17" s="8">
        <f t="shared" si="18"/>
        <v>41280</v>
      </c>
      <c r="Z17" s="8">
        <f t="shared" si="18"/>
        <v>259833</v>
      </c>
      <c r="AA17" s="8">
        <f t="shared" si="18"/>
        <v>87824</v>
      </c>
      <c r="AB17" s="8">
        <f t="shared" si="18"/>
        <v>4372</v>
      </c>
      <c r="AC17" s="8">
        <f t="shared" si="18"/>
        <v>0</v>
      </c>
      <c r="AD17" s="8">
        <f t="shared" si="18"/>
        <v>0</v>
      </c>
      <c r="AE17" s="8">
        <f t="shared" si="18"/>
        <v>0</v>
      </c>
      <c r="AF17" s="8">
        <f t="shared" si="18"/>
        <v>352029</v>
      </c>
      <c r="AG17" s="9">
        <f t="shared" si="18"/>
        <v>-0.06</v>
      </c>
      <c r="AH17" s="9">
        <f t="shared" si="18"/>
        <v>-7.0000000000000007E-2</v>
      </c>
      <c r="AI17" s="9">
        <f t="shared" si="18"/>
        <v>0.75</v>
      </c>
      <c r="AJ17" s="9">
        <f t="shared" si="18"/>
        <v>0</v>
      </c>
      <c r="AK17" s="9">
        <f t="shared" si="18"/>
        <v>0</v>
      </c>
      <c r="AL17" s="9">
        <f t="shared" si="18"/>
        <v>0.69</v>
      </c>
      <c r="AM17" s="9">
        <f t="shared" si="18"/>
        <v>-7.0000000000000007E-2</v>
      </c>
      <c r="AN17" s="92">
        <f t="shared" si="18"/>
        <v>0.62</v>
      </c>
      <c r="AO17" s="295">
        <f t="shared" si="18"/>
        <v>8927789</v>
      </c>
      <c r="AP17" s="8">
        <f t="shared" si="18"/>
        <v>6497196</v>
      </c>
      <c r="AQ17" s="8">
        <f t="shared" si="18"/>
        <v>41280</v>
      </c>
      <c r="AR17" s="8">
        <f t="shared" si="18"/>
        <v>2210005</v>
      </c>
      <c r="AS17" s="8">
        <f t="shared" si="18"/>
        <v>129944</v>
      </c>
      <c r="AT17" s="8">
        <f t="shared" si="18"/>
        <v>49364</v>
      </c>
      <c r="AU17" s="9">
        <f t="shared" si="18"/>
        <v>15.212199999999999</v>
      </c>
      <c r="AV17" s="9">
        <f t="shared" si="18"/>
        <v>10.69</v>
      </c>
      <c r="AW17" s="92">
        <f t="shared" si="18"/>
        <v>4.5221999999999998</v>
      </c>
    </row>
    <row r="18" spans="1:49" s="569" customFormat="1" x14ac:dyDescent="0.2">
      <c r="A18" s="531">
        <v>3</v>
      </c>
      <c r="B18" s="532">
        <v>4409</v>
      </c>
      <c r="C18" s="532">
        <v>600074358</v>
      </c>
      <c r="D18" s="532">
        <v>70982104</v>
      </c>
      <c r="E18" s="524" t="s">
        <v>153</v>
      </c>
      <c r="F18" s="532">
        <v>3111</v>
      </c>
      <c r="G18" s="533" t="s">
        <v>317</v>
      </c>
      <c r="H18" s="534" t="s">
        <v>283</v>
      </c>
      <c r="I18" s="575">
        <f t="shared" ref="I18:I21" si="19">SUM(J18:M18)</f>
        <v>15481982</v>
      </c>
      <c r="J18" s="496">
        <v>11323514</v>
      </c>
      <c r="K18" s="131">
        <f t="shared" ref="K18:K20" si="20">ROUND((J18)*33.8%,0)</f>
        <v>3827348</v>
      </c>
      <c r="L18" s="131">
        <f t="shared" ref="L18:L20" si="21">ROUND(J18*2%,0)</f>
        <v>226470</v>
      </c>
      <c r="M18" s="496">
        <v>104650</v>
      </c>
      <c r="N18" s="576">
        <f t="shared" ref="N18:N21" si="22">SUM(O18:P18)</f>
        <v>27.641500000000001</v>
      </c>
      <c r="O18" s="577">
        <v>20.100000000000001</v>
      </c>
      <c r="P18" s="607">
        <v>7.5415000000000001</v>
      </c>
      <c r="Q18" s="579">
        <f t="shared" ref="Q18:Q21" si="23">V18*-1</f>
        <v>-14400</v>
      </c>
      <c r="R18" s="498">
        <v>0</v>
      </c>
      <c r="S18" s="498">
        <v>0</v>
      </c>
      <c r="T18" s="498">
        <v>0</v>
      </c>
      <c r="U18" s="498">
        <f t="shared" si="4"/>
        <v>-14400</v>
      </c>
      <c r="V18" s="498">
        <v>14400</v>
      </c>
      <c r="W18" s="498">
        <v>0</v>
      </c>
      <c r="X18" s="498">
        <v>0</v>
      </c>
      <c r="Y18" s="498">
        <f t="shared" si="5"/>
        <v>14400</v>
      </c>
      <c r="Z18" s="498">
        <f t="shared" si="6"/>
        <v>0</v>
      </c>
      <c r="AA18" s="131">
        <f t="shared" ref="AA18:AA21" si="24">ROUND((U18+V18+W18)*33.8%,0)</f>
        <v>0</v>
      </c>
      <c r="AB18" s="131">
        <f t="shared" si="7"/>
        <v>-288</v>
      </c>
      <c r="AC18" s="498">
        <v>0</v>
      </c>
      <c r="AD18" s="498">
        <v>0</v>
      </c>
      <c r="AE18" s="498">
        <f t="shared" si="8"/>
        <v>0</v>
      </c>
      <c r="AF18" s="498">
        <f t="shared" si="9"/>
        <v>-288</v>
      </c>
      <c r="AG18" s="499">
        <v>-0.02</v>
      </c>
      <c r="AH18" s="499">
        <v>-0.03</v>
      </c>
      <c r="AI18" s="499">
        <v>0</v>
      </c>
      <c r="AJ18" s="499">
        <v>0</v>
      </c>
      <c r="AK18" s="499">
        <v>0</v>
      </c>
      <c r="AL18" s="499">
        <f t="shared" si="10"/>
        <v>-0.02</v>
      </c>
      <c r="AM18" s="499">
        <f t="shared" si="11"/>
        <v>-0.03</v>
      </c>
      <c r="AN18" s="500">
        <f t="shared" si="12"/>
        <v>-0.05</v>
      </c>
      <c r="AO18" s="497">
        <f>I18+AF18</f>
        <v>15481694</v>
      </c>
      <c r="AP18" s="498">
        <f>J18+U18</f>
        <v>11309114</v>
      </c>
      <c r="AQ18" s="498">
        <f t="shared" ref="AQ18:AQ21" si="25">Y18</f>
        <v>14400</v>
      </c>
      <c r="AR18" s="498">
        <f t="shared" ref="AR18:AS21" si="26">K18+AA18</f>
        <v>3827348</v>
      </c>
      <c r="AS18" s="498">
        <f t="shared" si="26"/>
        <v>226182</v>
      </c>
      <c r="AT18" s="498">
        <f>M18+AE18</f>
        <v>104650</v>
      </c>
      <c r="AU18" s="499">
        <f>N18+AN18</f>
        <v>27.5915</v>
      </c>
      <c r="AV18" s="499">
        <f t="shared" ref="AV18:AW21" si="27">O18+AL18</f>
        <v>20.080000000000002</v>
      </c>
      <c r="AW18" s="500">
        <f t="shared" si="27"/>
        <v>7.5114999999999998</v>
      </c>
    </row>
    <row r="19" spans="1:49" s="569" customFormat="1" x14ac:dyDescent="0.2">
      <c r="A19" s="531">
        <v>3</v>
      </c>
      <c r="B19" s="532">
        <v>4409</v>
      </c>
      <c r="C19" s="532">
        <v>600074358</v>
      </c>
      <c r="D19" s="532">
        <v>70982104</v>
      </c>
      <c r="E19" s="524" t="s">
        <v>153</v>
      </c>
      <c r="F19" s="532">
        <v>3111</v>
      </c>
      <c r="G19" s="533" t="s">
        <v>319</v>
      </c>
      <c r="H19" s="534" t="s">
        <v>283</v>
      </c>
      <c r="I19" s="575">
        <f t="shared" si="19"/>
        <v>489218</v>
      </c>
      <c r="J19" s="496">
        <v>360249</v>
      </c>
      <c r="K19" s="131">
        <f t="shared" si="20"/>
        <v>121764</v>
      </c>
      <c r="L19" s="131">
        <f t="shared" si="21"/>
        <v>7205</v>
      </c>
      <c r="M19" s="496">
        <v>0</v>
      </c>
      <c r="N19" s="576">
        <f t="shared" si="22"/>
        <v>0.98599999999999999</v>
      </c>
      <c r="O19" s="577">
        <v>0.98599999999999999</v>
      </c>
      <c r="P19" s="607">
        <v>0</v>
      </c>
      <c r="Q19" s="579">
        <f t="shared" si="23"/>
        <v>0</v>
      </c>
      <c r="R19" s="498">
        <v>0</v>
      </c>
      <c r="S19" s="498">
        <v>0</v>
      </c>
      <c r="T19" s="498">
        <v>0</v>
      </c>
      <c r="U19" s="498">
        <f t="shared" si="4"/>
        <v>0</v>
      </c>
      <c r="V19" s="498">
        <v>0</v>
      </c>
      <c r="W19" s="498">
        <v>0</v>
      </c>
      <c r="X19" s="498">
        <v>0</v>
      </c>
      <c r="Y19" s="498">
        <f t="shared" si="5"/>
        <v>0</v>
      </c>
      <c r="Z19" s="498">
        <f t="shared" si="6"/>
        <v>0</v>
      </c>
      <c r="AA19" s="131">
        <f t="shared" si="24"/>
        <v>0</v>
      </c>
      <c r="AB19" s="131">
        <f t="shared" si="7"/>
        <v>0</v>
      </c>
      <c r="AC19" s="498">
        <v>0</v>
      </c>
      <c r="AD19" s="498">
        <v>0</v>
      </c>
      <c r="AE19" s="498">
        <f t="shared" si="8"/>
        <v>0</v>
      </c>
      <c r="AF19" s="498">
        <f t="shared" si="9"/>
        <v>0</v>
      </c>
      <c r="AG19" s="499">
        <v>0</v>
      </c>
      <c r="AH19" s="499">
        <v>0</v>
      </c>
      <c r="AI19" s="499">
        <v>0</v>
      </c>
      <c r="AJ19" s="499">
        <v>0</v>
      </c>
      <c r="AK19" s="499">
        <v>0</v>
      </c>
      <c r="AL19" s="499">
        <f t="shared" si="10"/>
        <v>0</v>
      </c>
      <c r="AM19" s="499">
        <f t="shared" si="11"/>
        <v>0</v>
      </c>
      <c r="AN19" s="500">
        <f t="shared" si="12"/>
        <v>0</v>
      </c>
      <c r="AO19" s="497">
        <f>I19+AF19</f>
        <v>489218</v>
      </c>
      <c r="AP19" s="498">
        <f>J19+U19</f>
        <v>360249</v>
      </c>
      <c r="AQ19" s="498">
        <f t="shared" si="25"/>
        <v>0</v>
      </c>
      <c r="AR19" s="498">
        <f t="shared" si="26"/>
        <v>121764</v>
      </c>
      <c r="AS19" s="498">
        <f t="shared" si="26"/>
        <v>7205</v>
      </c>
      <c r="AT19" s="498">
        <f>M19+AE19</f>
        <v>0</v>
      </c>
      <c r="AU19" s="499">
        <f>N19+AN19</f>
        <v>0.98599999999999999</v>
      </c>
      <c r="AV19" s="499">
        <f t="shared" si="27"/>
        <v>0.98599999999999999</v>
      </c>
      <c r="AW19" s="500">
        <f t="shared" si="27"/>
        <v>0</v>
      </c>
    </row>
    <row r="20" spans="1:49" s="569" customFormat="1" x14ac:dyDescent="0.2">
      <c r="A20" s="531">
        <v>3</v>
      </c>
      <c r="B20" s="532">
        <v>4409</v>
      </c>
      <c r="C20" s="532">
        <v>600074358</v>
      </c>
      <c r="D20" s="532">
        <v>70982104</v>
      </c>
      <c r="E20" s="524" t="s">
        <v>153</v>
      </c>
      <c r="F20" s="532">
        <v>3111</v>
      </c>
      <c r="G20" s="533" t="s">
        <v>318</v>
      </c>
      <c r="H20" s="534" t="s">
        <v>284</v>
      </c>
      <c r="I20" s="575">
        <f t="shared" si="19"/>
        <v>0</v>
      </c>
      <c r="J20" s="496">
        <v>0</v>
      </c>
      <c r="K20" s="131">
        <f t="shared" si="20"/>
        <v>0</v>
      </c>
      <c r="L20" s="131">
        <f t="shared" si="21"/>
        <v>0</v>
      </c>
      <c r="M20" s="496">
        <v>0</v>
      </c>
      <c r="N20" s="576">
        <f t="shared" si="22"/>
        <v>0</v>
      </c>
      <c r="O20" s="577">
        <v>0</v>
      </c>
      <c r="P20" s="607">
        <v>0</v>
      </c>
      <c r="Q20" s="579">
        <f t="shared" si="23"/>
        <v>0</v>
      </c>
      <c r="R20" s="496">
        <v>692887</v>
      </c>
      <c r="S20" s="498">
        <v>0</v>
      </c>
      <c r="T20" s="498">
        <v>0</v>
      </c>
      <c r="U20" s="498">
        <f t="shared" si="4"/>
        <v>692887</v>
      </c>
      <c r="V20" s="498">
        <v>0</v>
      </c>
      <c r="W20" s="498">
        <v>0</v>
      </c>
      <c r="X20" s="498">
        <v>0</v>
      </c>
      <c r="Y20" s="498">
        <f t="shared" si="5"/>
        <v>0</v>
      </c>
      <c r="Z20" s="498">
        <f t="shared" si="6"/>
        <v>692887</v>
      </c>
      <c r="AA20" s="131">
        <f t="shared" si="24"/>
        <v>234196</v>
      </c>
      <c r="AB20" s="131">
        <f t="shared" si="7"/>
        <v>13858</v>
      </c>
      <c r="AC20" s="498">
        <v>0</v>
      </c>
      <c r="AD20" s="498">
        <v>0</v>
      </c>
      <c r="AE20" s="498">
        <f t="shared" si="8"/>
        <v>0</v>
      </c>
      <c r="AF20" s="498">
        <f t="shared" si="9"/>
        <v>940941</v>
      </c>
      <c r="AG20" s="499">
        <v>0</v>
      </c>
      <c r="AH20" s="499">
        <v>0</v>
      </c>
      <c r="AI20" s="499">
        <v>1.5</v>
      </c>
      <c r="AJ20" s="499">
        <v>0</v>
      </c>
      <c r="AK20" s="499">
        <v>0</v>
      </c>
      <c r="AL20" s="499">
        <f t="shared" si="10"/>
        <v>1.5</v>
      </c>
      <c r="AM20" s="499">
        <f t="shared" si="11"/>
        <v>0</v>
      </c>
      <c r="AN20" s="500">
        <f t="shared" si="12"/>
        <v>1.5</v>
      </c>
      <c r="AO20" s="497">
        <f>I20+AF20</f>
        <v>940941</v>
      </c>
      <c r="AP20" s="498">
        <f>J20+U20</f>
        <v>692887</v>
      </c>
      <c r="AQ20" s="498">
        <f t="shared" si="25"/>
        <v>0</v>
      </c>
      <c r="AR20" s="498">
        <f t="shared" si="26"/>
        <v>234196</v>
      </c>
      <c r="AS20" s="498">
        <f t="shared" si="26"/>
        <v>13858</v>
      </c>
      <c r="AT20" s="498">
        <f>M20+AE20</f>
        <v>0</v>
      </c>
      <c r="AU20" s="499">
        <f>N20+AN20</f>
        <v>1.5</v>
      </c>
      <c r="AV20" s="499">
        <f t="shared" si="27"/>
        <v>1.5</v>
      </c>
      <c r="AW20" s="500">
        <f t="shared" si="27"/>
        <v>0</v>
      </c>
    </row>
    <row r="21" spans="1:49" s="569" customFormat="1" x14ac:dyDescent="0.2">
      <c r="A21" s="531">
        <v>3</v>
      </c>
      <c r="B21" s="532">
        <v>4409</v>
      </c>
      <c r="C21" s="532">
        <v>600074358</v>
      </c>
      <c r="D21" s="532">
        <v>70982104</v>
      </c>
      <c r="E21" s="530" t="s">
        <v>153</v>
      </c>
      <c r="F21" s="532">
        <v>3141</v>
      </c>
      <c r="G21" s="533" t="s">
        <v>321</v>
      </c>
      <c r="H21" s="534" t="s">
        <v>284</v>
      </c>
      <c r="I21" s="575">
        <f t="shared" si="19"/>
        <v>2354277</v>
      </c>
      <c r="J21" s="496">
        <v>1724368</v>
      </c>
      <c r="K21" s="131">
        <f>ROUND((J21)*33.8%,0)</f>
        <v>582836</v>
      </c>
      <c r="L21" s="131">
        <f>ROUND(J21*2%,0)</f>
        <v>34487</v>
      </c>
      <c r="M21" s="496">
        <v>12586</v>
      </c>
      <c r="N21" s="576">
        <f t="shared" si="22"/>
        <v>5.87</v>
      </c>
      <c r="O21" s="577">
        <v>0</v>
      </c>
      <c r="P21" s="607">
        <v>5.87</v>
      </c>
      <c r="Q21" s="579">
        <f t="shared" si="23"/>
        <v>-5600</v>
      </c>
      <c r="R21" s="498">
        <v>0</v>
      </c>
      <c r="S21" s="498">
        <v>0</v>
      </c>
      <c r="T21" s="498">
        <v>0</v>
      </c>
      <c r="U21" s="498">
        <f t="shared" si="4"/>
        <v>-5600</v>
      </c>
      <c r="V21" s="498">
        <v>5600</v>
      </c>
      <c r="W21" s="498">
        <v>0</v>
      </c>
      <c r="X21" s="498">
        <v>0</v>
      </c>
      <c r="Y21" s="498">
        <f t="shared" si="5"/>
        <v>5600</v>
      </c>
      <c r="Z21" s="498">
        <f t="shared" si="6"/>
        <v>0</v>
      </c>
      <c r="AA21" s="131">
        <f t="shared" si="24"/>
        <v>0</v>
      </c>
      <c r="AB21" s="131">
        <f t="shared" si="7"/>
        <v>-112</v>
      </c>
      <c r="AC21" s="498">
        <v>0</v>
      </c>
      <c r="AD21" s="498">
        <v>0</v>
      </c>
      <c r="AE21" s="498">
        <f t="shared" si="8"/>
        <v>0</v>
      </c>
      <c r="AF21" s="498">
        <f t="shared" si="9"/>
        <v>-112</v>
      </c>
      <c r="AG21" s="499">
        <v>0</v>
      </c>
      <c r="AH21" s="499">
        <v>-0.02</v>
      </c>
      <c r="AI21" s="499">
        <v>0</v>
      </c>
      <c r="AJ21" s="499">
        <v>0</v>
      </c>
      <c r="AK21" s="499">
        <v>0</v>
      </c>
      <c r="AL21" s="499">
        <f t="shared" si="10"/>
        <v>0</v>
      </c>
      <c r="AM21" s="499">
        <f t="shared" si="11"/>
        <v>-0.02</v>
      </c>
      <c r="AN21" s="500">
        <f t="shared" si="12"/>
        <v>-0.02</v>
      </c>
      <c r="AO21" s="497">
        <f>I21+AF21</f>
        <v>2354165</v>
      </c>
      <c r="AP21" s="498">
        <f>J21+U21</f>
        <v>1718768</v>
      </c>
      <c r="AQ21" s="498">
        <f t="shared" si="25"/>
        <v>5600</v>
      </c>
      <c r="AR21" s="498">
        <f t="shared" si="26"/>
        <v>582836</v>
      </c>
      <c r="AS21" s="498">
        <f t="shared" si="26"/>
        <v>34375</v>
      </c>
      <c r="AT21" s="498">
        <f>M21+AE21</f>
        <v>12586</v>
      </c>
      <c r="AU21" s="499">
        <f>N21+AN21</f>
        <v>5.8500000000000005</v>
      </c>
      <c r="AV21" s="499">
        <f t="shared" si="27"/>
        <v>0</v>
      </c>
      <c r="AW21" s="500">
        <f t="shared" si="27"/>
        <v>5.8500000000000005</v>
      </c>
    </row>
    <row r="22" spans="1:49" s="569" customFormat="1" x14ac:dyDescent="0.2">
      <c r="A22" s="302">
        <v>3</v>
      </c>
      <c r="B22" s="32">
        <v>4409</v>
      </c>
      <c r="C22" s="32">
        <v>600074358</v>
      </c>
      <c r="D22" s="32">
        <v>70982104</v>
      </c>
      <c r="E22" s="311" t="s">
        <v>154</v>
      </c>
      <c r="F22" s="32"/>
      <c r="G22" s="301"/>
      <c r="H22" s="454"/>
      <c r="I22" s="5">
        <f t="shared" ref="I22:P22" si="28">SUM(I18:I21)</f>
        <v>18325477</v>
      </c>
      <c r="J22" s="8">
        <f t="shared" si="28"/>
        <v>13408131</v>
      </c>
      <c r="K22" s="8">
        <f t="shared" si="28"/>
        <v>4531948</v>
      </c>
      <c r="L22" s="8">
        <f t="shared" si="28"/>
        <v>268162</v>
      </c>
      <c r="M22" s="8">
        <f t="shared" si="28"/>
        <v>117236</v>
      </c>
      <c r="N22" s="9">
        <f t="shared" si="28"/>
        <v>34.497500000000002</v>
      </c>
      <c r="O22" s="9">
        <f t="shared" si="28"/>
        <v>21.086000000000002</v>
      </c>
      <c r="P22" s="39">
        <f t="shared" si="28"/>
        <v>13.4115</v>
      </c>
      <c r="Q22" s="5">
        <f t="shared" ref="Q22:AW22" si="29">SUM(Q18:Q21)</f>
        <v>-20000</v>
      </c>
      <c r="R22" s="8">
        <f t="shared" si="29"/>
        <v>692887</v>
      </c>
      <c r="S22" s="8">
        <f t="shared" si="29"/>
        <v>0</v>
      </c>
      <c r="T22" s="8">
        <f t="shared" si="29"/>
        <v>0</v>
      </c>
      <c r="U22" s="8">
        <f t="shared" si="29"/>
        <v>672887</v>
      </c>
      <c r="V22" s="8">
        <f t="shared" si="29"/>
        <v>20000</v>
      </c>
      <c r="W22" s="8">
        <f t="shared" si="29"/>
        <v>0</v>
      </c>
      <c r="X22" s="8">
        <f t="shared" si="29"/>
        <v>0</v>
      </c>
      <c r="Y22" s="8">
        <f t="shared" si="29"/>
        <v>20000</v>
      </c>
      <c r="Z22" s="8">
        <f t="shared" si="29"/>
        <v>692887</v>
      </c>
      <c r="AA22" s="8">
        <f t="shared" si="29"/>
        <v>234196</v>
      </c>
      <c r="AB22" s="8">
        <f t="shared" si="29"/>
        <v>13458</v>
      </c>
      <c r="AC22" s="8">
        <f t="shared" si="29"/>
        <v>0</v>
      </c>
      <c r="AD22" s="8">
        <f t="shared" si="29"/>
        <v>0</v>
      </c>
      <c r="AE22" s="8">
        <f t="shared" si="29"/>
        <v>0</v>
      </c>
      <c r="AF22" s="8">
        <f t="shared" si="29"/>
        <v>940541</v>
      </c>
      <c r="AG22" s="9">
        <f t="shared" si="29"/>
        <v>-0.02</v>
      </c>
      <c r="AH22" s="9">
        <f t="shared" si="29"/>
        <v>-0.05</v>
      </c>
      <c r="AI22" s="9">
        <f t="shared" si="29"/>
        <v>1.5</v>
      </c>
      <c r="AJ22" s="9">
        <f t="shared" si="29"/>
        <v>0</v>
      </c>
      <c r="AK22" s="9">
        <f t="shared" si="29"/>
        <v>0</v>
      </c>
      <c r="AL22" s="9">
        <f t="shared" si="29"/>
        <v>1.48</v>
      </c>
      <c r="AM22" s="9">
        <f t="shared" si="29"/>
        <v>-0.05</v>
      </c>
      <c r="AN22" s="92">
        <f t="shared" si="29"/>
        <v>1.43</v>
      </c>
      <c r="AO22" s="295">
        <f t="shared" si="29"/>
        <v>19266018</v>
      </c>
      <c r="AP22" s="8">
        <f t="shared" si="29"/>
        <v>14081018</v>
      </c>
      <c r="AQ22" s="8">
        <f t="shared" si="29"/>
        <v>20000</v>
      </c>
      <c r="AR22" s="8">
        <f t="shared" si="29"/>
        <v>4766144</v>
      </c>
      <c r="AS22" s="8">
        <f t="shared" si="29"/>
        <v>281620</v>
      </c>
      <c r="AT22" s="8">
        <f t="shared" si="29"/>
        <v>117236</v>
      </c>
      <c r="AU22" s="9">
        <f t="shared" si="29"/>
        <v>35.927500000000002</v>
      </c>
      <c r="AV22" s="9">
        <f t="shared" si="29"/>
        <v>22.566000000000003</v>
      </c>
      <c r="AW22" s="92">
        <f t="shared" si="29"/>
        <v>13.361499999999999</v>
      </c>
    </row>
    <row r="23" spans="1:49" s="569" customFormat="1" x14ac:dyDescent="0.2">
      <c r="A23" s="531">
        <v>4</v>
      </c>
      <c r="B23" s="532">
        <v>4407</v>
      </c>
      <c r="C23" s="532">
        <v>600074552</v>
      </c>
      <c r="D23" s="532">
        <v>70982201</v>
      </c>
      <c r="E23" s="530" t="s">
        <v>155</v>
      </c>
      <c r="F23" s="532">
        <v>3111</v>
      </c>
      <c r="G23" s="533" t="s">
        <v>317</v>
      </c>
      <c r="H23" s="534" t="s">
        <v>283</v>
      </c>
      <c r="I23" s="575">
        <f t="shared" ref="I23:I26" si="30">SUM(J23:M23)</f>
        <v>7081735</v>
      </c>
      <c r="J23" s="496">
        <v>5179002</v>
      </c>
      <c r="K23" s="131">
        <f t="shared" ref="K23" si="31">ROUND((J23)*33.8%,0)</f>
        <v>1750503</v>
      </c>
      <c r="L23" s="131">
        <f t="shared" ref="L23:L25" si="32">ROUND(J23*2%,0)</f>
        <v>103580</v>
      </c>
      <c r="M23" s="496">
        <v>48650</v>
      </c>
      <c r="N23" s="576">
        <f t="shared" ref="N23:N26" si="33">SUM(O23:P23)</f>
        <v>11.384599999999999</v>
      </c>
      <c r="O23" s="577">
        <v>8.4193999999999996</v>
      </c>
      <c r="P23" s="607">
        <v>2.9651999999999998</v>
      </c>
      <c r="Q23" s="579">
        <f t="shared" ref="Q23:Q26" si="34">V23*-1</f>
        <v>0</v>
      </c>
      <c r="R23" s="498">
        <v>0</v>
      </c>
      <c r="S23" s="498">
        <v>0</v>
      </c>
      <c r="T23" s="498">
        <v>0</v>
      </c>
      <c r="U23" s="498">
        <f t="shared" si="4"/>
        <v>0</v>
      </c>
      <c r="V23" s="498">
        <v>0</v>
      </c>
      <c r="W23" s="498">
        <v>0</v>
      </c>
      <c r="X23" s="498">
        <v>0</v>
      </c>
      <c r="Y23" s="498">
        <f t="shared" si="5"/>
        <v>0</v>
      </c>
      <c r="Z23" s="498">
        <f t="shared" si="6"/>
        <v>0</v>
      </c>
      <c r="AA23" s="131">
        <f t="shared" ref="AA23:AA26" si="35">ROUND((U23+V23+W23)*33.8%,0)</f>
        <v>0</v>
      </c>
      <c r="AB23" s="131">
        <f t="shared" si="7"/>
        <v>0</v>
      </c>
      <c r="AC23" s="498">
        <v>0</v>
      </c>
      <c r="AD23" s="498">
        <v>0</v>
      </c>
      <c r="AE23" s="498">
        <f t="shared" si="8"/>
        <v>0</v>
      </c>
      <c r="AF23" s="498">
        <f t="shared" si="9"/>
        <v>0</v>
      </c>
      <c r="AG23" s="499">
        <v>0</v>
      </c>
      <c r="AH23" s="499">
        <v>0</v>
      </c>
      <c r="AI23" s="499">
        <v>0</v>
      </c>
      <c r="AJ23" s="499">
        <v>0</v>
      </c>
      <c r="AK23" s="499">
        <v>0</v>
      </c>
      <c r="AL23" s="499">
        <f t="shared" si="10"/>
        <v>0</v>
      </c>
      <c r="AM23" s="499">
        <f t="shared" si="11"/>
        <v>0</v>
      </c>
      <c r="AN23" s="500">
        <f t="shared" si="12"/>
        <v>0</v>
      </c>
      <c r="AO23" s="497">
        <f>I23+AF23</f>
        <v>7081735</v>
      </c>
      <c r="AP23" s="498">
        <f>J23+U23</f>
        <v>5179002</v>
      </c>
      <c r="AQ23" s="498">
        <f t="shared" ref="AQ23:AQ26" si="36">Y23</f>
        <v>0</v>
      </c>
      <c r="AR23" s="498">
        <f t="shared" ref="AR23:AS26" si="37">K23+AA23</f>
        <v>1750503</v>
      </c>
      <c r="AS23" s="498">
        <f t="shared" si="37"/>
        <v>103580</v>
      </c>
      <c r="AT23" s="498">
        <f>M23+AE23</f>
        <v>48650</v>
      </c>
      <c r="AU23" s="499">
        <f>N23+AN23</f>
        <v>11.384599999999999</v>
      </c>
      <c r="AV23" s="499">
        <f t="shared" ref="AV23:AW26" si="38">O23+AL23</f>
        <v>8.4193999999999996</v>
      </c>
      <c r="AW23" s="500">
        <f t="shared" si="38"/>
        <v>2.9651999999999998</v>
      </c>
    </row>
    <row r="24" spans="1:49" s="569" customFormat="1" x14ac:dyDescent="0.2">
      <c r="A24" s="531">
        <v>4</v>
      </c>
      <c r="B24" s="532">
        <v>4407</v>
      </c>
      <c r="C24" s="532">
        <v>600074552</v>
      </c>
      <c r="D24" s="532">
        <v>70982201</v>
      </c>
      <c r="E24" s="530" t="s">
        <v>155</v>
      </c>
      <c r="F24" s="532">
        <v>3111</v>
      </c>
      <c r="G24" s="533" t="s">
        <v>319</v>
      </c>
      <c r="H24" s="534" t="s">
        <v>283</v>
      </c>
      <c r="I24" s="575">
        <f t="shared" si="30"/>
        <v>535926</v>
      </c>
      <c r="J24" s="496">
        <v>394644</v>
      </c>
      <c r="K24" s="131">
        <v>133389</v>
      </c>
      <c r="L24" s="131">
        <f t="shared" si="32"/>
        <v>7893</v>
      </c>
      <c r="M24" s="496">
        <v>0</v>
      </c>
      <c r="N24" s="576">
        <f t="shared" si="33"/>
        <v>1</v>
      </c>
      <c r="O24" s="577">
        <v>1</v>
      </c>
      <c r="P24" s="607">
        <v>0</v>
      </c>
      <c r="Q24" s="579">
        <f t="shared" si="34"/>
        <v>0</v>
      </c>
      <c r="R24" s="498">
        <v>0</v>
      </c>
      <c r="S24" s="498">
        <v>0</v>
      </c>
      <c r="T24" s="498">
        <v>0</v>
      </c>
      <c r="U24" s="498">
        <f t="shared" si="4"/>
        <v>0</v>
      </c>
      <c r="V24" s="498">
        <v>0</v>
      </c>
      <c r="W24" s="498">
        <v>0</v>
      </c>
      <c r="X24" s="498">
        <v>0</v>
      </c>
      <c r="Y24" s="498">
        <f t="shared" si="5"/>
        <v>0</v>
      </c>
      <c r="Z24" s="498">
        <f t="shared" si="6"/>
        <v>0</v>
      </c>
      <c r="AA24" s="131">
        <f t="shared" si="35"/>
        <v>0</v>
      </c>
      <c r="AB24" s="131">
        <f t="shared" si="7"/>
        <v>0</v>
      </c>
      <c r="AC24" s="498">
        <v>0</v>
      </c>
      <c r="AD24" s="498">
        <v>0</v>
      </c>
      <c r="AE24" s="498">
        <f t="shared" si="8"/>
        <v>0</v>
      </c>
      <c r="AF24" s="498">
        <f t="shared" si="9"/>
        <v>0</v>
      </c>
      <c r="AG24" s="499">
        <v>0</v>
      </c>
      <c r="AH24" s="499">
        <v>0</v>
      </c>
      <c r="AI24" s="499">
        <v>0</v>
      </c>
      <c r="AJ24" s="499">
        <v>0</v>
      </c>
      <c r="AK24" s="499">
        <v>0</v>
      </c>
      <c r="AL24" s="499">
        <f t="shared" si="10"/>
        <v>0</v>
      </c>
      <c r="AM24" s="499">
        <f t="shared" si="11"/>
        <v>0</v>
      </c>
      <c r="AN24" s="500">
        <f t="shared" si="12"/>
        <v>0</v>
      </c>
      <c r="AO24" s="497">
        <f>I24+AF24</f>
        <v>535926</v>
      </c>
      <c r="AP24" s="498">
        <f>J24+U24</f>
        <v>394644</v>
      </c>
      <c r="AQ24" s="498">
        <f t="shared" si="36"/>
        <v>0</v>
      </c>
      <c r="AR24" s="498">
        <f t="shared" si="37"/>
        <v>133389</v>
      </c>
      <c r="AS24" s="498">
        <f t="shared" si="37"/>
        <v>7893</v>
      </c>
      <c r="AT24" s="498">
        <f>M24+AE24</f>
        <v>0</v>
      </c>
      <c r="AU24" s="499">
        <f>N24+AN24</f>
        <v>1</v>
      </c>
      <c r="AV24" s="499">
        <f t="shared" si="38"/>
        <v>1</v>
      </c>
      <c r="AW24" s="500">
        <f t="shared" si="38"/>
        <v>0</v>
      </c>
    </row>
    <row r="25" spans="1:49" s="569" customFormat="1" x14ac:dyDescent="0.2">
      <c r="A25" s="531">
        <v>4</v>
      </c>
      <c r="B25" s="532">
        <v>4407</v>
      </c>
      <c r="C25" s="532">
        <v>600074552</v>
      </c>
      <c r="D25" s="532">
        <v>70982201</v>
      </c>
      <c r="E25" s="530" t="s">
        <v>155</v>
      </c>
      <c r="F25" s="532">
        <v>3111</v>
      </c>
      <c r="G25" s="533" t="s">
        <v>318</v>
      </c>
      <c r="H25" s="534" t="s">
        <v>284</v>
      </c>
      <c r="I25" s="575">
        <f t="shared" si="30"/>
        <v>0</v>
      </c>
      <c r="J25" s="496">
        <v>0</v>
      </c>
      <c r="K25" s="131">
        <f t="shared" ref="K25" si="39">ROUND((J25)*33.8%,0)</f>
        <v>0</v>
      </c>
      <c r="L25" s="131">
        <f t="shared" si="32"/>
        <v>0</v>
      </c>
      <c r="M25" s="496">
        <v>0</v>
      </c>
      <c r="N25" s="576">
        <f t="shared" si="33"/>
        <v>0</v>
      </c>
      <c r="O25" s="577">
        <v>0</v>
      </c>
      <c r="P25" s="607">
        <v>0</v>
      </c>
      <c r="Q25" s="579">
        <f t="shared" si="34"/>
        <v>0</v>
      </c>
      <c r="R25" s="496">
        <v>1070248</v>
      </c>
      <c r="S25" s="498">
        <v>0</v>
      </c>
      <c r="T25" s="498">
        <v>0</v>
      </c>
      <c r="U25" s="498">
        <f t="shared" si="4"/>
        <v>1070248</v>
      </c>
      <c r="V25" s="498">
        <v>0</v>
      </c>
      <c r="W25" s="498">
        <v>0</v>
      </c>
      <c r="X25" s="498">
        <v>0</v>
      </c>
      <c r="Y25" s="498">
        <f t="shared" si="5"/>
        <v>0</v>
      </c>
      <c r="Z25" s="498">
        <f t="shared" si="6"/>
        <v>1070248</v>
      </c>
      <c r="AA25" s="131">
        <f t="shared" si="35"/>
        <v>361744</v>
      </c>
      <c r="AB25" s="131">
        <f t="shared" si="7"/>
        <v>21405</v>
      </c>
      <c r="AC25" s="498">
        <v>0</v>
      </c>
      <c r="AD25" s="498">
        <v>0</v>
      </c>
      <c r="AE25" s="498">
        <f t="shared" si="8"/>
        <v>0</v>
      </c>
      <c r="AF25" s="498">
        <f t="shared" si="9"/>
        <v>1453397</v>
      </c>
      <c r="AG25" s="499">
        <v>0</v>
      </c>
      <c r="AH25" s="499">
        <v>0</v>
      </c>
      <c r="AI25" s="499">
        <v>3.04</v>
      </c>
      <c r="AJ25" s="499">
        <v>0</v>
      </c>
      <c r="AK25" s="499">
        <v>0</v>
      </c>
      <c r="AL25" s="499">
        <f t="shared" si="10"/>
        <v>3.04</v>
      </c>
      <c r="AM25" s="499">
        <f t="shared" si="11"/>
        <v>0</v>
      </c>
      <c r="AN25" s="500">
        <f t="shared" si="12"/>
        <v>3.04</v>
      </c>
      <c r="AO25" s="497">
        <f>I25+AF25</f>
        <v>1453397</v>
      </c>
      <c r="AP25" s="498">
        <f>J25+U25</f>
        <v>1070248</v>
      </c>
      <c r="AQ25" s="498">
        <f t="shared" si="36"/>
        <v>0</v>
      </c>
      <c r="AR25" s="498">
        <f t="shared" si="37"/>
        <v>361744</v>
      </c>
      <c r="AS25" s="498">
        <f t="shared" si="37"/>
        <v>21405</v>
      </c>
      <c r="AT25" s="498">
        <f>M25+AE25</f>
        <v>0</v>
      </c>
      <c r="AU25" s="499">
        <f>N25+AN25</f>
        <v>3.04</v>
      </c>
      <c r="AV25" s="499">
        <f t="shared" si="38"/>
        <v>3.04</v>
      </c>
      <c r="AW25" s="500">
        <f t="shared" si="38"/>
        <v>0</v>
      </c>
    </row>
    <row r="26" spans="1:49" s="569" customFormat="1" x14ac:dyDescent="0.2">
      <c r="A26" s="531">
        <v>4</v>
      </c>
      <c r="B26" s="532">
        <v>4407</v>
      </c>
      <c r="C26" s="532">
        <v>600074552</v>
      </c>
      <c r="D26" s="532">
        <v>70982201</v>
      </c>
      <c r="E26" s="530" t="s">
        <v>155</v>
      </c>
      <c r="F26" s="532">
        <v>3141</v>
      </c>
      <c r="G26" s="533" t="s">
        <v>321</v>
      </c>
      <c r="H26" s="534" t="s">
        <v>284</v>
      </c>
      <c r="I26" s="575">
        <f t="shared" si="30"/>
        <v>957662</v>
      </c>
      <c r="J26" s="496">
        <v>701314</v>
      </c>
      <c r="K26" s="131">
        <f>ROUND((J26)*33.8%,0)</f>
        <v>237044</v>
      </c>
      <c r="L26" s="131">
        <f>ROUND(J26*2%,0)</f>
        <v>14026</v>
      </c>
      <c r="M26" s="496">
        <v>5278</v>
      </c>
      <c r="N26" s="576">
        <f t="shared" si="33"/>
        <v>2.39</v>
      </c>
      <c r="O26" s="577">
        <v>0</v>
      </c>
      <c r="P26" s="607">
        <v>2.39</v>
      </c>
      <c r="Q26" s="579">
        <f t="shared" si="34"/>
        <v>0</v>
      </c>
      <c r="R26" s="498">
        <v>0</v>
      </c>
      <c r="S26" s="498">
        <v>0</v>
      </c>
      <c r="T26" s="498">
        <v>0</v>
      </c>
      <c r="U26" s="498">
        <f t="shared" si="4"/>
        <v>0</v>
      </c>
      <c r="V26" s="498">
        <v>0</v>
      </c>
      <c r="W26" s="498">
        <v>0</v>
      </c>
      <c r="X26" s="498">
        <v>0</v>
      </c>
      <c r="Y26" s="498">
        <f t="shared" si="5"/>
        <v>0</v>
      </c>
      <c r="Z26" s="498">
        <f t="shared" si="6"/>
        <v>0</v>
      </c>
      <c r="AA26" s="131">
        <f t="shared" si="35"/>
        <v>0</v>
      </c>
      <c r="AB26" s="131">
        <f t="shared" si="7"/>
        <v>0</v>
      </c>
      <c r="AC26" s="498">
        <v>0</v>
      </c>
      <c r="AD26" s="498">
        <v>0</v>
      </c>
      <c r="AE26" s="498">
        <f t="shared" si="8"/>
        <v>0</v>
      </c>
      <c r="AF26" s="498">
        <f t="shared" si="9"/>
        <v>0</v>
      </c>
      <c r="AG26" s="499">
        <v>0</v>
      </c>
      <c r="AH26" s="499">
        <v>0</v>
      </c>
      <c r="AI26" s="499">
        <v>0</v>
      </c>
      <c r="AJ26" s="499">
        <v>0</v>
      </c>
      <c r="AK26" s="499">
        <v>0</v>
      </c>
      <c r="AL26" s="499">
        <f t="shared" si="10"/>
        <v>0</v>
      </c>
      <c r="AM26" s="499">
        <f t="shared" si="11"/>
        <v>0</v>
      </c>
      <c r="AN26" s="500">
        <f t="shared" si="12"/>
        <v>0</v>
      </c>
      <c r="AO26" s="497">
        <f>I26+AF26</f>
        <v>957662</v>
      </c>
      <c r="AP26" s="498">
        <f>J26+U26</f>
        <v>701314</v>
      </c>
      <c r="AQ26" s="498">
        <f t="shared" si="36"/>
        <v>0</v>
      </c>
      <c r="AR26" s="498">
        <f t="shared" si="37"/>
        <v>237044</v>
      </c>
      <c r="AS26" s="498">
        <f t="shared" si="37"/>
        <v>14026</v>
      </c>
      <c r="AT26" s="498">
        <f>M26+AE26</f>
        <v>5278</v>
      </c>
      <c r="AU26" s="499">
        <f>N26+AN26</f>
        <v>2.39</v>
      </c>
      <c r="AV26" s="499">
        <f t="shared" si="38"/>
        <v>0</v>
      </c>
      <c r="AW26" s="500">
        <f t="shared" si="38"/>
        <v>2.39</v>
      </c>
    </row>
    <row r="27" spans="1:49" s="569" customFormat="1" x14ac:dyDescent="0.2">
      <c r="A27" s="302">
        <v>4</v>
      </c>
      <c r="B27" s="32">
        <v>4407</v>
      </c>
      <c r="C27" s="32">
        <v>600074552</v>
      </c>
      <c r="D27" s="32">
        <v>70982201</v>
      </c>
      <c r="E27" s="311" t="s">
        <v>156</v>
      </c>
      <c r="F27" s="32"/>
      <c r="G27" s="301"/>
      <c r="H27" s="454"/>
      <c r="I27" s="5">
        <f t="shared" ref="I27:P27" si="40">SUM(I23:I26)</f>
        <v>8575323</v>
      </c>
      <c r="J27" s="8">
        <f t="shared" si="40"/>
        <v>6274960</v>
      </c>
      <c r="K27" s="8">
        <f t="shared" si="40"/>
        <v>2120936</v>
      </c>
      <c r="L27" s="8">
        <f t="shared" si="40"/>
        <v>125499</v>
      </c>
      <c r="M27" s="8">
        <f t="shared" si="40"/>
        <v>53928</v>
      </c>
      <c r="N27" s="9">
        <f t="shared" si="40"/>
        <v>14.7746</v>
      </c>
      <c r="O27" s="9">
        <f t="shared" si="40"/>
        <v>9.4193999999999996</v>
      </c>
      <c r="P27" s="39">
        <f t="shared" si="40"/>
        <v>5.3552</v>
      </c>
      <c r="Q27" s="5">
        <f t="shared" ref="Q27:AW27" si="41">SUM(Q23:Q26)</f>
        <v>0</v>
      </c>
      <c r="R27" s="8">
        <f t="shared" si="41"/>
        <v>1070248</v>
      </c>
      <c r="S27" s="8">
        <f t="shared" si="41"/>
        <v>0</v>
      </c>
      <c r="T27" s="8">
        <f t="shared" si="41"/>
        <v>0</v>
      </c>
      <c r="U27" s="8">
        <f t="shared" si="41"/>
        <v>1070248</v>
      </c>
      <c r="V27" s="8">
        <f t="shared" si="41"/>
        <v>0</v>
      </c>
      <c r="W27" s="8">
        <f t="shared" si="41"/>
        <v>0</v>
      </c>
      <c r="X27" s="8">
        <f t="shared" si="41"/>
        <v>0</v>
      </c>
      <c r="Y27" s="8">
        <f t="shared" si="41"/>
        <v>0</v>
      </c>
      <c r="Z27" s="8">
        <f t="shared" si="41"/>
        <v>1070248</v>
      </c>
      <c r="AA27" s="8">
        <f t="shared" si="41"/>
        <v>361744</v>
      </c>
      <c r="AB27" s="8">
        <f t="shared" si="41"/>
        <v>21405</v>
      </c>
      <c r="AC27" s="8">
        <f t="shared" si="41"/>
        <v>0</v>
      </c>
      <c r="AD27" s="8">
        <f t="shared" si="41"/>
        <v>0</v>
      </c>
      <c r="AE27" s="8">
        <f t="shared" si="41"/>
        <v>0</v>
      </c>
      <c r="AF27" s="8">
        <f t="shared" si="41"/>
        <v>1453397</v>
      </c>
      <c r="AG27" s="9">
        <f t="shared" si="41"/>
        <v>0</v>
      </c>
      <c r="AH27" s="9">
        <f t="shared" si="41"/>
        <v>0</v>
      </c>
      <c r="AI27" s="9">
        <f t="shared" si="41"/>
        <v>3.04</v>
      </c>
      <c r="AJ27" s="9">
        <f t="shared" si="41"/>
        <v>0</v>
      </c>
      <c r="AK27" s="9">
        <f t="shared" si="41"/>
        <v>0</v>
      </c>
      <c r="AL27" s="9">
        <f t="shared" si="41"/>
        <v>3.04</v>
      </c>
      <c r="AM27" s="9">
        <f t="shared" si="41"/>
        <v>0</v>
      </c>
      <c r="AN27" s="92">
        <f t="shared" si="41"/>
        <v>3.04</v>
      </c>
      <c r="AO27" s="295">
        <f t="shared" si="41"/>
        <v>10028720</v>
      </c>
      <c r="AP27" s="8">
        <f t="shared" si="41"/>
        <v>7345208</v>
      </c>
      <c r="AQ27" s="8">
        <f t="shared" si="41"/>
        <v>0</v>
      </c>
      <c r="AR27" s="8">
        <f t="shared" si="41"/>
        <v>2482680</v>
      </c>
      <c r="AS27" s="8">
        <f t="shared" si="41"/>
        <v>146904</v>
      </c>
      <c r="AT27" s="8">
        <f t="shared" si="41"/>
        <v>53928</v>
      </c>
      <c r="AU27" s="9">
        <f t="shared" si="41"/>
        <v>17.814599999999999</v>
      </c>
      <c r="AV27" s="9">
        <f t="shared" si="41"/>
        <v>12.459399999999999</v>
      </c>
      <c r="AW27" s="92">
        <f t="shared" si="41"/>
        <v>5.3552</v>
      </c>
    </row>
    <row r="28" spans="1:49" s="569" customFormat="1" x14ac:dyDescent="0.2">
      <c r="A28" s="531">
        <v>5</v>
      </c>
      <c r="B28" s="532">
        <v>4492</v>
      </c>
      <c r="C28" s="532">
        <v>650065221</v>
      </c>
      <c r="D28" s="532">
        <v>71173838</v>
      </c>
      <c r="E28" s="530" t="s">
        <v>157</v>
      </c>
      <c r="F28" s="532">
        <v>3111</v>
      </c>
      <c r="G28" s="533" t="s">
        <v>317</v>
      </c>
      <c r="H28" s="534" t="s">
        <v>283</v>
      </c>
      <c r="I28" s="575">
        <f t="shared" ref="I28:I30" si="42">SUM(J28:M28)</f>
        <v>7661050</v>
      </c>
      <c r="J28" s="496">
        <v>5608284</v>
      </c>
      <c r="K28" s="131">
        <f t="shared" ref="K28:K29" si="43">ROUND((J28)*33.8%,0)</f>
        <v>1895600</v>
      </c>
      <c r="L28" s="131">
        <f t="shared" ref="L28:L29" si="44">ROUND(J28*2%,0)</f>
        <v>112166</v>
      </c>
      <c r="M28" s="496">
        <v>45000</v>
      </c>
      <c r="N28" s="576">
        <f t="shared" ref="N28:N30" si="45">SUM(O28:P28)</f>
        <v>12.491300000000001</v>
      </c>
      <c r="O28" s="577">
        <v>9</v>
      </c>
      <c r="P28" s="607">
        <v>3.4913000000000003</v>
      </c>
      <c r="Q28" s="579">
        <f t="shared" ref="Q28:Q30" si="46">V28*-1</f>
        <v>0</v>
      </c>
      <c r="R28" s="498">
        <v>0</v>
      </c>
      <c r="S28" s="498">
        <v>0</v>
      </c>
      <c r="T28" s="498">
        <v>0</v>
      </c>
      <c r="U28" s="498">
        <f t="shared" si="4"/>
        <v>0</v>
      </c>
      <c r="V28" s="498">
        <v>0</v>
      </c>
      <c r="W28" s="498">
        <v>0</v>
      </c>
      <c r="X28" s="498">
        <v>0</v>
      </c>
      <c r="Y28" s="498">
        <f t="shared" si="5"/>
        <v>0</v>
      </c>
      <c r="Z28" s="498">
        <f t="shared" si="6"/>
        <v>0</v>
      </c>
      <c r="AA28" s="131">
        <f t="shared" ref="AA28:AA30" si="47">ROUND((U28+V28+W28)*33.8%,0)</f>
        <v>0</v>
      </c>
      <c r="AB28" s="131">
        <f t="shared" si="7"/>
        <v>0</v>
      </c>
      <c r="AC28" s="498">
        <v>0</v>
      </c>
      <c r="AD28" s="498">
        <v>0</v>
      </c>
      <c r="AE28" s="498">
        <f t="shared" si="8"/>
        <v>0</v>
      </c>
      <c r="AF28" s="498">
        <f t="shared" si="9"/>
        <v>0</v>
      </c>
      <c r="AG28" s="499">
        <v>0</v>
      </c>
      <c r="AH28" s="499">
        <v>0</v>
      </c>
      <c r="AI28" s="499">
        <v>0</v>
      </c>
      <c r="AJ28" s="499">
        <v>0</v>
      </c>
      <c r="AK28" s="499">
        <v>0</v>
      </c>
      <c r="AL28" s="499">
        <f t="shared" si="10"/>
        <v>0</v>
      </c>
      <c r="AM28" s="499">
        <f t="shared" si="11"/>
        <v>0</v>
      </c>
      <c r="AN28" s="500">
        <f t="shared" si="12"/>
        <v>0</v>
      </c>
      <c r="AO28" s="497">
        <f>I28+AF28</f>
        <v>7661050</v>
      </c>
      <c r="AP28" s="498">
        <f>J28+U28</f>
        <v>5608284</v>
      </c>
      <c r="AQ28" s="498">
        <f t="shared" ref="AQ28:AQ30" si="48">Y28</f>
        <v>0</v>
      </c>
      <c r="AR28" s="498">
        <f t="shared" ref="AR28:AS30" si="49">K28+AA28</f>
        <v>1895600</v>
      </c>
      <c r="AS28" s="498">
        <f t="shared" si="49"/>
        <v>112166</v>
      </c>
      <c r="AT28" s="498">
        <f>M28+AE28</f>
        <v>45000</v>
      </c>
      <c r="AU28" s="499">
        <f>N28+AN28</f>
        <v>12.491300000000001</v>
      </c>
      <c r="AV28" s="499">
        <f t="shared" ref="AV28:AW30" si="50">O28+AL28</f>
        <v>9</v>
      </c>
      <c r="AW28" s="500">
        <f t="shared" si="50"/>
        <v>3.4913000000000003</v>
      </c>
    </row>
    <row r="29" spans="1:49" s="569" customFormat="1" x14ac:dyDescent="0.2">
      <c r="A29" s="531">
        <v>5</v>
      </c>
      <c r="B29" s="532">
        <v>4492</v>
      </c>
      <c r="C29" s="532">
        <v>650065221</v>
      </c>
      <c r="D29" s="532">
        <v>71173838</v>
      </c>
      <c r="E29" s="530" t="s">
        <v>157</v>
      </c>
      <c r="F29" s="532">
        <v>3111</v>
      </c>
      <c r="G29" s="533" t="s">
        <v>318</v>
      </c>
      <c r="H29" s="534" t="s">
        <v>284</v>
      </c>
      <c r="I29" s="575">
        <f t="shared" si="42"/>
        <v>0</v>
      </c>
      <c r="J29" s="496">
        <v>0</v>
      </c>
      <c r="K29" s="131">
        <f t="shared" si="43"/>
        <v>0</v>
      </c>
      <c r="L29" s="131">
        <f t="shared" si="44"/>
        <v>0</v>
      </c>
      <c r="M29" s="496">
        <v>0</v>
      </c>
      <c r="N29" s="576">
        <f t="shared" si="45"/>
        <v>0</v>
      </c>
      <c r="O29" s="577">
        <v>0</v>
      </c>
      <c r="P29" s="607">
        <v>0</v>
      </c>
      <c r="Q29" s="579">
        <f t="shared" si="46"/>
        <v>0</v>
      </c>
      <c r="R29" s="496">
        <f>422141+81271</f>
        <v>503412</v>
      </c>
      <c r="S29" s="498">
        <v>0</v>
      </c>
      <c r="T29" s="498">
        <v>0</v>
      </c>
      <c r="U29" s="498">
        <f t="shared" si="4"/>
        <v>503412</v>
      </c>
      <c r="V29" s="498">
        <v>0</v>
      </c>
      <c r="W29" s="498">
        <v>0</v>
      </c>
      <c r="X29" s="498">
        <v>0</v>
      </c>
      <c r="Y29" s="498">
        <f t="shared" si="5"/>
        <v>0</v>
      </c>
      <c r="Z29" s="498">
        <f t="shared" si="6"/>
        <v>503412</v>
      </c>
      <c r="AA29" s="131">
        <f t="shared" si="47"/>
        <v>170153</v>
      </c>
      <c r="AB29" s="131">
        <f t="shared" si="7"/>
        <v>10068</v>
      </c>
      <c r="AC29" s="498">
        <v>0</v>
      </c>
      <c r="AD29" s="498">
        <v>0</v>
      </c>
      <c r="AE29" s="498">
        <f t="shared" si="8"/>
        <v>0</v>
      </c>
      <c r="AF29" s="498">
        <f t="shared" si="9"/>
        <v>683633</v>
      </c>
      <c r="AG29" s="499">
        <v>0</v>
      </c>
      <c r="AH29" s="499">
        <v>0</v>
      </c>
      <c r="AI29" s="499">
        <f>1.39+0.1</f>
        <v>1.49</v>
      </c>
      <c r="AJ29" s="499">
        <v>0</v>
      </c>
      <c r="AK29" s="499">
        <v>0</v>
      </c>
      <c r="AL29" s="499">
        <f t="shared" si="10"/>
        <v>1.49</v>
      </c>
      <c r="AM29" s="499">
        <f t="shared" si="11"/>
        <v>0</v>
      </c>
      <c r="AN29" s="500">
        <f t="shared" si="12"/>
        <v>1.49</v>
      </c>
      <c r="AO29" s="497">
        <f>I29+AF29</f>
        <v>683633</v>
      </c>
      <c r="AP29" s="498">
        <f>J29+U29</f>
        <v>503412</v>
      </c>
      <c r="AQ29" s="498">
        <f t="shared" si="48"/>
        <v>0</v>
      </c>
      <c r="AR29" s="498">
        <f t="shared" si="49"/>
        <v>170153</v>
      </c>
      <c r="AS29" s="498">
        <f t="shared" si="49"/>
        <v>10068</v>
      </c>
      <c r="AT29" s="498">
        <f>M29+AE29</f>
        <v>0</v>
      </c>
      <c r="AU29" s="499">
        <f>N29+AN29</f>
        <v>1.49</v>
      </c>
      <c r="AV29" s="499">
        <f t="shared" si="50"/>
        <v>1.49</v>
      </c>
      <c r="AW29" s="500">
        <f t="shared" si="50"/>
        <v>0</v>
      </c>
    </row>
    <row r="30" spans="1:49" s="569" customFormat="1" x14ac:dyDescent="0.2">
      <c r="A30" s="531">
        <v>5</v>
      </c>
      <c r="B30" s="532">
        <v>4492</v>
      </c>
      <c r="C30" s="532">
        <v>650065221</v>
      </c>
      <c r="D30" s="532">
        <v>71173838</v>
      </c>
      <c r="E30" s="530" t="s">
        <v>157</v>
      </c>
      <c r="F30" s="532">
        <v>3141</v>
      </c>
      <c r="G30" s="533" t="s">
        <v>321</v>
      </c>
      <c r="H30" s="534" t="s">
        <v>284</v>
      </c>
      <c r="I30" s="575">
        <f t="shared" si="42"/>
        <v>950256</v>
      </c>
      <c r="J30" s="496">
        <v>695903</v>
      </c>
      <c r="K30" s="131">
        <f>ROUND((J30)*33.8%,0)</f>
        <v>235215</v>
      </c>
      <c r="L30" s="131">
        <f>ROUND(J30*2%,0)</f>
        <v>13918</v>
      </c>
      <c r="M30" s="496">
        <v>5220</v>
      </c>
      <c r="N30" s="576">
        <f t="shared" si="45"/>
        <v>2.37</v>
      </c>
      <c r="O30" s="577">
        <v>0</v>
      </c>
      <c r="P30" s="607">
        <v>2.37</v>
      </c>
      <c r="Q30" s="579">
        <f t="shared" si="46"/>
        <v>0</v>
      </c>
      <c r="R30" s="498">
        <v>0</v>
      </c>
      <c r="S30" s="498">
        <v>0</v>
      </c>
      <c r="T30" s="498">
        <v>0</v>
      </c>
      <c r="U30" s="498">
        <f t="shared" si="4"/>
        <v>0</v>
      </c>
      <c r="V30" s="498">
        <v>0</v>
      </c>
      <c r="W30" s="498">
        <v>0</v>
      </c>
      <c r="X30" s="498">
        <v>0</v>
      </c>
      <c r="Y30" s="498">
        <f t="shared" si="5"/>
        <v>0</v>
      </c>
      <c r="Z30" s="498">
        <f t="shared" si="6"/>
        <v>0</v>
      </c>
      <c r="AA30" s="131">
        <f t="shared" si="47"/>
        <v>0</v>
      </c>
      <c r="AB30" s="131">
        <f t="shared" si="7"/>
        <v>0</v>
      </c>
      <c r="AC30" s="498">
        <v>0</v>
      </c>
      <c r="AD30" s="498">
        <v>0</v>
      </c>
      <c r="AE30" s="498">
        <f t="shared" si="8"/>
        <v>0</v>
      </c>
      <c r="AF30" s="498">
        <f t="shared" si="9"/>
        <v>0</v>
      </c>
      <c r="AG30" s="499">
        <v>0</v>
      </c>
      <c r="AH30" s="499">
        <v>0</v>
      </c>
      <c r="AI30" s="499">
        <v>0</v>
      </c>
      <c r="AJ30" s="499">
        <v>0</v>
      </c>
      <c r="AK30" s="499">
        <v>0</v>
      </c>
      <c r="AL30" s="499">
        <f t="shared" si="10"/>
        <v>0</v>
      </c>
      <c r="AM30" s="499">
        <f t="shared" si="11"/>
        <v>0</v>
      </c>
      <c r="AN30" s="500">
        <f t="shared" si="12"/>
        <v>0</v>
      </c>
      <c r="AO30" s="497">
        <f>I30+AF30</f>
        <v>950256</v>
      </c>
      <c r="AP30" s="498">
        <f>J30+U30</f>
        <v>695903</v>
      </c>
      <c r="AQ30" s="498">
        <f t="shared" si="48"/>
        <v>0</v>
      </c>
      <c r="AR30" s="498">
        <f t="shared" si="49"/>
        <v>235215</v>
      </c>
      <c r="AS30" s="498">
        <f t="shared" si="49"/>
        <v>13918</v>
      </c>
      <c r="AT30" s="498">
        <f>M30+AE30</f>
        <v>5220</v>
      </c>
      <c r="AU30" s="499">
        <f>N30+AN30</f>
        <v>2.37</v>
      </c>
      <c r="AV30" s="499">
        <f t="shared" si="50"/>
        <v>0</v>
      </c>
      <c r="AW30" s="500">
        <f t="shared" si="50"/>
        <v>2.37</v>
      </c>
    </row>
    <row r="31" spans="1:49" s="569" customFormat="1" x14ac:dyDescent="0.2">
      <c r="A31" s="302">
        <v>5</v>
      </c>
      <c r="B31" s="32">
        <v>4492</v>
      </c>
      <c r="C31" s="32">
        <v>650065221</v>
      </c>
      <c r="D31" s="32">
        <v>71173838</v>
      </c>
      <c r="E31" s="311" t="s">
        <v>158</v>
      </c>
      <c r="F31" s="32"/>
      <c r="G31" s="301"/>
      <c r="H31" s="454"/>
      <c r="I31" s="5">
        <f t="shared" ref="I31:P31" si="51">SUM(I28:I30)</f>
        <v>8611306</v>
      </c>
      <c r="J31" s="8">
        <f t="shared" si="51"/>
        <v>6304187</v>
      </c>
      <c r="K31" s="8">
        <f t="shared" si="51"/>
        <v>2130815</v>
      </c>
      <c r="L31" s="8">
        <f t="shared" si="51"/>
        <v>126084</v>
      </c>
      <c r="M31" s="8">
        <f t="shared" si="51"/>
        <v>50220</v>
      </c>
      <c r="N31" s="9">
        <f t="shared" si="51"/>
        <v>14.8613</v>
      </c>
      <c r="O31" s="9">
        <f t="shared" si="51"/>
        <v>9</v>
      </c>
      <c r="P31" s="39">
        <f t="shared" si="51"/>
        <v>5.8613</v>
      </c>
      <c r="Q31" s="5">
        <f t="shared" ref="Q31:AW31" si="52">SUM(Q28:Q30)</f>
        <v>0</v>
      </c>
      <c r="R31" s="8">
        <f t="shared" si="52"/>
        <v>503412</v>
      </c>
      <c r="S31" s="8">
        <f t="shared" si="52"/>
        <v>0</v>
      </c>
      <c r="T31" s="8">
        <f t="shared" si="52"/>
        <v>0</v>
      </c>
      <c r="U31" s="8">
        <f t="shared" si="52"/>
        <v>503412</v>
      </c>
      <c r="V31" s="8">
        <f t="shared" si="52"/>
        <v>0</v>
      </c>
      <c r="W31" s="8">
        <f t="shared" si="52"/>
        <v>0</v>
      </c>
      <c r="X31" s="8">
        <f t="shared" si="52"/>
        <v>0</v>
      </c>
      <c r="Y31" s="8">
        <f t="shared" si="52"/>
        <v>0</v>
      </c>
      <c r="Z31" s="8">
        <f t="shared" si="52"/>
        <v>503412</v>
      </c>
      <c r="AA31" s="8">
        <f t="shared" si="52"/>
        <v>170153</v>
      </c>
      <c r="AB31" s="8">
        <f t="shared" si="52"/>
        <v>10068</v>
      </c>
      <c r="AC31" s="8">
        <f t="shared" si="52"/>
        <v>0</v>
      </c>
      <c r="AD31" s="8">
        <f t="shared" si="52"/>
        <v>0</v>
      </c>
      <c r="AE31" s="8">
        <f t="shared" si="52"/>
        <v>0</v>
      </c>
      <c r="AF31" s="8">
        <f t="shared" si="52"/>
        <v>683633</v>
      </c>
      <c r="AG31" s="9">
        <f t="shared" si="52"/>
        <v>0</v>
      </c>
      <c r="AH31" s="9">
        <f t="shared" si="52"/>
        <v>0</v>
      </c>
      <c r="AI31" s="9">
        <f t="shared" si="52"/>
        <v>1.49</v>
      </c>
      <c r="AJ31" s="9">
        <f t="shared" si="52"/>
        <v>0</v>
      </c>
      <c r="AK31" s="9">
        <f t="shared" si="52"/>
        <v>0</v>
      </c>
      <c r="AL31" s="9">
        <f t="shared" si="52"/>
        <v>1.49</v>
      </c>
      <c r="AM31" s="9">
        <f t="shared" si="52"/>
        <v>0</v>
      </c>
      <c r="AN31" s="92">
        <f t="shared" si="52"/>
        <v>1.49</v>
      </c>
      <c r="AO31" s="295">
        <f t="shared" si="52"/>
        <v>9294939</v>
      </c>
      <c r="AP31" s="8">
        <f t="shared" si="52"/>
        <v>6807599</v>
      </c>
      <c r="AQ31" s="8">
        <f t="shared" si="52"/>
        <v>0</v>
      </c>
      <c r="AR31" s="8">
        <f t="shared" si="52"/>
        <v>2300968</v>
      </c>
      <c r="AS31" s="8">
        <f t="shared" si="52"/>
        <v>136152</v>
      </c>
      <c r="AT31" s="8">
        <f t="shared" si="52"/>
        <v>50220</v>
      </c>
      <c r="AU31" s="9">
        <f t="shared" si="52"/>
        <v>16.351300000000002</v>
      </c>
      <c r="AV31" s="9">
        <f t="shared" si="52"/>
        <v>10.49</v>
      </c>
      <c r="AW31" s="92">
        <f t="shared" si="52"/>
        <v>5.8613</v>
      </c>
    </row>
    <row r="32" spans="1:49" s="569" customFormat="1" x14ac:dyDescent="0.2">
      <c r="A32" s="531">
        <v>6</v>
      </c>
      <c r="B32" s="532">
        <v>4408</v>
      </c>
      <c r="C32" s="532">
        <v>600074528</v>
      </c>
      <c r="D32" s="532">
        <v>70982163</v>
      </c>
      <c r="E32" s="530" t="s">
        <v>159</v>
      </c>
      <c r="F32" s="532">
        <v>3111</v>
      </c>
      <c r="G32" s="533" t="s">
        <v>317</v>
      </c>
      <c r="H32" s="534" t="s">
        <v>283</v>
      </c>
      <c r="I32" s="575">
        <f t="shared" ref="I32" si="53">SUM(J32:M32)</f>
        <v>10284844</v>
      </c>
      <c r="J32" s="496">
        <v>7528125</v>
      </c>
      <c r="K32" s="131">
        <f t="shared" ref="K32" si="54">ROUND((J32)*33.8%,0)</f>
        <v>2544506</v>
      </c>
      <c r="L32" s="131">
        <f t="shared" ref="L32" si="55">ROUND(J32*2%,0)</f>
        <v>150563</v>
      </c>
      <c r="M32" s="496">
        <v>61650</v>
      </c>
      <c r="N32" s="576">
        <f t="shared" ref="N32:N33" si="56">SUM(O32:P32)</f>
        <v>16.944500000000001</v>
      </c>
      <c r="O32" s="577">
        <v>12.74</v>
      </c>
      <c r="P32" s="607">
        <v>4.2045000000000003</v>
      </c>
      <c r="Q32" s="579">
        <f t="shared" ref="Q32:Q33" si="57">V32*-1</f>
        <v>-8000</v>
      </c>
      <c r="R32" s="498">
        <v>0</v>
      </c>
      <c r="S32" s="498">
        <v>0</v>
      </c>
      <c r="T32" s="498">
        <v>15184</v>
      </c>
      <c r="U32" s="498">
        <f t="shared" si="4"/>
        <v>7184</v>
      </c>
      <c r="V32" s="498">
        <v>8000</v>
      </c>
      <c r="W32" s="498">
        <v>0</v>
      </c>
      <c r="X32" s="498">
        <v>0</v>
      </c>
      <c r="Y32" s="498">
        <f t="shared" si="5"/>
        <v>8000</v>
      </c>
      <c r="Z32" s="498">
        <f t="shared" si="6"/>
        <v>15184</v>
      </c>
      <c r="AA32" s="131">
        <f t="shared" ref="AA32:AA33" si="58">ROUND((U32+V32+W32)*33.8%,0)</f>
        <v>5132</v>
      </c>
      <c r="AB32" s="131">
        <f t="shared" si="7"/>
        <v>144</v>
      </c>
      <c r="AC32" s="498">
        <v>0</v>
      </c>
      <c r="AD32" s="498">
        <v>0</v>
      </c>
      <c r="AE32" s="498">
        <f t="shared" si="8"/>
        <v>0</v>
      </c>
      <c r="AF32" s="498">
        <f t="shared" si="9"/>
        <v>20460</v>
      </c>
      <c r="AG32" s="499">
        <v>0</v>
      </c>
      <c r="AH32" s="499">
        <v>0</v>
      </c>
      <c r="AI32" s="499">
        <v>0</v>
      </c>
      <c r="AJ32" s="499">
        <v>0.03</v>
      </c>
      <c r="AK32" s="499">
        <v>0</v>
      </c>
      <c r="AL32" s="499">
        <f t="shared" si="10"/>
        <v>0.03</v>
      </c>
      <c r="AM32" s="499">
        <f t="shared" si="11"/>
        <v>0</v>
      </c>
      <c r="AN32" s="500">
        <f t="shared" si="12"/>
        <v>0.03</v>
      </c>
      <c r="AO32" s="497">
        <f>I32+AF32</f>
        <v>10305304</v>
      </c>
      <c r="AP32" s="498">
        <f>J32+U32</f>
        <v>7535309</v>
      </c>
      <c r="AQ32" s="498">
        <f t="shared" ref="AQ32:AQ33" si="59">Y32</f>
        <v>8000</v>
      </c>
      <c r="AR32" s="498">
        <f>K32+AA32</f>
        <v>2549638</v>
      </c>
      <c r="AS32" s="498">
        <f>L32+AB32</f>
        <v>150707</v>
      </c>
      <c r="AT32" s="498">
        <f>M32+AE32</f>
        <v>61650</v>
      </c>
      <c r="AU32" s="499">
        <f>N32+AN32</f>
        <v>16.974500000000003</v>
      </c>
      <c r="AV32" s="499">
        <f>O32+AL32</f>
        <v>12.77</v>
      </c>
      <c r="AW32" s="500">
        <f>P32+AM32</f>
        <v>4.2045000000000003</v>
      </c>
    </row>
    <row r="33" spans="1:49" s="569" customFormat="1" x14ac:dyDescent="0.2">
      <c r="A33" s="531">
        <v>6</v>
      </c>
      <c r="B33" s="532">
        <v>4408</v>
      </c>
      <c r="C33" s="532">
        <v>600074528</v>
      </c>
      <c r="D33" s="532">
        <v>70982163</v>
      </c>
      <c r="E33" s="530" t="s">
        <v>159</v>
      </c>
      <c r="F33" s="532">
        <v>3141</v>
      </c>
      <c r="G33" s="533" t="s">
        <v>321</v>
      </c>
      <c r="H33" s="534" t="s">
        <v>284</v>
      </c>
      <c r="I33" s="575">
        <f>SUM(J33:M33)</f>
        <v>1311707</v>
      </c>
      <c r="J33" s="496">
        <v>960060</v>
      </c>
      <c r="K33" s="131">
        <f>ROUND((J33)*33.8%,0)</f>
        <v>324500</v>
      </c>
      <c r="L33" s="131">
        <f>ROUND(J33*2%,0)</f>
        <v>19201</v>
      </c>
      <c r="M33" s="496">
        <v>7946</v>
      </c>
      <c r="N33" s="576">
        <f t="shared" si="56"/>
        <v>3.27</v>
      </c>
      <c r="O33" s="577">
        <v>0</v>
      </c>
      <c r="P33" s="607">
        <v>3.27</v>
      </c>
      <c r="Q33" s="579">
        <f t="shared" si="57"/>
        <v>-12000</v>
      </c>
      <c r="R33" s="498">
        <v>0</v>
      </c>
      <c r="S33" s="498">
        <v>0</v>
      </c>
      <c r="T33" s="498">
        <v>0</v>
      </c>
      <c r="U33" s="498">
        <f t="shared" si="4"/>
        <v>-12000</v>
      </c>
      <c r="V33" s="498">
        <v>12000</v>
      </c>
      <c r="W33" s="498">
        <v>0</v>
      </c>
      <c r="X33" s="498">
        <v>0</v>
      </c>
      <c r="Y33" s="498">
        <f t="shared" si="5"/>
        <v>12000</v>
      </c>
      <c r="Z33" s="498">
        <f t="shared" si="6"/>
        <v>0</v>
      </c>
      <c r="AA33" s="131">
        <f t="shared" si="58"/>
        <v>0</v>
      </c>
      <c r="AB33" s="131">
        <f t="shared" si="7"/>
        <v>-240</v>
      </c>
      <c r="AC33" s="498">
        <v>0</v>
      </c>
      <c r="AD33" s="498">
        <v>0</v>
      </c>
      <c r="AE33" s="498">
        <f t="shared" si="8"/>
        <v>0</v>
      </c>
      <c r="AF33" s="498">
        <f t="shared" si="9"/>
        <v>-240</v>
      </c>
      <c r="AG33" s="499">
        <v>0</v>
      </c>
      <c r="AH33" s="499">
        <v>0</v>
      </c>
      <c r="AI33" s="499">
        <v>0</v>
      </c>
      <c r="AJ33" s="499">
        <v>0</v>
      </c>
      <c r="AK33" s="499">
        <v>0</v>
      </c>
      <c r="AL33" s="499">
        <f t="shared" si="10"/>
        <v>0</v>
      </c>
      <c r="AM33" s="499">
        <f t="shared" si="11"/>
        <v>0</v>
      </c>
      <c r="AN33" s="500">
        <f t="shared" si="12"/>
        <v>0</v>
      </c>
      <c r="AO33" s="497">
        <f>I33+AF33</f>
        <v>1311467</v>
      </c>
      <c r="AP33" s="498">
        <f>J33+U33</f>
        <v>948060</v>
      </c>
      <c r="AQ33" s="498">
        <f t="shared" si="59"/>
        <v>12000</v>
      </c>
      <c r="AR33" s="498">
        <f>K33+AA33</f>
        <v>324500</v>
      </c>
      <c r="AS33" s="498">
        <f>L33+AB33</f>
        <v>18961</v>
      </c>
      <c r="AT33" s="498">
        <f>M33+AE33</f>
        <v>7946</v>
      </c>
      <c r="AU33" s="499">
        <f>N33+AN33</f>
        <v>3.27</v>
      </c>
      <c r="AV33" s="499">
        <f>O33+AL33</f>
        <v>0</v>
      </c>
      <c r="AW33" s="500">
        <f>P33+AM33</f>
        <v>3.27</v>
      </c>
    </row>
    <row r="34" spans="1:49" s="569" customFormat="1" x14ac:dyDescent="0.2">
      <c r="A34" s="302">
        <v>6</v>
      </c>
      <c r="B34" s="32">
        <v>4408</v>
      </c>
      <c r="C34" s="32">
        <v>600074528</v>
      </c>
      <c r="D34" s="32">
        <v>70982163</v>
      </c>
      <c r="E34" s="311" t="s">
        <v>160</v>
      </c>
      <c r="F34" s="32"/>
      <c r="G34" s="301"/>
      <c r="H34" s="454"/>
      <c r="I34" s="5">
        <f t="shared" ref="I34:P34" si="60">SUM(I32:I33)</f>
        <v>11596551</v>
      </c>
      <c r="J34" s="8">
        <f t="shared" si="60"/>
        <v>8488185</v>
      </c>
      <c r="K34" s="8">
        <f t="shared" si="60"/>
        <v>2869006</v>
      </c>
      <c r="L34" s="8">
        <f t="shared" si="60"/>
        <v>169764</v>
      </c>
      <c r="M34" s="8">
        <f t="shared" si="60"/>
        <v>69596</v>
      </c>
      <c r="N34" s="9">
        <f t="shared" si="60"/>
        <v>20.214500000000001</v>
      </c>
      <c r="O34" s="9">
        <f t="shared" si="60"/>
        <v>12.74</v>
      </c>
      <c r="P34" s="39">
        <f t="shared" si="60"/>
        <v>7.4745000000000008</v>
      </c>
      <c r="Q34" s="5">
        <f t="shared" ref="Q34:AW34" si="61">SUM(Q32:Q33)</f>
        <v>-20000</v>
      </c>
      <c r="R34" s="8">
        <f t="shared" si="61"/>
        <v>0</v>
      </c>
      <c r="S34" s="8">
        <f t="shared" si="61"/>
        <v>0</v>
      </c>
      <c r="T34" s="8">
        <f t="shared" si="61"/>
        <v>15184</v>
      </c>
      <c r="U34" s="8">
        <f t="shared" si="61"/>
        <v>-4816</v>
      </c>
      <c r="V34" s="8">
        <f t="shared" si="61"/>
        <v>20000</v>
      </c>
      <c r="W34" s="8">
        <f t="shared" si="61"/>
        <v>0</v>
      </c>
      <c r="X34" s="8">
        <f t="shared" si="61"/>
        <v>0</v>
      </c>
      <c r="Y34" s="8">
        <f t="shared" si="61"/>
        <v>20000</v>
      </c>
      <c r="Z34" s="8">
        <f t="shared" si="61"/>
        <v>15184</v>
      </c>
      <c r="AA34" s="8">
        <f t="shared" si="61"/>
        <v>5132</v>
      </c>
      <c r="AB34" s="8">
        <f t="shared" si="61"/>
        <v>-96</v>
      </c>
      <c r="AC34" s="8">
        <f t="shared" si="61"/>
        <v>0</v>
      </c>
      <c r="AD34" s="8">
        <f t="shared" si="61"/>
        <v>0</v>
      </c>
      <c r="AE34" s="8">
        <f t="shared" si="61"/>
        <v>0</v>
      </c>
      <c r="AF34" s="8">
        <f t="shared" si="61"/>
        <v>20220</v>
      </c>
      <c r="AG34" s="9">
        <f t="shared" si="61"/>
        <v>0</v>
      </c>
      <c r="AH34" s="9">
        <f t="shared" si="61"/>
        <v>0</v>
      </c>
      <c r="AI34" s="9">
        <f t="shared" si="61"/>
        <v>0</v>
      </c>
      <c r="AJ34" s="9">
        <f t="shared" si="61"/>
        <v>0.03</v>
      </c>
      <c r="AK34" s="9">
        <f t="shared" si="61"/>
        <v>0</v>
      </c>
      <c r="AL34" s="9">
        <f t="shared" si="61"/>
        <v>0.03</v>
      </c>
      <c r="AM34" s="9">
        <f t="shared" si="61"/>
        <v>0</v>
      </c>
      <c r="AN34" s="92">
        <f t="shared" si="61"/>
        <v>0.03</v>
      </c>
      <c r="AO34" s="295">
        <f t="shared" si="61"/>
        <v>11616771</v>
      </c>
      <c r="AP34" s="8">
        <f t="shared" si="61"/>
        <v>8483369</v>
      </c>
      <c r="AQ34" s="8">
        <f t="shared" si="61"/>
        <v>20000</v>
      </c>
      <c r="AR34" s="8">
        <f t="shared" si="61"/>
        <v>2874138</v>
      </c>
      <c r="AS34" s="8">
        <f t="shared" si="61"/>
        <v>169668</v>
      </c>
      <c r="AT34" s="8">
        <f t="shared" si="61"/>
        <v>69596</v>
      </c>
      <c r="AU34" s="9">
        <f t="shared" si="61"/>
        <v>20.244500000000002</v>
      </c>
      <c r="AV34" s="9">
        <f t="shared" si="61"/>
        <v>12.77</v>
      </c>
      <c r="AW34" s="92">
        <f t="shared" si="61"/>
        <v>7.4745000000000008</v>
      </c>
    </row>
    <row r="35" spans="1:49" s="569" customFormat="1" x14ac:dyDescent="0.2">
      <c r="A35" s="531">
        <v>7</v>
      </c>
      <c r="B35" s="532">
        <v>4423</v>
      </c>
      <c r="C35" s="532">
        <v>600074439</v>
      </c>
      <c r="D35" s="532">
        <v>70982155</v>
      </c>
      <c r="E35" s="530" t="s">
        <v>161</v>
      </c>
      <c r="F35" s="532">
        <v>3111</v>
      </c>
      <c r="G35" s="533" t="s">
        <v>317</v>
      </c>
      <c r="H35" s="534" t="s">
        <v>283</v>
      </c>
      <c r="I35" s="575">
        <f t="shared" ref="I35" si="62">SUM(J35:M35)</f>
        <v>6746424</v>
      </c>
      <c r="J35" s="496">
        <v>4936100</v>
      </c>
      <c r="K35" s="131">
        <f t="shared" ref="K35" si="63">ROUND((J35)*33.8%,0)</f>
        <v>1668402</v>
      </c>
      <c r="L35" s="131">
        <f t="shared" ref="L35" si="64">ROUND(J35*2%,0)</f>
        <v>98722</v>
      </c>
      <c r="M35" s="496">
        <v>43200</v>
      </c>
      <c r="N35" s="576">
        <f t="shared" ref="N35:N36" si="65">SUM(O35:P35)</f>
        <v>11.2682</v>
      </c>
      <c r="O35" s="577">
        <v>8</v>
      </c>
      <c r="P35" s="607">
        <v>3.2681999999999998</v>
      </c>
      <c r="Q35" s="579">
        <f t="shared" ref="Q35:Q36" si="66">V35*-1</f>
        <v>-43200</v>
      </c>
      <c r="R35" s="498">
        <v>0</v>
      </c>
      <c r="S35" s="498">
        <v>0</v>
      </c>
      <c r="T35" s="498">
        <v>0</v>
      </c>
      <c r="U35" s="498">
        <f t="shared" si="4"/>
        <v>-43200</v>
      </c>
      <c r="V35" s="498">
        <v>43200</v>
      </c>
      <c r="W35" s="498">
        <v>0</v>
      </c>
      <c r="X35" s="498">
        <v>0</v>
      </c>
      <c r="Y35" s="498">
        <f t="shared" si="5"/>
        <v>43200</v>
      </c>
      <c r="Z35" s="498">
        <f t="shared" si="6"/>
        <v>0</v>
      </c>
      <c r="AA35" s="131">
        <f t="shared" ref="AA35:AA36" si="67">ROUND((U35+V35+W35)*33.8%,0)</f>
        <v>0</v>
      </c>
      <c r="AB35" s="131">
        <f t="shared" si="7"/>
        <v>-864</v>
      </c>
      <c r="AC35" s="498">
        <v>0</v>
      </c>
      <c r="AD35" s="498">
        <v>0</v>
      </c>
      <c r="AE35" s="498">
        <f t="shared" si="8"/>
        <v>0</v>
      </c>
      <c r="AF35" s="498">
        <f t="shared" si="9"/>
        <v>-864</v>
      </c>
      <c r="AG35" s="499">
        <v>0</v>
      </c>
      <c r="AH35" s="499">
        <v>-0.23</v>
      </c>
      <c r="AI35" s="499">
        <v>0</v>
      </c>
      <c r="AJ35" s="499">
        <v>0</v>
      </c>
      <c r="AK35" s="499">
        <v>0</v>
      </c>
      <c r="AL35" s="499">
        <f t="shared" si="10"/>
        <v>0</v>
      </c>
      <c r="AM35" s="499">
        <f t="shared" si="11"/>
        <v>-0.23</v>
      </c>
      <c r="AN35" s="500">
        <f t="shared" si="12"/>
        <v>-0.23</v>
      </c>
      <c r="AO35" s="497">
        <f>I35+AF35</f>
        <v>6745560</v>
      </c>
      <c r="AP35" s="498">
        <f>J35+U35</f>
        <v>4892900</v>
      </c>
      <c r="AQ35" s="498">
        <f t="shared" ref="AQ35:AQ36" si="68">Y35</f>
        <v>43200</v>
      </c>
      <c r="AR35" s="498">
        <f>K35+AA35</f>
        <v>1668402</v>
      </c>
      <c r="AS35" s="498">
        <f>L35+AB35</f>
        <v>97858</v>
      </c>
      <c r="AT35" s="498">
        <f>M35+AE35</f>
        <v>43200</v>
      </c>
      <c r="AU35" s="499">
        <f>N35+AN35</f>
        <v>11.0382</v>
      </c>
      <c r="AV35" s="499">
        <f>O35+AL35</f>
        <v>8</v>
      </c>
      <c r="AW35" s="500">
        <f>P35+AM35</f>
        <v>3.0381999999999998</v>
      </c>
    </row>
    <row r="36" spans="1:49" s="569" customFormat="1" x14ac:dyDescent="0.2">
      <c r="A36" s="531">
        <v>7</v>
      </c>
      <c r="B36" s="532">
        <v>4423</v>
      </c>
      <c r="C36" s="532">
        <v>600074439</v>
      </c>
      <c r="D36" s="532">
        <v>70982155</v>
      </c>
      <c r="E36" s="530" t="s">
        <v>161</v>
      </c>
      <c r="F36" s="532">
        <v>3141</v>
      </c>
      <c r="G36" s="533" t="s">
        <v>321</v>
      </c>
      <c r="H36" s="534" t="s">
        <v>284</v>
      </c>
      <c r="I36" s="575">
        <f>SUM(J36:M36)</f>
        <v>1224897</v>
      </c>
      <c r="J36" s="496">
        <v>897715</v>
      </c>
      <c r="K36" s="131">
        <f>ROUND((J36)*33.8%,0)</f>
        <v>303428</v>
      </c>
      <c r="L36" s="131">
        <f>ROUND(J36*2%,0)</f>
        <v>17954</v>
      </c>
      <c r="M36" s="496">
        <v>5800</v>
      </c>
      <c r="N36" s="576">
        <f t="shared" si="65"/>
        <v>3.06</v>
      </c>
      <c r="O36" s="577">
        <v>0</v>
      </c>
      <c r="P36" s="607">
        <v>3.06</v>
      </c>
      <c r="Q36" s="579">
        <f t="shared" si="66"/>
        <v>-28800</v>
      </c>
      <c r="R36" s="498">
        <v>0</v>
      </c>
      <c r="S36" s="498">
        <v>0</v>
      </c>
      <c r="T36" s="498">
        <v>0</v>
      </c>
      <c r="U36" s="498">
        <f t="shared" si="4"/>
        <v>-28800</v>
      </c>
      <c r="V36" s="498">
        <v>28800</v>
      </c>
      <c r="W36" s="498">
        <v>0</v>
      </c>
      <c r="X36" s="498">
        <v>0</v>
      </c>
      <c r="Y36" s="498">
        <f t="shared" si="5"/>
        <v>28800</v>
      </c>
      <c r="Z36" s="498">
        <f t="shared" si="6"/>
        <v>0</v>
      </c>
      <c r="AA36" s="131">
        <f t="shared" si="67"/>
        <v>0</v>
      </c>
      <c r="AB36" s="131">
        <f t="shared" si="7"/>
        <v>-576</v>
      </c>
      <c r="AC36" s="498">
        <v>0</v>
      </c>
      <c r="AD36" s="498">
        <v>0</v>
      </c>
      <c r="AE36" s="498">
        <f t="shared" si="8"/>
        <v>0</v>
      </c>
      <c r="AF36" s="498">
        <f t="shared" si="9"/>
        <v>-576</v>
      </c>
      <c r="AG36" s="499">
        <v>0</v>
      </c>
      <c r="AH36" s="499">
        <v>-0.12</v>
      </c>
      <c r="AI36" s="499">
        <v>0</v>
      </c>
      <c r="AJ36" s="499">
        <v>0</v>
      </c>
      <c r="AK36" s="499">
        <v>0</v>
      </c>
      <c r="AL36" s="499">
        <f t="shared" si="10"/>
        <v>0</v>
      </c>
      <c r="AM36" s="499">
        <f t="shared" si="11"/>
        <v>-0.12</v>
      </c>
      <c r="AN36" s="500">
        <f t="shared" si="12"/>
        <v>-0.12</v>
      </c>
      <c r="AO36" s="497">
        <f>I36+AF36</f>
        <v>1224321</v>
      </c>
      <c r="AP36" s="498">
        <f>J36+U36</f>
        <v>868915</v>
      </c>
      <c r="AQ36" s="498">
        <f t="shared" si="68"/>
        <v>28800</v>
      </c>
      <c r="AR36" s="498">
        <f>K36+AA36</f>
        <v>303428</v>
      </c>
      <c r="AS36" s="498">
        <f>L36+AB36</f>
        <v>17378</v>
      </c>
      <c r="AT36" s="498">
        <f>M36+AE36</f>
        <v>5800</v>
      </c>
      <c r="AU36" s="499">
        <f>N36+AN36</f>
        <v>2.94</v>
      </c>
      <c r="AV36" s="499">
        <f>O36+AL36</f>
        <v>0</v>
      </c>
      <c r="AW36" s="500">
        <f>P36+AM36</f>
        <v>2.94</v>
      </c>
    </row>
    <row r="37" spans="1:49" s="569" customFormat="1" x14ac:dyDescent="0.2">
      <c r="A37" s="302">
        <v>7</v>
      </c>
      <c r="B37" s="32">
        <v>4423</v>
      </c>
      <c r="C37" s="32">
        <v>600074439</v>
      </c>
      <c r="D37" s="32">
        <v>70982155</v>
      </c>
      <c r="E37" s="311" t="s">
        <v>162</v>
      </c>
      <c r="F37" s="32"/>
      <c r="G37" s="301"/>
      <c r="H37" s="454"/>
      <c r="I37" s="5">
        <f t="shared" ref="I37:P37" si="69">SUM(I35:I36)</f>
        <v>7971321</v>
      </c>
      <c r="J37" s="8">
        <f t="shared" si="69"/>
        <v>5833815</v>
      </c>
      <c r="K37" s="8">
        <f t="shared" si="69"/>
        <v>1971830</v>
      </c>
      <c r="L37" s="8">
        <f t="shared" si="69"/>
        <v>116676</v>
      </c>
      <c r="M37" s="8">
        <f t="shared" si="69"/>
        <v>49000</v>
      </c>
      <c r="N37" s="9">
        <f t="shared" si="69"/>
        <v>14.328200000000001</v>
      </c>
      <c r="O37" s="9">
        <f t="shared" si="69"/>
        <v>8</v>
      </c>
      <c r="P37" s="39">
        <f t="shared" si="69"/>
        <v>6.3281999999999998</v>
      </c>
      <c r="Q37" s="5">
        <f t="shared" ref="Q37:AW37" si="70">SUM(Q35:Q36)</f>
        <v>-72000</v>
      </c>
      <c r="R37" s="8">
        <f t="shared" si="70"/>
        <v>0</v>
      </c>
      <c r="S37" s="8">
        <f t="shared" si="70"/>
        <v>0</v>
      </c>
      <c r="T37" s="8">
        <f t="shared" si="70"/>
        <v>0</v>
      </c>
      <c r="U37" s="8">
        <f t="shared" si="70"/>
        <v>-72000</v>
      </c>
      <c r="V37" s="8">
        <f t="shared" si="70"/>
        <v>72000</v>
      </c>
      <c r="W37" s="8">
        <f t="shared" si="70"/>
        <v>0</v>
      </c>
      <c r="X37" s="8">
        <f t="shared" si="70"/>
        <v>0</v>
      </c>
      <c r="Y37" s="8">
        <f t="shared" si="70"/>
        <v>72000</v>
      </c>
      <c r="Z37" s="8">
        <f t="shared" si="70"/>
        <v>0</v>
      </c>
      <c r="AA37" s="8">
        <f t="shared" si="70"/>
        <v>0</v>
      </c>
      <c r="AB37" s="8">
        <f t="shared" si="70"/>
        <v>-1440</v>
      </c>
      <c r="AC37" s="8">
        <f t="shared" si="70"/>
        <v>0</v>
      </c>
      <c r="AD37" s="8">
        <f t="shared" si="70"/>
        <v>0</v>
      </c>
      <c r="AE37" s="8">
        <f t="shared" si="70"/>
        <v>0</v>
      </c>
      <c r="AF37" s="8">
        <f t="shared" si="70"/>
        <v>-1440</v>
      </c>
      <c r="AG37" s="9">
        <f t="shared" si="70"/>
        <v>0</v>
      </c>
      <c r="AH37" s="9">
        <f t="shared" si="70"/>
        <v>-0.35</v>
      </c>
      <c r="AI37" s="9">
        <f t="shared" si="70"/>
        <v>0</v>
      </c>
      <c r="AJ37" s="9">
        <f t="shared" si="70"/>
        <v>0</v>
      </c>
      <c r="AK37" s="9">
        <f t="shared" si="70"/>
        <v>0</v>
      </c>
      <c r="AL37" s="9">
        <f t="shared" si="70"/>
        <v>0</v>
      </c>
      <c r="AM37" s="9">
        <f t="shared" si="70"/>
        <v>-0.35</v>
      </c>
      <c r="AN37" s="92">
        <f t="shared" si="70"/>
        <v>-0.35</v>
      </c>
      <c r="AO37" s="295">
        <f t="shared" si="70"/>
        <v>7969881</v>
      </c>
      <c r="AP37" s="8">
        <f t="shared" si="70"/>
        <v>5761815</v>
      </c>
      <c r="AQ37" s="8">
        <f t="shared" si="70"/>
        <v>72000</v>
      </c>
      <c r="AR37" s="8">
        <f t="shared" si="70"/>
        <v>1971830</v>
      </c>
      <c r="AS37" s="8">
        <f t="shared" si="70"/>
        <v>115236</v>
      </c>
      <c r="AT37" s="8">
        <f t="shared" si="70"/>
        <v>49000</v>
      </c>
      <c r="AU37" s="9">
        <f t="shared" si="70"/>
        <v>13.978199999999999</v>
      </c>
      <c r="AV37" s="9">
        <f t="shared" si="70"/>
        <v>8</v>
      </c>
      <c r="AW37" s="92">
        <f t="shared" si="70"/>
        <v>5.9781999999999993</v>
      </c>
    </row>
    <row r="38" spans="1:49" s="569" customFormat="1" x14ac:dyDescent="0.2">
      <c r="A38" s="531">
        <v>8</v>
      </c>
      <c r="B38" s="532">
        <v>4404</v>
      </c>
      <c r="C38" s="532">
        <v>600074331</v>
      </c>
      <c r="D38" s="532">
        <v>831298</v>
      </c>
      <c r="E38" s="530" t="s">
        <v>163</v>
      </c>
      <c r="F38" s="532">
        <v>3111</v>
      </c>
      <c r="G38" s="533" t="s">
        <v>317</v>
      </c>
      <c r="H38" s="534" t="s">
        <v>283</v>
      </c>
      <c r="I38" s="575">
        <f t="shared" ref="I38:I40" si="71">SUM(J38:M38)</f>
        <v>20810393</v>
      </c>
      <c r="J38" s="496">
        <v>15232506</v>
      </c>
      <c r="K38" s="131">
        <f t="shared" ref="K38:K39" si="72">ROUND((J38)*33.8%,0)</f>
        <v>5148587</v>
      </c>
      <c r="L38" s="131">
        <f t="shared" ref="L38:L39" si="73">ROUND(J38*2%,0)</f>
        <v>304650</v>
      </c>
      <c r="M38" s="496">
        <v>124650</v>
      </c>
      <c r="N38" s="576">
        <f t="shared" ref="N38:N40" si="74">SUM(O38:P38)</f>
        <v>35.580799999999996</v>
      </c>
      <c r="O38" s="577">
        <v>26</v>
      </c>
      <c r="P38" s="607">
        <v>9.5808</v>
      </c>
      <c r="Q38" s="579">
        <f t="shared" ref="Q38:Q40" si="75">V38*-1</f>
        <v>0</v>
      </c>
      <c r="R38" s="498">
        <v>0</v>
      </c>
      <c r="S38" s="498">
        <v>0</v>
      </c>
      <c r="T38" s="498">
        <v>0</v>
      </c>
      <c r="U38" s="498">
        <f t="shared" si="4"/>
        <v>0</v>
      </c>
      <c r="V38" s="498">
        <v>0</v>
      </c>
      <c r="W38" s="498">
        <v>0</v>
      </c>
      <c r="X38" s="498">
        <v>0</v>
      </c>
      <c r="Y38" s="498">
        <f t="shared" si="5"/>
        <v>0</v>
      </c>
      <c r="Z38" s="498">
        <f t="shared" si="6"/>
        <v>0</v>
      </c>
      <c r="AA38" s="131">
        <f t="shared" ref="AA38:AA40" si="76">ROUND((U38+V38+W38)*33.8%,0)</f>
        <v>0</v>
      </c>
      <c r="AB38" s="131">
        <f t="shared" si="7"/>
        <v>0</v>
      </c>
      <c r="AC38" s="498">
        <v>0</v>
      </c>
      <c r="AD38" s="498">
        <v>0</v>
      </c>
      <c r="AE38" s="498">
        <f t="shared" si="8"/>
        <v>0</v>
      </c>
      <c r="AF38" s="498">
        <f t="shared" si="9"/>
        <v>0</v>
      </c>
      <c r="AG38" s="499">
        <v>0</v>
      </c>
      <c r="AH38" s="499">
        <v>0</v>
      </c>
      <c r="AI38" s="499">
        <v>0</v>
      </c>
      <c r="AJ38" s="499">
        <v>0</v>
      </c>
      <c r="AK38" s="499">
        <v>0</v>
      </c>
      <c r="AL38" s="499">
        <f t="shared" si="10"/>
        <v>0</v>
      </c>
      <c r="AM38" s="499">
        <f t="shared" si="11"/>
        <v>0</v>
      </c>
      <c r="AN38" s="500">
        <f t="shared" si="12"/>
        <v>0</v>
      </c>
      <c r="AO38" s="497">
        <f>I38+AF38</f>
        <v>20810393</v>
      </c>
      <c r="AP38" s="498">
        <f>J38+U38</f>
        <v>15232506</v>
      </c>
      <c r="AQ38" s="498">
        <f t="shared" ref="AQ38:AQ40" si="77">Y38</f>
        <v>0</v>
      </c>
      <c r="AR38" s="498">
        <f t="shared" ref="AR38:AS40" si="78">K38+AA38</f>
        <v>5148587</v>
      </c>
      <c r="AS38" s="498">
        <f t="shared" si="78"/>
        <v>304650</v>
      </c>
      <c r="AT38" s="498">
        <f>M38+AE38</f>
        <v>124650</v>
      </c>
      <c r="AU38" s="499">
        <f>N38+AN38</f>
        <v>35.580799999999996</v>
      </c>
      <c r="AV38" s="499">
        <f t="shared" ref="AV38:AW40" si="79">O38+AL38</f>
        <v>26</v>
      </c>
      <c r="AW38" s="500">
        <f t="shared" si="79"/>
        <v>9.5808</v>
      </c>
    </row>
    <row r="39" spans="1:49" s="569" customFormat="1" x14ac:dyDescent="0.2">
      <c r="A39" s="531">
        <v>8</v>
      </c>
      <c r="B39" s="532">
        <v>4404</v>
      </c>
      <c r="C39" s="532">
        <v>600074331</v>
      </c>
      <c r="D39" s="532">
        <v>831298</v>
      </c>
      <c r="E39" s="530" t="s">
        <v>163</v>
      </c>
      <c r="F39" s="532">
        <v>3111</v>
      </c>
      <c r="G39" s="533" t="s">
        <v>318</v>
      </c>
      <c r="H39" s="534" t="s">
        <v>284</v>
      </c>
      <c r="I39" s="575">
        <f t="shared" si="71"/>
        <v>0</v>
      </c>
      <c r="J39" s="496">
        <v>0</v>
      </c>
      <c r="K39" s="131">
        <f t="shared" si="72"/>
        <v>0</v>
      </c>
      <c r="L39" s="131">
        <f t="shared" si="73"/>
        <v>0</v>
      </c>
      <c r="M39" s="496">
        <v>0</v>
      </c>
      <c r="N39" s="576">
        <f t="shared" si="74"/>
        <v>0</v>
      </c>
      <c r="O39" s="577">
        <v>0</v>
      </c>
      <c r="P39" s="607">
        <v>0</v>
      </c>
      <c r="Q39" s="579">
        <f t="shared" si="75"/>
        <v>0</v>
      </c>
      <c r="R39" s="496">
        <v>173222</v>
      </c>
      <c r="S39" s="498">
        <v>0</v>
      </c>
      <c r="T39" s="498">
        <v>0</v>
      </c>
      <c r="U39" s="498">
        <f t="shared" si="4"/>
        <v>173222</v>
      </c>
      <c r="V39" s="498">
        <v>0</v>
      </c>
      <c r="W39" s="498">
        <v>0</v>
      </c>
      <c r="X39" s="498">
        <v>0</v>
      </c>
      <c r="Y39" s="498">
        <f t="shared" si="5"/>
        <v>0</v>
      </c>
      <c r="Z39" s="498">
        <f t="shared" si="6"/>
        <v>173222</v>
      </c>
      <c r="AA39" s="131">
        <f t="shared" si="76"/>
        <v>58549</v>
      </c>
      <c r="AB39" s="131">
        <f t="shared" si="7"/>
        <v>3464</v>
      </c>
      <c r="AC39" s="498">
        <v>0</v>
      </c>
      <c r="AD39" s="498">
        <v>0</v>
      </c>
      <c r="AE39" s="498">
        <f t="shared" si="8"/>
        <v>0</v>
      </c>
      <c r="AF39" s="498">
        <f t="shared" si="9"/>
        <v>235235</v>
      </c>
      <c r="AG39" s="499">
        <v>0</v>
      </c>
      <c r="AH39" s="499">
        <v>0</v>
      </c>
      <c r="AI39" s="499">
        <v>0.5</v>
      </c>
      <c r="AJ39" s="499">
        <v>0</v>
      </c>
      <c r="AK39" s="499">
        <v>0</v>
      </c>
      <c r="AL39" s="499">
        <f t="shared" si="10"/>
        <v>0.5</v>
      </c>
      <c r="AM39" s="499">
        <f t="shared" si="11"/>
        <v>0</v>
      </c>
      <c r="AN39" s="500">
        <f t="shared" si="12"/>
        <v>0.5</v>
      </c>
      <c r="AO39" s="497">
        <f>I39+AF39</f>
        <v>235235</v>
      </c>
      <c r="AP39" s="498">
        <f>J39+U39</f>
        <v>173222</v>
      </c>
      <c r="AQ39" s="498">
        <f t="shared" si="77"/>
        <v>0</v>
      </c>
      <c r="AR39" s="498">
        <f t="shared" si="78"/>
        <v>58549</v>
      </c>
      <c r="AS39" s="498">
        <f t="shared" si="78"/>
        <v>3464</v>
      </c>
      <c r="AT39" s="498">
        <f>M39+AE39</f>
        <v>0</v>
      </c>
      <c r="AU39" s="499">
        <f>N39+AN39</f>
        <v>0.5</v>
      </c>
      <c r="AV39" s="499">
        <f t="shared" si="79"/>
        <v>0.5</v>
      </c>
      <c r="AW39" s="500">
        <f t="shared" si="79"/>
        <v>0</v>
      </c>
    </row>
    <row r="40" spans="1:49" s="569" customFormat="1" x14ac:dyDescent="0.2">
      <c r="A40" s="531">
        <v>8</v>
      </c>
      <c r="B40" s="532">
        <v>4404</v>
      </c>
      <c r="C40" s="532">
        <v>600074331</v>
      </c>
      <c r="D40" s="532">
        <v>831298</v>
      </c>
      <c r="E40" s="530" t="s">
        <v>163</v>
      </c>
      <c r="F40" s="532">
        <v>3141</v>
      </c>
      <c r="G40" s="533" t="s">
        <v>321</v>
      </c>
      <c r="H40" s="534" t="s">
        <v>284</v>
      </c>
      <c r="I40" s="575">
        <f t="shared" si="71"/>
        <v>3161225</v>
      </c>
      <c r="J40" s="496">
        <v>2315980</v>
      </c>
      <c r="K40" s="131">
        <f>ROUND((J40)*33.8%,0)</f>
        <v>782801</v>
      </c>
      <c r="L40" s="131">
        <f>ROUND(J40*2%,0)</f>
        <v>46320</v>
      </c>
      <c r="M40" s="496">
        <v>16124</v>
      </c>
      <c r="N40" s="576">
        <f t="shared" si="74"/>
        <v>7.88</v>
      </c>
      <c r="O40" s="577">
        <v>0</v>
      </c>
      <c r="P40" s="607">
        <v>7.88</v>
      </c>
      <c r="Q40" s="579">
        <f t="shared" si="75"/>
        <v>0</v>
      </c>
      <c r="R40" s="498">
        <v>0</v>
      </c>
      <c r="S40" s="498">
        <v>0</v>
      </c>
      <c r="T40" s="498">
        <v>0</v>
      </c>
      <c r="U40" s="498">
        <f t="shared" si="4"/>
        <v>0</v>
      </c>
      <c r="V40" s="498">
        <v>0</v>
      </c>
      <c r="W40" s="498">
        <v>0</v>
      </c>
      <c r="X40" s="498">
        <v>0</v>
      </c>
      <c r="Y40" s="498">
        <f t="shared" si="5"/>
        <v>0</v>
      </c>
      <c r="Z40" s="498">
        <f t="shared" si="6"/>
        <v>0</v>
      </c>
      <c r="AA40" s="131">
        <f t="shared" si="76"/>
        <v>0</v>
      </c>
      <c r="AB40" s="131">
        <f t="shared" si="7"/>
        <v>0</v>
      </c>
      <c r="AC40" s="498">
        <v>0</v>
      </c>
      <c r="AD40" s="498">
        <v>0</v>
      </c>
      <c r="AE40" s="498">
        <f t="shared" si="8"/>
        <v>0</v>
      </c>
      <c r="AF40" s="498">
        <f t="shared" si="9"/>
        <v>0</v>
      </c>
      <c r="AG40" s="499">
        <v>0</v>
      </c>
      <c r="AH40" s="499">
        <v>0</v>
      </c>
      <c r="AI40" s="499">
        <v>0</v>
      </c>
      <c r="AJ40" s="499">
        <v>0</v>
      </c>
      <c r="AK40" s="499">
        <v>0</v>
      </c>
      <c r="AL40" s="499">
        <f t="shared" si="10"/>
        <v>0</v>
      </c>
      <c r="AM40" s="499">
        <f t="shared" si="11"/>
        <v>0</v>
      </c>
      <c r="AN40" s="500">
        <f t="shared" si="12"/>
        <v>0</v>
      </c>
      <c r="AO40" s="497">
        <f>I40+AF40</f>
        <v>3161225</v>
      </c>
      <c r="AP40" s="498">
        <f>J40+U40</f>
        <v>2315980</v>
      </c>
      <c r="AQ40" s="498">
        <f t="shared" si="77"/>
        <v>0</v>
      </c>
      <c r="AR40" s="498">
        <f t="shared" si="78"/>
        <v>782801</v>
      </c>
      <c r="AS40" s="498">
        <f t="shared" si="78"/>
        <v>46320</v>
      </c>
      <c r="AT40" s="498">
        <f>M40+AE40</f>
        <v>16124</v>
      </c>
      <c r="AU40" s="499">
        <f>N40+AN40</f>
        <v>7.88</v>
      </c>
      <c r="AV40" s="499">
        <f t="shared" si="79"/>
        <v>0</v>
      </c>
      <c r="AW40" s="500">
        <f t="shared" si="79"/>
        <v>7.88</v>
      </c>
    </row>
    <row r="41" spans="1:49" s="569" customFormat="1" x14ac:dyDescent="0.2">
      <c r="A41" s="302">
        <v>8</v>
      </c>
      <c r="B41" s="32">
        <v>4404</v>
      </c>
      <c r="C41" s="32">
        <v>600074331</v>
      </c>
      <c r="D41" s="32">
        <v>831298</v>
      </c>
      <c r="E41" s="311" t="s">
        <v>164</v>
      </c>
      <c r="F41" s="32"/>
      <c r="G41" s="301"/>
      <c r="H41" s="454"/>
      <c r="I41" s="5">
        <f t="shared" ref="I41:P41" si="80">SUM(I38:I40)</f>
        <v>23971618</v>
      </c>
      <c r="J41" s="8">
        <f t="shared" si="80"/>
        <v>17548486</v>
      </c>
      <c r="K41" s="8">
        <f t="shared" si="80"/>
        <v>5931388</v>
      </c>
      <c r="L41" s="8">
        <f t="shared" si="80"/>
        <v>350970</v>
      </c>
      <c r="M41" s="8">
        <f t="shared" si="80"/>
        <v>140774</v>
      </c>
      <c r="N41" s="9">
        <f t="shared" si="80"/>
        <v>43.460799999999999</v>
      </c>
      <c r="O41" s="9">
        <f t="shared" si="80"/>
        <v>26</v>
      </c>
      <c r="P41" s="39">
        <f t="shared" si="80"/>
        <v>17.460799999999999</v>
      </c>
      <c r="Q41" s="5">
        <f t="shared" ref="Q41:AW41" si="81">SUM(Q38:Q40)</f>
        <v>0</v>
      </c>
      <c r="R41" s="8">
        <f t="shared" si="81"/>
        <v>173222</v>
      </c>
      <c r="S41" s="8">
        <f t="shared" si="81"/>
        <v>0</v>
      </c>
      <c r="T41" s="8">
        <f t="shared" si="81"/>
        <v>0</v>
      </c>
      <c r="U41" s="8">
        <f t="shared" si="81"/>
        <v>173222</v>
      </c>
      <c r="V41" s="8">
        <f t="shared" si="81"/>
        <v>0</v>
      </c>
      <c r="W41" s="8">
        <f t="shared" si="81"/>
        <v>0</v>
      </c>
      <c r="X41" s="8">
        <f t="shared" si="81"/>
        <v>0</v>
      </c>
      <c r="Y41" s="8">
        <f t="shared" si="81"/>
        <v>0</v>
      </c>
      <c r="Z41" s="8">
        <f t="shared" si="81"/>
        <v>173222</v>
      </c>
      <c r="AA41" s="8">
        <f t="shared" si="81"/>
        <v>58549</v>
      </c>
      <c r="AB41" s="8">
        <f t="shared" si="81"/>
        <v>3464</v>
      </c>
      <c r="AC41" s="8">
        <f t="shared" si="81"/>
        <v>0</v>
      </c>
      <c r="AD41" s="8">
        <f t="shared" si="81"/>
        <v>0</v>
      </c>
      <c r="AE41" s="8">
        <f t="shared" si="81"/>
        <v>0</v>
      </c>
      <c r="AF41" s="8">
        <f t="shared" si="81"/>
        <v>235235</v>
      </c>
      <c r="AG41" s="9">
        <f t="shared" si="81"/>
        <v>0</v>
      </c>
      <c r="AH41" s="9">
        <f t="shared" si="81"/>
        <v>0</v>
      </c>
      <c r="AI41" s="9">
        <f t="shared" si="81"/>
        <v>0.5</v>
      </c>
      <c r="AJ41" s="9">
        <f t="shared" si="81"/>
        <v>0</v>
      </c>
      <c r="AK41" s="9">
        <f t="shared" si="81"/>
        <v>0</v>
      </c>
      <c r="AL41" s="9">
        <f t="shared" si="81"/>
        <v>0.5</v>
      </c>
      <c r="AM41" s="9">
        <f t="shared" si="81"/>
        <v>0</v>
      </c>
      <c r="AN41" s="92">
        <f t="shared" si="81"/>
        <v>0.5</v>
      </c>
      <c r="AO41" s="295">
        <f t="shared" si="81"/>
        <v>24206853</v>
      </c>
      <c r="AP41" s="8">
        <f t="shared" si="81"/>
        <v>17721708</v>
      </c>
      <c r="AQ41" s="8">
        <f t="shared" si="81"/>
        <v>0</v>
      </c>
      <c r="AR41" s="8">
        <f t="shared" si="81"/>
        <v>5989937</v>
      </c>
      <c r="AS41" s="8">
        <f t="shared" si="81"/>
        <v>354434</v>
      </c>
      <c r="AT41" s="8">
        <f t="shared" si="81"/>
        <v>140774</v>
      </c>
      <c r="AU41" s="9">
        <f t="shared" si="81"/>
        <v>43.960799999999999</v>
      </c>
      <c r="AV41" s="9">
        <f t="shared" si="81"/>
        <v>26.5</v>
      </c>
      <c r="AW41" s="92">
        <f t="shared" si="81"/>
        <v>17.460799999999999</v>
      </c>
    </row>
    <row r="42" spans="1:49" s="569" customFormat="1" x14ac:dyDescent="0.2">
      <c r="A42" s="531">
        <v>9</v>
      </c>
      <c r="B42" s="532">
        <v>4480</v>
      </c>
      <c r="C42" s="532">
        <v>600075249</v>
      </c>
      <c r="D42" s="532">
        <v>49864548</v>
      </c>
      <c r="E42" s="530" t="s">
        <v>165</v>
      </c>
      <c r="F42" s="532">
        <v>3141</v>
      </c>
      <c r="G42" s="533" t="s">
        <v>321</v>
      </c>
      <c r="H42" s="534" t="s">
        <v>284</v>
      </c>
      <c r="I42" s="575">
        <f>SUM(J42:M42)</f>
        <v>3802644</v>
      </c>
      <c r="J42" s="496">
        <v>2771059</v>
      </c>
      <c r="K42" s="131">
        <f>ROUND((J42)*33.8%,0)</f>
        <v>936618</v>
      </c>
      <c r="L42" s="131">
        <f>ROUND(J42*2%,0)</f>
        <v>55421</v>
      </c>
      <c r="M42" s="496">
        <v>39546</v>
      </c>
      <c r="N42" s="576">
        <f t="shared" ref="N42" si="82">SUM(O42:P42)</f>
        <v>9.43</v>
      </c>
      <c r="O42" s="577">
        <v>0</v>
      </c>
      <c r="P42" s="607">
        <v>9.43</v>
      </c>
      <c r="Q42" s="579">
        <f>V42*-1</f>
        <v>0</v>
      </c>
      <c r="R42" s="498">
        <v>0</v>
      </c>
      <c r="S42" s="498">
        <v>0</v>
      </c>
      <c r="T42" s="498">
        <v>352800</v>
      </c>
      <c r="U42" s="498">
        <f t="shared" si="4"/>
        <v>352800</v>
      </c>
      <c r="V42" s="498">
        <v>0</v>
      </c>
      <c r="W42" s="498">
        <v>0</v>
      </c>
      <c r="X42" s="498">
        <v>0</v>
      </c>
      <c r="Y42" s="498">
        <f t="shared" si="5"/>
        <v>0</v>
      </c>
      <c r="Z42" s="498">
        <f t="shared" si="6"/>
        <v>352800</v>
      </c>
      <c r="AA42" s="131">
        <f>ROUND((U42+V42+W42)*33.8%,0)</f>
        <v>119246</v>
      </c>
      <c r="AB42" s="131">
        <f t="shared" si="7"/>
        <v>7056</v>
      </c>
      <c r="AC42" s="498">
        <v>0</v>
      </c>
      <c r="AD42" s="498">
        <v>0</v>
      </c>
      <c r="AE42" s="498">
        <f t="shared" si="8"/>
        <v>0</v>
      </c>
      <c r="AF42" s="498">
        <f t="shared" si="9"/>
        <v>479102</v>
      </c>
      <c r="AG42" s="499">
        <v>0</v>
      </c>
      <c r="AH42" s="499">
        <v>0</v>
      </c>
      <c r="AI42" s="499">
        <v>0</v>
      </c>
      <c r="AJ42" s="499">
        <v>0</v>
      </c>
      <c r="AK42" s="499">
        <v>1.2</v>
      </c>
      <c r="AL42" s="499">
        <f t="shared" si="10"/>
        <v>0</v>
      </c>
      <c r="AM42" s="499">
        <f t="shared" si="11"/>
        <v>1.2</v>
      </c>
      <c r="AN42" s="500">
        <f t="shared" si="12"/>
        <v>1.2</v>
      </c>
      <c r="AO42" s="497">
        <f>I42+AF42</f>
        <v>4281746</v>
      </c>
      <c r="AP42" s="498">
        <f>J42+U42</f>
        <v>3123859</v>
      </c>
      <c r="AQ42" s="498">
        <f>Y42</f>
        <v>0</v>
      </c>
      <c r="AR42" s="498">
        <f>K42+AA42</f>
        <v>1055864</v>
      </c>
      <c r="AS42" s="498">
        <f>L42+AB42</f>
        <v>62477</v>
      </c>
      <c r="AT42" s="498">
        <f>M42+AE42</f>
        <v>39546</v>
      </c>
      <c r="AU42" s="499">
        <f>N42+AN42</f>
        <v>10.629999999999999</v>
      </c>
      <c r="AV42" s="499">
        <f>O42+AL42</f>
        <v>0</v>
      </c>
      <c r="AW42" s="500">
        <f>P42+AM42</f>
        <v>10.629999999999999</v>
      </c>
    </row>
    <row r="43" spans="1:49" s="569" customFormat="1" x14ac:dyDescent="0.2">
      <c r="A43" s="302">
        <v>9</v>
      </c>
      <c r="B43" s="32">
        <v>4480</v>
      </c>
      <c r="C43" s="32">
        <v>600075249</v>
      </c>
      <c r="D43" s="32">
        <v>49864548</v>
      </c>
      <c r="E43" s="311" t="s">
        <v>166</v>
      </c>
      <c r="F43" s="32"/>
      <c r="G43" s="301"/>
      <c r="H43" s="454"/>
      <c r="I43" s="5">
        <f t="shared" ref="I43:AW43" si="83">SUM(I42)</f>
        <v>3802644</v>
      </c>
      <c r="J43" s="8">
        <f t="shared" si="83"/>
        <v>2771059</v>
      </c>
      <c r="K43" s="8">
        <f t="shared" si="83"/>
        <v>936618</v>
      </c>
      <c r="L43" s="8">
        <f t="shared" si="83"/>
        <v>55421</v>
      </c>
      <c r="M43" s="8">
        <f t="shared" si="83"/>
        <v>39546</v>
      </c>
      <c r="N43" s="9">
        <f t="shared" si="83"/>
        <v>9.43</v>
      </c>
      <c r="O43" s="9">
        <f t="shared" si="83"/>
        <v>0</v>
      </c>
      <c r="P43" s="39">
        <f t="shared" si="83"/>
        <v>9.43</v>
      </c>
      <c r="Q43" s="5">
        <f t="shared" si="83"/>
        <v>0</v>
      </c>
      <c r="R43" s="8">
        <f t="shared" si="83"/>
        <v>0</v>
      </c>
      <c r="S43" s="8">
        <f t="shared" si="83"/>
        <v>0</v>
      </c>
      <c r="T43" s="8">
        <f t="shared" si="83"/>
        <v>352800</v>
      </c>
      <c r="U43" s="8">
        <f t="shared" si="83"/>
        <v>352800</v>
      </c>
      <c r="V43" s="8">
        <f t="shared" si="83"/>
        <v>0</v>
      </c>
      <c r="W43" s="8">
        <f t="shared" si="83"/>
        <v>0</v>
      </c>
      <c r="X43" s="8">
        <f t="shared" si="83"/>
        <v>0</v>
      </c>
      <c r="Y43" s="8">
        <f t="shared" si="83"/>
        <v>0</v>
      </c>
      <c r="Z43" s="8">
        <f t="shared" si="83"/>
        <v>352800</v>
      </c>
      <c r="AA43" s="8">
        <f t="shared" si="83"/>
        <v>119246</v>
      </c>
      <c r="AB43" s="8">
        <f t="shared" si="83"/>
        <v>7056</v>
      </c>
      <c r="AC43" s="8">
        <f t="shared" si="83"/>
        <v>0</v>
      </c>
      <c r="AD43" s="8">
        <f t="shared" si="83"/>
        <v>0</v>
      </c>
      <c r="AE43" s="8">
        <f t="shared" si="83"/>
        <v>0</v>
      </c>
      <c r="AF43" s="8">
        <f t="shared" si="83"/>
        <v>479102</v>
      </c>
      <c r="AG43" s="9">
        <f t="shared" si="83"/>
        <v>0</v>
      </c>
      <c r="AH43" s="9">
        <f t="shared" si="83"/>
        <v>0</v>
      </c>
      <c r="AI43" s="9">
        <f t="shared" si="83"/>
        <v>0</v>
      </c>
      <c r="AJ43" s="9">
        <f t="shared" si="83"/>
        <v>0</v>
      </c>
      <c r="AK43" s="9">
        <f t="shared" si="83"/>
        <v>1.2</v>
      </c>
      <c r="AL43" s="9">
        <f t="shared" si="83"/>
        <v>0</v>
      </c>
      <c r="AM43" s="9">
        <f t="shared" si="83"/>
        <v>1.2</v>
      </c>
      <c r="AN43" s="92">
        <f t="shared" si="83"/>
        <v>1.2</v>
      </c>
      <c r="AO43" s="295">
        <f t="shared" si="83"/>
        <v>4281746</v>
      </c>
      <c r="AP43" s="8">
        <f t="shared" si="83"/>
        <v>3123859</v>
      </c>
      <c r="AQ43" s="8">
        <f t="shared" si="83"/>
        <v>0</v>
      </c>
      <c r="AR43" s="8">
        <f t="shared" si="83"/>
        <v>1055864</v>
      </c>
      <c r="AS43" s="8">
        <f t="shared" si="83"/>
        <v>62477</v>
      </c>
      <c r="AT43" s="8">
        <f t="shared" si="83"/>
        <v>39546</v>
      </c>
      <c r="AU43" s="9">
        <f t="shared" si="83"/>
        <v>10.629999999999999</v>
      </c>
      <c r="AV43" s="9">
        <f t="shared" si="83"/>
        <v>0</v>
      </c>
      <c r="AW43" s="92">
        <f t="shared" si="83"/>
        <v>10.629999999999999</v>
      </c>
    </row>
    <row r="44" spans="1:49" s="569" customFormat="1" x14ac:dyDescent="0.2">
      <c r="A44" s="531">
        <v>10</v>
      </c>
      <c r="B44" s="532">
        <v>4439</v>
      </c>
      <c r="C44" s="532">
        <v>600074951</v>
      </c>
      <c r="D44" s="532">
        <v>48283088</v>
      </c>
      <c r="E44" s="530" t="s">
        <v>167</v>
      </c>
      <c r="F44" s="532">
        <v>3111</v>
      </c>
      <c r="G44" s="533" t="s">
        <v>317</v>
      </c>
      <c r="H44" s="534" t="s">
        <v>283</v>
      </c>
      <c r="I44" s="575">
        <f t="shared" ref="I44:I48" si="84">SUM(J44:M44)</f>
        <v>4386382</v>
      </c>
      <c r="J44" s="496">
        <v>3209155</v>
      </c>
      <c r="K44" s="131">
        <f t="shared" ref="K44:K46" si="85">ROUND((J44)*33.8%,0)</f>
        <v>1084694</v>
      </c>
      <c r="L44" s="131">
        <f t="shared" ref="L44:L46" si="86">ROUND(J44*2%,0)</f>
        <v>64183</v>
      </c>
      <c r="M44" s="496">
        <v>28350</v>
      </c>
      <c r="N44" s="576">
        <f t="shared" ref="N44:N49" si="87">SUM(O44:P44)</f>
        <v>7.5327999999999999</v>
      </c>
      <c r="O44" s="577">
        <v>6</v>
      </c>
      <c r="P44" s="607">
        <v>1.5327999999999999</v>
      </c>
      <c r="Q44" s="579">
        <f t="shared" ref="Q44:Q49" si="88">V44*-1</f>
        <v>0</v>
      </c>
      <c r="R44" s="498">
        <v>0</v>
      </c>
      <c r="S44" s="498">
        <v>0</v>
      </c>
      <c r="T44" s="498">
        <v>0</v>
      </c>
      <c r="U44" s="498">
        <f t="shared" si="4"/>
        <v>0</v>
      </c>
      <c r="V44" s="498">
        <v>0</v>
      </c>
      <c r="W44" s="498">
        <v>0</v>
      </c>
      <c r="X44" s="498">
        <v>0</v>
      </c>
      <c r="Y44" s="498">
        <f t="shared" si="5"/>
        <v>0</v>
      </c>
      <c r="Z44" s="498">
        <f t="shared" si="6"/>
        <v>0</v>
      </c>
      <c r="AA44" s="131">
        <f t="shared" ref="AA44:AA49" si="89">ROUND((U44+V44+W44)*33.8%,0)</f>
        <v>0</v>
      </c>
      <c r="AB44" s="131">
        <f t="shared" si="7"/>
        <v>0</v>
      </c>
      <c r="AC44" s="498">
        <v>0</v>
      </c>
      <c r="AD44" s="498">
        <v>0</v>
      </c>
      <c r="AE44" s="498">
        <f t="shared" si="8"/>
        <v>0</v>
      </c>
      <c r="AF44" s="498">
        <f t="shared" si="9"/>
        <v>0</v>
      </c>
      <c r="AG44" s="499">
        <v>0</v>
      </c>
      <c r="AH44" s="499">
        <v>0</v>
      </c>
      <c r="AI44" s="499">
        <v>0</v>
      </c>
      <c r="AJ44" s="499">
        <v>0</v>
      </c>
      <c r="AK44" s="499">
        <v>0</v>
      </c>
      <c r="AL44" s="499">
        <f t="shared" si="10"/>
        <v>0</v>
      </c>
      <c r="AM44" s="499">
        <f t="shared" si="11"/>
        <v>0</v>
      </c>
      <c r="AN44" s="500">
        <f t="shared" si="12"/>
        <v>0</v>
      </c>
      <c r="AO44" s="497">
        <f t="shared" ref="AO44:AO49" si="90">I44+AF44</f>
        <v>4386382</v>
      </c>
      <c r="AP44" s="498">
        <f t="shared" ref="AP44:AP49" si="91">J44+U44</f>
        <v>3209155</v>
      </c>
      <c r="AQ44" s="498">
        <f t="shared" ref="AQ44:AQ49" si="92">Y44</f>
        <v>0</v>
      </c>
      <c r="AR44" s="498">
        <f t="shared" ref="AR44:AS49" si="93">K44+AA44</f>
        <v>1084694</v>
      </c>
      <c r="AS44" s="498">
        <f t="shared" si="93"/>
        <v>64183</v>
      </c>
      <c r="AT44" s="498">
        <f t="shared" ref="AT44:AT49" si="94">M44+AE44</f>
        <v>28350</v>
      </c>
      <c r="AU44" s="499">
        <f t="shared" ref="AU44:AU49" si="95">N44+AN44</f>
        <v>7.5327999999999999</v>
      </c>
      <c r="AV44" s="499">
        <f t="shared" ref="AV44:AW49" si="96">O44+AL44</f>
        <v>6</v>
      </c>
      <c r="AW44" s="500">
        <f t="shared" si="96"/>
        <v>1.5327999999999999</v>
      </c>
    </row>
    <row r="45" spans="1:49" s="569" customFormat="1" x14ac:dyDescent="0.2">
      <c r="A45" s="531">
        <v>10</v>
      </c>
      <c r="B45" s="532">
        <v>4439</v>
      </c>
      <c r="C45" s="532">
        <v>600074951</v>
      </c>
      <c r="D45" s="532">
        <v>48283088</v>
      </c>
      <c r="E45" s="530" t="s">
        <v>167</v>
      </c>
      <c r="F45" s="532">
        <v>3113</v>
      </c>
      <c r="G45" s="533" t="s">
        <v>320</v>
      </c>
      <c r="H45" s="534" t="s">
        <v>283</v>
      </c>
      <c r="I45" s="575">
        <f t="shared" si="84"/>
        <v>21250308</v>
      </c>
      <c r="J45" s="496">
        <v>15289152</v>
      </c>
      <c r="K45" s="131">
        <f t="shared" si="85"/>
        <v>5167733</v>
      </c>
      <c r="L45" s="131">
        <f t="shared" si="86"/>
        <v>305783</v>
      </c>
      <c r="M45" s="496">
        <v>487640</v>
      </c>
      <c r="N45" s="576">
        <f t="shared" si="87"/>
        <v>30.479500000000002</v>
      </c>
      <c r="O45" s="577">
        <v>22.6816</v>
      </c>
      <c r="P45" s="607">
        <v>7.7979000000000003</v>
      </c>
      <c r="Q45" s="579">
        <f t="shared" si="88"/>
        <v>-12000</v>
      </c>
      <c r="R45" s="498">
        <v>0</v>
      </c>
      <c r="S45" s="498">
        <v>0</v>
      </c>
      <c r="T45" s="498">
        <v>0</v>
      </c>
      <c r="U45" s="498">
        <f t="shared" si="4"/>
        <v>-12000</v>
      </c>
      <c r="V45" s="498">
        <v>12000</v>
      </c>
      <c r="W45" s="498">
        <v>0</v>
      </c>
      <c r="X45" s="498">
        <v>0</v>
      </c>
      <c r="Y45" s="498">
        <f t="shared" si="5"/>
        <v>12000</v>
      </c>
      <c r="Z45" s="498">
        <f t="shared" si="6"/>
        <v>0</v>
      </c>
      <c r="AA45" s="131">
        <f t="shared" si="89"/>
        <v>0</v>
      </c>
      <c r="AB45" s="131">
        <f t="shared" si="7"/>
        <v>-240</v>
      </c>
      <c r="AC45" s="498">
        <v>0</v>
      </c>
      <c r="AD45" s="498">
        <v>0</v>
      </c>
      <c r="AE45" s="498">
        <f t="shared" si="8"/>
        <v>0</v>
      </c>
      <c r="AF45" s="498">
        <f t="shared" si="9"/>
        <v>-240</v>
      </c>
      <c r="AG45" s="499">
        <v>-0.02</v>
      </c>
      <c r="AH45" s="499">
        <v>0</v>
      </c>
      <c r="AI45" s="499">
        <v>0</v>
      </c>
      <c r="AJ45" s="499">
        <v>0</v>
      </c>
      <c r="AK45" s="499">
        <v>0</v>
      </c>
      <c r="AL45" s="499">
        <f t="shared" si="10"/>
        <v>-0.02</v>
      </c>
      <c r="AM45" s="499">
        <f t="shared" si="11"/>
        <v>0</v>
      </c>
      <c r="AN45" s="500">
        <f t="shared" si="12"/>
        <v>-0.02</v>
      </c>
      <c r="AO45" s="497">
        <f t="shared" si="90"/>
        <v>21250068</v>
      </c>
      <c r="AP45" s="498">
        <f t="shared" si="91"/>
        <v>15277152</v>
      </c>
      <c r="AQ45" s="498">
        <f t="shared" si="92"/>
        <v>12000</v>
      </c>
      <c r="AR45" s="498">
        <f t="shared" si="93"/>
        <v>5167733</v>
      </c>
      <c r="AS45" s="498">
        <f t="shared" si="93"/>
        <v>305543</v>
      </c>
      <c r="AT45" s="498">
        <f t="shared" si="94"/>
        <v>487640</v>
      </c>
      <c r="AU45" s="499">
        <f t="shared" si="95"/>
        <v>30.459500000000002</v>
      </c>
      <c r="AV45" s="499">
        <f t="shared" si="96"/>
        <v>22.6616</v>
      </c>
      <c r="AW45" s="500">
        <f t="shared" si="96"/>
        <v>7.7979000000000003</v>
      </c>
    </row>
    <row r="46" spans="1:49" s="569" customFormat="1" x14ac:dyDescent="0.2">
      <c r="A46" s="531">
        <v>10</v>
      </c>
      <c r="B46" s="532">
        <v>4439</v>
      </c>
      <c r="C46" s="532">
        <v>600074951</v>
      </c>
      <c r="D46" s="532">
        <v>48283088</v>
      </c>
      <c r="E46" s="530" t="s">
        <v>167</v>
      </c>
      <c r="F46" s="532">
        <v>3113</v>
      </c>
      <c r="G46" s="533" t="s">
        <v>318</v>
      </c>
      <c r="H46" s="534" t="s">
        <v>284</v>
      </c>
      <c r="I46" s="575">
        <f t="shared" si="84"/>
        <v>0</v>
      </c>
      <c r="J46" s="496">
        <v>0</v>
      </c>
      <c r="K46" s="131">
        <f t="shared" si="85"/>
        <v>0</v>
      </c>
      <c r="L46" s="131">
        <f t="shared" si="86"/>
        <v>0</v>
      </c>
      <c r="M46" s="496">
        <v>0</v>
      </c>
      <c r="N46" s="576">
        <f t="shared" si="87"/>
        <v>0</v>
      </c>
      <c r="O46" s="577">
        <v>0</v>
      </c>
      <c r="P46" s="607">
        <v>0</v>
      </c>
      <c r="Q46" s="579">
        <f t="shared" si="88"/>
        <v>0</v>
      </c>
      <c r="R46" s="496">
        <v>1443525</v>
      </c>
      <c r="S46" s="498">
        <v>0</v>
      </c>
      <c r="T46" s="498">
        <v>0</v>
      </c>
      <c r="U46" s="498">
        <f t="shared" si="4"/>
        <v>1443525</v>
      </c>
      <c r="V46" s="498">
        <v>0</v>
      </c>
      <c r="W46" s="498">
        <v>0</v>
      </c>
      <c r="X46" s="498">
        <v>0</v>
      </c>
      <c r="Y46" s="498">
        <f t="shared" si="5"/>
        <v>0</v>
      </c>
      <c r="Z46" s="498">
        <f t="shared" si="6"/>
        <v>1443525</v>
      </c>
      <c r="AA46" s="131">
        <f t="shared" si="89"/>
        <v>487911</v>
      </c>
      <c r="AB46" s="131">
        <f t="shared" si="7"/>
        <v>28871</v>
      </c>
      <c r="AC46" s="498">
        <v>0</v>
      </c>
      <c r="AD46" s="498">
        <v>0</v>
      </c>
      <c r="AE46" s="498">
        <f t="shared" si="8"/>
        <v>0</v>
      </c>
      <c r="AF46" s="498">
        <f t="shared" si="9"/>
        <v>1960307</v>
      </c>
      <c r="AG46" s="499">
        <v>0</v>
      </c>
      <c r="AH46" s="499">
        <v>0</v>
      </c>
      <c r="AI46" s="499">
        <v>4.17</v>
      </c>
      <c r="AJ46" s="499">
        <v>0</v>
      </c>
      <c r="AK46" s="499">
        <v>0</v>
      </c>
      <c r="AL46" s="499">
        <f t="shared" si="10"/>
        <v>4.17</v>
      </c>
      <c r="AM46" s="499">
        <f t="shared" si="11"/>
        <v>0</v>
      </c>
      <c r="AN46" s="500">
        <f t="shared" si="12"/>
        <v>4.17</v>
      </c>
      <c r="AO46" s="497">
        <f t="shared" si="90"/>
        <v>1960307</v>
      </c>
      <c r="AP46" s="498">
        <f t="shared" si="91"/>
        <v>1443525</v>
      </c>
      <c r="AQ46" s="498">
        <f t="shared" si="92"/>
        <v>0</v>
      </c>
      <c r="AR46" s="498">
        <f t="shared" si="93"/>
        <v>487911</v>
      </c>
      <c r="AS46" s="498">
        <f t="shared" si="93"/>
        <v>28871</v>
      </c>
      <c r="AT46" s="498">
        <f t="shared" si="94"/>
        <v>0</v>
      </c>
      <c r="AU46" s="499">
        <f t="shared" si="95"/>
        <v>4.17</v>
      </c>
      <c r="AV46" s="499">
        <f t="shared" si="96"/>
        <v>4.17</v>
      </c>
      <c r="AW46" s="500">
        <f t="shared" si="96"/>
        <v>0</v>
      </c>
    </row>
    <row r="47" spans="1:49" s="569" customFormat="1" x14ac:dyDescent="0.2">
      <c r="A47" s="531">
        <v>10</v>
      </c>
      <c r="B47" s="532">
        <v>4439</v>
      </c>
      <c r="C47" s="532">
        <v>600074951</v>
      </c>
      <c r="D47" s="532">
        <v>48283088</v>
      </c>
      <c r="E47" s="530" t="s">
        <v>167</v>
      </c>
      <c r="F47" s="532">
        <v>3141</v>
      </c>
      <c r="G47" s="533" t="s">
        <v>321</v>
      </c>
      <c r="H47" s="534" t="s">
        <v>284</v>
      </c>
      <c r="I47" s="575">
        <f t="shared" si="84"/>
        <v>2496447</v>
      </c>
      <c r="J47" s="496">
        <v>1825376</v>
      </c>
      <c r="K47" s="131">
        <f>ROUND((J47)*33.8%,0)</f>
        <v>616977</v>
      </c>
      <c r="L47" s="131">
        <f>ROUND(J47*2%,0)</f>
        <v>36508</v>
      </c>
      <c r="M47" s="496">
        <v>17586</v>
      </c>
      <c r="N47" s="576">
        <f t="shared" si="87"/>
        <v>6.2</v>
      </c>
      <c r="O47" s="577">
        <v>0</v>
      </c>
      <c r="P47" s="607">
        <v>6.2</v>
      </c>
      <c r="Q47" s="579">
        <f t="shared" si="88"/>
        <v>0</v>
      </c>
      <c r="R47" s="498">
        <v>0</v>
      </c>
      <c r="S47" s="498">
        <v>0</v>
      </c>
      <c r="T47" s="498">
        <v>0</v>
      </c>
      <c r="U47" s="498">
        <f t="shared" si="4"/>
        <v>0</v>
      </c>
      <c r="V47" s="498">
        <v>0</v>
      </c>
      <c r="W47" s="498">
        <v>0</v>
      </c>
      <c r="X47" s="498">
        <v>0</v>
      </c>
      <c r="Y47" s="498">
        <f t="shared" si="5"/>
        <v>0</v>
      </c>
      <c r="Z47" s="498">
        <f t="shared" si="6"/>
        <v>0</v>
      </c>
      <c r="AA47" s="131">
        <f t="shared" si="89"/>
        <v>0</v>
      </c>
      <c r="AB47" s="131">
        <f t="shared" si="7"/>
        <v>0</v>
      </c>
      <c r="AC47" s="498">
        <v>0</v>
      </c>
      <c r="AD47" s="498">
        <v>0</v>
      </c>
      <c r="AE47" s="498">
        <f t="shared" si="8"/>
        <v>0</v>
      </c>
      <c r="AF47" s="498">
        <f t="shared" si="9"/>
        <v>0</v>
      </c>
      <c r="AG47" s="499">
        <v>0</v>
      </c>
      <c r="AH47" s="499">
        <v>0</v>
      </c>
      <c r="AI47" s="499">
        <v>0</v>
      </c>
      <c r="AJ47" s="499">
        <v>0</v>
      </c>
      <c r="AK47" s="499">
        <v>0</v>
      </c>
      <c r="AL47" s="499">
        <f t="shared" si="10"/>
        <v>0</v>
      </c>
      <c r="AM47" s="499">
        <f t="shared" si="11"/>
        <v>0</v>
      </c>
      <c r="AN47" s="500">
        <f t="shared" si="12"/>
        <v>0</v>
      </c>
      <c r="AO47" s="497">
        <f t="shared" si="90"/>
        <v>2496447</v>
      </c>
      <c r="AP47" s="498">
        <f t="shared" si="91"/>
        <v>1825376</v>
      </c>
      <c r="AQ47" s="498">
        <f t="shared" si="92"/>
        <v>0</v>
      </c>
      <c r="AR47" s="498">
        <f t="shared" si="93"/>
        <v>616977</v>
      </c>
      <c r="AS47" s="498">
        <f t="shared" si="93"/>
        <v>36508</v>
      </c>
      <c r="AT47" s="498">
        <f t="shared" si="94"/>
        <v>17586</v>
      </c>
      <c r="AU47" s="499">
        <f t="shared" si="95"/>
        <v>6.2</v>
      </c>
      <c r="AV47" s="499">
        <f t="shared" si="96"/>
        <v>0</v>
      </c>
      <c r="AW47" s="500">
        <f t="shared" si="96"/>
        <v>6.2</v>
      </c>
    </row>
    <row r="48" spans="1:49" s="569" customFormat="1" x14ac:dyDescent="0.2">
      <c r="A48" s="531">
        <v>10</v>
      </c>
      <c r="B48" s="532">
        <v>4439</v>
      </c>
      <c r="C48" s="532">
        <v>600074951</v>
      </c>
      <c r="D48" s="532">
        <v>48283088</v>
      </c>
      <c r="E48" s="530" t="s">
        <v>167</v>
      </c>
      <c r="F48" s="532">
        <v>3143</v>
      </c>
      <c r="G48" s="533" t="s">
        <v>635</v>
      </c>
      <c r="H48" s="574" t="s">
        <v>283</v>
      </c>
      <c r="I48" s="575">
        <f t="shared" si="84"/>
        <v>1433378</v>
      </c>
      <c r="J48" s="496">
        <v>1055506</v>
      </c>
      <c r="K48" s="131">
        <v>356762</v>
      </c>
      <c r="L48" s="131">
        <f t="shared" ref="L48:L49" si="97">ROUND(J48*2%,0)</f>
        <v>21110</v>
      </c>
      <c r="M48" s="496">
        <v>0</v>
      </c>
      <c r="N48" s="576">
        <f t="shared" si="87"/>
        <v>2.4285999999999999</v>
      </c>
      <c r="O48" s="577">
        <v>2.4285999999999999</v>
      </c>
      <c r="P48" s="607">
        <v>0</v>
      </c>
      <c r="Q48" s="579">
        <f t="shared" si="88"/>
        <v>0</v>
      </c>
      <c r="R48" s="498">
        <v>0</v>
      </c>
      <c r="S48" s="498">
        <v>0</v>
      </c>
      <c r="T48" s="498">
        <v>0</v>
      </c>
      <c r="U48" s="498">
        <f t="shared" si="4"/>
        <v>0</v>
      </c>
      <c r="V48" s="498">
        <v>0</v>
      </c>
      <c r="W48" s="498">
        <v>0</v>
      </c>
      <c r="X48" s="498">
        <v>0</v>
      </c>
      <c r="Y48" s="498">
        <f t="shared" si="5"/>
        <v>0</v>
      </c>
      <c r="Z48" s="498">
        <f t="shared" si="6"/>
        <v>0</v>
      </c>
      <c r="AA48" s="131">
        <f t="shared" si="89"/>
        <v>0</v>
      </c>
      <c r="AB48" s="131">
        <f t="shared" si="7"/>
        <v>0</v>
      </c>
      <c r="AC48" s="498">
        <v>0</v>
      </c>
      <c r="AD48" s="498">
        <v>0</v>
      </c>
      <c r="AE48" s="498">
        <f t="shared" si="8"/>
        <v>0</v>
      </c>
      <c r="AF48" s="498">
        <f t="shared" si="9"/>
        <v>0</v>
      </c>
      <c r="AG48" s="499">
        <v>0</v>
      </c>
      <c r="AH48" s="499">
        <v>0</v>
      </c>
      <c r="AI48" s="499">
        <v>0</v>
      </c>
      <c r="AJ48" s="499">
        <v>0</v>
      </c>
      <c r="AK48" s="499">
        <v>0</v>
      </c>
      <c r="AL48" s="499">
        <f t="shared" si="10"/>
        <v>0</v>
      </c>
      <c r="AM48" s="499">
        <f t="shared" si="11"/>
        <v>0</v>
      </c>
      <c r="AN48" s="500">
        <f t="shared" si="12"/>
        <v>0</v>
      </c>
      <c r="AO48" s="497">
        <f t="shared" si="90"/>
        <v>1433378</v>
      </c>
      <c r="AP48" s="498">
        <f t="shared" si="91"/>
        <v>1055506</v>
      </c>
      <c r="AQ48" s="498">
        <f t="shared" si="92"/>
        <v>0</v>
      </c>
      <c r="AR48" s="498">
        <f t="shared" si="93"/>
        <v>356762</v>
      </c>
      <c r="AS48" s="498">
        <f t="shared" si="93"/>
        <v>21110</v>
      </c>
      <c r="AT48" s="498">
        <f t="shared" si="94"/>
        <v>0</v>
      </c>
      <c r="AU48" s="499">
        <f t="shared" si="95"/>
        <v>2.4285999999999999</v>
      </c>
      <c r="AV48" s="499">
        <f t="shared" si="96"/>
        <v>2.4285999999999999</v>
      </c>
      <c r="AW48" s="500">
        <f t="shared" si="96"/>
        <v>0</v>
      </c>
    </row>
    <row r="49" spans="1:49" s="569" customFormat="1" x14ac:dyDescent="0.2">
      <c r="A49" s="531">
        <v>10</v>
      </c>
      <c r="B49" s="532">
        <v>4439</v>
      </c>
      <c r="C49" s="532">
        <v>600074951</v>
      </c>
      <c r="D49" s="532">
        <v>48283088</v>
      </c>
      <c r="E49" s="530" t="s">
        <v>167</v>
      </c>
      <c r="F49" s="532">
        <v>3143</v>
      </c>
      <c r="G49" s="533" t="s">
        <v>636</v>
      </c>
      <c r="H49" s="574" t="s">
        <v>284</v>
      </c>
      <c r="I49" s="575">
        <f>SUM(J49:M49)</f>
        <v>52666</v>
      </c>
      <c r="J49" s="496">
        <v>37125</v>
      </c>
      <c r="K49" s="131">
        <f t="shared" ref="K49" si="98">ROUND((J49)*33.8%,0)</f>
        <v>12548</v>
      </c>
      <c r="L49" s="131">
        <f t="shared" si="97"/>
        <v>743</v>
      </c>
      <c r="M49" s="496">
        <v>2250</v>
      </c>
      <c r="N49" s="576">
        <f t="shared" si="87"/>
        <v>0.16</v>
      </c>
      <c r="O49" s="577">
        <v>0</v>
      </c>
      <c r="P49" s="607">
        <v>0.16</v>
      </c>
      <c r="Q49" s="579">
        <f t="shared" si="88"/>
        <v>0</v>
      </c>
      <c r="R49" s="498">
        <v>0</v>
      </c>
      <c r="S49" s="498">
        <v>0</v>
      </c>
      <c r="T49" s="498">
        <v>0</v>
      </c>
      <c r="U49" s="498">
        <f t="shared" si="4"/>
        <v>0</v>
      </c>
      <c r="V49" s="498">
        <v>0</v>
      </c>
      <c r="W49" s="498">
        <v>0</v>
      </c>
      <c r="X49" s="498">
        <v>0</v>
      </c>
      <c r="Y49" s="498">
        <f t="shared" si="5"/>
        <v>0</v>
      </c>
      <c r="Z49" s="498">
        <f t="shared" si="6"/>
        <v>0</v>
      </c>
      <c r="AA49" s="131">
        <f t="shared" si="89"/>
        <v>0</v>
      </c>
      <c r="AB49" s="131">
        <f t="shared" si="7"/>
        <v>0</v>
      </c>
      <c r="AC49" s="498">
        <v>0</v>
      </c>
      <c r="AD49" s="498">
        <v>0</v>
      </c>
      <c r="AE49" s="498">
        <f t="shared" si="8"/>
        <v>0</v>
      </c>
      <c r="AF49" s="498">
        <f t="shared" si="9"/>
        <v>0</v>
      </c>
      <c r="AG49" s="499">
        <v>0</v>
      </c>
      <c r="AH49" s="499">
        <v>0</v>
      </c>
      <c r="AI49" s="499">
        <v>0</v>
      </c>
      <c r="AJ49" s="499">
        <v>0</v>
      </c>
      <c r="AK49" s="499">
        <v>0</v>
      </c>
      <c r="AL49" s="499">
        <f t="shared" si="10"/>
        <v>0</v>
      </c>
      <c r="AM49" s="499">
        <f t="shared" si="11"/>
        <v>0</v>
      </c>
      <c r="AN49" s="500">
        <f t="shared" si="12"/>
        <v>0</v>
      </c>
      <c r="AO49" s="497">
        <f t="shared" si="90"/>
        <v>52666</v>
      </c>
      <c r="AP49" s="498">
        <f t="shared" si="91"/>
        <v>37125</v>
      </c>
      <c r="AQ49" s="498">
        <f t="shared" si="92"/>
        <v>0</v>
      </c>
      <c r="AR49" s="498">
        <f t="shared" si="93"/>
        <v>12548</v>
      </c>
      <c r="AS49" s="498">
        <f t="shared" si="93"/>
        <v>743</v>
      </c>
      <c r="AT49" s="498">
        <f t="shared" si="94"/>
        <v>2250</v>
      </c>
      <c r="AU49" s="499">
        <f t="shared" si="95"/>
        <v>0.16</v>
      </c>
      <c r="AV49" s="499">
        <f t="shared" si="96"/>
        <v>0</v>
      </c>
      <c r="AW49" s="500">
        <f t="shared" si="96"/>
        <v>0.16</v>
      </c>
    </row>
    <row r="50" spans="1:49" s="569" customFormat="1" x14ac:dyDescent="0.2">
      <c r="A50" s="302">
        <v>10</v>
      </c>
      <c r="B50" s="32">
        <v>4439</v>
      </c>
      <c r="C50" s="32">
        <v>600074951</v>
      </c>
      <c r="D50" s="32">
        <v>48283088</v>
      </c>
      <c r="E50" s="311" t="s">
        <v>168</v>
      </c>
      <c r="F50" s="32"/>
      <c r="G50" s="301"/>
      <c r="H50" s="454"/>
      <c r="I50" s="5">
        <f t="shared" ref="I50:P50" si="99">SUM(I44:I49)</f>
        <v>29619181</v>
      </c>
      <c r="J50" s="8">
        <f t="shared" si="99"/>
        <v>21416314</v>
      </c>
      <c r="K50" s="8">
        <f t="shared" si="99"/>
        <v>7238714</v>
      </c>
      <c r="L50" s="8">
        <f t="shared" si="99"/>
        <v>428327</v>
      </c>
      <c r="M50" s="8">
        <f t="shared" si="99"/>
        <v>535826</v>
      </c>
      <c r="N50" s="9">
        <f t="shared" si="99"/>
        <v>46.800900000000006</v>
      </c>
      <c r="O50" s="9">
        <f t="shared" si="99"/>
        <v>31.110199999999999</v>
      </c>
      <c r="P50" s="39">
        <f t="shared" si="99"/>
        <v>15.6907</v>
      </c>
      <c r="Q50" s="5">
        <f t="shared" ref="Q50:AW50" si="100">SUM(Q44:Q49)</f>
        <v>-12000</v>
      </c>
      <c r="R50" s="8">
        <f t="shared" si="100"/>
        <v>1443525</v>
      </c>
      <c r="S50" s="8">
        <f t="shared" si="100"/>
        <v>0</v>
      </c>
      <c r="T50" s="8">
        <f t="shared" si="100"/>
        <v>0</v>
      </c>
      <c r="U50" s="8">
        <f t="shared" si="100"/>
        <v>1431525</v>
      </c>
      <c r="V50" s="8">
        <f t="shared" si="100"/>
        <v>12000</v>
      </c>
      <c r="W50" s="8">
        <f t="shared" si="100"/>
        <v>0</v>
      </c>
      <c r="X50" s="8">
        <f t="shared" si="100"/>
        <v>0</v>
      </c>
      <c r="Y50" s="8">
        <f t="shared" si="100"/>
        <v>12000</v>
      </c>
      <c r="Z50" s="8">
        <f t="shared" si="100"/>
        <v>1443525</v>
      </c>
      <c r="AA50" s="8">
        <f t="shared" si="100"/>
        <v>487911</v>
      </c>
      <c r="AB50" s="8">
        <f t="shared" si="100"/>
        <v>28631</v>
      </c>
      <c r="AC50" s="8">
        <f t="shared" si="100"/>
        <v>0</v>
      </c>
      <c r="AD50" s="8">
        <f t="shared" si="100"/>
        <v>0</v>
      </c>
      <c r="AE50" s="8">
        <f t="shared" si="100"/>
        <v>0</v>
      </c>
      <c r="AF50" s="8">
        <f t="shared" si="100"/>
        <v>1960067</v>
      </c>
      <c r="AG50" s="9">
        <f t="shared" si="100"/>
        <v>-0.02</v>
      </c>
      <c r="AH50" s="9">
        <f t="shared" si="100"/>
        <v>0</v>
      </c>
      <c r="AI50" s="9">
        <f t="shared" si="100"/>
        <v>4.17</v>
      </c>
      <c r="AJ50" s="9">
        <f t="shared" si="100"/>
        <v>0</v>
      </c>
      <c r="AK50" s="9">
        <f t="shared" si="100"/>
        <v>0</v>
      </c>
      <c r="AL50" s="9">
        <f t="shared" si="100"/>
        <v>4.1500000000000004</v>
      </c>
      <c r="AM50" s="9">
        <f t="shared" si="100"/>
        <v>0</v>
      </c>
      <c r="AN50" s="92">
        <f t="shared" si="100"/>
        <v>4.1500000000000004</v>
      </c>
      <c r="AO50" s="295">
        <f t="shared" si="100"/>
        <v>31579248</v>
      </c>
      <c r="AP50" s="8">
        <f t="shared" si="100"/>
        <v>22847839</v>
      </c>
      <c r="AQ50" s="8">
        <f t="shared" si="100"/>
        <v>12000</v>
      </c>
      <c r="AR50" s="8">
        <f t="shared" si="100"/>
        <v>7726625</v>
      </c>
      <c r="AS50" s="8">
        <f t="shared" si="100"/>
        <v>456958</v>
      </c>
      <c r="AT50" s="8">
        <f t="shared" si="100"/>
        <v>535826</v>
      </c>
      <c r="AU50" s="9">
        <f t="shared" si="100"/>
        <v>50.950900000000004</v>
      </c>
      <c r="AV50" s="9">
        <f t="shared" si="100"/>
        <v>35.260200000000005</v>
      </c>
      <c r="AW50" s="92">
        <f t="shared" si="100"/>
        <v>15.6907</v>
      </c>
    </row>
    <row r="51" spans="1:49" s="569" customFormat="1" x14ac:dyDescent="0.2">
      <c r="A51" s="531">
        <v>11</v>
      </c>
      <c r="B51" s="532">
        <v>4443</v>
      </c>
      <c r="C51" s="532">
        <v>600074994</v>
      </c>
      <c r="D51" s="532">
        <v>46750045</v>
      </c>
      <c r="E51" s="530" t="s">
        <v>169</v>
      </c>
      <c r="F51" s="532">
        <v>3113</v>
      </c>
      <c r="G51" s="533" t="s">
        <v>320</v>
      </c>
      <c r="H51" s="534" t="s">
        <v>283</v>
      </c>
      <c r="I51" s="575">
        <f t="shared" ref="I51" si="101">SUM(J51:M51)</f>
        <v>49604732</v>
      </c>
      <c r="J51" s="496">
        <v>35636084</v>
      </c>
      <c r="K51" s="131">
        <f t="shared" ref="K51:K52" si="102">ROUND((J51)*33.8%,0)</f>
        <v>12044996</v>
      </c>
      <c r="L51" s="131">
        <f t="shared" ref="L51:L55" si="103">ROUND(J51*2%,0)</f>
        <v>712722</v>
      </c>
      <c r="M51" s="496">
        <v>1210930</v>
      </c>
      <c r="N51" s="576">
        <f t="shared" ref="N51:N55" si="104">SUM(O51:P51)</f>
        <v>65.444800000000001</v>
      </c>
      <c r="O51" s="577">
        <v>50.729799999999997</v>
      </c>
      <c r="P51" s="607">
        <v>14.715</v>
      </c>
      <c r="Q51" s="579">
        <f t="shared" ref="Q51:Q55" si="105">V51*-1</f>
        <v>-130400</v>
      </c>
      <c r="R51" s="498">
        <v>0</v>
      </c>
      <c r="S51" s="498">
        <v>0</v>
      </c>
      <c r="T51" s="498">
        <v>171300</v>
      </c>
      <c r="U51" s="498">
        <f t="shared" si="4"/>
        <v>40900</v>
      </c>
      <c r="V51" s="498">
        <v>130400</v>
      </c>
      <c r="W51" s="498">
        <v>0</v>
      </c>
      <c r="X51" s="498">
        <v>0</v>
      </c>
      <c r="Y51" s="498">
        <f t="shared" si="5"/>
        <v>130400</v>
      </c>
      <c r="Z51" s="498">
        <f t="shared" si="6"/>
        <v>171300</v>
      </c>
      <c r="AA51" s="131">
        <f t="shared" ref="AA51:AA55" si="106">ROUND((U51+V51+W51)*33.8%,0)</f>
        <v>57899</v>
      </c>
      <c r="AB51" s="131">
        <f t="shared" si="7"/>
        <v>818</v>
      </c>
      <c r="AC51" s="498">
        <v>0</v>
      </c>
      <c r="AD51" s="498">
        <v>0</v>
      </c>
      <c r="AE51" s="498">
        <f t="shared" si="8"/>
        <v>0</v>
      </c>
      <c r="AF51" s="498">
        <f t="shared" si="9"/>
        <v>230017</v>
      </c>
      <c r="AG51" s="499">
        <v>-0.18</v>
      </c>
      <c r="AH51" s="499">
        <v>-0.04</v>
      </c>
      <c r="AI51" s="499">
        <v>0</v>
      </c>
      <c r="AJ51" s="499">
        <v>0.28999999999999998</v>
      </c>
      <c r="AK51" s="499">
        <v>0</v>
      </c>
      <c r="AL51" s="499">
        <f t="shared" si="10"/>
        <v>0.10999999999999999</v>
      </c>
      <c r="AM51" s="499">
        <f t="shared" si="11"/>
        <v>-0.04</v>
      </c>
      <c r="AN51" s="500">
        <f t="shared" si="12"/>
        <v>6.9999999999999979E-2</v>
      </c>
      <c r="AO51" s="497">
        <f>I51+AF51</f>
        <v>49834749</v>
      </c>
      <c r="AP51" s="498">
        <f>J51+U51</f>
        <v>35676984</v>
      </c>
      <c r="AQ51" s="498">
        <f t="shared" ref="AQ51:AQ55" si="107">Y51</f>
        <v>130400</v>
      </c>
      <c r="AR51" s="498">
        <f t="shared" ref="AR51:AS55" si="108">K51+AA51</f>
        <v>12102895</v>
      </c>
      <c r="AS51" s="498">
        <f t="shared" si="108"/>
        <v>713540</v>
      </c>
      <c r="AT51" s="498">
        <f>M51+AE51</f>
        <v>1210930</v>
      </c>
      <c r="AU51" s="499">
        <f>N51+AN51</f>
        <v>65.514799999999994</v>
      </c>
      <c r="AV51" s="499">
        <f t="shared" ref="AV51:AW55" si="109">O51+AL51</f>
        <v>50.839799999999997</v>
      </c>
      <c r="AW51" s="500">
        <f t="shared" si="109"/>
        <v>14.675000000000001</v>
      </c>
    </row>
    <row r="52" spans="1:49" s="569" customFormat="1" x14ac:dyDescent="0.2">
      <c r="A52" s="531">
        <v>11</v>
      </c>
      <c r="B52" s="532">
        <v>4443</v>
      </c>
      <c r="C52" s="532">
        <v>600074994</v>
      </c>
      <c r="D52" s="532">
        <v>46750045</v>
      </c>
      <c r="E52" s="530" t="s">
        <v>169</v>
      </c>
      <c r="F52" s="532">
        <v>3113</v>
      </c>
      <c r="G52" s="533" t="s">
        <v>318</v>
      </c>
      <c r="H52" s="534" t="s">
        <v>284</v>
      </c>
      <c r="I52" s="575">
        <f>SUM(J52:M52)</f>
        <v>0</v>
      </c>
      <c r="J52" s="496">
        <v>0</v>
      </c>
      <c r="K52" s="131">
        <f t="shared" si="102"/>
        <v>0</v>
      </c>
      <c r="L52" s="131">
        <f t="shared" si="103"/>
        <v>0</v>
      </c>
      <c r="M52" s="496">
        <v>0</v>
      </c>
      <c r="N52" s="576">
        <f t="shared" si="104"/>
        <v>0</v>
      </c>
      <c r="O52" s="577">
        <v>0</v>
      </c>
      <c r="P52" s="607">
        <v>0</v>
      </c>
      <c r="Q52" s="579">
        <f t="shared" si="105"/>
        <v>0</v>
      </c>
      <c r="R52" s="496">
        <v>5160088</v>
      </c>
      <c r="S52" s="498">
        <v>0</v>
      </c>
      <c r="T52" s="498">
        <v>0</v>
      </c>
      <c r="U52" s="498">
        <f t="shared" si="4"/>
        <v>5160088</v>
      </c>
      <c r="V52" s="498">
        <v>0</v>
      </c>
      <c r="W52" s="498">
        <v>0</v>
      </c>
      <c r="X52" s="498">
        <v>0</v>
      </c>
      <c r="Y52" s="498">
        <f t="shared" si="5"/>
        <v>0</v>
      </c>
      <c r="Z52" s="498">
        <f t="shared" si="6"/>
        <v>5160088</v>
      </c>
      <c r="AA52" s="131">
        <f t="shared" si="106"/>
        <v>1744110</v>
      </c>
      <c r="AB52" s="131">
        <f t="shared" si="7"/>
        <v>103202</v>
      </c>
      <c r="AC52" s="498">
        <v>5000</v>
      </c>
      <c r="AD52" s="498">
        <v>0</v>
      </c>
      <c r="AE52" s="498">
        <f t="shared" si="8"/>
        <v>5000</v>
      </c>
      <c r="AF52" s="498">
        <f t="shared" si="9"/>
        <v>7012400</v>
      </c>
      <c r="AG52" s="499">
        <v>0</v>
      </c>
      <c r="AH52" s="499">
        <v>0</v>
      </c>
      <c r="AI52" s="499">
        <v>15.03</v>
      </c>
      <c r="AJ52" s="499">
        <v>0</v>
      </c>
      <c r="AK52" s="499">
        <v>0</v>
      </c>
      <c r="AL52" s="499">
        <f t="shared" si="10"/>
        <v>15.03</v>
      </c>
      <c r="AM52" s="499">
        <f t="shared" si="11"/>
        <v>0</v>
      </c>
      <c r="AN52" s="500">
        <f t="shared" si="12"/>
        <v>15.03</v>
      </c>
      <c r="AO52" s="497">
        <f>I52+AF52</f>
        <v>7012400</v>
      </c>
      <c r="AP52" s="498">
        <f>J52+U52</f>
        <v>5160088</v>
      </c>
      <c r="AQ52" s="498">
        <f t="shared" si="107"/>
        <v>0</v>
      </c>
      <c r="AR52" s="498">
        <f t="shared" si="108"/>
        <v>1744110</v>
      </c>
      <c r="AS52" s="498">
        <f t="shared" si="108"/>
        <v>103202</v>
      </c>
      <c r="AT52" s="498">
        <f>M52+AE52</f>
        <v>5000</v>
      </c>
      <c r="AU52" s="499">
        <f>N52+AN52</f>
        <v>15.03</v>
      </c>
      <c r="AV52" s="499">
        <f t="shared" si="109"/>
        <v>15.03</v>
      </c>
      <c r="AW52" s="500">
        <f t="shared" si="109"/>
        <v>0</v>
      </c>
    </row>
    <row r="53" spans="1:49" s="569" customFormat="1" x14ac:dyDescent="0.2">
      <c r="A53" s="531">
        <v>11</v>
      </c>
      <c r="B53" s="532">
        <v>4443</v>
      </c>
      <c r="C53" s="532">
        <v>600074994</v>
      </c>
      <c r="D53" s="532">
        <v>46750045</v>
      </c>
      <c r="E53" s="530" t="s">
        <v>169</v>
      </c>
      <c r="F53" s="532">
        <v>3143</v>
      </c>
      <c r="G53" s="533" t="s">
        <v>635</v>
      </c>
      <c r="H53" s="574" t="s">
        <v>283</v>
      </c>
      <c r="I53" s="575">
        <f t="shared" ref="I53:I55" si="110">SUM(J53:M53)</f>
        <v>4423912</v>
      </c>
      <c r="J53" s="496">
        <v>3257667</v>
      </c>
      <c r="K53" s="131">
        <v>1101092</v>
      </c>
      <c r="L53" s="131">
        <f t="shared" si="103"/>
        <v>65153</v>
      </c>
      <c r="M53" s="496">
        <v>0</v>
      </c>
      <c r="N53" s="576">
        <f t="shared" si="104"/>
        <v>6.5713999999999997</v>
      </c>
      <c r="O53" s="577">
        <v>6.5713999999999997</v>
      </c>
      <c r="P53" s="607">
        <v>0</v>
      </c>
      <c r="Q53" s="579">
        <f t="shared" si="105"/>
        <v>-32000</v>
      </c>
      <c r="R53" s="498">
        <v>0</v>
      </c>
      <c r="S53" s="498">
        <v>0</v>
      </c>
      <c r="T53" s="498">
        <v>0</v>
      </c>
      <c r="U53" s="498">
        <f t="shared" si="4"/>
        <v>-32000</v>
      </c>
      <c r="V53" s="498">
        <v>32000</v>
      </c>
      <c r="W53" s="498">
        <v>0</v>
      </c>
      <c r="X53" s="498">
        <v>0</v>
      </c>
      <c r="Y53" s="498">
        <f t="shared" si="5"/>
        <v>32000</v>
      </c>
      <c r="Z53" s="498">
        <f t="shared" si="6"/>
        <v>0</v>
      </c>
      <c r="AA53" s="131">
        <f t="shared" si="106"/>
        <v>0</v>
      </c>
      <c r="AB53" s="131">
        <f t="shared" si="7"/>
        <v>-640</v>
      </c>
      <c r="AC53" s="498">
        <v>0</v>
      </c>
      <c r="AD53" s="498">
        <v>0</v>
      </c>
      <c r="AE53" s="498">
        <f t="shared" si="8"/>
        <v>0</v>
      </c>
      <c r="AF53" s="498">
        <f t="shared" si="9"/>
        <v>-640</v>
      </c>
      <c r="AG53" s="499">
        <v>0</v>
      </c>
      <c r="AH53" s="499">
        <v>0</v>
      </c>
      <c r="AI53" s="499">
        <v>0</v>
      </c>
      <c r="AJ53" s="499">
        <v>0</v>
      </c>
      <c r="AK53" s="499">
        <v>0</v>
      </c>
      <c r="AL53" s="499">
        <f t="shared" si="10"/>
        <v>0</v>
      </c>
      <c r="AM53" s="499">
        <f t="shared" si="11"/>
        <v>0</v>
      </c>
      <c r="AN53" s="500">
        <f t="shared" si="12"/>
        <v>0</v>
      </c>
      <c r="AO53" s="497">
        <f>I53+AF53</f>
        <v>4423272</v>
      </c>
      <c r="AP53" s="498">
        <f>J53+U53</f>
        <v>3225667</v>
      </c>
      <c r="AQ53" s="498">
        <f t="shared" si="107"/>
        <v>32000</v>
      </c>
      <c r="AR53" s="498">
        <f t="shared" si="108"/>
        <v>1101092</v>
      </c>
      <c r="AS53" s="498">
        <f t="shared" si="108"/>
        <v>64513</v>
      </c>
      <c r="AT53" s="498">
        <f>M53+AE53</f>
        <v>0</v>
      </c>
      <c r="AU53" s="499">
        <f>N53+AN53</f>
        <v>6.5713999999999997</v>
      </c>
      <c r="AV53" s="499">
        <f t="shared" si="109"/>
        <v>6.5713999999999997</v>
      </c>
      <c r="AW53" s="500">
        <f t="shared" si="109"/>
        <v>0</v>
      </c>
    </row>
    <row r="54" spans="1:49" s="569" customFormat="1" x14ac:dyDescent="0.2">
      <c r="A54" s="531">
        <v>11</v>
      </c>
      <c r="B54" s="532">
        <v>4443</v>
      </c>
      <c r="C54" s="532">
        <v>600074994</v>
      </c>
      <c r="D54" s="532">
        <v>46750045</v>
      </c>
      <c r="E54" s="530" t="s">
        <v>169</v>
      </c>
      <c r="F54" s="532">
        <v>3143</v>
      </c>
      <c r="G54" s="533" t="s">
        <v>636</v>
      </c>
      <c r="H54" s="574" t="s">
        <v>284</v>
      </c>
      <c r="I54" s="575">
        <f t="shared" si="110"/>
        <v>150976</v>
      </c>
      <c r="J54" s="496">
        <v>106425</v>
      </c>
      <c r="K54" s="131">
        <f t="shared" ref="K54:K55" si="111">ROUND((J54)*33.8%,0)</f>
        <v>35972</v>
      </c>
      <c r="L54" s="131">
        <f t="shared" si="103"/>
        <v>2129</v>
      </c>
      <c r="M54" s="496">
        <v>6450</v>
      </c>
      <c r="N54" s="576">
        <f t="shared" si="104"/>
        <v>0.45</v>
      </c>
      <c r="O54" s="577">
        <v>0</v>
      </c>
      <c r="P54" s="607">
        <v>0.45</v>
      </c>
      <c r="Q54" s="579">
        <f t="shared" si="105"/>
        <v>0</v>
      </c>
      <c r="R54" s="498">
        <v>0</v>
      </c>
      <c r="S54" s="498">
        <v>0</v>
      </c>
      <c r="T54" s="498">
        <v>0</v>
      </c>
      <c r="U54" s="498">
        <f t="shared" si="4"/>
        <v>0</v>
      </c>
      <c r="V54" s="498">
        <v>0</v>
      </c>
      <c r="W54" s="498">
        <v>0</v>
      </c>
      <c r="X54" s="498">
        <v>0</v>
      </c>
      <c r="Y54" s="498">
        <f t="shared" si="5"/>
        <v>0</v>
      </c>
      <c r="Z54" s="498">
        <f t="shared" si="6"/>
        <v>0</v>
      </c>
      <c r="AA54" s="131">
        <f t="shared" si="106"/>
        <v>0</v>
      </c>
      <c r="AB54" s="131">
        <f t="shared" si="7"/>
        <v>0</v>
      </c>
      <c r="AC54" s="498">
        <v>0</v>
      </c>
      <c r="AD54" s="498">
        <v>0</v>
      </c>
      <c r="AE54" s="498">
        <f t="shared" si="8"/>
        <v>0</v>
      </c>
      <c r="AF54" s="498">
        <f t="shared" si="9"/>
        <v>0</v>
      </c>
      <c r="AG54" s="499">
        <v>0</v>
      </c>
      <c r="AH54" s="499">
        <v>0</v>
      </c>
      <c r="AI54" s="499">
        <v>0</v>
      </c>
      <c r="AJ54" s="499">
        <v>0</v>
      </c>
      <c r="AK54" s="499">
        <v>0</v>
      </c>
      <c r="AL54" s="499">
        <f t="shared" si="10"/>
        <v>0</v>
      </c>
      <c r="AM54" s="499">
        <f t="shared" si="11"/>
        <v>0</v>
      </c>
      <c r="AN54" s="500">
        <f t="shared" si="12"/>
        <v>0</v>
      </c>
      <c r="AO54" s="497">
        <f>I54+AF54</f>
        <v>150976</v>
      </c>
      <c r="AP54" s="498">
        <f>J54+U54</f>
        <v>106425</v>
      </c>
      <c r="AQ54" s="498">
        <f t="shared" si="107"/>
        <v>0</v>
      </c>
      <c r="AR54" s="498">
        <f t="shared" si="108"/>
        <v>35972</v>
      </c>
      <c r="AS54" s="498">
        <f t="shared" si="108"/>
        <v>2129</v>
      </c>
      <c r="AT54" s="498">
        <f>M54+AE54</f>
        <v>6450</v>
      </c>
      <c r="AU54" s="499">
        <f>N54+AN54</f>
        <v>0.45</v>
      </c>
      <c r="AV54" s="499">
        <f t="shared" si="109"/>
        <v>0</v>
      </c>
      <c r="AW54" s="500">
        <f t="shared" si="109"/>
        <v>0.45</v>
      </c>
    </row>
    <row r="55" spans="1:49" s="569" customFormat="1" x14ac:dyDescent="0.2">
      <c r="A55" s="531">
        <v>11</v>
      </c>
      <c r="B55" s="532">
        <v>4443</v>
      </c>
      <c r="C55" s="532">
        <v>600074994</v>
      </c>
      <c r="D55" s="532">
        <v>46750045</v>
      </c>
      <c r="E55" s="530" t="s">
        <v>169</v>
      </c>
      <c r="F55" s="532">
        <v>3143</v>
      </c>
      <c r="G55" s="533" t="s">
        <v>323</v>
      </c>
      <c r="H55" s="574" t="s">
        <v>284</v>
      </c>
      <c r="I55" s="575">
        <f t="shared" si="110"/>
        <v>340468</v>
      </c>
      <c r="J55" s="496">
        <v>250050</v>
      </c>
      <c r="K55" s="131">
        <f t="shared" si="111"/>
        <v>84517</v>
      </c>
      <c r="L55" s="131">
        <f t="shared" si="103"/>
        <v>5001</v>
      </c>
      <c r="M55" s="496">
        <v>900</v>
      </c>
      <c r="N55" s="576">
        <f t="shared" si="104"/>
        <v>0.56000000000000005</v>
      </c>
      <c r="O55" s="577">
        <v>0.5</v>
      </c>
      <c r="P55" s="607">
        <v>0.06</v>
      </c>
      <c r="Q55" s="579">
        <f t="shared" si="105"/>
        <v>0</v>
      </c>
      <c r="R55" s="498">
        <v>0</v>
      </c>
      <c r="S55" s="498">
        <v>0</v>
      </c>
      <c r="T55" s="498">
        <v>0</v>
      </c>
      <c r="U55" s="498">
        <f t="shared" si="4"/>
        <v>0</v>
      </c>
      <c r="V55" s="498">
        <v>0</v>
      </c>
      <c r="W55" s="498">
        <v>0</v>
      </c>
      <c r="X55" s="498">
        <v>0</v>
      </c>
      <c r="Y55" s="498">
        <f t="shared" si="5"/>
        <v>0</v>
      </c>
      <c r="Z55" s="498">
        <f t="shared" si="6"/>
        <v>0</v>
      </c>
      <c r="AA55" s="131">
        <f t="shared" si="106"/>
        <v>0</v>
      </c>
      <c r="AB55" s="131">
        <f t="shared" si="7"/>
        <v>0</v>
      </c>
      <c r="AC55" s="498">
        <v>0</v>
      </c>
      <c r="AD55" s="498">
        <v>0</v>
      </c>
      <c r="AE55" s="498">
        <f t="shared" si="8"/>
        <v>0</v>
      </c>
      <c r="AF55" s="498">
        <f t="shared" si="9"/>
        <v>0</v>
      </c>
      <c r="AG55" s="499">
        <v>0</v>
      </c>
      <c r="AH55" s="499">
        <v>0</v>
      </c>
      <c r="AI55" s="499">
        <v>0</v>
      </c>
      <c r="AJ55" s="499">
        <v>0</v>
      </c>
      <c r="AK55" s="499">
        <v>0</v>
      </c>
      <c r="AL55" s="499">
        <f t="shared" si="10"/>
        <v>0</v>
      </c>
      <c r="AM55" s="499">
        <f t="shared" si="11"/>
        <v>0</v>
      </c>
      <c r="AN55" s="500">
        <f t="shared" si="12"/>
        <v>0</v>
      </c>
      <c r="AO55" s="497">
        <f>I55+AF55</f>
        <v>340468</v>
      </c>
      <c r="AP55" s="498">
        <f>J55+U55</f>
        <v>250050</v>
      </c>
      <c r="AQ55" s="498">
        <f t="shared" si="107"/>
        <v>0</v>
      </c>
      <c r="AR55" s="498">
        <f t="shared" si="108"/>
        <v>84517</v>
      </c>
      <c r="AS55" s="498">
        <f t="shared" si="108"/>
        <v>5001</v>
      </c>
      <c r="AT55" s="498">
        <f>M55+AE55</f>
        <v>900</v>
      </c>
      <c r="AU55" s="499">
        <f>N55+AN55</f>
        <v>0.56000000000000005</v>
      </c>
      <c r="AV55" s="499">
        <f t="shared" si="109"/>
        <v>0.5</v>
      </c>
      <c r="AW55" s="500">
        <f t="shared" si="109"/>
        <v>0.06</v>
      </c>
    </row>
    <row r="56" spans="1:49" s="569" customFormat="1" x14ac:dyDescent="0.2">
      <c r="A56" s="302">
        <v>11</v>
      </c>
      <c r="B56" s="32">
        <v>4443</v>
      </c>
      <c r="C56" s="32">
        <v>600074994</v>
      </c>
      <c r="D56" s="32">
        <v>46750045</v>
      </c>
      <c r="E56" s="311" t="s">
        <v>170</v>
      </c>
      <c r="F56" s="32"/>
      <c r="G56" s="301"/>
      <c r="H56" s="454"/>
      <c r="I56" s="5">
        <f t="shared" ref="I56:P56" si="112">SUM(I51:I55)</f>
        <v>54520088</v>
      </c>
      <c r="J56" s="8">
        <f t="shared" si="112"/>
        <v>39250226</v>
      </c>
      <c r="K56" s="8">
        <f t="shared" si="112"/>
        <v>13266577</v>
      </c>
      <c r="L56" s="8">
        <f t="shared" si="112"/>
        <v>785005</v>
      </c>
      <c r="M56" s="8">
        <f t="shared" si="112"/>
        <v>1218280</v>
      </c>
      <c r="N56" s="9">
        <f t="shared" si="112"/>
        <v>73.026200000000003</v>
      </c>
      <c r="O56" s="9">
        <f t="shared" si="112"/>
        <v>57.801199999999994</v>
      </c>
      <c r="P56" s="39">
        <f t="shared" si="112"/>
        <v>15.225</v>
      </c>
      <c r="Q56" s="5">
        <f t="shared" ref="Q56:AW56" si="113">SUM(Q51:Q55)</f>
        <v>-162400</v>
      </c>
      <c r="R56" s="8">
        <f t="shared" si="113"/>
        <v>5160088</v>
      </c>
      <c r="S56" s="8">
        <f t="shared" si="113"/>
        <v>0</v>
      </c>
      <c r="T56" s="8">
        <f t="shared" si="113"/>
        <v>171300</v>
      </c>
      <c r="U56" s="8">
        <f t="shared" si="113"/>
        <v>5168988</v>
      </c>
      <c r="V56" s="8">
        <f t="shared" si="113"/>
        <v>162400</v>
      </c>
      <c r="W56" s="8">
        <f t="shared" si="113"/>
        <v>0</v>
      </c>
      <c r="X56" s="8">
        <f t="shared" si="113"/>
        <v>0</v>
      </c>
      <c r="Y56" s="8">
        <f t="shared" si="113"/>
        <v>162400</v>
      </c>
      <c r="Z56" s="8">
        <f t="shared" si="113"/>
        <v>5331388</v>
      </c>
      <c r="AA56" s="8">
        <f t="shared" si="113"/>
        <v>1802009</v>
      </c>
      <c r="AB56" s="8">
        <f t="shared" si="113"/>
        <v>103380</v>
      </c>
      <c r="AC56" s="8">
        <f t="shared" si="113"/>
        <v>5000</v>
      </c>
      <c r="AD56" s="8">
        <f t="shared" si="113"/>
        <v>0</v>
      </c>
      <c r="AE56" s="8">
        <f t="shared" si="113"/>
        <v>5000</v>
      </c>
      <c r="AF56" s="8">
        <f t="shared" si="113"/>
        <v>7241777</v>
      </c>
      <c r="AG56" s="9">
        <f t="shared" si="113"/>
        <v>-0.18</v>
      </c>
      <c r="AH56" s="9">
        <f t="shared" si="113"/>
        <v>-0.04</v>
      </c>
      <c r="AI56" s="9">
        <f t="shared" si="113"/>
        <v>15.03</v>
      </c>
      <c r="AJ56" s="9">
        <f t="shared" si="113"/>
        <v>0.28999999999999998</v>
      </c>
      <c r="AK56" s="9">
        <f t="shared" si="113"/>
        <v>0</v>
      </c>
      <c r="AL56" s="9">
        <f t="shared" si="113"/>
        <v>15.139999999999999</v>
      </c>
      <c r="AM56" s="9">
        <f t="shared" si="113"/>
        <v>-0.04</v>
      </c>
      <c r="AN56" s="92">
        <f t="shared" si="113"/>
        <v>15.1</v>
      </c>
      <c r="AO56" s="295">
        <f t="shared" si="113"/>
        <v>61761865</v>
      </c>
      <c r="AP56" s="8">
        <f t="shared" si="113"/>
        <v>44419214</v>
      </c>
      <c r="AQ56" s="8">
        <f t="shared" si="113"/>
        <v>162400</v>
      </c>
      <c r="AR56" s="8">
        <f t="shared" si="113"/>
        <v>15068586</v>
      </c>
      <c r="AS56" s="8">
        <f t="shared" si="113"/>
        <v>888385</v>
      </c>
      <c r="AT56" s="8">
        <f t="shared" si="113"/>
        <v>1223280</v>
      </c>
      <c r="AU56" s="9">
        <f t="shared" si="113"/>
        <v>88.126199999999997</v>
      </c>
      <c r="AV56" s="9">
        <f t="shared" si="113"/>
        <v>72.941199999999995</v>
      </c>
      <c r="AW56" s="92">
        <f t="shared" si="113"/>
        <v>15.185</v>
      </c>
    </row>
    <row r="57" spans="1:49" s="569" customFormat="1" x14ac:dyDescent="0.2">
      <c r="A57" s="531">
        <v>12</v>
      </c>
      <c r="B57" s="532">
        <v>4438</v>
      </c>
      <c r="C57" s="532">
        <v>600074871</v>
      </c>
      <c r="D57" s="532">
        <v>49864599</v>
      </c>
      <c r="E57" s="530" t="s">
        <v>171</v>
      </c>
      <c r="F57" s="532">
        <v>3113</v>
      </c>
      <c r="G57" s="533" t="s">
        <v>320</v>
      </c>
      <c r="H57" s="534" t="s">
        <v>283</v>
      </c>
      <c r="I57" s="575">
        <f t="shared" ref="I57:I62" si="114">SUM(J57:M57)</f>
        <v>35445743</v>
      </c>
      <c r="J57" s="496">
        <v>25496939</v>
      </c>
      <c r="K57" s="131">
        <f t="shared" ref="K57:K58" si="115">ROUND((J57)*33.8%,0)</f>
        <v>8617965</v>
      </c>
      <c r="L57" s="131">
        <f t="shared" ref="L57:L58" si="116">ROUND(J57*2%,0)</f>
        <v>509939</v>
      </c>
      <c r="M57" s="496">
        <v>820900</v>
      </c>
      <c r="N57" s="576">
        <f t="shared" ref="N57:N62" si="117">SUM(O57:P57)</f>
        <v>47.439</v>
      </c>
      <c r="O57" s="577">
        <v>36.863199999999999</v>
      </c>
      <c r="P57" s="607">
        <v>10.575800000000001</v>
      </c>
      <c r="Q57" s="579">
        <f t="shared" ref="Q57:Q62" si="118">V57*-1</f>
        <v>-128000</v>
      </c>
      <c r="R57" s="498">
        <v>0</v>
      </c>
      <c r="S57" s="498">
        <v>0</v>
      </c>
      <c r="T57" s="498">
        <v>137040</v>
      </c>
      <c r="U57" s="498">
        <f t="shared" si="4"/>
        <v>9040</v>
      </c>
      <c r="V57" s="498">
        <v>128000</v>
      </c>
      <c r="W57" s="498">
        <v>0</v>
      </c>
      <c r="X57" s="498">
        <v>0</v>
      </c>
      <c r="Y57" s="498">
        <f t="shared" si="5"/>
        <v>128000</v>
      </c>
      <c r="Z57" s="498">
        <f t="shared" si="6"/>
        <v>137040</v>
      </c>
      <c r="AA57" s="131">
        <f t="shared" ref="AA57:AA62" si="119">ROUND((U57+V57+W57)*33.8%,0)</f>
        <v>46320</v>
      </c>
      <c r="AB57" s="131">
        <f t="shared" si="7"/>
        <v>181</v>
      </c>
      <c r="AC57" s="498">
        <v>0</v>
      </c>
      <c r="AD57" s="498">
        <v>0</v>
      </c>
      <c r="AE57" s="498">
        <f t="shared" si="8"/>
        <v>0</v>
      </c>
      <c r="AF57" s="498">
        <f t="shared" si="9"/>
        <v>183541</v>
      </c>
      <c r="AG57" s="499">
        <v>-0.16</v>
      </c>
      <c r="AH57" s="499">
        <v>-0.08</v>
      </c>
      <c r="AI57" s="499">
        <v>0</v>
      </c>
      <c r="AJ57" s="499">
        <v>0.23</v>
      </c>
      <c r="AK57" s="499">
        <v>0</v>
      </c>
      <c r="AL57" s="499">
        <f t="shared" si="10"/>
        <v>7.0000000000000007E-2</v>
      </c>
      <c r="AM57" s="499">
        <f t="shared" si="11"/>
        <v>-0.08</v>
      </c>
      <c r="AN57" s="500">
        <f t="shared" si="12"/>
        <v>-9.999999999999995E-3</v>
      </c>
      <c r="AO57" s="497">
        <f t="shared" ref="AO57:AO62" si="120">I57+AF57</f>
        <v>35629284</v>
      </c>
      <c r="AP57" s="498">
        <f t="shared" ref="AP57:AP62" si="121">J57+U57</f>
        <v>25505979</v>
      </c>
      <c r="AQ57" s="498">
        <f t="shared" ref="AQ57:AQ62" si="122">Y57</f>
        <v>128000</v>
      </c>
      <c r="AR57" s="498">
        <f t="shared" ref="AR57:AS62" si="123">K57+AA57</f>
        <v>8664285</v>
      </c>
      <c r="AS57" s="498">
        <f t="shared" si="123"/>
        <v>510120</v>
      </c>
      <c r="AT57" s="498">
        <f t="shared" ref="AT57:AT62" si="124">M57+AE57</f>
        <v>820900</v>
      </c>
      <c r="AU57" s="499">
        <f t="shared" ref="AU57:AU62" si="125">N57+AN57</f>
        <v>47.429000000000002</v>
      </c>
      <c r="AV57" s="499">
        <f t="shared" ref="AV57:AW62" si="126">O57+AL57</f>
        <v>36.933199999999999</v>
      </c>
      <c r="AW57" s="500">
        <f t="shared" si="126"/>
        <v>10.495800000000001</v>
      </c>
    </row>
    <row r="58" spans="1:49" s="569" customFormat="1" x14ac:dyDescent="0.2">
      <c r="A58" s="531">
        <v>12</v>
      </c>
      <c r="B58" s="532">
        <v>4438</v>
      </c>
      <c r="C58" s="532">
        <v>600074871</v>
      </c>
      <c r="D58" s="532">
        <v>49864599</v>
      </c>
      <c r="E58" s="530" t="s">
        <v>171</v>
      </c>
      <c r="F58" s="532">
        <v>3113</v>
      </c>
      <c r="G58" s="533" t="s">
        <v>318</v>
      </c>
      <c r="H58" s="534" t="s">
        <v>284</v>
      </c>
      <c r="I58" s="575">
        <f t="shared" si="114"/>
        <v>0</v>
      </c>
      <c r="J58" s="496">
        <v>0</v>
      </c>
      <c r="K58" s="131">
        <f t="shared" si="115"/>
        <v>0</v>
      </c>
      <c r="L58" s="131">
        <f t="shared" si="116"/>
        <v>0</v>
      </c>
      <c r="M58" s="496">
        <v>0</v>
      </c>
      <c r="N58" s="576">
        <f t="shared" si="117"/>
        <v>0</v>
      </c>
      <c r="O58" s="577">
        <v>0</v>
      </c>
      <c r="P58" s="607">
        <v>0</v>
      </c>
      <c r="Q58" s="579">
        <f t="shared" si="118"/>
        <v>0</v>
      </c>
      <c r="R58" s="496">
        <f>2896859+216528-144352</f>
        <v>2969035</v>
      </c>
      <c r="S58" s="498">
        <v>0</v>
      </c>
      <c r="T58" s="498">
        <v>0</v>
      </c>
      <c r="U58" s="498">
        <f t="shared" si="4"/>
        <v>2969035</v>
      </c>
      <c r="V58" s="498">
        <v>0</v>
      </c>
      <c r="W58" s="498">
        <v>0</v>
      </c>
      <c r="X58" s="498">
        <v>0</v>
      </c>
      <c r="Y58" s="498">
        <f t="shared" si="5"/>
        <v>0</v>
      </c>
      <c r="Z58" s="498">
        <f t="shared" si="6"/>
        <v>2969035</v>
      </c>
      <c r="AA58" s="131">
        <f t="shared" si="119"/>
        <v>1003534</v>
      </c>
      <c r="AB58" s="131">
        <f t="shared" si="7"/>
        <v>59381</v>
      </c>
      <c r="AC58" s="498">
        <f>1000+5000</f>
        <v>6000</v>
      </c>
      <c r="AD58" s="498">
        <v>0</v>
      </c>
      <c r="AE58" s="498">
        <f t="shared" si="8"/>
        <v>6000</v>
      </c>
      <c r="AF58" s="498">
        <f t="shared" si="9"/>
        <v>4037950</v>
      </c>
      <c r="AG58" s="499">
        <v>0</v>
      </c>
      <c r="AH58" s="499">
        <v>0</v>
      </c>
      <c r="AI58" s="499">
        <f>8.28+0.63-0.42</f>
        <v>8.49</v>
      </c>
      <c r="AJ58" s="499">
        <v>0</v>
      </c>
      <c r="AK58" s="499">
        <v>0</v>
      </c>
      <c r="AL58" s="499">
        <f t="shared" si="10"/>
        <v>8.49</v>
      </c>
      <c r="AM58" s="499">
        <f t="shared" si="11"/>
        <v>0</v>
      </c>
      <c r="AN58" s="500">
        <f t="shared" si="12"/>
        <v>8.49</v>
      </c>
      <c r="AO58" s="497">
        <f t="shared" si="120"/>
        <v>4037950</v>
      </c>
      <c r="AP58" s="498">
        <f t="shared" si="121"/>
        <v>2969035</v>
      </c>
      <c r="AQ58" s="498">
        <f t="shared" si="122"/>
        <v>0</v>
      </c>
      <c r="AR58" s="498">
        <f t="shared" si="123"/>
        <v>1003534</v>
      </c>
      <c r="AS58" s="498">
        <f t="shared" si="123"/>
        <v>59381</v>
      </c>
      <c r="AT58" s="498">
        <f t="shared" si="124"/>
        <v>6000</v>
      </c>
      <c r="AU58" s="499">
        <f t="shared" si="125"/>
        <v>8.49</v>
      </c>
      <c r="AV58" s="499">
        <f t="shared" si="126"/>
        <v>8.49</v>
      </c>
      <c r="AW58" s="500">
        <f t="shared" si="126"/>
        <v>0</v>
      </c>
    </row>
    <row r="59" spans="1:49" s="569" customFormat="1" x14ac:dyDescent="0.2">
      <c r="A59" s="531">
        <v>12</v>
      </c>
      <c r="B59" s="532">
        <v>4438</v>
      </c>
      <c r="C59" s="532">
        <v>600074871</v>
      </c>
      <c r="D59" s="532">
        <v>49864599</v>
      </c>
      <c r="E59" s="530" t="s">
        <v>171</v>
      </c>
      <c r="F59" s="532">
        <v>3141</v>
      </c>
      <c r="G59" s="533" t="s">
        <v>321</v>
      </c>
      <c r="H59" s="534" t="s">
        <v>284</v>
      </c>
      <c r="I59" s="575">
        <f t="shared" si="114"/>
        <v>2857324</v>
      </c>
      <c r="J59" s="496">
        <v>2085389</v>
      </c>
      <c r="K59" s="131">
        <f>ROUND((J59)*33.8%,0)</f>
        <v>704861</v>
      </c>
      <c r="L59" s="131">
        <f>ROUND(J59*2%,0)</f>
        <v>41708</v>
      </c>
      <c r="M59" s="496">
        <v>25366</v>
      </c>
      <c r="N59" s="576">
        <f t="shared" si="117"/>
        <v>7.09</v>
      </c>
      <c r="O59" s="577">
        <v>0</v>
      </c>
      <c r="P59" s="607">
        <v>7.09</v>
      </c>
      <c r="Q59" s="579">
        <f t="shared" si="118"/>
        <v>-16000</v>
      </c>
      <c r="R59" s="498">
        <v>0</v>
      </c>
      <c r="S59" s="498">
        <v>0</v>
      </c>
      <c r="T59" s="498">
        <v>0</v>
      </c>
      <c r="U59" s="498">
        <f t="shared" si="4"/>
        <v>-16000</v>
      </c>
      <c r="V59" s="498">
        <v>16000</v>
      </c>
      <c r="W59" s="498">
        <v>0</v>
      </c>
      <c r="X59" s="498">
        <v>0</v>
      </c>
      <c r="Y59" s="498">
        <f t="shared" si="5"/>
        <v>16000</v>
      </c>
      <c r="Z59" s="498">
        <f t="shared" si="6"/>
        <v>0</v>
      </c>
      <c r="AA59" s="131">
        <f t="shared" si="119"/>
        <v>0</v>
      </c>
      <c r="AB59" s="131">
        <f t="shared" si="7"/>
        <v>-320</v>
      </c>
      <c r="AC59" s="498">
        <v>0</v>
      </c>
      <c r="AD59" s="498">
        <v>0</v>
      </c>
      <c r="AE59" s="498">
        <f t="shared" si="8"/>
        <v>0</v>
      </c>
      <c r="AF59" s="498">
        <f t="shared" si="9"/>
        <v>-320</v>
      </c>
      <c r="AG59" s="499">
        <v>0</v>
      </c>
      <c r="AH59" s="499">
        <v>0</v>
      </c>
      <c r="AI59" s="499">
        <v>0</v>
      </c>
      <c r="AJ59" s="499">
        <v>0</v>
      </c>
      <c r="AK59" s="499">
        <v>0</v>
      </c>
      <c r="AL59" s="499">
        <f t="shared" si="10"/>
        <v>0</v>
      </c>
      <c r="AM59" s="499">
        <f t="shared" si="11"/>
        <v>0</v>
      </c>
      <c r="AN59" s="500">
        <f t="shared" si="12"/>
        <v>0</v>
      </c>
      <c r="AO59" s="497">
        <f t="shared" si="120"/>
        <v>2857004</v>
      </c>
      <c r="AP59" s="498">
        <f t="shared" si="121"/>
        <v>2069389</v>
      </c>
      <c r="AQ59" s="498">
        <f t="shared" si="122"/>
        <v>16000</v>
      </c>
      <c r="AR59" s="498">
        <f t="shared" si="123"/>
        <v>704861</v>
      </c>
      <c r="AS59" s="498">
        <f t="shared" si="123"/>
        <v>41388</v>
      </c>
      <c r="AT59" s="498">
        <f t="shared" si="124"/>
        <v>25366</v>
      </c>
      <c r="AU59" s="499">
        <f t="shared" si="125"/>
        <v>7.09</v>
      </c>
      <c r="AV59" s="499">
        <f t="shared" si="126"/>
        <v>0</v>
      </c>
      <c r="AW59" s="500">
        <f t="shared" si="126"/>
        <v>7.09</v>
      </c>
    </row>
    <row r="60" spans="1:49" s="569" customFormat="1" x14ac:dyDescent="0.2">
      <c r="A60" s="531">
        <v>12</v>
      </c>
      <c r="B60" s="532">
        <v>4438</v>
      </c>
      <c r="C60" s="532">
        <v>600074871</v>
      </c>
      <c r="D60" s="532">
        <v>49864599</v>
      </c>
      <c r="E60" s="530" t="s">
        <v>171</v>
      </c>
      <c r="F60" s="532">
        <v>3143</v>
      </c>
      <c r="G60" s="533" t="s">
        <v>635</v>
      </c>
      <c r="H60" s="574" t="s">
        <v>283</v>
      </c>
      <c r="I60" s="575">
        <f t="shared" si="114"/>
        <v>2391211</v>
      </c>
      <c r="J60" s="496">
        <v>1760833</v>
      </c>
      <c r="K60" s="131">
        <f t="shared" ref="K60:K62" si="127">ROUND((J60)*33.8%,0)</f>
        <v>595162</v>
      </c>
      <c r="L60" s="131">
        <v>35216</v>
      </c>
      <c r="M60" s="496">
        <v>0</v>
      </c>
      <c r="N60" s="576">
        <f t="shared" si="117"/>
        <v>3.8273999999999999</v>
      </c>
      <c r="O60" s="577">
        <v>3.8273999999999999</v>
      </c>
      <c r="P60" s="607">
        <v>0</v>
      </c>
      <c r="Q60" s="579">
        <f t="shared" si="118"/>
        <v>-16000</v>
      </c>
      <c r="R60" s="498">
        <v>0</v>
      </c>
      <c r="S60" s="498">
        <v>0</v>
      </c>
      <c r="T60" s="498">
        <v>0</v>
      </c>
      <c r="U60" s="498">
        <f t="shared" si="4"/>
        <v>-16000</v>
      </c>
      <c r="V60" s="498">
        <v>16000</v>
      </c>
      <c r="W60" s="498">
        <v>0</v>
      </c>
      <c r="X60" s="498">
        <v>0</v>
      </c>
      <c r="Y60" s="498">
        <f t="shared" si="5"/>
        <v>16000</v>
      </c>
      <c r="Z60" s="498">
        <f t="shared" si="6"/>
        <v>0</v>
      </c>
      <c r="AA60" s="131">
        <f t="shared" si="119"/>
        <v>0</v>
      </c>
      <c r="AB60" s="131">
        <f t="shared" si="7"/>
        <v>-320</v>
      </c>
      <c r="AC60" s="498">
        <v>0</v>
      </c>
      <c r="AD60" s="498">
        <v>0</v>
      </c>
      <c r="AE60" s="498">
        <f t="shared" si="8"/>
        <v>0</v>
      </c>
      <c r="AF60" s="498">
        <f t="shared" si="9"/>
        <v>-320</v>
      </c>
      <c r="AG60" s="499">
        <v>0</v>
      </c>
      <c r="AH60" s="499">
        <v>0</v>
      </c>
      <c r="AI60" s="499">
        <v>0</v>
      </c>
      <c r="AJ60" s="499">
        <v>0</v>
      </c>
      <c r="AK60" s="499">
        <v>0</v>
      </c>
      <c r="AL60" s="499">
        <f t="shared" si="10"/>
        <v>0</v>
      </c>
      <c r="AM60" s="499">
        <f t="shared" si="11"/>
        <v>0</v>
      </c>
      <c r="AN60" s="500">
        <f t="shared" si="12"/>
        <v>0</v>
      </c>
      <c r="AO60" s="497">
        <f t="shared" si="120"/>
        <v>2390891</v>
      </c>
      <c r="AP60" s="498">
        <f t="shared" si="121"/>
        <v>1744833</v>
      </c>
      <c r="AQ60" s="498">
        <f t="shared" si="122"/>
        <v>16000</v>
      </c>
      <c r="AR60" s="498">
        <f t="shared" si="123"/>
        <v>595162</v>
      </c>
      <c r="AS60" s="498">
        <f t="shared" si="123"/>
        <v>34896</v>
      </c>
      <c r="AT60" s="498">
        <f t="shared" si="124"/>
        <v>0</v>
      </c>
      <c r="AU60" s="499">
        <f t="shared" si="125"/>
        <v>3.8273999999999999</v>
      </c>
      <c r="AV60" s="499">
        <f t="shared" si="126"/>
        <v>3.8273999999999999</v>
      </c>
      <c r="AW60" s="500">
        <f t="shared" si="126"/>
        <v>0</v>
      </c>
    </row>
    <row r="61" spans="1:49" s="569" customFormat="1" x14ac:dyDescent="0.2">
      <c r="A61" s="531">
        <v>12</v>
      </c>
      <c r="B61" s="532">
        <v>4438</v>
      </c>
      <c r="C61" s="532">
        <v>600074871</v>
      </c>
      <c r="D61" s="532">
        <v>49864599</v>
      </c>
      <c r="E61" s="530" t="s">
        <v>171</v>
      </c>
      <c r="F61" s="532">
        <v>3143</v>
      </c>
      <c r="G61" s="533" t="s">
        <v>636</v>
      </c>
      <c r="H61" s="574" t="s">
        <v>284</v>
      </c>
      <c r="I61" s="575">
        <f t="shared" si="114"/>
        <v>80052</v>
      </c>
      <c r="J61" s="496">
        <v>56430</v>
      </c>
      <c r="K61" s="131">
        <f t="shared" si="127"/>
        <v>19073</v>
      </c>
      <c r="L61" s="131">
        <f t="shared" ref="L61:L62" si="128">ROUND(J61*2%,0)</f>
        <v>1129</v>
      </c>
      <c r="M61" s="496">
        <v>3420</v>
      </c>
      <c r="N61" s="576">
        <f t="shared" si="117"/>
        <v>0.24</v>
      </c>
      <c r="O61" s="577">
        <v>0</v>
      </c>
      <c r="P61" s="607">
        <v>0.24</v>
      </c>
      <c r="Q61" s="579">
        <f t="shared" si="118"/>
        <v>0</v>
      </c>
      <c r="R61" s="498">
        <v>0</v>
      </c>
      <c r="S61" s="498">
        <v>0</v>
      </c>
      <c r="T61" s="498">
        <v>0</v>
      </c>
      <c r="U61" s="498">
        <f t="shared" si="4"/>
        <v>0</v>
      </c>
      <c r="V61" s="498">
        <v>0</v>
      </c>
      <c r="W61" s="498">
        <v>0</v>
      </c>
      <c r="X61" s="498">
        <v>0</v>
      </c>
      <c r="Y61" s="498">
        <f t="shared" si="5"/>
        <v>0</v>
      </c>
      <c r="Z61" s="498">
        <f t="shared" si="6"/>
        <v>0</v>
      </c>
      <c r="AA61" s="131">
        <f t="shared" si="119"/>
        <v>0</v>
      </c>
      <c r="AB61" s="131">
        <f t="shared" si="7"/>
        <v>0</v>
      </c>
      <c r="AC61" s="498">
        <v>0</v>
      </c>
      <c r="AD61" s="498">
        <v>0</v>
      </c>
      <c r="AE61" s="498">
        <f t="shared" si="8"/>
        <v>0</v>
      </c>
      <c r="AF61" s="498">
        <f t="shared" si="9"/>
        <v>0</v>
      </c>
      <c r="AG61" s="499">
        <v>0</v>
      </c>
      <c r="AH61" s="499">
        <v>0</v>
      </c>
      <c r="AI61" s="499">
        <v>0</v>
      </c>
      <c r="AJ61" s="499">
        <v>0</v>
      </c>
      <c r="AK61" s="499">
        <v>0</v>
      </c>
      <c r="AL61" s="499">
        <f t="shared" si="10"/>
        <v>0</v>
      </c>
      <c r="AM61" s="499">
        <f t="shared" si="11"/>
        <v>0</v>
      </c>
      <c r="AN61" s="500">
        <f t="shared" si="12"/>
        <v>0</v>
      </c>
      <c r="AO61" s="497">
        <f t="shared" si="120"/>
        <v>80052</v>
      </c>
      <c r="AP61" s="498">
        <f t="shared" si="121"/>
        <v>56430</v>
      </c>
      <c r="AQ61" s="498">
        <f t="shared" si="122"/>
        <v>0</v>
      </c>
      <c r="AR61" s="498">
        <f t="shared" si="123"/>
        <v>19073</v>
      </c>
      <c r="AS61" s="498">
        <f t="shared" si="123"/>
        <v>1129</v>
      </c>
      <c r="AT61" s="498">
        <f t="shared" si="124"/>
        <v>3420</v>
      </c>
      <c r="AU61" s="499">
        <f t="shared" si="125"/>
        <v>0.24</v>
      </c>
      <c r="AV61" s="499">
        <f t="shared" si="126"/>
        <v>0</v>
      </c>
      <c r="AW61" s="500">
        <f t="shared" si="126"/>
        <v>0.24</v>
      </c>
    </row>
    <row r="62" spans="1:49" s="569" customFormat="1" x14ac:dyDescent="0.2">
      <c r="A62" s="531">
        <v>12</v>
      </c>
      <c r="B62" s="532">
        <v>4438</v>
      </c>
      <c r="C62" s="532">
        <v>600074871</v>
      </c>
      <c r="D62" s="532">
        <v>49864599</v>
      </c>
      <c r="E62" s="530" t="s">
        <v>171</v>
      </c>
      <c r="F62" s="532">
        <v>3143</v>
      </c>
      <c r="G62" s="533" t="s">
        <v>323</v>
      </c>
      <c r="H62" s="574" t="s">
        <v>284</v>
      </c>
      <c r="I62" s="575">
        <f t="shared" si="114"/>
        <v>339766</v>
      </c>
      <c r="J62" s="496">
        <v>249555</v>
      </c>
      <c r="K62" s="131">
        <f t="shared" si="127"/>
        <v>84350</v>
      </c>
      <c r="L62" s="131">
        <f t="shared" si="128"/>
        <v>4991</v>
      </c>
      <c r="M62" s="496">
        <v>870</v>
      </c>
      <c r="N62" s="576">
        <f t="shared" si="117"/>
        <v>0.56000000000000005</v>
      </c>
      <c r="O62" s="577">
        <v>0.5</v>
      </c>
      <c r="P62" s="607">
        <v>0.06</v>
      </c>
      <c r="Q62" s="579">
        <f t="shared" si="118"/>
        <v>0</v>
      </c>
      <c r="R62" s="498">
        <v>0</v>
      </c>
      <c r="S62" s="498">
        <v>0</v>
      </c>
      <c r="T62" s="498">
        <v>0</v>
      </c>
      <c r="U62" s="498">
        <f t="shared" si="4"/>
        <v>0</v>
      </c>
      <c r="V62" s="498">
        <v>0</v>
      </c>
      <c r="W62" s="498">
        <v>0</v>
      </c>
      <c r="X62" s="498">
        <v>0</v>
      </c>
      <c r="Y62" s="498">
        <f t="shared" si="5"/>
        <v>0</v>
      </c>
      <c r="Z62" s="498">
        <f t="shared" si="6"/>
        <v>0</v>
      </c>
      <c r="AA62" s="131">
        <f t="shared" si="119"/>
        <v>0</v>
      </c>
      <c r="AB62" s="131">
        <f t="shared" si="7"/>
        <v>0</v>
      </c>
      <c r="AC62" s="498">
        <v>0</v>
      </c>
      <c r="AD62" s="498">
        <v>0</v>
      </c>
      <c r="AE62" s="498">
        <f t="shared" si="8"/>
        <v>0</v>
      </c>
      <c r="AF62" s="498">
        <f t="shared" si="9"/>
        <v>0</v>
      </c>
      <c r="AG62" s="499">
        <v>0</v>
      </c>
      <c r="AH62" s="499">
        <v>0</v>
      </c>
      <c r="AI62" s="499">
        <v>0</v>
      </c>
      <c r="AJ62" s="499">
        <v>0</v>
      </c>
      <c r="AK62" s="499">
        <v>0</v>
      </c>
      <c r="AL62" s="499">
        <f t="shared" si="10"/>
        <v>0</v>
      </c>
      <c r="AM62" s="499">
        <f t="shared" si="11"/>
        <v>0</v>
      </c>
      <c r="AN62" s="500">
        <f t="shared" si="12"/>
        <v>0</v>
      </c>
      <c r="AO62" s="497">
        <f t="shared" si="120"/>
        <v>339766</v>
      </c>
      <c r="AP62" s="498">
        <f t="shared" si="121"/>
        <v>249555</v>
      </c>
      <c r="AQ62" s="498">
        <f t="shared" si="122"/>
        <v>0</v>
      </c>
      <c r="AR62" s="498">
        <f t="shared" si="123"/>
        <v>84350</v>
      </c>
      <c r="AS62" s="498">
        <f t="shared" si="123"/>
        <v>4991</v>
      </c>
      <c r="AT62" s="498">
        <f t="shared" si="124"/>
        <v>870</v>
      </c>
      <c r="AU62" s="499">
        <f t="shared" si="125"/>
        <v>0.56000000000000005</v>
      </c>
      <c r="AV62" s="499">
        <f t="shared" si="126"/>
        <v>0.5</v>
      </c>
      <c r="AW62" s="500">
        <f t="shared" si="126"/>
        <v>0.06</v>
      </c>
    </row>
    <row r="63" spans="1:49" s="569" customFormat="1" x14ac:dyDescent="0.2">
      <c r="A63" s="302">
        <v>12</v>
      </c>
      <c r="B63" s="32">
        <v>4438</v>
      </c>
      <c r="C63" s="32">
        <v>600074871</v>
      </c>
      <c r="D63" s="32">
        <v>49864599</v>
      </c>
      <c r="E63" s="311" t="s">
        <v>172</v>
      </c>
      <c r="F63" s="32"/>
      <c r="G63" s="301"/>
      <c r="H63" s="454"/>
      <c r="I63" s="5">
        <f t="shared" ref="I63:P63" si="129">SUM(I57:I62)</f>
        <v>41114096</v>
      </c>
      <c r="J63" s="8">
        <f t="shared" si="129"/>
        <v>29649146</v>
      </c>
      <c r="K63" s="8">
        <f t="shared" si="129"/>
        <v>10021411</v>
      </c>
      <c r="L63" s="8">
        <f t="shared" si="129"/>
        <v>592983</v>
      </c>
      <c r="M63" s="8">
        <f t="shared" si="129"/>
        <v>850556</v>
      </c>
      <c r="N63" s="9">
        <f t="shared" si="129"/>
        <v>59.156399999999998</v>
      </c>
      <c r="O63" s="9">
        <f t="shared" si="129"/>
        <v>41.190599999999996</v>
      </c>
      <c r="P63" s="39">
        <f t="shared" si="129"/>
        <v>17.965799999999998</v>
      </c>
      <c r="Q63" s="5">
        <f t="shared" ref="Q63:AW63" si="130">SUM(Q57:Q62)</f>
        <v>-160000</v>
      </c>
      <c r="R63" s="8">
        <f t="shared" si="130"/>
        <v>2969035</v>
      </c>
      <c r="S63" s="8">
        <f t="shared" si="130"/>
        <v>0</v>
      </c>
      <c r="T63" s="8">
        <f t="shared" si="130"/>
        <v>137040</v>
      </c>
      <c r="U63" s="8">
        <f t="shared" si="130"/>
        <v>2946075</v>
      </c>
      <c r="V63" s="8">
        <f t="shared" si="130"/>
        <v>160000</v>
      </c>
      <c r="W63" s="8">
        <f t="shared" si="130"/>
        <v>0</v>
      </c>
      <c r="X63" s="8">
        <f t="shared" si="130"/>
        <v>0</v>
      </c>
      <c r="Y63" s="8">
        <f t="shared" si="130"/>
        <v>160000</v>
      </c>
      <c r="Z63" s="8">
        <f t="shared" si="130"/>
        <v>3106075</v>
      </c>
      <c r="AA63" s="8">
        <f t="shared" si="130"/>
        <v>1049854</v>
      </c>
      <c r="AB63" s="8">
        <f t="shared" si="130"/>
        <v>58922</v>
      </c>
      <c r="AC63" s="8">
        <f t="shared" si="130"/>
        <v>6000</v>
      </c>
      <c r="AD63" s="8">
        <f t="shared" si="130"/>
        <v>0</v>
      </c>
      <c r="AE63" s="8">
        <f t="shared" si="130"/>
        <v>6000</v>
      </c>
      <c r="AF63" s="8">
        <f t="shared" si="130"/>
        <v>4220851</v>
      </c>
      <c r="AG63" s="9">
        <f t="shared" si="130"/>
        <v>-0.16</v>
      </c>
      <c r="AH63" s="9">
        <f t="shared" si="130"/>
        <v>-0.08</v>
      </c>
      <c r="AI63" s="9">
        <f t="shared" si="130"/>
        <v>8.49</v>
      </c>
      <c r="AJ63" s="9">
        <f t="shared" si="130"/>
        <v>0.23</v>
      </c>
      <c r="AK63" s="9">
        <f t="shared" si="130"/>
        <v>0</v>
      </c>
      <c r="AL63" s="9">
        <f t="shared" si="130"/>
        <v>8.56</v>
      </c>
      <c r="AM63" s="9">
        <f t="shared" si="130"/>
        <v>-0.08</v>
      </c>
      <c r="AN63" s="92">
        <f t="shared" si="130"/>
        <v>8.48</v>
      </c>
      <c r="AO63" s="295">
        <f t="shared" si="130"/>
        <v>45334947</v>
      </c>
      <c r="AP63" s="8">
        <f t="shared" si="130"/>
        <v>32595221</v>
      </c>
      <c r="AQ63" s="8">
        <f t="shared" si="130"/>
        <v>160000</v>
      </c>
      <c r="AR63" s="8">
        <f t="shared" si="130"/>
        <v>11071265</v>
      </c>
      <c r="AS63" s="8">
        <f t="shared" si="130"/>
        <v>651905</v>
      </c>
      <c r="AT63" s="8">
        <f t="shared" si="130"/>
        <v>856556</v>
      </c>
      <c r="AU63" s="9">
        <f t="shared" si="130"/>
        <v>67.636399999999995</v>
      </c>
      <c r="AV63" s="9">
        <f t="shared" si="130"/>
        <v>49.750599999999999</v>
      </c>
      <c r="AW63" s="92">
        <f t="shared" si="130"/>
        <v>17.885799999999996</v>
      </c>
    </row>
    <row r="64" spans="1:49" s="569" customFormat="1" x14ac:dyDescent="0.2">
      <c r="A64" s="531">
        <v>13</v>
      </c>
      <c r="B64" s="532">
        <v>4455</v>
      </c>
      <c r="C64" s="532">
        <v>600074889</v>
      </c>
      <c r="D64" s="532">
        <v>49864611</v>
      </c>
      <c r="E64" s="530" t="s">
        <v>173</v>
      </c>
      <c r="F64" s="532">
        <v>3113</v>
      </c>
      <c r="G64" s="533" t="s">
        <v>320</v>
      </c>
      <c r="H64" s="534" t="s">
        <v>283</v>
      </c>
      <c r="I64" s="575">
        <f t="shared" ref="I64:I69" si="131">SUM(J64:M64)</f>
        <v>37843872</v>
      </c>
      <c r="J64" s="496">
        <v>27210384</v>
      </c>
      <c r="K64" s="131">
        <f t="shared" ref="K64:K65" si="132">ROUND((J64)*33.8%,0)</f>
        <v>9197110</v>
      </c>
      <c r="L64" s="131">
        <f t="shared" ref="L64:L65" si="133">ROUND(J64*2%,0)</f>
        <v>544208</v>
      </c>
      <c r="M64" s="496">
        <v>892170</v>
      </c>
      <c r="N64" s="576">
        <f t="shared" ref="N64:N69" si="134">SUM(O64:P64)</f>
        <v>50.2044</v>
      </c>
      <c r="O64" s="577">
        <v>39.681699999999999</v>
      </c>
      <c r="P64" s="607">
        <v>10.5227</v>
      </c>
      <c r="Q64" s="579">
        <f t="shared" ref="Q64:Q69" si="135">V64*-1</f>
        <v>-72000</v>
      </c>
      <c r="R64" s="498">
        <v>0</v>
      </c>
      <c r="S64" s="498">
        <v>0</v>
      </c>
      <c r="T64" s="498">
        <v>132472</v>
      </c>
      <c r="U64" s="498">
        <f t="shared" si="4"/>
        <v>60472</v>
      </c>
      <c r="V64" s="498">
        <v>72000</v>
      </c>
      <c r="W64" s="498">
        <v>0</v>
      </c>
      <c r="X64" s="498">
        <v>0</v>
      </c>
      <c r="Y64" s="498">
        <f t="shared" si="5"/>
        <v>72000</v>
      </c>
      <c r="Z64" s="498">
        <f t="shared" si="6"/>
        <v>132472</v>
      </c>
      <c r="AA64" s="131">
        <f t="shared" ref="AA64:AA69" si="136">ROUND((U64+V64+W64)*33.8%,0)</f>
        <v>44776</v>
      </c>
      <c r="AB64" s="131">
        <f t="shared" si="7"/>
        <v>1209</v>
      </c>
      <c r="AC64" s="498">
        <v>0</v>
      </c>
      <c r="AD64" s="498">
        <v>0</v>
      </c>
      <c r="AE64" s="498">
        <f t="shared" si="8"/>
        <v>0</v>
      </c>
      <c r="AF64" s="498">
        <f t="shared" si="9"/>
        <v>178457</v>
      </c>
      <c r="AG64" s="499">
        <v>0</v>
      </c>
      <c r="AH64" s="499">
        <v>-0.24</v>
      </c>
      <c r="AI64" s="499">
        <v>0</v>
      </c>
      <c r="AJ64" s="499">
        <v>0.22</v>
      </c>
      <c r="AK64" s="499">
        <v>0</v>
      </c>
      <c r="AL64" s="499">
        <f t="shared" si="10"/>
        <v>0.22</v>
      </c>
      <c r="AM64" s="499">
        <f t="shared" si="11"/>
        <v>-0.24</v>
      </c>
      <c r="AN64" s="500">
        <f t="shared" si="12"/>
        <v>-1.999999999999999E-2</v>
      </c>
      <c r="AO64" s="497">
        <f t="shared" ref="AO64:AO69" si="137">I64+AF64</f>
        <v>38022329</v>
      </c>
      <c r="AP64" s="498">
        <f t="shared" ref="AP64:AP69" si="138">J64+U64</f>
        <v>27270856</v>
      </c>
      <c r="AQ64" s="498">
        <f t="shared" ref="AQ64:AQ69" si="139">Y64</f>
        <v>72000</v>
      </c>
      <c r="AR64" s="498">
        <f t="shared" ref="AR64:AS69" si="140">K64+AA64</f>
        <v>9241886</v>
      </c>
      <c r="AS64" s="498">
        <f t="shared" si="140"/>
        <v>545417</v>
      </c>
      <c r="AT64" s="498">
        <f t="shared" ref="AT64:AT69" si="141">M64+AE64</f>
        <v>892170</v>
      </c>
      <c r="AU64" s="499">
        <f t="shared" ref="AU64:AU69" si="142">N64+AN64</f>
        <v>50.184399999999997</v>
      </c>
      <c r="AV64" s="499">
        <f t="shared" ref="AV64:AW69" si="143">O64+AL64</f>
        <v>39.901699999999998</v>
      </c>
      <c r="AW64" s="500">
        <f t="shared" si="143"/>
        <v>10.2827</v>
      </c>
    </row>
    <row r="65" spans="1:49" s="569" customFormat="1" x14ac:dyDescent="0.2">
      <c r="A65" s="531">
        <v>13</v>
      </c>
      <c r="B65" s="532">
        <v>4455</v>
      </c>
      <c r="C65" s="532">
        <v>600074889</v>
      </c>
      <c r="D65" s="532">
        <v>49864611</v>
      </c>
      <c r="E65" s="530" t="s">
        <v>173</v>
      </c>
      <c r="F65" s="532">
        <v>3113</v>
      </c>
      <c r="G65" s="533" t="s">
        <v>318</v>
      </c>
      <c r="H65" s="534" t="s">
        <v>284</v>
      </c>
      <c r="I65" s="575">
        <f t="shared" si="131"/>
        <v>0</v>
      </c>
      <c r="J65" s="496">
        <v>0</v>
      </c>
      <c r="K65" s="131">
        <f t="shared" si="132"/>
        <v>0</v>
      </c>
      <c r="L65" s="131">
        <f t="shared" si="133"/>
        <v>0</v>
      </c>
      <c r="M65" s="496">
        <v>0</v>
      </c>
      <c r="N65" s="576">
        <f t="shared" si="134"/>
        <v>0</v>
      </c>
      <c r="O65" s="577">
        <v>0</v>
      </c>
      <c r="P65" s="607">
        <v>0</v>
      </c>
      <c r="Q65" s="579">
        <f t="shared" si="135"/>
        <v>0</v>
      </c>
      <c r="R65" s="496">
        <f>1797651+386645+324792</f>
        <v>2509088</v>
      </c>
      <c r="S65" s="498">
        <v>0</v>
      </c>
      <c r="T65" s="498">
        <v>0</v>
      </c>
      <c r="U65" s="498">
        <f t="shared" si="4"/>
        <v>2509088</v>
      </c>
      <c r="V65" s="498">
        <v>0</v>
      </c>
      <c r="W65" s="498">
        <v>0</v>
      </c>
      <c r="X65" s="498">
        <v>0</v>
      </c>
      <c r="Y65" s="498">
        <f t="shared" si="5"/>
        <v>0</v>
      </c>
      <c r="Z65" s="498">
        <f t="shared" si="6"/>
        <v>2509088</v>
      </c>
      <c r="AA65" s="131">
        <f t="shared" si="136"/>
        <v>848072</v>
      </c>
      <c r="AB65" s="131">
        <f t="shared" si="7"/>
        <v>50182</v>
      </c>
      <c r="AC65" s="498">
        <v>0</v>
      </c>
      <c r="AD65" s="498">
        <v>0</v>
      </c>
      <c r="AE65" s="498">
        <f t="shared" si="8"/>
        <v>0</v>
      </c>
      <c r="AF65" s="498">
        <f t="shared" si="9"/>
        <v>3407342</v>
      </c>
      <c r="AG65" s="499">
        <v>0</v>
      </c>
      <c r="AH65" s="499">
        <v>0</v>
      </c>
      <c r="AI65" s="499">
        <f>5.39+1.08+0.94</f>
        <v>7.41</v>
      </c>
      <c r="AJ65" s="499">
        <v>0</v>
      </c>
      <c r="AK65" s="499">
        <v>0</v>
      </c>
      <c r="AL65" s="499">
        <f t="shared" si="10"/>
        <v>7.41</v>
      </c>
      <c r="AM65" s="499">
        <f t="shared" si="11"/>
        <v>0</v>
      </c>
      <c r="AN65" s="500">
        <f t="shared" si="12"/>
        <v>7.41</v>
      </c>
      <c r="AO65" s="497">
        <f t="shared" si="137"/>
        <v>3407342</v>
      </c>
      <c r="AP65" s="498">
        <f t="shared" si="138"/>
        <v>2509088</v>
      </c>
      <c r="AQ65" s="498">
        <f t="shared" si="139"/>
        <v>0</v>
      </c>
      <c r="AR65" s="498">
        <f t="shared" si="140"/>
        <v>848072</v>
      </c>
      <c r="AS65" s="498">
        <f t="shared" si="140"/>
        <v>50182</v>
      </c>
      <c r="AT65" s="498">
        <f t="shared" si="141"/>
        <v>0</v>
      </c>
      <c r="AU65" s="499">
        <f t="shared" si="142"/>
        <v>7.41</v>
      </c>
      <c r="AV65" s="499">
        <f t="shared" si="143"/>
        <v>7.41</v>
      </c>
      <c r="AW65" s="500">
        <f t="shared" si="143"/>
        <v>0</v>
      </c>
    </row>
    <row r="66" spans="1:49" s="569" customFormat="1" x14ac:dyDescent="0.2">
      <c r="A66" s="531">
        <v>13</v>
      </c>
      <c r="B66" s="532">
        <v>4455</v>
      </c>
      <c r="C66" s="532">
        <v>600074889</v>
      </c>
      <c r="D66" s="532">
        <v>49864611</v>
      </c>
      <c r="E66" s="530" t="s">
        <v>173</v>
      </c>
      <c r="F66" s="532">
        <v>3141</v>
      </c>
      <c r="G66" s="533" t="s">
        <v>321</v>
      </c>
      <c r="H66" s="534" t="s">
        <v>284</v>
      </c>
      <c r="I66" s="575">
        <f t="shared" si="131"/>
        <v>2955972</v>
      </c>
      <c r="J66" s="496">
        <v>2156972</v>
      </c>
      <c r="K66" s="131">
        <f>ROUND((J66)*33.8%,0)</f>
        <v>729057</v>
      </c>
      <c r="L66" s="131">
        <f>ROUND(J66*2%,0)</f>
        <v>43139</v>
      </c>
      <c r="M66" s="496">
        <v>26804</v>
      </c>
      <c r="N66" s="576">
        <f t="shared" si="134"/>
        <v>7.34</v>
      </c>
      <c r="O66" s="577">
        <v>0</v>
      </c>
      <c r="P66" s="607">
        <v>7.34</v>
      </c>
      <c r="Q66" s="579">
        <f t="shared" si="135"/>
        <v>0</v>
      </c>
      <c r="R66" s="498">
        <v>0</v>
      </c>
      <c r="S66" s="498">
        <v>0</v>
      </c>
      <c r="T66" s="498">
        <v>0</v>
      </c>
      <c r="U66" s="498">
        <f t="shared" si="4"/>
        <v>0</v>
      </c>
      <c r="V66" s="498">
        <v>0</v>
      </c>
      <c r="W66" s="498">
        <v>0</v>
      </c>
      <c r="X66" s="498">
        <v>0</v>
      </c>
      <c r="Y66" s="498">
        <f t="shared" si="5"/>
        <v>0</v>
      </c>
      <c r="Z66" s="498">
        <f t="shared" si="6"/>
        <v>0</v>
      </c>
      <c r="AA66" s="131">
        <f t="shared" si="136"/>
        <v>0</v>
      </c>
      <c r="AB66" s="131">
        <f t="shared" si="7"/>
        <v>0</v>
      </c>
      <c r="AC66" s="498">
        <v>0</v>
      </c>
      <c r="AD66" s="498">
        <v>0</v>
      </c>
      <c r="AE66" s="498">
        <f t="shared" si="8"/>
        <v>0</v>
      </c>
      <c r="AF66" s="498">
        <f t="shared" si="9"/>
        <v>0</v>
      </c>
      <c r="AG66" s="499">
        <v>0</v>
      </c>
      <c r="AH66" s="499">
        <v>0</v>
      </c>
      <c r="AI66" s="499">
        <v>0</v>
      </c>
      <c r="AJ66" s="499">
        <v>0</v>
      </c>
      <c r="AK66" s="499">
        <v>0</v>
      </c>
      <c r="AL66" s="499">
        <f t="shared" si="10"/>
        <v>0</v>
      </c>
      <c r="AM66" s="499">
        <f t="shared" si="11"/>
        <v>0</v>
      </c>
      <c r="AN66" s="500">
        <f t="shared" si="12"/>
        <v>0</v>
      </c>
      <c r="AO66" s="497">
        <f t="shared" si="137"/>
        <v>2955972</v>
      </c>
      <c r="AP66" s="498">
        <f t="shared" si="138"/>
        <v>2156972</v>
      </c>
      <c r="AQ66" s="498">
        <f t="shared" si="139"/>
        <v>0</v>
      </c>
      <c r="AR66" s="498">
        <f t="shared" si="140"/>
        <v>729057</v>
      </c>
      <c r="AS66" s="498">
        <f t="shared" si="140"/>
        <v>43139</v>
      </c>
      <c r="AT66" s="498">
        <f t="shared" si="141"/>
        <v>26804</v>
      </c>
      <c r="AU66" s="499">
        <f t="shared" si="142"/>
        <v>7.34</v>
      </c>
      <c r="AV66" s="499">
        <f t="shared" si="143"/>
        <v>0</v>
      </c>
      <c r="AW66" s="500">
        <f t="shared" si="143"/>
        <v>7.34</v>
      </c>
    </row>
    <row r="67" spans="1:49" s="569" customFormat="1" x14ac:dyDescent="0.2">
      <c r="A67" s="531">
        <v>13</v>
      </c>
      <c r="B67" s="532">
        <v>4455</v>
      </c>
      <c r="C67" s="532">
        <v>600074889</v>
      </c>
      <c r="D67" s="532">
        <v>49864611</v>
      </c>
      <c r="E67" s="530" t="s">
        <v>173</v>
      </c>
      <c r="F67" s="532">
        <v>3143</v>
      </c>
      <c r="G67" s="533" t="s">
        <v>635</v>
      </c>
      <c r="H67" s="574" t="s">
        <v>283</v>
      </c>
      <c r="I67" s="575">
        <f t="shared" si="131"/>
        <v>3665335</v>
      </c>
      <c r="J67" s="496">
        <v>2699069</v>
      </c>
      <c r="K67" s="131">
        <f t="shared" ref="K67:K69" si="144">ROUND((J67)*33.8%,0)</f>
        <v>912285</v>
      </c>
      <c r="L67" s="131">
        <f t="shared" ref="L67:L69" si="145">ROUND(J67*2%,0)</f>
        <v>53981</v>
      </c>
      <c r="M67" s="496">
        <v>0</v>
      </c>
      <c r="N67" s="576">
        <f t="shared" si="134"/>
        <v>5.6429999999999998</v>
      </c>
      <c r="O67" s="577">
        <v>5.6429999999999998</v>
      </c>
      <c r="P67" s="607">
        <v>0</v>
      </c>
      <c r="Q67" s="579">
        <f t="shared" si="135"/>
        <v>0</v>
      </c>
      <c r="R67" s="498">
        <v>0</v>
      </c>
      <c r="S67" s="498">
        <v>0</v>
      </c>
      <c r="T67" s="498">
        <v>0</v>
      </c>
      <c r="U67" s="498">
        <f t="shared" si="4"/>
        <v>0</v>
      </c>
      <c r="V67" s="498">
        <v>0</v>
      </c>
      <c r="W67" s="498">
        <v>0</v>
      </c>
      <c r="X67" s="498">
        <v>0</v>
      </c>
      <c r="Y67" s="498">
        <f t="shared" si="5"/>
        <v>0</v>
      </c>
      <c r="Z67" s="498">
        <f t="shared" si="6"/>
        <v>0</v>
      </c>
      <c r="AA67" s="131">
        <f t="shared" si="136"/>
        <v>0</v>
      </c>
      <c r="AB67" s="131">
        <f t="shared" si="7"/>
        <v>0</v>
      </c>
      <c r="AC67" s="498">
        <v>0</v>
      </c>
      <c r="AD67" s="498">
        <v>0</v>
      </c>
      <c r="AE67" s="498">
        <f t="shared" si="8"/>
        <v>0</v>
      </c>
      <c r="AF67" s="498">
        <f t="shared" si="9"/>
        <v>0</v>
      </c>
      <c r="AG67" s="499">
        <v>0</v>
      </c>
      <c r="AH67" s="499">
        <v>0</v>
      </c>
      <c r="AI67" s="499">
        <v>0</v>
      </c>
      <c r="AJ67" s="499">
        <v>0</v>
      </c>
      <c r="AK67" s="499">
        <v>0</v>
      </c>
      <c r="AL67" s="499">
        <f t="shared" si="10"/>
        <v>0</v>
      </c>
      <c r="AM67" s="499">
        <f t="shared" si="11"/>
        <v>0</v>
      </c>
      <c r="AN67" s="500">
        <f t="shared" si="12"/>
        <v>0</v>
      </c>
      <c r="AO67" s="497">
        <f t="shared" si="137"/>
        <v>3665335</v>
      </c>
      <c r="AP67" s="498">
        <f t="shared" si="138"/>
        <v>2699069</v>
      </c>
      <c r="AQ67" s="498">
        <f t="shared" si="139"/>
        <v>0</v>
      </c>
      <c r="AR67" s="498">
        <f t="shared" si="140"/>
        <v>912285</v>
      </c>
      <c r="AS67" s="498">
        <f t="shared" si="140"/>
        <v>53981</v>
      </c>
      <c r="AT67" s="498">
        <f t="shared" si="141"/>
        <v>0</v>
      </c>
      <c r="AU67" s="499">
        <f t="shared" si="142"/>
        <v>5.6429999999999998</v>
      </c>
      <c r="AV67" s="499">
        <f t="shared" si="143"/>
        <v>5.6429999999999998</v>
      </c>
      <c r="AW67" s="500">
        <f t="shared" si="143"/>
        <v>0</v>
      </c>
    </row>
    <row r="68" spans="1:49" s="569" customFormat="1" x14ac:dyDescent="0.2">
      <c r="A68" s="531">
        <v>13</v>
      </c>
      <c r="B68" s="532">
        <v>4455</v>
      </c>
      <c r="C68" s="532">
        <v>600074889</v>
      </c>
      <c r="D68" s="532">
        <v>49864611</v>
      </c>
      <c r="E68" s="530" t="s">
        <v>173</v>
      </c>
      <c r="F68" s="532">
        <v>3143</v>
      </c>
      <c r="G68" s="533" t="s">
        <v>636</v>
      </c>
      <c r="H68" s="574" t="s">
        <v>284</v>
      </c>
      <c r="I68" s="575">
        <f t="shared" si="131"/>
        <v>103225</v>
      </c>
      <c r="J68" s="496">
        <v>72765</v>
      </c>
      <c r="K68" s="131">
        <f t="shared" si="144"/>
        <v>24595</v>
      </c>
      <c r="L68" s="131">
        <f t="shared" si="145"/>
        <v>1455</v>
      </c>
      <c r="M68" s="496">
        <v>4410</v>
      </c>
      <c r="N68" s="576">
        <f t="shared" si="134"/>
        <v>0.31</v>
      </c>
      <c r="O68" s="577">
        <v>0</v>
      </c>
      <c r="P68" s="607">
        <v>0.31</v>
      </c>
      <c r="Q68" s="579">
        <f t="shared" si="135"/>
        <v>0</v>
      </c>
      <c r="R68" s="498">
        <v>0</v>
      </c>
      <c r="S68" s="498">
        <v>0</v>
      </c>
      <c r="T68" s="498">
        <v>0</v>
      </c>
      <c r="U68" s="498">
        <f t="shared" si="4"/>
        <v>0</v>
      </c>
      <c r="V68" s="498">
        <v>0</v>
      </c>
      <c r="W68" s="498">
        <v>0</v>
      </c>
      <c r="X68" s="498">
        <v>0</v>
      </c>
      <c r="Y68" s="498">
        <f t="shared" si="5"/>
        <v>0</v>
      </c>
      <c r="Z68" s="498">
        <f t="shared" si="6"/>
        <v>0</v>
      </c>
      <c r="AA68" s="131">
        <f t="shared" si="136"/>
        <v>0</v>
      </c>
      <c r="AB68" s="131">
        <f t="shared" si="7"/>
        <v>0</v>
      </c>
      <c r="AC68" s="498">
        <v>0</v>
      </c>
      <c r="AD68" s="498">
        <v>0</v>
      </c>
      <c r="AE68" s="498">
        <f t="shared" si="8"/>
        <v>0</v>
      </c>
      <c r="AF68" s="498">
        <f t="shared" si="9"/>
        <v>0</v>
      </c>
      <c r="AG68" s="499">
        <v>0</v>
      </c>
      <c r="AH68" s="499">
        <v>0</v>
      </c>
      <c r="AI68" s="499">
        <v>0</v>
      </c>
      <c r="AJ68" s="499">
        <v>0</v>
      </c>
      <c r="AK68" s="499">
        <v>0</v>
      </c>
      <c r="AL68" s="499">
        <f t="shared" si="10"/>
        <v>0</v>
      </c>
      <c r="AM68" s="499">
        <f t="shared" si="11"/>
        <v>0</v>
      </c>
      <c r="AN68" s="500">
        <f t="shared" si="12"/>
        <v>0</v>
      </c>
      <c r="AO68" s="497">
        <f t="shared" si="137"/>
        <v>103225</v>
      </c>
      <c r="AP68" s="498">
        <f t="shared" si="138"/>
        <v>72765</v>
      </c>
      <c r="AQ68" s="498">
        <f t="shared" si="139"/>
        <v>0</v>
      </c>
      <c r="AR68" s="498">
        <f t="shared" si="140"/>
        <v>24595</v>
      </c>
      <c r="AS68" s="498">
        <f t="shared" si="140"/>
        <v>1455</v>
      </c>
      <c r="AT68" s="498">
        <f t="shared" si="141"/>
        <v>4410</v>
      </c>
      <c r="AU68" s="499">
        <f t="shared" si="142"/>
        <v>0.31</v>
      </c>
      <c r="AV68" s="499">
        <f t="shared" si="143"/>
        <v>0</v>
      </c>
      <c r="AW68" s="500">
        <f t="shared" si="143"/>
        <v>0.31</v>
      </c>
    </row>
    <row r="69" spans="1:49" s="569" customFormat="1" x14ac:dyDescent="0.2">
      <c r="A69" s="531">
        <v>13</v>
      </c>
      <c r="B69" s="532">
        <v>4455</v>
      </c>
      <c r="C69" s="532">
        <v>600074889</v>
      </c>
      <c r="D69" s="532">
        <v>49864611</v>
      </c>
      <c r="E69" s="530" t="s">
        <v>173</v>
      </c>
      <c r="F69" s="532">
        <v>3143</v>
      </c>
      <c r="G69" s="533" t="s">
        <v>323</v>
      </c>
      <c r="H69" s="574" t="s">
        <v>284</v>
      </c>
      <c r="I69" s="575">
        <f t="shared" si="131"/>
        <v>332041</v>
      </c>
      <c r="J69" s="496">
        <v>244110</v>
      </c>
      <c r="K69" s="131">
        <f t="shared" si="144"/>
        <v>82509</v>
      </c>
      <c r="L69" s="131">
        <f t="shared" si="145"/>
        <v>4882</v>
      </c>
      <c r="M69" s="496">
        <v>540</v>
      </c>
      <c r="N69" s="576">
        <f t="shared" si="134"/>
        <v>0.54</v>
      </c>
      <c r="O69" s="577">
        <v>0.5</v>
      </c>
      <c r="P69" s="607">
        <v>0.04</v>
      </c>
      <c r="Q69" s="579">
        <f t="shared" si="135"/>
        <v>0</v>
      </c>
      <c r="R69" s="498">
        <v>0</v>
      </c>
      <c r="S69" s="498">
        <v>0</v>
      </c>
      <c r="T69" s="498">
        <v>0</v>
      </c>
      <c r="U69" s="498">
        <f t="shared" si="4"/>
        <v>0</v>
      </c>
      <c r="V69" s="498">
        <v>0</v>
      </c>
      <c r="W69" s="498">
        <v>0</v>
      </c>
      <c r="X69" s="498">
        <v>0</v>
      </c>
      <c r="Y69" s="498">
        <f t="shared" si="5"/>
        <v>0</v>
      </c>
      <c r="Z69" s="498">
        <f t="shared" si="6"/>
        <v>0</v>
      </c>
      <c r="AA69" s="131">
        <f t="shared" si="136"/>
        <v>0</v>
      </c>
      <c r="AB69" s="131">
        <f t="shared" si="7"/>
        <v>0</v>
      </c>
      <c r="AC69" s="498">
        <v>0</v>
      </c>
      <c r="AD69" s="498">
        <v>0</v>
      </c>
      <c r="AE69" s="498">
        <f t="shared" si="8"/>
        <v>0</v>
      </c>
      <c r="AF69" s="498">
        <f t="shared" si="9"/>
        <v>0</v>
      </c>
      <c r="AG69" s="499">
        <v>0</v>
      </c>
      <c r="AH69" s="499">
        <v>0</v>
      </c>
      <c r="AI69" s="499">
        <v>0</v>
      </c>
      <c r="AJ69" s="499">
        <v>0</v>
      </c>
      <c r="AK69" s="499">
        <v>0</v>
      </c>
      <c r="AL69" s="499">
        <f t="shared" si="10"/>
        <v>0</v>
      </c>
      <c r="AM69" s="499">
        <f t="shared" si="11"/>
        <v>0</v>
      </c>
      <c r="AN69" s="500">
        <f t="shared" si="12"/>
        <v>0</v>
      </c>
      <c r="AO69" s="497">
        <f t="shared" si="137"/>
        <v>332041</v>
      </c>
      <c r="AP69" s="498">
        <f t="shared" si="138"/>
        <v>244110</v>
      </c>
      <c r="AQ69" s="498">
        <f t="shared" si="139"/>
        <v>0</v>
      </c>
      <c r="AR69" s="498">
        <f t="shared" si="140"/>
        <v>82509</v>
      </c>
      <c r="AS69" s="498">
        <f t="shared" si="140"/>
        <v>4882</v>
      </c>
      <c r="AT69" s="498">
        <f t="shared" si="141"/>
        <v>540</v>
      </c>
      <c r="AU69" s="499">
        <f t="shared" si="142"/>
        <v>0.54</v>
      </c>
      <c r="AV69" s="499">
        <f t="shared" si="143"/>
        <v>0.5</v>
      </c>
      <c r="AW69" s="500">
        <f t="shared" si="143"/>
        <v>0.04</v>
      </c>
    </row>
    <row r="70" spans="1:49" s="569" customFormat="1" x14ac:dyDescent="0.2">
      <c r="A70" s="302">
        <v>13</v>
      </c>
      <c r="B70" s="32">
        <v>4455</v>
      </c>
      <c r="C70" s="32">
        <v>600074889</v>
      </c>
      <c r="D70" s="32">
        <v>49864611</v>
      </c>
      <c r="E70" s="311" t="s">
        <v>174</v>
      </c>
      <c r="F70" s="32"/>
      <c r="G70" s="301"/>
      <c r="H70" s="454"/>
      <c r="I70" s="5">
        <f t="shared" ref="I70:P70" si="146">SUM(I64:I69)</f>
        <v>44900445</v>
      </c>
      <c r="J70" s="8">
        <f t="shared" si="146"/>
        <v>32383300</v>
      </c>
      <c r="K70" s="8">
        <f t="shared" si="146"/>
        <v>10945556</v>
      </c>
      <c r="L70" s="8">
        <f t="shared" si="146"/>
        <v>647665</v>
      </c>
      <c r="M70" s="8">
        <f t="shared" si="146"/>
        <v>923924</v>
      </c>
      <c r="N70" s="9">
        <f t="shared" si="146"/>
        <v>64.037400000000005</v>
      </c>
      <c r="O70" s="9">
        <f t="shared" si="146"/>
        <v>45.8247</v>
      </c>
      <c r="P70" s="39">
        <f t="shared" si="146"/>
        <v>18.212699999999998</v>
      </c>
      <c r="Q70" s="5">
        <f t="shared" ref="Q70:AW70" si="147">SUM(Q64:Q69)</f>
        <v>-72000</v>
      </c>
      <c r="R70" s="8">
        <f t="shared" si="147"/>
        <v>2509088</v>
      </c>
      <c r="S70" s="8">
        <f t="shared" si="147"/>
        <v>0</v>
      </c>
      <c r="T70" s="8">
        <f t="shared" si="147"/>
        <v>132472</v>
      </c>
      <c r="U70" s="8">
        <f t="shared" si="147"/>
        <v>2569560</v>
      </c>
      <c r="V70" s="8">
        <f t="shared" si="147"/>
        <v>72000</v>
      </c>
      <c r="W70" s="8">
        <f t="shared" si="147"/>
        <v>0</v>
      </c>
      <c r="X70" s="8">
        <f t="shared" si="147"/>
        <v>0</v>
      </c>
      <c r="Y70" s="8">
        <f t="shared" si="147"/>
        <v>72000</v>
      </c>
      <c r="Z70" s="8">
        <f t="shared" si="147"/>
        <v>2641560</v>
      </c>
      <c r="AA70" s="8">
        <f t="shared" si="147"/>
        <v>892848</v>
      </c>
      <c r="AB70" s="8">
        <f t="shared" si="147"/>
        <v>51391</v>
      </c>
      <c r="AC70" s="8">
        <f t="shared" si="147"/>
        <v>0</v>
      </c>
      <c r="AD70" s="8">
        <f t="shared" si="147"/>
        <v>0</v>
      </c>
      <c r="AE70" s="8">
        <f t="shared" si="147"/>
        <v>0</v>
      </c>
      <c r="AF70" s="8">
        <f t="shared" si="147"/>
        <v>3585799</v>
      </c>
      <c r="AG70" s="9">
        <f t="shared" si="147"/>
        <v>0</v>
      </c>
      <c r="AH70" s="9">
        <f t="shared" si="147"/>
        <v>-0.24</v>
      </c>
      <c r="AI70" s="9">
        <f t="shared" si="147"/>
        <v>7.41</v>
      </c>
      <c r="AJ70" s="9">
        <f t="shared" si="147"/>
        <v>0.22</v>
      </c>
      <c r="AK70" s="9">
        <f t="shared" si="147"/>
        <v>0</v>
      </c>
      <c r="AL70" s="9">
        <f t="shared" si="147"/>
        <v>7.63</v>
      </c>
      <c r="AM70" s="9">
        <f t="shared" si="147"/>
        <v>-0.24</v>
      </c>
      <c r="AN70" s="92">
        <f t="shared" si="147"/>
        <v>7.3900000000000006</v>
      </c>
      <c r="AO70" s="295">
        <f t="shared" si="147"/>
        <v>48486244</v>
      </c>
      <c r="AP70" s="8">
        <f t="shared" si="147"/>
        <v>34952860</v>
      </c>
      <c r="AQ70" s="8">
        <f t="shared" si="147"/>
        <v>72000</v>
      </c>
      <c r="AR70" s="8">
        <f t="shared" si="147"/>
        <v>11838404</v>
      </c>
      <c r="AS70" s="8">
        <f t="shared" si="147"/>
        <v>699056</v>
      </c>
      <c r="AT70" s="8">
        <f t="shared" si="147"/>
        <v>923924</v>
      </c>
      <c r="AU70" s="9">
        <f t="shared" si="147"/>
        <v>71.427400000000006</v>
      </c>
      <c r="AV70" s="9">
        <f t="shared" si="147"/>
        <v>53.454700000000003</v>
      </c>
      <c r="AW70" s="92">
        <f t="shared" si="147"/>
        <v>17.9727</v>
      </c>
    </row>
    <row r="71" spans="1:49" s="569" customFormat="1" x14ac:dyDescent="0.2">
      <c r="A71" s="531">
        <v>14</v>
      </c>
      <c r="B71" s="532">
        <v>4440</v>
      </c>
      <c r="C71" s="532">
        <v>600074897</v>
      </c>
      <c r="D71" s="532">
        <v>48283029</v>
      </c>
      <c r="E71" s="530" t="s">
        <v>175</v>
      </c>
      <c r="F71" s="532">
        <v>3113</v>
      </c>
      <c r="G71" s="533" t="s">
        <v>320</v>
      </c>
      <c r="H71" s="534" t="s">
        <v>283</v>
      </c>
      <c r="I71" s="575">
        <f t="shared" ref="I71:I74" si="148">SUM(J71:M71)</f>
        <v>29023894</v>
      </c>
      <c r="J71" s="496">
        <v>20893545</v>
      </c>
      <c r="K71" s="131">
        <f t="shared" ref="K71:K72" si="149">ROUND((J71)*33.8%,0)</f>
        <v>7062018</v>
      </c>
      <c r="L71" s="131">
        <f t="shared" ref="L71:L72" si="150">ROUND(J71*2%,0)</f>
        <v>417871</v>
      </c>
      <c r="M71" s="496">
        <v>650460</v>
      </c>
      <c r="N71" s="576">
        <f t="shared" ref="N71:N75" si="151">SUM(O71:P71)</f>
        <v>39.521000000000001</v>
      </c>
      <c r="O71" s="577">
        <v>30.6816</v>
      </c>
      <c r="P71" s="607">
        <v>8.8393999999999995</v>
      </c>
      <c r="Q71" s="579">
        <f t="shared" ref="Q71:Q75" si="152">V71*-1</f>
        <v>-88000</v>
      </c>
      <c r="R71" s="498">
        <v>0</v>
      </c>
      <c r="S71" s="498">
        <v>0</v>
      </c>
      <c r="T71" s="498">
        <v>0</v>
      </c>
      <c r="U71" s="498">
        <f t="shared" si="4"/>
        <v>-88000</v>
      </c>
      <c r="V71" s="498">
        <v>88000</v>
      </c>
      <c r="W71" s="498">
        <v>0</v>
      </c>
      <c r="X71" s="498">
        <v>0</v>
      </c>
      <c r="Y71" s="498">
        <f t="shared" si="5"/>
        <v>88000</v>
      </c>
      <c r="Z71" s="498">
        <f t="shared" si="6"/>
        <v>0</v>
      </c>
      <c r="AA71" s="131">
        <f t="shared" ref="AA71:AA75" si="153">ROUND((U71+V71+W71)*33.8%,0)</f>
        <v>0</v>
      </c>
      <c r="AB71" s="131">
        <f t="shared" si="7"/>
        <v>-1760</v>
      </c>
      <c r="AC71" s="498">
        <v>0</v>
      </c>
      <c r="AD71" s="498">
        <v>0</v>
      </c>
      <c r="AE71" s="498">
        <f t="shared" si="8"/>
        <v>0</v>
      </c>
      <c r="AF71" s="498">
        <f t="shared" si="9"/>
        <v>-1760</v>
      </c>
      <c r="AG71" s="499">
        <v>-0.02</v>
      </c>
      <c r="AH71" s="499">
        <v>-0.04</v>
      </c>
      <c r="AI71" s="499">
        <v>0</v>
      </c>
      <c r="AJ71" s="499">
        <v>0</v>
      </c>
      <c r="AK71" s="499">
        <v>0</v>
      </c>
      <c r="AL71" s="499">
        <f t="shared" si="10"/>
        <v>-0.02</v>
      </c>
      <c r="AM71" s="499">
        <f t="shared" si="11"/>
        <v>-0.04</v>
      </c>
      <c r="AN71" s="500">
        <f t="shared" si="12"/>
        <v>-0.06</v>
      </c>
      <c r="AO71" s="497">
        <f>I71+AF71</f>
        <v>29022134</v>
      </c>
      <c r="AP71" s="498">
        <f>J71+U71</f>
        <v>20805545</v>
      </c>
      <c r="AQ71" s="498">
        <f t="shared" ref="AQ71:AQ75" si="154">Y71</f>
        <v>88000</v>
      </c>
      <c r="AR71" s="498">
        <f t="shared" ref="AR71:AS75" si="155">K71+AA71</f>
        <v>7062018</v>
      </c>
      <c r="AS71" s="498">
        <f t="shared" si="155"/>
        <v>416111</v>
      </c>
      <c r="AT71" s="498">
        <f>M71+AE71</f>
        <v>650460</v>
      </c>
      <c r="AU71" s="499">
        <f>N71+AN71</f>
        <v>39.460999999999999</v>
      </c>
      <c r="AV71" s="499">
        <f t="shared" ref="AV71:AW75" si="156">O71+AL71</f>
        <v>30.6616</v>
      </c>
      <c r="AW71" s="500">
        <f t="shared" si="156"/>
        <v>8.7994000000000003</v>
      </c>
    </row>
    <row r="72" spans="1:49" s="569" customFormat="1" x14ac:dyDescent="0.2">
      <c r="A72" s="531">
        <v>14</v>
      </c>
      <c r="B72" s="532">
        <v>4440</v>
      </c>
      <c r="C72" s="532">
        <v>600074897</v>
      </c>
      <c r="D72" s="532">
        <v>48283029</v>
      </c>
      <c r="E72" s="530" t="s">
        <v>175</v>
      </c>
      <c r="F72" s="532">
        <v>3113</v>
      </c>
      <c r="G72" s="533" t="s">
        <v>318</v>
      </c>
      <c r="H72" s="534" t="s">
        <v>284</v>
      </c>
      <c r="I72" s="575">
        <f t="shared" si="148"/>
        <v>0</v>
      </c>
      <c r="J72" s="496">
        <v>0</v>
      </c>
      <c r="K72" s="131">
        <f t="shared" si="149"/>
        <v>0</v>
      </c>
      <c r="L72" s="131">
        <f t="shared" si="150"/>
        <v>0</v>
      </c>
      <c r="M72" s="496">
        <v>0</v>
      </c>
      <c r="N72" s="576">
        <f t="shared" si="151"/>
        <v>0</v>
      </c>
      <c r="O72" s="577">
        <v>0</v>
      </c>
      <c r="P72" s="607">
        <v>0</v>
      </c>
      <c r="Q72" s="579">
        <f t="shared" si="152"/>
        <v>0</v>
      </c>
      <c r="R72" s="496">
        <v>2011314</v>
      </c>
      <c r="S72" s="498">
        <v>0</v>
      </c>
      <c r="T72" s="498">
        <v>0</v>
      </c>
      <c r="U72" s="498">
        <f t="shared" si="4"/>
        <v>2011314</v>
      </c>
      <c r="V72" s="498">
        <v>0</v>
      </c>
      <c r="W72" s="498">
        <v>0</v>
      </c>
      <c r="X72" s="498">
        <v>0</v>
      </c>
      <c r="Y72" s="498">
        <f t="shared" si="5"/>
        <v>0</v>
      </c>
      <c r="Z72" s="498">
        <f t="shared" si="6"/>
        <v>2011314</v>
      </c>
      <c r="AA72" s="131">
        <f t="shared" si="153"/>
        <v>679824</v>
      </c>
      <c r="AB72" s="131">
        <f t="shared" si="7"/>
        <v>40226</v>
      </c>
      <c r="AC72" s="498">
        <v>0</v>
      </c>
      <c r="AD72" s="498">
        <v>0</v>
      </c>
      <c r="AE72" s="498">
        <f t="shared" si="8"/>
        <v>0</v>
      </c>
      <c r="AF72" s="498">
        <f t="shared" si="9"/>
        <v>2731364</v>
      </c>
      <c r="AG72" s="499">
        <v>0</v>
      </c>
      <c r="AH72" s="499">
        <v>0</v>
      </c>
      <c r="AI72" s="499">
        <v>5.81</v>
      </c>
      <c r="AJ72" s="499">
        <v>0</v>
      </c>
      <c r="AK72" s="499">
        <v>0</v>
      </c>
      <c r="AL72" s="499">
        <f t="shared" si="10"/>
        <v>5.81</v>
      </c>
      <c r="AM72" s="499">
        <f t="shared" si="11"/>
        <v>0</v>
      </c>
      <c r="AN72" s="500">
        <f t="shared" si="12"/>
        <v>5.81</v>
      </c>
      <c r="AO72" s="497">
        <f>I72+AF72</f>
        <v>2731364</v>
      </c>
      <c r="AP72" s="498">
        <f>J72+U72</f>
        <v>2011314</v>
      </c>
      <c r="AQ72" s="498">
        <f t="shared" si="154"/>
        <v>0</v>
      </c>
      <c r="AR72" s="498">
        <f t="shared" si="155"/>
        <v>679824</v>
      </c>
      <c r="AS72" s="498">
        <f t="shared" si="155"/>
        <v>40226</v>
      </c>
      <c r="AT72" s="498">
        <f>M72+AE72</f>
        <v>0</v>
      </c>
      <c r="AU72" s="499">
        <f>N72+AN72</f>
        <v>5.81</v>
      </c>
      <c r="AV72" s="499">
        <f t="shared" si="156"/>
        <v>5.81</v>
      </c>
      <c r="AW72" s="500">
        <f t="shared" si="156"/>
        <v>0</v>
      </c>
    </row>
    <row r="73" spans="1:49" s="569" customFormat="1" x14ac:dyDescent="0.2">
      <c r="A73" s="531">
        <v>14</v>
      </c>
      <c r="B73" s="532">
        <v>4440</v>
      </c>
      <c r="C73" s="532">
        <v>600074897</v>
      </c>
      <c r="D73" s="532">
        <v>48283029</v>
      </c>
      <c r="E73" s="530" t="s">
        <v>175</v>
      </c>
      <c r="F73" s="532">
        <v>3141</v>
      </c>
      <c r="G73" s="533" t="s">
        <v>321</v>
      </c>
      <c r="H73" s="534" t="s">
        <v>284</v>
      </c>
      <c r="I73" s="575">
        <f t="shared" si="148"/>
        <v>2578950</v>
      </c>
      <c r="J73" s="496">
        <v>1882689</v>
      </c>
      <c r="K73" s="131">
        <f>ROUND((J73)*33.8%,0)</f>
        <v>636349</v>
      </c>
      <c r="L73" s="131">
        <f>ROUND(J73*2%,0)</f>
        <v>37654</v>
      </c>
      <c r="M73" s="496">
        <v>22258</v>
      </c>
      <c r="N73" s="576">
        <f t="shared" si="151"/>
        <v>6.4</v>
      </c>
      <c r="O73" s="577">
        <v>0</v>
      </c>
      <c r="P73" s="607">
        <v>6.4</v>
      </c>
      <c r="Q73" s="579">
        <f t="shared" si="152"/>
        <v>0</v>
      </c>
      <c r="R73" s="498">
        <v>0</v>
      </c>
      <c r="S73" s="498">
        <v>0</v>
      </c>
      <c r="T73" s="498">
        <v>0</v>
      </c>
      <c r="U73" s="498">
        <f t="shared" si="4"/>
        <v>0</v>
      </c>
      <c r="V73" s="498">
        <v>0</v>
      </c>
      <c r="W73" s="498">
        <v>0</v>
      </c>
      <c r="X73" s="498">
        <v>0</v>
      </c>
      <c r="Y73" s="498">
        <f t="shared" si="5"/>
        <v>0</v>
      </c>
      <c r="Z73" s="498">
        <f t="shared" si="6"/>
        <v>0</v>
      </c>
      <c r="AA73" s="131">
        <f t="shared" si="153"/>
        <v>0</v>
      </c>
      <c r="AB73" s="131">
        <f t="shared" si="7"/>
        <v>0</v>
      </c>
      <c r="AC73" s="498">
        <v>0</v>
      </c>
      <c r="AD73" s="498">
        <v>0</v>
      </c>
      <c r="AE73" s="498">
        <f t="shared" si="8"/>
        <v>0</v>
      </c>
      <c r="AF73" s="498">
        <f t="shared" si="9"/>
        <v>0</v>
      </c>
      <c r="AG73" s="499">
        <v>0</v>
      </c>
      <c r="AH73" s="499">
        <v>0</v>
      </c>
      <c r="AI73" s="499">
        <v>0</v>
      </c>
      <c r="AJ73" s="499">
        <v>0</v>
      </c>
      <c r="AK73" s="499">
        <v>0</v>
      </c>
      <c r="AL73" s="499">
        <f t="shared" si="10"/>
        <v>0</v>
      </c>
      <c r="AM73" s="499">
        <f t="shared" si="11"/>
        <v>0</v>
      </c>
      <c r="AN73" s="500">
        <f t="shared" si="12"/>
        <v>0</v>
      </c>
      <c r="AO73" s="497">
        <f>I73+AF73</f>
        <v>2578950</v>
      </c>
      <c r="AP73" s="498">
        <f>J73+U73</f>
        <v>1882689</v>
      </c>
      <c r="AQ73" s="498">
        <f t="shared" si="154"/>
        <v>0</v>
      </c>
      <c r="AR73" s="498">
        <f t="shared" si="155"/>
        <v>636349</v>
      </c>
      <c r="AS73" s="498">
        <f t="shared" si="155"/>
        <v>37654</v>
      </c>
      <c r="AT73" s="498">
        <f>M73+AE73</f>
        <v>22258</v>
      </c>
      <c r="AU73" s="499">
        <f>N73+AN73</f>
        <v>6.4</v>
      </c>
      <c r="AV73" s="499">
        <f t="shared" si="156"/>
        <v>0</v>
      </c>
      <c r="AW73" s="500">
        <f t="shared" si="156"/>
        <v>6.4</v>
      </c>
    </row>
    <row r="74" spans="1:49" s="569" customFormat="1" x14ac:dyDescent="0.2">
      <c r="A74" s="531">
        <v>14</v>
      </c>
      <c r="B74" s="532">
        <v>4440</v>
      </c>
      <c r="C74" s="532">
        <v>600074897</v>
      </c>
      <c r="D74" s="532">
        <v>48283029</v>
      </c>
      <c r="E74" s="530" t="s">
        <v>175</v>
      </c>
      <c r="F74" s="532">
        <v>3143</v>
      </c>
      <c r="G74" s="533" t="s">
        <v>635</v>
      </c>
      <c r="H74" s="574" t="s">
        <v>283</v>
      </c>
      <c r="I74" s="575">
        <f t="shared" si="148"/>
        <v>2081304</v>
      </c>
      <c r="J74" s="496">
        <v>1532625</v>
      </c>
      <c r="K74" s="131">
        <f t="shared" ref="K74:K75" si="157">ROUND((J74)*33.8%,0)</f>
        <v>518027</v>
      </c>
      <c r="L74" s="131">
        <v>30652</v>
      </c>
      <c r="M74" s="496">
        <v>0</v>
      </c>
      <c r="N74" s="576">
        <f t="shared" si="151"/>
        <v>3.3035999999999999</v>
      </c>
      <c r="O74" s="577">
        <v>3.3035999999999999</v>
      </c>
      <c r="P74" s="607">
        <v>0</v>
      </c>
      <c r="Q74" s="579">
        <f t="shared" si="152"/>
        <v>-1600</v>
      </c>
      <c r="R74" s="498">
        <v>0</v>
      </c>
      <c r="S74" s="498">
        <v>0</v>
      </c>
      <c r="T74" s="498">
        <v>0</v>
      </c>
      <c r="U74" s="498">
        <f t="shared" si="4"/>
        <v>-1600</v>
      </c>
      <c r="V74" s="498">
        <v>1600</v>
      </c>
      <c r="W74" s="498">
        <v>0</v>
      </c>
      <c r="X74" s="498">
        <v>0</v>
      </c>
      <c r="Y74" s="498">
        <f t="shared" si="5"/>
        <v>1600</v>
      </c>
      <c r="Z74" s="498">
        <f t="shared" si="6"/>
        <v>0</v>
      </c>
      <c r="AA74" s="131">
        <f t="shared" si="153"/>
        <v>0</v>
      </c>
      <c r="AB74" s="131">
        <f t="shared" si="7"/>
        <v>-32</v>
      </c>
      <c r="AC74" s="498">
        <v>0</v>
      </c>
      <c r="AD74" s="498">
        <v>0</v>
      </c>
      <c r="AE74" s="498">
        <f t="shared" si="8"/>
        <v>0</v>
      </c>
      <c r="AF74" s="498">
        <f t="shared" si="9"/>
        <v>-32</v>
      </c>
      <c r="AG74" s="499">
        <v>0</v>
      </c>
      <c r="AH74" s="499">
        <v>0</v>
      </c>
      <c r="AI74" s="499">
        <v>0</v>
      </c>
      <c r="AJ74" s="499">
        <v>0</v>
      </c>
      <c r="AK74" s="499">
        <v>0</v>
      </c>
      <c r="AL74" s="499">
        <f t="shared" si="10"/>
        <v>0</v>
      </c>
      <c r="AM74" s="499">
        <f t="shared" si="11"/>
        <v>0</v>
      </c>
      <c r="AN74" s="500">
        <f t="shared" si="12"/>
        <v>0</v>
      </c>
      <c r="AO74" s="497">
        <f>I74+AF74</f>
        <v>2081272</v>
      </c>
      <c r="AP74" s="498">
        <f>J74+U74</f>
        <v>1531025</v>
      </c>
      <c r="AQ74" s="498">
        <f t="shared" si="154"/>
        <v>1600</v>
      </c>
      <c r="AR74" s="498">
        <f t="shared" si="155"/>
        <v>518027</v>
      </c>
      <c r="AS74" s="498">
        <f t="shared" si="155"/>
        <v>30620</v>
      </c>
      <c r="AT74" s="498">
        <f>M74+AE74</f>
        <v>0</v>
      </c>
      <c r="AU74" s="499">
        <f>N74+AN74</f>
        <v>3.3035999999999999</v>
      </c>
      <c r="AV74" s="499">
        <f t="shared" si="156"/>
        <v>3.3035999999999999</v>
      </c>
      <c r="AW74" s="500">
        <f t="shared" si="156"/>
        <v>0</v>
      </c>
    </row>
    <row r="75" spans="1:49" s="569" customFormat="1" x14ac:dyDescent="0.2">
      <c r="A75" s="531">
        <v>14</v>
      </c>
      <c r="B75" s="532">
        <v>4440</v>
      </c>
      <c r="C75" s="532">
        <v>600074897</v>
      </c>
      <c r="D75" s="532">
        <v>48283029</v>
      </c>
      <c r="E75" s="530" t="s">
        <v>175</v>
      </c>
      <c r="F75" s="532">
        <v>3143</v>
      </c>
      <c r="G75" s="533" t="s">
        <v>636</v>
      </c>
      <c r="H75" s="574" t="s">
        <v>284</v>
      </c>
      <c r="I75" s="575">
        <f>SUM(J75:M75)</f>
        <v>83563</v>
      </c>
      <c r="J75" s="496">
        <v>58905</v>
      </c>
      <c r="K75" s="131">
        <f t="shared" si="157"/>
        <v>19910</v>
      </c>
      <c r="L75" s="131">
        <f t="shared" ref="L75" si="158">ROUND(J75*2%,0)</f>
        <v>1178</v>
      </c>
      <c r="M75" s="496">
        <v>3570</v>
      </c>
      <c r="N75" s="576">
        <f t="shared" si="151"/>
        <v>0.25</v>
      </c>
      <c r="O75" s="577">
        <v>0</v>
      </c>
      <c r="P75" s="607">
        <v>0.25</v>
      </c>
      <c r="Q75" s="579">
        <f t="shared" si="152"/>
        <v>0</v>
      </c>
      <c r="R75" s="498">
        <v>0</v>
      </c>
      <c r="S75" s="498">
        <v>0</v>
      </c>
      <c r="T75" s="498">
        <v>0</v>
      </c>
      <c r="U75" s="498">
        <f t="shared" si="4"/>
        <v>0</v>
      </c>
      <c r="V75" s="498">
        <v>0</v>
      </c>
      <c r="W75" s="498">
        <v>0</v>
      </c>
      <c r="X75" s="498">
        <v>0</v>
      </c>
      <c r="Y75" s="498">
        <f t="shared" si="5"/>
        <v>0</v>
      </c>
      <c r="Z75" s="498">
        <f t="shared" si="6"/>
        <v>0</v>
      </c>
      <c r="AA75" s="131">
        <f t="shared" si="153"/>
        <v>0</v>
      </c>
      <c r="AB75" s="131">
        <f t="shared" si="7"/>
        <v>0</v>
      </c>
      <c r="AC75" s="498">
        <v>0</v>
      </c>
      <c r="AD75" s="498">
        <v>0</v>
      </c>
      <c r="AE75" s="498">
        <f t="shared" si="8"/>
        <v>0</v>
      </c>
      <c r="AF75" s="498">
        <f t="shared" si="9"/>
        <v>0</v>
      </c>
      <c r="AG75" s="499">
        <v>0</v>
      </c>
      <c r="AH75" s="499">
        <v>0</v>
      </c>
      <c r="AI75" s="499">
        <v>0</v>
      </c>
      <c r="AJ75" s="499">
        <v>0</v>
      </c>
      <c r="AK75" s="499">
        <v>0</v>
      </c>
      <c r="AL75" s="499">
        <f t="shared" si="10"/>
        <v>0</v>
      </c>
      <c r="AM75" s="499">
        <f t="shared" si="11"/>
        <v>0</v>
      </c>
      <c r="AN75" s="500">
        <f t="shared" si="12"/>
        <v>0</v>
      </c>
      <c r="AO75" s="497">
        <f>I75+AF75</f>
        <v>83563</v>
      </c>
      <c r="AP75" s="498">
        <f>J75+U75</f>
        <v>58905</v>
      </c>
      <c r="AQ75" s="498">
        <f t="shared" si="154"/>
        <v>0</v>
      </c>
      <c r="AR75" s="498">
        <f t="shared" si="155"/>
        <v>19910</v>
      </c>
      <c r="AS75" s="498">
        <f t="shared" si="155"/>
        <v>1178</v>
      </c>
      <c r="AT75" s="498">
        <f>M75+AE75</f>
        <v>3570</v>
      </c>
      <c r="AU75" s="499">
        <f>N75+AN75</f>
        <v>0.25</v>
      </c>
      <c r="AV75" s="499">
        <f t="shared" si="156"/>
        <v>0</v>
      </c>
      <c r="AW75" s="500">
        <f t="shared" si="156"/>
        <v>0.25</v>
      </c>
    </row>
    <row r="76" spans="1:49" s="569" customFormat="1" x14ac:dyDescent="0.2">
      <c r="A76" s="302">
        <v>14</v>
      </c>
      <c r="B76" s="32">
        <v>4440</v>
      </c>
      <c r="C76" s="32">
        <v>600074897</v>
      </c>
      <c r="D76" s="32">
        <v>48283029</v>
      </c>
      <c r="E76" s="311" t="s">
        <v>176</v>
      </c>
      <c r="F76" s="32"/>
      <c r="G76" s="301"/>
      <c r="H76" s="454"/>
      <c r="I76" s="5">
        <f t="shared" ref="I76:P76" si="159">SUM(I71:I75)</f>
        <v>33767711</v>
      </c>
      <c r="J76" s="8">
        <f t="shared" si="159"/>
        <v>24367764</v>
      </c>
      <c r="K76" s="8">
        <f t="shared" si="159"/>
        <v>8236304</v>
      </c>
      <c r="L76" s="8">
        <f t="shared" si="159"/>
        <v>487355</v>
      </c>
      <c r="M76" s="8">
        <f t="shared" si="159"/>
        <v>676288</v>
      </c>
      <c r="N76" s="9">
        <f t="shared" si="159"/>
        <v>49.474600000000002</v>
      </c>
      <c r="O76" s="9">
        <f t="shared" si="159"/>
        <v>33.985199999999999</v>
      </c>
      <c r="P76" s="39">
        <f t="shared" si="159"/>
        <v>15.4894</v>
      </c>
      <c r="Q76" s="5">
        <f t="shared" ref="Q76:AW76" si="160">SUM(Q71:Q75)</f>
        <v>-89600</v>
      </c>
      <c r="R76" s="8">
        <f t="shared" si="160"/>
        <v>2011314</v>
      </c>
      <c r="S76" s="8">
        <f t="shared" si="160"/>
        <v>0</v>
      </c>
      <c r="T76" s="8">
        <f t="shared" si="160"/>
        <v>0</v>
      </c>
      <c r="U76" s="8">
        <f t="shared" si="160"/>
        <v>1921714</v>
      </c>
      <c r="V76" s="8">
        <f t="shared" si="160"/>
        <v>89600</v>
      </c>
      <c r="W76" s="8">
        <f t="shared" si="160"/>
        <v>0</v>
      </c>
      <c r="X76" s="8">
        <f t="shared" si="160"/>
        <v>0</v>
      </c>
      <c r="Y76" s="8">
        <f t="shared" si="160"/>
        <v>89600</v>
      </c>
      <c r="Z76" s="8">
        <f t="shared" si="160"/>
        <v>2011314</v>
      </c>
      <c r="AA76" s="8">
        <f t="shared" si="160"/>
        <v>679824</v>
      </c>
      <c r="AB76" s="8">
        <f t="shared" si="160"/>
        <v>38434</v>
      </c>
      <c r="AC76" s="8">
        <f t="shared" si="160"/>
        <v>0</v>
      </c>
      <c r="AD76" s="8">
        <f t="shared" si="160"/>
        <v>0</v>
      </c>
      <c r="AE76" s="8">
        <f t="shared" si="160"/>
        <v>0</v>
      </c>
      <c r="AF76" s="8">
        <f t="shared" si="160"/>
        <v>2729572</v>
      </c>
      <c r="AG76" s="9">
        <f t="shared" si="160"/>
        <v>-0.02</v>
      </c>
      <c r="AH76" s="9">
        <f t="shared" si="160"/>
        <v>-0.04</v>
      </c>
      <c r="AI76" s="9">
        <f t="shared" si="160"/>
        <v>5.81</v>
      </c>
      <c r="AJ76" s="9">
        <f t="shared" si="160"/>
        <v>0</v>
      </c>
      <c r="AK76" s="9">
        <f t="shared" si="160"/>
        <v>0</v>
      </c>
      <c r="AL76" s="9">
        <f t="shared" si="160"/>
        <v>5.79</v>
      </c>
      <c r="AM76" s="9">
        <f t="shared" si="160"/>
        <v>-0.04</v>
      </c>
      <c r="AN76" s="92">
        <f t="shared" si="160"/>
        <v>5.75</v>
      </c>
      <c r="AO76" s="295">
        <f t="shared" si="160"/>
        <v>36497283</v>
      </c>
      <c r="AP76" s="8">
        <f t="shared" si="160"/>
        <v>26289478</v>
      </c>
      <c r="AQ76" s="8">
        <f t="shared" si="160"/>
        <v>89600</v>
      </c>
      <c r="AR76" s="8">
        <f t="shared" si="160"/>
        <v>8916128</v>
      </c>
      <c r="AS76" s="8">
        <f t="shared" si="160"/>
        <v>525789</v>
      </c>
      <c r="AT76" s="8">
        <f t="shared" si="160"/>
        <v>676288</v>
      </c>
      <c r="AU76" s="9">
        <f t="shared" si="160"/>
        <v>55.224600000000002</v>
      </c>
      <c r="AV76" s="9">
        <f t="shared" si="160"/>
        <v>39.775200000000005</v>
      </c>
      <c r="AW76" s="92">
        <f t="shared" si="160"/>
        <v>15.449400000000001</v>
      </c>
    </row>
    <row r="77" spans="1:49" s="569" customFormat="1" x14ac:dyDescent="0.2">
      <c r="A77" s="531">
        <v>15</v>
      </c>
      <c r="B77" s="532">
        <v>4442</v>
      </c>
      <c r="C77" s="532">
        <v>600074901</v>
      </c>
      <c r="D77" s="532">
        <v>48283061</v>
      </c>
      <c r="E77" s="530" t="s">
        <v>177</v>
      </c>
      <c r="F77" s="532">
        <v>3113</v>
      </c>
      <c r="G77" s="533" t="s">
        <v>320</v>
      </c>
      <c r="H77" s="534" t="s">
        <v>283</v>
      </c>
      <c r="I77" s="575">
        <f t="shared" ref="I77:I80" si="161">SUM(J77:M77)</f>
        <v>20365882</v>
      </c>
      <c r="J77" s="496">
        <v>14685583</v>
      </c>
      <c r="K77" s="131">
        <f t="shared" ref="K77:K78" si="162">ROUND((J77)*33.8%,0)</f>
        <v>4963727</v>
      </c>
      <c r="L77" s="131">
        <f t="shared" ref="L77:L78" si="163">ROUND(J77*2%,0)</f>
        <v>293712</v>
      </c>
      <c r="M77" s="496">
        <v>422860</v>
      </c>
      <c r="N77" s="576">
        <f t="shared" ref="N77:N82" si="164">SUM(O77:P77)</f>
        <v>25.3371</v>
      </c>
      <c r="O77" s="577">
        <v>19.100000000000001</v>
      </c>
      <c r="P77" s="607">
        <v>6.2370999999999999</v>
      </c>
      <c r="Q77" s="579">
        <f t="shared" ref="Q77:Q82" si="165">V77*-1</f>
        <v>-12000</v>
      </c>
      <c r="R77" s="498">
        <v>0</v>
      </c>
      <c r="S77" s="498">
        <v>0</v>
      </c>
      <c r="T77" s="498">
        <v>0</v>
      </c>
      <c r="U77" s="498">
        <f t="shared" si="4"/>
        <v>-12000</v>
      </c>
      <c r="V77" s="498">
        <v>12000</v>
      </c>
      <c r="W77" s="498">
        <v>0</v>
      </c>
      <c r="X77" s="498">
        <v>0</v>
      </c>
      <c r="Y77" s="498">
        <f t="shared" si="5"/>
        <v>12000</v>
      </c>
      <c r="Z77" s="498">
        <f t="shared" si="6"/>
        <v>0</v>
      </c>
      <c r="AA77" s="131">
        <f t="shared" ref="AA77:AA82" si="166">ROUND((U77+V77+W77)*33.8%,0)</f>
        <v>0</v>
      </c>
      <c r="AB77" s="131">
        <f t="shared" si="7"/>
        <v>-240</v>
      </c>
      <c r="AC77" s="498">
        <v>0</v>
      </c>
      <c r="AD77" s="498">
        <v>0</v>
      </c>
      <c r="AE77" s="498">
        <f t="shared" si="8"/>
        <v>0</v>
      </c>
      <c r="AF77" s="498">
        <f t="shared" si="9"/>
        <v>-240</v>
      </c>
      <c r="AG77" s="499">
        <v>0</v>
      </c>
      <c r="AH77" s="499">
        <v>0</v>
      </c>
      <c r="AI77" s="499">
        <v>0</v>
      </c>
      <c r="AJ77" s="499">
        <v>0</v>
      </c>
      <c r="AK77" s="499">
        <v>0</v>
      </c>
      <c r="AL77" s="499">
        <f t="shared" si="10"/>
        <v>0</v>
      </c>
      <c r="AM77" s="499">
        <f t="shared" si="11"/>
        <v>0</v>
      </c>
      <c r="AN77" s="500">
        <f t="shared" si="12"/>
        <v>0</v>
      </c>
      <c r="AO77" s="497">
        <f t="shared" ref="AO77:AO82" si="167">I77+AF77</f>
        <v>20365642</v>
      </c>
      <c r="AP77" s="498">
        <f t="shared" ref="AP77:AP82" si="168">J77+U77</f>
        <v>14673583</v>
      </c>
      <c r="AQ77" s="498">
        <f t="shared" ref="AQ77:AQ82" si="169">Y77</f>
        <v>12000</v>
      </c>
      <c r="AR77" s="498">
        <f t="shared" ref="AR77:AS82" si="170">K77+AA77</f>
        <v>4963727</v>
      </c>
      <c r="AS77" s="498">
        <f t="shared" si="170"/>
        <v>293472</v>
      </c>
      <c r="AT77" s="498">
        <f t="shared" ref="AT77:AT82" si="171">M77+AE77</f>
        <v>422860</v>
      </c>
      <c r="AU77" s="499">
        <f t="shared" ref="AU77:AU82" si="172">N77+AN77</f>
        <v>25.3371</v>
      </c>
      <c r="AV77" s="499">
        <f t="shared" ref="AV77:AW82" si="173">O77+AL77</f>
        <v>19.100000000000001</v>
      </c>
      <c r="AW77" s="500">
        <f t="shared" si="173"/>
        <v>6.2370999999999999</v>
      </c>
    </row>
    <row r="78" spans="1:49" s="569" customFormat="1" x14ac:dyDescent="0.2">
      <c r="A78" s="531">
        <v>15</v>
      </c>
      <c r="B78" s="532">
        <v>4442</v>
      </c>
      <c r="C78" s="532">
        <v>600074901</v>
      </c>
      <c r="D78" s="532">
        <v>48283061</v>
      </c>
      <c r="E78" s="530" t="s">
        <v>177</v>
      </c>
      <c r="F78" s="532">
        <v>3113</v>
      </c>
      <c r="G78" s="533" t="s">
        <v>318</v>
      </c>
      <c r="H78" s="534" t="s">
        <v>284</v>
      </c>
      <c r="I78" s="575">
        <f t="shared" si="161"/>
        <v>0</v>
      </c>
      <c r="J78" s="496">
        <v>0</v>
      </c>
      <c r="K78" s="131">
        <f t="shared" si="162"/>
        <v>0</v>
      </c>
      <c r="L78" s="131">
        <f t="shared" si="163"/>
        <v>0</v>
      </c>
      <c r="M78" s="496">
        <v>0</v>
      </c>
      <c r="N78" s="576">
        <f t="shared" si="164"/>
        <v>0</v>
      </c>
      <c r="O78" s="577">
        <v>0</v>
      </c>
      <c r="P78" s="607">
        <v>0</v>
      </c>
      <c r="Q78" s="579">
        <f t="shared" si="165"/>
        <v>0</v>
      </c>
      <c r="R78" s="496">
        <v>692888</v>
      </c>
      <c r="S78" s="498">
        <v>0</v>
      </c>
      <c r="T78" s="498">
        <v>0</v>
      </c>
      <c r="U78" s="498">
        <f t="shared" ref="U78:U141" si="174">SUM(Q78:T78)</f>
        <v>692888</v>
      </c>
      <c r="V78" s="498">
        <v>0</v>
      </c>
      <c r="W78" s="498">
        <v>0</v>
      </c>
      <c r="X78" s="498">
        <v>0</v>
      </c>
      <c r="Y78" s="498">
        <f t="shared" si="5"/>
        <v>0</v>
      </c>
      <c r="Z78" s="498">
        <f t="shared" si="6"/>
        <v>692888</v>
      </c>
      <c r="AA78" s="131">
        <f t="shared" si="166"/>
        <v>234196</v>
      </c>
      <c r="AB78" s="131">
        <f t="shared" si="7"/>
        <v>13858</v>
      </c>
      <c r="AC78" s="498">
        <v>0</v>
      </c>
      <c r="AD78" s="498">
        <v>0</v>
      </c>
      <c r="AE78" s="498">
        <f t="shared" si="8"/>
        <v>0</v>
      </c>
      <c r="AF78" s="498">
        <f t="shared" si="9"/>
        <v>940942</v>
      </c>
      <c r="AG78" s="499">
        <v>0</v>
      </c>
      <c r="AH78" s="499">
        <v>0</v>
      </c>
      <c r="AI78" s="499">
        <v>2</v>
      </c>
      <c r="AJ78" s="499">
        <v>0</v>
      </c>
      <c r="AK78" s="499">
        <v>0</v>
      </c>
      <c r="AL78" s="499">
        <f t="shared" si="10"/>
        <v>2</v>
      </c>
      <c r="AM78" s="499">
        <f t="shared" si="11"/>
        <v>0</v>
      </c>
      <c r="AN78" s="500">
        <f t="shared" si="12"/>
        <v>2</v>
      </c>
      <c r="AO78" s="497">
        <f t="shared" si="167"/>
        <v>940942</v>
      </c>
      <c r="AP78" s="498">
        <f t="shared" si="168"/>
        <v>692888</v>
      </c>
      <c r="AQ78" s="498">
        <f t="shared" si="169"/>
        <v>0</v>
      </c>
      <c r="AR78" s="498">
        <f t="shared" si="170"/>
        <v>234196</v>
      </c>
      <c r="AS78" s="498">
        <f t="shared" si="170"/>
        <v>13858</v>
      </c>
      <c r="AT78" s="498">
        <f t="shared" si="171"/>
        <v>0</v>
      </c>
      <c r="AU78" s="499">
        <f t="shared" si="172"/>
        <v>2</v>
      </c>
      <c r="AV78" s="499">
        <f t="shared" si="173"/>
        <v>2</v>
      </c>
      <c r="AW78" s="500">
        <f t="shared" si="173"/>
        <v>0</v>
      </c>
    </row>
    <row r="79" spans="1:49" s="569" customFormat="1" x14ac:dyDescent="0.2">
      <c r="A79" s="531">
        <v>15</v>
      </c>
      <c r="B79" s="532">
        <v>4442</v>
      </c>
      <c r="C79" s="532">
        <v>600074901</v>
      </c>
      <c r="D79" s="532">
        <v>48283061</v>
      </c>
      <c r="E79" s="530" t="s">
        <v>177</v>
      </c>
      <c r="F79" s="532">
        <v>3141</v>
      </c>
      <c r="G79" s="533" t="s">
        <v>321</v>
      </c>
      <c r="H79" s="534" t="s">
        <v>284</v>
      </c>
      <c r="I79" s="575">
        <f t="shared" si="161"/>
        <v>1589298</v>
      </c>
      <c r="J79" s="496">
        <v>1160328</v>
      </c>
      <c r="K79" s="131">
        <f>ROUND((J79)*33.8%,0)</f>
        <v>392191</v>
      </c>
      <c r="L79" s="131">
        <f>ROUND(J79*2%,0)</f>
        <v>23207</v>
      </c>
      <c r="M79" s="496">
        <v>13572</v>
      </c>
      <c r="N79" s="576">
        <f t="shared" si="164"/>
        <v>3.95</v>
      </c>
      <c r="O79" s="577">
        <v>0</v>
      </c>
      <c r="P79" s="607">
        <v>3.95</v>
      </c>
      <c r="Q79" s="579">
        <f t="shared" si="165"/>
        <v>-8000</v>
      </c>
      <c r="R79" s="498">
        <v>0</v>
      </c>
      <c r="S79" s="498">
        <v>0</v>
      </c>
      <c r="T79" s="498">
        <v>0</v>
      </c>
      <c r="U79" s="498">
        <f t="shared" si="174"/>
        <v>-8000</v>
      </c>
      <c r="V79" s="498">
        <v>8000</v>
      </c>
      <c r="W79" s="498">
        <v>0</v>
      </c>
      <c r="X79" s="498">
        <v>0</v>
      </c>
      <c r="Y79" s="498">
        <f t="shared" ref="Y79:Y141" si="175">SUM(V79:X79)</f>
        <v>8000</v>
      </c>
      <c r="Z79" s="498">
        <f t="shared" ref="Z79:Z141" si="176">U79+Y79</f>
        <v>0</v>
      </c>
      <c r="AA79" s="131">
        <f t="shared" si="166"/>
        <v>0</v>
      </c>
      <c r="AB79" s="131">
        <f t="shared" ref="AB79:AB141" si="177">ROUND(U79*2%,0)</f>
        <v>-160</v>
      </c>
      <c r="AC79" s="498">
        <v>0</v>
      </c>
      <c r="AD79" s="498">
        <v>0</v>
      </c>
      <c r="AE79" s="498">
        <f t="shared" ref="AE79:AE141" si="178">SUM(AC79:AD79)</f>
        <v>0</v>
      </c>
      <c r="AF79" s="498">
        <f t="shared" ref="AF79:AF141" si="179">Z79+AA79+AB79+AE79</f>
        <v>-160</v>
      </c>
      <c r="AG79" s="499">
        <v>0</v>
      </c>
      <c r="AH79" s="499">
        <v>0</v>
      </c>
      <c r="AI79" s="499">
        <v>0</v>
      </c>
      <c r="AJ79" s="499">
        <v>0</v>
      </c>
      <c r="AK79" s="499">
        <v>0</v>
      </c>
      <c r="AL79" s="499">
        <f t="shared" ref="AL79:AL141" si="180">AG79+AI79+AJ79</f>
        <v>0</v>
      </c>
      <c r="AM79" s="499">
        <f t="shared" ref="AM79:AM141" si="181">AH79+AK79</f>
        <v>0</v>
      </c>
      <c r="AN79" s="500">
        <f t="shared" ref="AN79:AN141" si="182">SUM(AL79:AM79)</f>
        <v>0</v>
      </c>
      <c r="AO79" s="497">
        <f t="shared" si="167"/>
        <v>1589138</v>
      </c>
      <c r="AP79" s="498">
        <f t="shared" si="168"/>
        <v>1152328</v>
      </c>
      <c r="AQ79" s="498">
        <f t="shared" si="169"/>
        <v>8000</v>
      </c>
      <c r="AR79" s="498">
        <f t="shared" si="170"/>
        <v>392191</v>
      </c>
      <c r="AS79" s="498">
        <f t="shared" si="170"/>
        <v>23047</v>
      </c>
      <c r="AT79" s="498">
        <f t="shared" si="171"/>
        <v>13572</v>
      </c>
      <c r="AU79" s="499">
        <f t="shared" si="172"/>
        <v>3.95</v>
      </c>
      <c r="AV79" s="499">
        <f t="shared" si="173"/>
        <v>0</v>
      </c>
      <c r="AW79" s="500">
        <f t="shared" si="173"/>
        <v>3.95</v>
      </c>
    </row>
    <row r="80" spans="1:49" s="569" customFormat="1" x14ac:dyDescent="0.2">
      <c r="A80" s="531">
        <v>15</v>
      </c>
      <c r="B80" s="532">
        <v>4442</v>
      </c>
      <c r="C80" s="532">
        <v>600074901</v>
      </c>
      <c r="D80" s="532">
        <v>48283061</v>
      </c>
      <c r="E80" s="524" t="s">
        <v>177</v>
      </c>
      <c r="F80" s="532">
        <v>3143</v>
      </c>
      <c r="G80" s="533" t="s">
        <v>635</v>
      </c>
      <c r="H80" s="574" t="s">
        <v>283</v>
      </c>
      <c r="I80" s="575">
        <f t="shared" si="161"/>
        <v>1512979</v>
      </c>
      <c r="J80" s="496">
        <v>1114123</v>
      </c>
      <c r="K80" s="131">
        <f t="shared" ref="K80:K82" si="183">ROUND((J80)*33.8%,0)</f>
        <v>376574</v>
      </c>
      <c r="L80" s="131">
        <f t="shared" ref="L80:L82" si="184">ROUND(J80*2%,0)</f>
        <v>22282</v>
      </c>
      <c r="M80" s="496">
        <v>0</v>
      </c>
      <c r="N80" s="576">
        <f t="shared" si="164"/>
        <v>2.2757999999999998</v>
      </c>
      <c r="O80" s="577">
        <v>2.2757999999999998</v>
      </c>
      <c r="P80" s="607">
        <v>0</v>
      </c>
      <c r="Q80" s="579">
        <f t="shared" si="165"/>
        <v>-11200</v>
      </c>
      <c r="R80" s="498">
        <v>0</v>
      </c>
      <c r="S80" s="498">
        <v>0</v>
      </c>
      <c r="T80" s="498">
        <v>0</v>
      </c>
      <c r="U80" s="498">
        <f t="shared" si="174"/>
        <v>-11200</v>
      </c>
      <c r="V80" s="498">
        <v>11200</v>
      </c>
      <c r="W80" s="498">
        <v>0</v>
      </c>
      <c r="X80" s="498">
        <v>0</v>
      </c>
      <c r="Y80" s="498">
        <f t="shared" si="175"/>
        <v>11200</v>
      </c>
      <c r="Z80" s="498">
        <f t="shared" si="176"/>
        <v>0</v>
      </c>
      <c r="AA80" s="131">
        <f t="shared" si="166"/>
        <v>0</v>
      </c>
      <c r="AB80" s="131">
        <f t="shared" si="177"/>
        <v>-224</v>
      </c>
      <c r="AC80" s="498">
        <v>0</v>
      </c>
      <c r="AD80" s="498">
        <v>0</v>
      </c>
      <c r="AE80" s="498">
        <f t="shared" si="178"/>
        <v>0</v>
      </c>
      <c r="AF80" s="498">
        <f t="shared" si="179"/>
        <v>-224</v>
      </c>
      <c r="AG80" s="499">
        <v>0</v>
      </c>
      <c r="AH80" s="499">
        <v>0</v>
      </c>
      <c r="AI80" s="499">
        <v>0</v>
      </c>
      <c r="AJ80" s="499">
        <v>0</v>
      </c>
      <c r="AK80" s="499">
        <v>0</v>
      </c>
      <c r="AL80" s="499">
        <f t="shared" si="180"/>
        <v>0</v>
      </c>
      <c r="AM80" s="499">
        <f t="shared" si="181"/>
        <v>0</v>
      </c>
      <c r="AN80" s="500">
        <f t="shared" si="182"/>
        <v>0</v>
      </c>
      <c r="AO80" s="497">
        <f t="shared" si="167"/>
        <v>1512755</v>
      </c>
      <c r="AP80" s="498">
        <f t="shared" si="168"/>
        <v>1102923</v>
      </c>
      <c r="AQ80" s="498">
        <f t="shared" si="169"/>
        <v>11200</v>
      </c>
      <c r="AR80" s="498">
        <f t="shared" si="170"/>
        <v>376574</v>
      </c>
      <c r="AS80" s="498">
        <f t="shared" si="170"/>
        <v>22058</v>
      </c>
      <c r="AT80" s="498">
        <f t="shared" si="171"/>
        <v>0</v>
      </c>
      <c r="AU80" s="499">
        <f t="shared" si="172"/>
        <v>2.2757999999999998</v>
      </c>
      <c r="AV80" s="499">
        <f t="shared" si="173"/>
        <v>2.2757999999999998</v>
      </c>
      <c r="AW80" s="500">
        <f t="shared" si="173"/>
        <v>0</v>
      </c>
    </row>
    <row r="81" spans="1:49" s="569" customFormat="1" x14ac:dyDescent="0.2">
      <c r="A81" s="531">
        <v>15</v>
      </c>
      <c r="B81" s="532">
        <v>4442</v>
      </c>
      <c r="C81" s="532">
        <v>600074901</v>
      </c>
      <c r="D81" s="532">
        <v>48283061</v>
      </c>
      <c r="E81" s="524" t="s">
        <v>177</v>
      </c>
      <c r="F81" s="532">
        <v>3143</v>
      </c>
      <c r="G81" s="533" t="s">
        <v>636</v>
      </c>
      <c r="H81" s="574" t="s">
        <v>284</v>
      </c>
      <c r="I81" s="575">
        <f>SUM(J81:M81)</f>
        <v>53368</v>
      </c>
      <c r="J81" s="496">
        <v>37620</v>
      </c>
      <c r="K81" s="131">
        <f t="shared" si="183"/>
        <v>12716</v>
      </c>
      <c r="L81" s="131">
        <f t="shared" si="184"/>
        <v>752</v>
      </c>
      <c r="M81" s="496">
        <v>2280</v>
      </c>
      <c r="N81" s="576">
        <f t="shared" si="164"/>
        <v>0.16</v>
      </c>
      <c r="O81" s="577">
        <v>0</v>
      </c>
      <c r="P81" s="607">
        <v>0.16</v>
      </c>
      <c r="Q81" s="579">
        <f t="shared" si="165"/>
        <v>0</v>
      </c>
      <c r="R81" s="498">
        <v>0</v>
      </c>
      <c r="S81" s="498">
        <v>0</v>
      </c>
      <c r="T81" s="498">
        <v>0</v>
      </c>
      <c r="U81" s="498">
        <f t="shared" si="174"/>
        <v>0</v>
      </c>
      <c r="V81" s="498">
        <v>0</v>
      </c>
      <c r="W81" s="498">
        <v>0</v>
      </c>
      <c r="X81" s="498">
        <v>0</v>
      </c>
      <c r="Y81" s="498">
        <f t="shared" si="175"/>
        <v>0</v>
      </c>
      <c r="Z81" s="498">
        <f t="shared" si="176"/>
        <v>0</v>
      </c>
      <c r="AA81" s="131">
        <f t="shared" si="166"/>
        <v>0</v>
      </c>
      <c r="AB81" s="131">
        <f t="shared" si="177"/>
        <v>0</v>
      </c>
      <c r="AC81" s="498">
        <v>0</v>
      </c>
      <c r="AD81" s="498">
        <v>0</v>
      </c>
      <c r="AE81" s="498">
        <f t="shared" si="178"/>
        <v>0</v>
      </c>
      <c r="AF81" s="498">
        <f t="shared" si="179"/>
        <v>0</v>
      </c>
      <c r="AG81" s="499">
        <v>0</v>
      </c>
      <c r="AH81" s="499">
        <v>0</v>
      </c>
      <c r="AI81" s="499">
        <v>0</v>
      </c>
      <c r="AJ81" s="499">
        <v>0</v>
      </c>
      <c r="AK81" s="499">
        <v>0</v>
      </c>
      <c r="AL81" s="499">
        <f t="shared" si="180"/>
        <v>0</v>
      </c>
      <c r="AM81" s="499">
        <f t="shared" si="181"/>
        <v>0</v>
      </c>
      <c r="AN81" s="500">
        <f t="shared" si="182"/>
        <v>0</v>
      </c>
      <c r="AO81" s="497">
        <f t="shared" si="167"/>
        <v>53368</v>
      </c>
      <c r="AP81" s="498">
        <f t="shared" si="168"/>
        <v>37620</v>
      </c>
      <c r="AQ81" s="498">
        <f t="shared" si="169"/>
        <v>0</v>
      </c>
      <c r="AR81" s="498">
        <f t="shared" si="170"/>
        <v>12716</v>
      </c>
      <c r="AS81" s="498">
        <f t="shared" si="170"/>
        <v>752</v>
      </c>
      <c r="AT81" s="498">
        <f t="shared" si="171"/>
        <v>2280</v>
      </c>
      <c r="AU81" s="499">
        <f t="shared" si="172"/>
        <v>0.16</v>
      </c>
      <c r="AV81" s="499">
        <f t="shared" si="173"/>
        <v>0</v>
      </c>
      <c r="AW81" s="500">
        <f t="shared" si="173"/>
        <v>0.16</v>
      </c>
    </row>
    <row r="82" spans="1:49" s="569" customFormat="1" x14ac:dyDescent="0.2">
      <c r="A82" s="531">
        <v>15</v>
      </c>
      <c r="B82" s="532">
        <v>4442</v>
      </c>
      <c r="C82" s="532">
        <v>600074901</v>
      </c>
      <c r="D82" s="532">
        <v>48283061</v>
      </c>
      <c r="E82" s="524" t="s">
        <v>177</v>
      </c>
      <c r="F82" s="532">
        <v>3143</v>
      </c>
      <c r="G82" s="533" t="s">
        <v>323</v>
      </c>
      <c r="H82" s="574" t="s">
        <v>284</v>
      </c>
      <c r="I82" s="575">
        <f>SUM(J82:M82)</f>
        <v>325721</v>
      </c>
      <c r="J82" s="496">
        <v>239655</v>
      </c>
      <c r="K82" s="131">
        <f t="shared" si="183"/>
        <v>81003</v>
      </c>
      <c r="L82" s="131">
        <f t="shared" si="184"/>
        <v>4793</v>
      </c>
      <c r="M82" s="496">
        <v>270</v>
      </c>
      <c r="N82" s="576">
        <f t="shared" si="164"/>
        <v>0.52</v>
      </c>
      <c r="O82" s="577">
        <v>0.5</v>
      </c>
      <c r="P82" s="607">
        <v>0.02</v>
      </c>
      <c r="Q82" s="579">
        <f t="shared" si="165"/>
        <v>0</v>
      </c>
      <c r="R82" s="498">
        <v>0</v>
      </c>
      <c r="S82" s="498">
        <v>0</v>
      </c>
      <c r="T82" s="498">
        <v>0</v>
      </c>
      <c r="U82" s="498">
        <f t="shared" si="174"/>
        <v>0</v>
      </c>
      <c r="V82" s="498">
        <v>0</v>
      </c>
      <c r="W82" s="498">
        <v>0</v>
      </c>
      <c r="X82" s="498">
        <v>0</v>
      </c>
      <c r="Y82" s="498">
        <f t="shared" si="175"/>
        <v>0</v>
      </c>
      <c r="Z82" s="498">
        <f t="shared" si="176"/>
        <v>0</v>
      </c>
      <c r="AA82" s="131">
        <f t="shared" si="166"/>
        <v>0</v>
      </c>
      <c r="AB82" s="131">
        <f t="shared" si="177"/>
        <v>0</v>
      </c>
      <c r="AC82" s="498">
        <v>0</v>
      </c>
      <c r="AD82" s="498">
        <v>0</v>
      </c>
      <c r="AE82" s="498">
        <f t="shared" si="178"/>
        <v>0</v>
      </c>
      <c r="AF82" s="498">
        <f t="shared" si="179"/>
        <v>0</v>
      </c>
      <c r="AG82" s="499">
        <v>0</v>
      </c>
      <c r="AH82" s="499">
        <v>0</v>
      </c>
      <c r="AI82" s="499">
        <v>0</v>
      </c>
      <c r="AJ82" s="499">
        <v>0</v>
      </c>
      <c r="AK82" s="499">
        <v>0</v>
      </c>
      <c r="AL82" s="499">
        <f t="shared" si="180"/>
        <v>0</v>
      </c>
      <c r="AM82" s="499">
        <f t="shared" si="181"/>
        <v>0</v>
      </c>
      <c r="AN82" s="500">
        <f t="shared" si="182"/>
        <v>0</v>
      </c>
      <c r="AO82" s="497">
        <f t="shared" si="167"/>
        <v>325721</v>
      </c>
      <c r="AP82" s="498">
        <f t="shared" si="168"/>
        <v>239655</v>
      </c>
      <c r="AQ82" s="498">
        <f t="shared" si="169"/>
        <v>0</v>
      </c>
      <c r="AR82" s="498">
        <f t="shared" si="170"/>
        <v>81003</v>
      </c>
      <c r="AS82" s="498">
        <f t="shared" si="170"/>
        <v>4793</v>
      </c>
      <c r="AT82" s="498">
        <f t="shared" si="171"/>
        <v>270</v>
      </c>
      <c r="AU82" s="499">
        <f t="shared" si="172"/>
        <v>0.52</v>
      </c>
      <c r="AV82" s="499">
        <f t="shared" si="173"/>
        <v>0.5</v>
      </c>
      <c r="AW82" s="500">
        <f t="shared" si="173"/>
        <v>0.02</v>
      </c>
    </row>
    <row r="83" spans="1:49" s="569" customFormat="1" x14ac:dyDescent="0.2">
      <c r="A83" s="302">
        <v>15</v>
      </c>
      <c r="B83" s="32">
        <v>4442</v>
      </c>
      <c r="C83" s="32">
        <v>600074901</v>
      </c>
      <c r="D83" s="32">
        <v>48283061</v>
      </c>
      <c r="E83" s="311" t="s">
        <v>178</v>
      </c>
      <c r="F83" s="32"/>
      <c r="G83" s="301"/>
      <c r="H83" s="454"/>
      <c r="I83" s="5">
        <f t="shared" ref="I83:AW83" si="185">SUM(I77:I82)</f>
        <v>23847248</v>
      </c>
      <c r="J83" s="8">
        <f t="shared" si="185"/>
        <v>17237309</v>
      </c>
      <c r="K83" s="8">
        <f t="shared" si="185"/>
        <v>5826211</v>
      </c>
      <c r="L83" s="8">
        <f t="shared" si="185"/>
        <v>344746</v>
      </c>
      <c r="M83" s="8">
        <f t="shared" si="185"/>
        <v>438982</v>
      </c>
      <c r="N83" s="9">
        <f t="shared" si="185"/>
        <v>32.242899999999999</v>
      </c>
      <c r="O83" s="9">
        <f t="shared" si="185"/>
        <v>21.875800000000002</v>
      </c>
      <c r="P83" s="39">
        <f t="shared" si="185"/>
        <v>10.367100000000001</v>
      </c>
      <c r="Q83" s="5">
        <f t="shared" si="185"/>
        <v>-31200</v>
      </c>
      <c r="R83" s="8">
        <f t="shared" si="185"/>
        <v>692888</v>
      </c>
      <c r="S83" s="8">
        <f t="shared" si="185"/>
        <v>0</v>
      </c>
      <c r="T83" s="8">
        <f t="shared" si="185"/>
        <v>0</v>
      </c>
      <c r="U83" s="8">
        <f t="shared" si="185"/>
        <v>661688</v>
      </c>
      <c r="V83" s="8">
        <f t="shared" si="185"/>
        <v>31200</v>
      </c>
      <c r="W83" s="8">
        <f t="shared" si="185"/>
        <v>0</v>
      </c>
      <c r="X83" s="8">
        <f t="shared" si="185"/>
        <v>0</v>
      </c>
      <c r="Y83" s="8">
        <f t="shared" si="185"/>
        <v>31200</v>
      </c>
      <c r="Z83" s="8">
        <f t="shared" si="185"/>
        <v>692888</v>
      </c>
      <c r="AA83" s="8">
        <f t="shared" si="185"/>
        <v>234196</v>
      </c>
      <c r="AB83" s="8">
        <f t="shared" si="185"/>
        <v>13234</v>
      </c>
      <c r="AC83" s="8">
        <f t="shared" si="185"/>
        <v>0</v>
      </c>
      <c r="AD83" s="8">
        <f t="shared" si="185"/>
        <v>0</v>
      </c>
      <c r="AE83" s="8">
        <f t="shared" si="185"/>
        <v>0</v>
      </c>
      <c r="AF83" s="8">
        <f t="shared" si="185"/>
        <v>940318</v>
      </c>
      <c r="AG83" s="9">
        <f t="shared" si="185"/>
        <v>0</v>
      </c>
      <c r="AH83" s="9">
        <f t="shared" si="185"/>
        <v>0</v>
      </c>
      <c r="AI83" s="9">
        <f t="shared" si="185"/>
        <v>2</v>
      </c>
      <c r="AJ83" s="9">
        <f t="shared" si="185"/>
        <v>0</v>
      </c>
      <c r="AK83" s="9">
        <f t="shared" si="185"/>
        <v>0</v>
      </c>
      <c r="AL83" s="9">
        <f t="shared" si="185"/>
        <v>2</v>
      </c>
      <c r="AM83" s="9">
        <f t="shared" si="185"/>
        <v>0</v>
      </c>
      <c r="AN83" s="92">
        <f t="shared" si="185"/>
        <v>2</v>
      </c>
      <c r="AO83" s="295">
        <f t="shared" si="185"/>
        <v>24787566</v>
      </c>
      <c r="AP83" s="8">
        <f t="shared" si="185"/>
        <v>17898997</v>
      </c>
      <c r="AQ83" s="8">
        <f t="shared" si="185"/>
        <v>31200</v>
      </c>
      <c r="AR83" s="8">
        <f t="shared" si="185"/>
        <v>6060407</v>
      </c>
      <c r="AS83" s="8">
        <f t="shared" si="185"/>
        <v>357980</v>
      </c>
      <c r="AT83" s="8">
        <f t="shared" si="185"/>
        <v>438982</v>
      </c>
      <c r="AU83" s="9">
        <f t="shared" si="185"/>
        <v>34.242899999999999</v>
      </c>
      <c r="AV83" s="9">
        <f t="shared" si="185"/>
        <v>23.875800000000002</v>
      </c>
      <c r="AW83" s="92">
        <f t="shared" si="185"/>
        <v>10.367100000000001</v>
      </c>
    </row>
    <row r="84" spans="1:49" s="569" customFormat="1" x14ac:dyDescent="0.2">
      <c r="A84" s="531">
        <v>16</v>
      </c>
      <c r="B84" s="532">
        <v>4436</v>
      </c>
      <c r="C84" s="532">
        <v>600074986</v>
      </c>
      <c r="D84" s="532">
        <v>70982198</v>
      </c>
      <c r="E84" s="530" t="s">
        <v>179</v>
      </c>
      <c r="F84" s="532">
        <v>3113</v>
      </c>
      <c r="G84" s="533" t="s">
        <v>320</v>
      </c>
      <c r="H84" s="534" t="s">
        <v>283</v>
      </c>
      <c r="I84" s="575">
        <f t="shared" ref="I84:I87" si="186">SUM(J84:M84)</f>
        <v>28893474</v>
      </c>
      <c r="J84" s="496">
        <v>20808265</v>
      </c>
      <c r="K84" s="131">
        <f t="shared" ref="K84:K85" si="187">ROUND((J84)*33.8%,0)</f>
        <v>7033194</v>
      </c>
      <c r="L84" s="131">
        <f t="shared" ref="L84:L85" si="188">ROUND(J84*2%,0)</f>
        <v>416165</v>
      </c>
      <c r="M84" s="496">
        <v>635850</v>
      </c>
      <c r="N84" s="576">
        <f t="shared" ref="N84:N88" si="189">SUM(O84:P84)</f>
        <v>39.5623</v>
      </c>
      <c r="O84" s="577">
        <v>30.7727</v>
      </c>
      <c r="P84" s="607">
        <v>8.7896000000000001</v>
      </c>
      <c r="Q84" s="579">
        <f t="shared" ref="Q84:Q88" si="190">V84*-1</f>
        <v>-28000</v>
      </c>
      <c r="R84" s="498">
        <v>0</v>
      </c>
      <c r="S84" s="498">
        <v>0</v>
      </c>
      <c r="T84" s="498">
        <v>128475</v>
      </c>
      <c r="U84" s="498">
        <f t="shared" si="174"/>
        <v>100475</v>
      </c>
      <c r="V84" s="498">
        <v>28000</v>
      </c>
      <c r="W84" s="498">
        <v>0</v>
      </c>
      <c r="X84" s="498">
        <v>0</v>
      </c>
      <c r="Y84" s="498">
        <f t="shared" si="175"/>
        <v>28000</v>
      </c>
      <c r="Z84" s="498">
        <f t="shared" si="176"/>
        <v>128475</v>
      </c>
      <c r="AA84" s="131">
        <f t="shared" ref="AA84:AA88" si="191">ROUND((U84+V84+W84)*33.8%,0)</f>
        <v>43425</v>
      </c>
      <c r="AB84" s="131">
        <f t="shared" si="177"/>
        <v>2010</v>
      </c>
      <c r="AC84" s="498">
        <v>0</v>
      </c>
      <c r="AD84" s="498">
        <v>0</v>
      </c>
      <c r="AE84" s="498">
        <f t="shared" si="178"/>
        <v>0</v>
      </c>
      <c r="AF84" s="498">
        <f t="shared" si="179"/>
        <v>173910</v>
      </c>
      <c r="AG84" s="499">
        <v>-0.06</v>
      </c>
      <c r="AH84" s="499">
        <v>0</v>
      </c>
      <c r="AI84" s="499">
        <v>0</v>
      </c>
      <c r="AJ84" s="499">
        <v>0.22</v>
      </c>
      <c r="AK84" s="499">
        <v>0</v>
      </c>
      <c r="AL84" s="499">
        <f t="shared" si="180"/>
        <v>0.16</v>
      </c>
      <c r="AM84" s="499">
        <f t="shared" si="181"/>
        <v>0</v>
      </c>
      <c r="AN84" s="500">
        <f t="shared" si="182"/>
        <v>0.16</v>
      </c>
      <c r="AO84" s="497">
        <f>I84+AF84</f>
        <v>29067384</v>
      </c>
      <c r="AP84" s="498">
        <f>J84+U84</f>
        <v>20908740</v>
      </c>
      <c r="AQ84" s="498">
        <f t="shared" ref="AQ84:AQ88" si="192">Y84</f>
        <v>28000</v>
      </c>
      <c r="AR84" s="498">
        <f t="shared" ref="AR84:AS88" si="193">K84+AA84</f>
        <v>7076619</v>
      </c>
      <c r="AS84" s="498">
        <f t="shared" si="193"/>
        <v>418175</v>
      </c>
      <c r="AT84" s="498">
        <f>M84+AE84</f>
        <v>635850</v>
      </c>
      <c r="AU84" s="499">
        <f>N84+AN84</f>
        <v>39.722299999999997</v>
      </c>
      <c r="AV84" s="499">
        <f t="shared" ref="AV84:AW88" si="194">O84+AL84</f>
        <v>30.932700000000001</v>
      </c>
      <c r="AW84" s="500">
        <f t="shared" si="194"/>
        <v>8.7896000000000001</v>
      </c>
    </row>
    <row r="85" spans="1:49" s="569" customFormat="1" x14ac:dyDescent="0.2">
      <c r="A85" s="531">
        <v>16</v>
      </c>
      <c r="B85" s="532">
        <v>4436</v>
      </c>
      <c r="C85" s="532">
        <v>600074986</v>
      </c>
      <c r="D85" s="532">
        <v>70982198</v>
      </c>
      <c r="E85" s="530" t="s">
        <v>179</v>
      </c>
      <c r="F85" s="532">
        <v>3113</v>
      </c>
      <c r="G85" s="533" t="s">
        <v>318</v>
      </c>
      <c r="H85" s="534" t="s">
        <v>284</v>
      </c>
      <c r="I85" s="575">
        <f t="shared" si="186"/>
        <v>0</v>
      </c>
      <c r="J85" s="496">
        <v>0</v>
      </c>
      <c r="K85" s="131">
        <f t="shared" si="187"/>
        <v>0</v>
      </c>
      <c r="L85" s="131">
        <f t="shared" si="188"/>
        <v>0</v>
      </c>
      <c r="M85" s="496">
        <v>0</v>
      </c>
      <c r="N85" s="576">
        <f t="shared" si="189"/>
        <v>0</v>
      </c>
      <c r="O85" s="577">
        <v>0</v>
      </c>
      <c r="P85" s="607">
        <v>0</v>
      </c>
      <c r="Q85" s="579">
        <f t="shared" si="190"/>
        <v>0</v>
      </c>
      <c r="R85" s="496">
        <v>1520507</v>
      </c>
      <c r="S85" s="498">
        <v>0</v>
      </c>
      <c r="T85" s="498">
        <v>0</v>
      </c>
      <c r="U85" s="498">
        <f t="shared" si="174"/>
        <v>1520507</v>
      </c>
      <c r="V85" s="498">
        <v>0</v>
      </c>
      <c r="W85" s="498">
        <v>0</v>
      </c>
      <c r="X85" s="498">
        <v>0</v>
      </c>
      <c r="Y85" s="498">
        <f t="shared" si="175"/>
        <v>0</v>
      </c>
      <c r="Z85" s="498">
        <f t="shared" si="176"/>
        <v>1520507</v>
      </c>
      <c r="AA85" s="131">
        <f t="shared" si="191"/>
        <v>513931</v>
      </c>
      <c r="AB85" s="131">
        <f t="shared" si="177"/>
        <v>30410</v>
      </c>
      <c r="AC85" s="498">
        <v>0</v>
      </c>
      <c r="AD85" s="498">
        <v>0</v>
      </c>
      <c r="AE85" s="498">
        <f t="shared" si="178"/>
        <v>0</v>
      </c>
      <c r="AF85" s="498">
        <f t="shared" si="179"/>
        <v>2064848</v>
      </c>
      <c r="AG85" s="499">
        <v>0</v>
      </c>
      <c r="AH85" s="499">
        <v>0</v>
      </c>
      <c r="AI85" s="499">
        <v>4.3899999999999997</v>
      </c>
      <c r="AJ85" s="499">
        <v>0</v>
      </c>
      <c r="AK85" s="499">
        <v>0</v>
      </c>
      <c r="AL85" s="499">
        <f t="shared" si="180"/>
        <v>4.3899999999999997</v>
      </c>
      <c r="AM85" s="499">
        <f t="shared" si="181"/>
        <v>0</v>
      </c>
      <c r="AN85" s="500">
        <f t="shared" si="182"/>
        <v>4.3899999999999997</v>
      </c>
      <c r="AO85" s="497">
        <f>I85+AF85</f>
        <v>2064848</v>
      </c>
      <c r="AP85" s="498">
        <f>J85+U85</f>
        <v>1520507</v>
      </c>
      <c r="AQ85" s="498">
        <f t="shared" si="192"/>
        <v>0</v>
      </c>
      <c r="AR85" s="498">
        <f t="shared" si="193"/>
        <v>513931</v>
      </c>
      <c r="AS85" s="498">
        <f t="shared" si="193"/>
        <v>30410</v>
      </c>
      <c r="AT85" s="498">
        <f>M85+AE85</f>
        <v>0</v>
      </c>
      <c r="AU85" s="499">
        <f>N85+AN85</f>
        <v>4.3899999999999997</v>
      </c>
      <c r="AV85" s="499">
        <f t="shared" si="194"/>
        <v>4.3899999999999997</v>
      </c>
      <c r="AW85" s="500">
        <f t="shared" si="194"/>
        <v>0</v>
      </c>
    </row>
    <row r="86" spans="1:49" s="569" customFormat="1" x14ac:dyDescent="0.2">
      <c r="A86" s="531">
        <v>16</v>
      </c>
      <c r="B86" s="532">
        <v>4436</v>
      </c>
      <c r="C86" s="532">
        <v>600074986</v>
      </c>
      <c r="D86" s="532">
        <v>70982198</v>
      </c>
      <c r="E86" s="530" t="s">
        <v>179</v>
      </c>
      <c r="F86" s="532">
        <v>3141</v>
      </c>
      <c r="G86" s="533" t="s">
        <v>321</v>
      </c>
      <c r="H86" s="534" t="s">
        <v>284</v>
      </c>
      <c r="I86" s="575">
        <f t="shared" si="186"/>
        <v>1880273</v>
      </c>
      <c r="J86" s="496">
        <v>1372247</v>
      </c>
      <c r="K86" s="131">
        <f>ROUND((J86)*33.8%,0)</f>
        <v>463819</v>
      </c>
      <c r="L86" s="131">
        <f>ROUND(J86*2%,0)</f>
        <v>27445</v>
      </c>
      <c r="M86" s="496">
        <v>16762</v>
      </c>
      <c r="N86" s="576">
        <f t="shared" si="189"/>
        <v>4.67</v>
      </c>
      <c r="O86" s="577">
        <v>0</v>
      </c>
      <c r="P86" s="607">
        <v>4.67</v>
      </c>
      <c r="Q86" s="579">
        <f t="shared" si="190"/>
        <v>0</v>
      </c>
      <c r="R86" s="498">
        <v>0</v>
      </c>
      <c r="S86" s="498">
        <v>0</v>
      </c>
      <c r="T86" s="498">
        <v>0</v>
      </c>
      <c r="U86" s="498">
        <f t="shared" si="174"/>
        <v>0</v>
      </c>
      <c r="V86" s="498">
        <v>0</v>
      </c>
      <c r="W86" s="498">
        <v>0</v>
      </c>
      <c r="X86" s="498">
        <v>0</v>
      </c>
      <c r="Y86" s="498">
        <f t="shared" si="175"/>
        <v>0</v>
      </c>
      <c r="Z86" s="498">
        <f t="shared" si="176"/>
        <v>0</v>
      </c>
      <c r="AA86" s="131">
        <f t="shared" si="191"/>
        <v>0</v>
      </c>
      <c r="AB86" s="131">
        <f t="shared" si="177"/>
        <v>0</v>
      </c>
      <c r="AC86" s="498">
        <v>0</v>
      </c>
      <c r="AD86" s="498">
        <v>0</v>
      </c>
      <c r="AE86" s="498">
        <f t="shared" si="178"/>
        <v>0</v>
      </c>
      <c r="AF86" s="498">
        <f t="shared" si="179"/>
        <v>0</v>
      </c>
      <c r="AG86" s="499">
        <v>0</v>
      </c>
      <c r="AH86" s="499">
        <v>0</v>
      </c>
      <c r="AI86" s="499">
        <v>0</v>
      </c>
      <c r="AJ86" s="499">
        <v>0</v>
      </c>
      <c r="AK86" s="499">
        <v>0</v>
      </c>
      <c r="AL86" s="499">
        <f t="shared" si="180"/>
        <v>0</v>
      </c>
      <c r="AM86" s="499">
        <f t="shared" si="181"/>
        <v>0</v>
      </c>
      <c r="AN86" s="500">
        <f t="shared" si="182"/>
        <v>0</v>
      </c>
      <c r="AO86" s="497">
        <f>I86+AF86</f>
        <v>1880273</v>
      </c>
      <c r="AP86" s="498">
        <f>J86+U86</f>
        <v>1372247</v>
      </c>
      <c r="AQ86" s="498">
        <f t="shared" si="192"/>
        <v>0</v>
      </c>
      <c r="AR86" s="498">
        <f t="shared" si="193"/>
        <v>463819</v>
      </c>
      <c r="AS86" s="498">
        <f t="shared" si="193"/>
        <v>27445</v>
      </c>
      <c r="AT86" s="498">
        <f>M86+AE86</f>
        <v>16762</v>
      </c>
      <c r="AU86" s="499">
        <f>N86+AN86</f>
        <v>4.67</v>
      </c>
      <c r="AV86" s="499">
        <f t="shared" si="194"/>
        <v>0</v>
      </c>
      <c r="AW86" s="500">
        <f t="shared" si="194"/>
        <v>4.67</v>
      </c>
    </row>
    <row r="87" spans="1:49" s="569" customFormat="1" x14ac:dyDescent="0.2">
      <c r="A87" s="531">
        <v>16</v>
      </c>
      <c r="B87" s="532">
        <v>4436</v>
      </c>
      <c r="C87" s="532">
        <v>600074986</v>
      </c>
      <c r="D87" s="532">
        <v>70982198</v>
      </c>
      <c r="E87" s="524" t="s">
        <v>179</v>
      </c>
      <c r="F87" s="532">
        <v>3143</v>
      </c>
      <c r="G87" s="533" t="s">
        <v>635</v>
      </c>
      <c r="H87" s="574" t="s">
        <v>283</v>
      </c>
      <c r="I87" s="575">
        <f t="shared" si="186"/>
        <v>2873983</v>
      </c>
      <c r="J87" s="496">
        <v>2116335</v>
      </c>
      <c r="K87" s="131">
        <f t="shared" ref="K87:K88" si="195">ROUND((J87)*33.8%,0)</f>
        <v>715321</v>
      </c>
      <c r="L87" s="131">
        <f t="shared" ref="L87:L88" si="196">ROUND(J87*2%,0)</f>
        <v>42327</v>
      </c>
      <c r="M87" s="496">
        <v>0</v>
      </c>
      <c r="N87" s="576">
        <f t="shared" si="189"/>
        <v>4.4348000000000001</v>
      </c>
      <c r="O87" s="577">
        <v>4.4348000000000001</v>
      </c>
      <c r="P87" s="607">
        <v>0</v>
      </c>
      <c r="Q87" s="579">
        <f t="shared" si="190"/>
        <v>-4000</v>
      </c>
      <c r="R87" s="498">
        <v>0</v>
      </c>
      <c r="S87" s="498">
        <v>0</v>
      </c>
      <c r="T87" s="498">
        <v>0</v>
      </c>
      <c r="U87" s="498">
        <f t="shared" si="174"/>
        <v>-4000</v>
      </c>
      <c r="V87" s="498">
        <v>4000</v>
      </c>
      <c r="W87" s="498">
        <v>0</v>
      </c>
      <c r="X87" s="498">
        <v>0</v>
      </c>
      <c r="Y87" s="498">
        <f t="shared" si="175"/>
        <v>4000</v>
      </c>
      <c r="Z87" s="498">
        <f t="shared" si="176"/>
        <v>0</v>
      </c>
      <c r="AA87" s="131">
        <f t="shared" si="191"/>
        <v>0</v>
      </c>
      <c r="AB87" s="131">
        <f t="shared" si="177"/>
        <v>-80</v>
      </c>
      <c r="AC87" s="498">
        <v>0</v>
      </c>
      <c r="AD87" s="498">
        <v>0</v>
      </c>
      <c r="AE87" s="498">
        <f t="shared" si="178"/>
        <v>0</v>
      </c>
      <c r="AF87" s="498">
        <f t="shared" si="179"/>
        <v>-80</v>
      </c>
      <c r="AG87" s="499">
        <v>0</v>
      </c>
      <c r="AH87" s="499">
        <v>0</v>
      </c>
      <c r="AI87" s="499">
        <v>0</v>
      </c>
      <c r="AJ87" s="499">
        <v>0</v>
      </c>
      <c r="AK87" s="499">
        <v>0</v>
      </c>
      <c r="AL87" s="499">
        <f t="shared" si="180"/>
        <v>0</v>
      </c>
      <c r="AM87" s="499">
        <f t="shared" si="181"/>
        <v>0</v>
      </c>
      <c r="AN87" s="500">
        <f t="shared" si="182"/>
        <v>0</v>
      </c>
      <c r="AO87" s="497">
        <f>I87+AF87</f>
        <v>2873903</v>
      </c>
      <c r="AP87" s="498">
        <f>J87+U87</f>
        <v>2112335</v>
      </c>
      <c r="AQ87" s="498">
        <f t="shared" si="192"/>
        <v>4000</v>
      </c>
      <c r="AR87" s="498">
        <f t="shared" si="193"/>
        <v>715321</v>
      </c>
      <c r="AS87" s="498">
        <f t="shared" si="193"/>
        <v>42247</v>
      </c>
      <c r="AT87" s="498">
        <f>M87+AE87</f>
        <v>0</v>
      </c>
      <c r="AU87" s="499">
        <f>N87+AN87</f>
        <v>4.4348000000000001</v>
      </c>
      <c r="AV87" s="499">
        <f t="shared" si="194"/>
        <v>4.4348000000000001</v>
      </c>
      <c r="AW87" s="500">
        <f t="shared" si="194"/>
        <v>0</v>
      </c>
    </row>
    <row r="88" spans="1:49" s="569" customFormat="1" x14ac:dyDescent="0.2">
      <c r="A88" s="531">
        <v>16</v>
      </c>
      <c r="B88" s="532">
        <v>4436</v>
      </c>
      <c r="C88" s="532">
        <v>600074986</v>
      </c>
      <c r="D88" s="532">
        <v>70982198</v>
      </c>
      <c r="E88" s="524" t="s">
        <v>179</v>
      </c>
      <c r="F88" s="532">
        <v>3143</v>
      </c>
      <c r="G88" s="533" t="s">
        <v>636</v>
      </c>
      <c r="H88" s="574" t="s">
        <v>284</v>
      </c>
      <c r="I88" s="575">
        <f>SUM(J88:M88)</f>
        <v>81456</v>
      </c>
      <c r="J88" s="496">
        <v>57420</v>
      </c>
      <c r="K88" s="131">
        <f t="shared" si="195"/>
        <v>19408</v>
      </c>
      <c r="L88" s="131">
        <f t="shared" si="196"/>
        <v>1148</v>
      </c>
      <c r="M88" s="496">
        <v>3480</v>
      </c>
      <c r="N88" s="576">
        <f t="shared" si="189"/>
        <v>0.24</v>
      </c>
      <c r="O88" s="577">
        <v>0</v>
      </c>
      <c r="P88" s="607">
        <v>0.24</v>
      </c>
      <c r="Q88" s="579">
        <f t="shared" si="190"/>
        <v>0</v>
      </c>
      <c r="R88" s="498">
        <v>0</v>
      </c>
      <c r="S88" s="498">
        <v>0</v>
      </c>
      <c r="T88" s="498">
        <v>0</v>
      </c>
      <c r="U88" s="498">
        <f t="shared" si="174"/>
        <v>0</v>
      </c>
      <c r="V88" s="498">
        <v>0</v>
      </c>
      <c r="W88" s="498">
        <v>0</v>
      </c>
      <c r="X88" s="498">
        <v>0</v>
      </c>
      <c r="Y88" s="498">
        <f t="shared" si="175"/>
        <v>0</v>
      </c>
      <c r="Z88" s="498">
        <f t="shared" si="176"/>
        <v>0</v>
      </c>
      <c r="AA88" s="131">
        <f t="shared" si="191"/>
        <v>0</v>
      </c>
      <c r="AB88" s="131">
        <f t="shared" si="177"/>
        <v>0</v>
      </c>
      <c r="AC88" s="498">
        <v>0</v>
      </c>
      <c r="AD88" s="498">
        <v>0</v>
      </c>
      <c r="AE88" s="498">
        <f t="shared" si="178"/>
        <v>0</v>
      </c>
      <c r="AF88" s="498">
        <f t="shared" si="179"/>
        <v>0</v>
      </c>
      <c r="AG88" s="499">
        <v>0</v>
      </c>
      <c r="AH88" s="499">
        <v>0</v>
      </c>
      <c r="AI88" s="499">
        <v>0</v>
      </c>
      <c r="AJ88" s="499">
        <v>0</v>
      </c>
      <c r="AK88" s="499">
        <v>0</v>
      </c>
      <c r="AL88" s="499">
        <f t="shared" si="180"/>
        <v>0</v>
      </c>
      <c r="AM88" s="499">
        <f t="shared" si="181"/>
        <v>0</v>
      </c>
      <c r="AN88" s="500">
        <f t="shared" si="182"/>
        <v>0</v>
      </c>
      <c r="AO88" s="497">
        <f>I88+AF88</f>
        <v>81456</v>
      </c>
      <c r="AP88" s="498">
        <f>J88+U88</f>
        <v>57420</v>
      </c>
      <c r="AQ88" s="498">
        <f t="shared" si="192"/>
        <v>0</v>
      </c>
      <c r="AR88" s="498">
        <f t="shared" si="193"/>
        <v>19408</v>
      </c>
      <c r="AS88" s="498">
        <f t="shared" si="193"/>
        <v>1148</v>
      </c>
      <c r="AT88" s="498">
        <f>M88+AE88</f>
        <v>3480</v>
      </c>
      <c r="AU88" s="499">
        <f>N88+AN88</f>
        <v>0.24</v>
      </c>
      <c r="AV88" s="499">
        <f t="shared" si="194"/>
        <v>0</v>
      </c>
      <c r="AW88" s="500">
        <f t="shared" si="194"/>
        <v>0.24</v>
      </c>
    </row>
    <row r="89" spans="1:49" s="569" customFormat="1" x14ac:dyDescent="0.2">
      <c r="A89" s="302">
        <v>16</v>
      </c>
      <c r="B89" s="32">
        <v>4436</v>
      </c>
      <c r="C89" s="32">
        <v>600074986</v>
      </c>
      <c r="D89" s="32">
        <v>70982198</v>
      </c>
      <c r="E89" s="311" t="s">
        <v>180</v>
      </c>
      <c r="F89" s="32"/>
      <c r="G89" s="301"/>
      <c r="H89" s="454"/>
      <c r="I89" s="5">
        <f t="shared" ref="I89:AW89" si="197">SUM(I84:I88)</f>
        <v>33729186</v>
      </c>
      <c r="J89" s="8">
        <f t="shared" si="197"/>
        <v>24354267</v>
      </c>
      <c r="K89" s="8">
        <f t="shared" si="197"/>
        <v>8231742</v>
      </c>
      <c r="L89" s="8">
        <f t="shared" si="197"/>
        <v>487085</v>
      </c>
      <c r="M89" s="8">
        <f t="shared" si="197"/>
        <v>656092</v>
      </c>
      <c r="N89" s="9">
        <f t="shared" si="197"/>
        <v>48.907100000000007</v>
      </c>
      <c r="O89" s="9">
        <f t="shared" si="197"/>
        <v>35.207500000000003</v>
      </c>
      <c r="P89" s="39">
        <f t="shared" si="197"/>
        <v>13.6996</v>
      </c>
      <c r="Q89" s="5">
        <f t="shared" si="197"/>
        <v>-32000</v>
      </c>
      <c r="R89" s="8">
        <f t="shared" si="197"/>
        <v>1520507</v>
      </c>
      <c r="S89" s="8">
        <f t="shared" si="197"/>
        <v>0</v>
      </c>
      <c r="T89" s="8">
        <f t="shared" si="197"/>
        <v>128475</v>
      </c>
      <c r="U89" s="8">
        <f t="shared" si="197"/>
        <v>1616982</v>
      </c>
      <c r="V89" s="8">
        <f t="shared" si="197"/>
        <v>32000</v>
      </c>
      <c r="W89" s="8">
        <f t="shared" si="197"/>
        <v>0</v>
      </c>
      <c r="X89" s="8">
        <f t="shared" si="197"/>
        <v>0</v>
      </c>
      <c r="Y89" s="8">
        <f t="shared" si="197"/>
        <v>32000</v>
      </c>
      <c r="Z89" s="8">
        <f t="shared" si="197"/>
        <v>1648982</v>
      </c>
      <c r="AA89" s="8">
        <f t="shared" si="197"/>
        <v>557356</v>
      </c>
      <c r="AB89" s="8">
        <f t="shared" si="197"/>
        <v>32340</v>
      </c>
      <c r="AC89" s="8">
        <f t="shared" si="197"/>
        <v>0</v>
      </c>
      <c r="AD89" s="8">
        <f t="shared" si="197"/>
        <v>0</v>
      </c>
      <c r="AE89" s="8">
        <f t="shared" si="197"/>
        <v>0</v>
      </c>
      <c r="AF89" s="8">
        <f t="shared" si="197"/>
        <v>2238678</v>
      </c>
      <c r="AG89" s="9">
        <f t="shared" si="197"/>
        <v>-0.06</v>
      </c>
      <c r="AH89" s="9">
        <f t="shared" si="197"/>
        <v>0</v>
      </c>
      <c r="AI89" s="9">
        <f t="shared" si="197"/>
        <v>4.3899999999999997</v>
      </c>
      <c r="AJ89" s="9">
        <f t="shared" si="197"/>
        <v>0.22</v>
      </c>
      <c r="AK89" s="9">
        <f t="shared" si="197"/>
        <v>0</v>
      </c>
      <c r="AL89" s="9">
        <f t="shared" si="197"/>
        <v>4.55</v>
      </c>
      <c r="AM89" s="9">
        <f t="shared" si="197"/>
        <v>0</v>
      </c>
      <c r="AN89" s="92">
        <f t="shared" si="197"/>
        <v>4.55</v>
      </c>
      <c r="AO89" s="295">
        <f t="shared" si="197"/>
        <v>35967864</v>
      </c>
      <c r="AP89" s="8">
        <f t="shared" si="197"/>
        <v>25971249</v>
      </c>
      <c r="AQ89" s="8">
        <f t="shared" si="197"/>
        <v>32000</v>
      </c>
      <c r="AR89" s="8">
        <f t="shared" si="197"/>
        <v>8789098</v>
      </c>
      <c r="AS89" s="8">
        <f t="shared" si="197"/>
        <v>519425</v>
      </c>
      <c r="AT89" s="8">
        <f t="shared" si="197"/>
        <v>656092</v>
      </c>
      <c r="AU89" s="9">
        <f t="shared" si="197"/>
        <v>53.457100000000004</v>
      </c>
      <c r="AV89" s="9">
        <f t="shared" si="197"/>
        <v>39.7575</v>
      </c>
      <c r="AW89" s="92">
        <f t="shared" si="197"/>
        <v>13.6996</v>
      </c>
    </row>
    <row r="90" spans="1:49" s="569" customFormat="1" x14ac:dyDescent="0.2">
      <c r="A90" s="531">
        <v>17</v>
      </c>
      <c r="B90" s="532">
        <v>4454</v>
      </c>
      <c r="C90" s="532">
        <v>600074811</v>
      </c>
      <c r="D90" s="532">
        <v>48283070</v>
      </c>
      <c r="E90" s="530" t="s">
        <v>181</v>
      </c>
      <c r="F90" s="532">
        <v>3113</v>
      </c>
      <c r="G90" s="533" t="s">
        <v>320</v>
      </c>
      <c r="H90" s="534" t="s">
        <v>283</v>
      </c>
      <c r="I90" s="575">
        <f t="shared" ref="I90:I93" si="198">SUM(J90:M90)</f>
        <v>29155880</v>
      </c>
      <c r="J90" s="496">
        <v>21005567</v>
      </c>
      <c r="K90" s="131">
        <f t="shared" ref="K90:K91" si="199">ROUND((J90)*33.8%,0)</f>
        <v>7099882</v>
      </c>
      <c r="L90" s="131">
        <f t="shared" ref="L90:L91" si="200">ROUND(J90*2%,0)</f>
        <v>420111</v>
      </c>
      <c r="M90" s="496">
        <v>630320</v>
      </c>
      <c r="N90" s="576">
        <f t="shared" ref="N90:N94" si="201">SUM(O90:P90)</f>
        <v>37.925399999999996</v>
      </c>
      <c r="O90" s="577">
        <v>29.135999999999999</v>
      </c>
      <c r="P90" s="607">
        <v>8.7894000000000005</v>
      </c>
      <c r="Q90" s="579">
        <f t="shared" ref="Q90:Q94" si="202">V90*-1</f>
        <v>-54400</v>
      </c>
      <c r="R90" s="498">
        <v>0</v>
      </c>
      <c r="S90" s="498">
        <v>0</v>
      </c>
      <c r="T90" s="498">
        <v>164448</v>
      </c>
      <c r="U90" s="498">
        <f t="shared" si="174"/>
        <v>110048</v>
      </c>
      <c r="V90" s="498">
        <v>54400</v>
      </c>
      <c r="W90" s="498">
        <v>0</v>
      </c>
      <c r="X90" s="498">
        <v>0</v>
      </c>
      <c r="Y90" s="498">
        <f t="shared" si="175"/>
        <v>54400</v>
      </c>
      <c r="Z90" s="498">
        <f t="shared" si="176"/>
        <v>164448</v>
      </c>
      <c r="AA90" s="131">
        <f t="shared" ref="AA90:AA94" si="203">ROUND((U90+V90+W90)*33.8%,0)</f>
        <v>55583</v>
      </c>
      <c r="AB90" s="131">
        <f t="shared" si="177"/>
        <v>2201</v>
      </c>
      <c r="AC90" s="498">
        <v>0</v>
      </c>
      <c r="AD90" s="498">
        <v>0</v>
      </c>
      <c r="AE90" s="498">
        <f t="shared" si="178"/>
        <v>0</v>
      </c>
      <c r="AF90" s="498">
        <f t="shared" si="179"/>
        <v>222232</v>
      </c>
      <c r="AG90" s="499">
        <v>-0.11</v>
      </c>
      <c r="AH90" s="499">
        <v>0</v>
      </c>
      <c r="AI90" s="499">
        <v>0</v>
      </c>
      <c r="AJ90" s="499">
        <v>0.28000000000000003</v>
      </c>
      <c r="AK90" s="499">
        <v>0</v>
      </c>
      <c r="AL90" s="499">
        <f t="shared" si="180"/>
        <v>0.17000000000000004</v>
      </c>
      <c r="AM90" s="499">
        <f t="shared" si="181"/>
        <v>0</v>
      </c>
      <c r="AN90" s="500">
        <f t="shared" si="182"/>
        <v>0.17000000000000004</v>
      </c>
      <c r="AO90" s="497">
        <f>I90+AF90</f>
        <v>29378112</v>
      </c>
      <c r="AP90" s="498">
        <f>J90+U90</f>
        <v>21115615</v>
      </c>
      <c r="AQ90" s="498">
        <f t="shared" ref="AQ90:AQ94" si="204">Y90</f>
        <v>54400</v>
      </c>
      <c r="AR90" s="498">
        <f t="shared" ref="AR90:AS94" si="205">K90+AA90</f>
        <v>7155465</v>
      </c>
      <c r="AS90" s="498">
        <f t="shared" si="205"/>
        <v>422312</v>
      </c>
      <c r="AT90" s="498">
        <f>M90+AE90</f>
        <v>630320</v>
      </c>
      <c r="AU90" s="499">
        <f>N90+AN90</f>
        <v>38.095399999999998</v>
      </c>
      <c r="AV90" s="499">
        <f t="shared" ref="AV90:AW94" si="206">O90+AL90</f>
        <v>29.306000000000001</v>
      </c>
      <c r="AW90" s="500">
        <f t="shared" si="206"/>
        <v>8.7894000000000005</v>
      </c>
    </row>
    <row r="91" spans="1:49" s="569" customFormat="1" x14ac:dyDescent="0.2">
      <c r="A91" s="531">
        <v>17</v>
      </c>
      <c r="B91" s="532">
        <v>4454</v>
      </c>
      <c r="C91" s="532">
        <v>600074811</v>
      </c>
      <c r="D91" s="532">
        <v>48283070</v>
      </c>
      <c r="E91" s="530" t="s">
        <v>181</v>
      </c>
      <c r="F91" s="532">
        <v>3113</v>
      </c>
      <c r="G91" s="533" t="s">
        <v>318</v>
      </c>
      <c r="H91" s="534" t="s">
        <v>284</v>
      </c>
      <c r="I91" s="575">
        <f t="shared" si="198"/>
        <v>0</v>
      </c>
      <c r="J91" s="496">
        <v>0</v>
      </c>
      <c r="K91" s="131">
        <f t="shared" si="199"/>
        <v>0</v>
      </c>
      <c r="L91" s="131">
        <f t="shared" si="200"/>
        <v>0</v>
      </c>
      <c r="M91" s="496">
        <v>0</v>
      </c>
      <c r="N91" s="576">
        <f t="shared" si="201"/>
        <v>0</v>
      </c>
      <c r="O91" s="577">
        <v>0</v>
      </c>
      <c r="P91" s="607">
        <v>0</v>
      </c>
      <c r="Q91" s="579">
        <f t="shared" si="202"/>
        <v>0</v>
      </c>
      <c r="R91" s="496">
        <f>2557991+194875</f>
        <v>2752866</v>
      </c>
      <c r="S91" s="498">
        <v>0</v>
      </c>
      <c r="T91" s="498">
        <v>0</v>
      </c>
      <c r="U91" s="498">
        <f t="shared" si="174"/>
        <v>2752866</v>
      </c>
      <c r="V91" s="498">
        <v>0</v>
      </c>
      <c r="W91" s="498">
        <v>0</v>
      </c>
      <c r="X91" s="498">
        <v>0</v>
      </c>
      <c r="Y91" s="498">
        <f t="shared" si="175"/>
        <v>0</v>
      </c>
      <c r="Z91" s="498">
        <f t="shared" si="176"/>
        <v>2752866</v>
      </c>
      <c r="AA91" s="131">
        <f t="shared" si="203"/>
        <v>930469</v>
      </c>
      <c r="AB91" s="131">
        <f t="shared" si="177"/>
        <v>55057</v>
      </c>
      <c r="AC91" s="498">
        <f>10000+500</f>
        <v>10500</v>
      </c>
      <c r="AD91" s="498">
        <v>0</v>
      </c>
      <c r="AE91" s="498">
        <f t="shared" si="178"/>
        <v>10500</v>
      </c>
      <c r="AF91" s="498">
        <f t="shared" si="179"/>
        <v>3748892</v>
      </c>
      <c r="AG91" s="499">
        <v>0</v>
      </c>
      <c r="AH91" s="499">
        <v>0</v>
      </c>
      <c r="AI91" s="499">
        <f>7.35+0.57</f>
        <v>7.92</v>
      </c>
      <c r="AJ91" s="499">
        <v>0</v>
      </c>
      <c r="AK91" s="499">
        <v>0</v>
      </c>
      <c r="AL91" s="499">
        <f t="shared" si="180"/>
        <v>7.92</v>
      </c>
      <c r="AM91" s="499">
        <f t="shared" si="181"/>
        <v>0</v>
      </c>
      <c r="AN91" s="500">
        <f t="shared" si="182"/>
        <v>7.92</v>
      </c>
      <c r="AO91" s="497">
        <f>I91+AF91</f>
        <v>3748892</v>
      </c>
      <c r="AP91" s="498">
        <f>J91+U91</f>
        <v>2752866</v>
      </c>
      <c r="AQ91" s="498">
        <f t="shared" si="204"/>
        <v>0</v>
      </c>
      <c r="AR91" s="498">
        <f t="shared" si="205"/>
        <v>930469</v>
      </c>
      <c r="AS91" s="498">
        <f t="shared" si="205"/>
        <v>55057</v>
      </c>
      <c r="AT91" s="498">
        <f>M91+AE91</f>
        <v>10500</v>
      </c>
      <c r="AU91" s="499">
        <f>N91+AN91</f>
        <v>7.92</v>
      </c>
      <c r="AV91" s="499">
        <f t="shared" si="206"/>
        <v>7.92</v>
      </c>
      <c r="AW91" s="500">
        <f t="shared" si="206"/>
        <v>0</v>
      </c>
    </row>
    <row r="92" spans="1:49" s="569" customFormat="1" x14ac:dyDescent="0.2">
      <c r="A92" s="531">
        <v>17</v>
      </c>
      <c r="B92" s="532">
        <v>4454</v>
      </c>
      <c r="C92" s="532">
        <v>600074811</v>
      </c>
      <c r="D92" s="532">
        <v>48283070</v>
      </c>
      <c r="E92" s="530" t="s">
        <v>181</v>
      </c>
      <c r="F92" s="532">
        <v>3141</v>
      </c>
      <c r="G92" s="533" t="s">
        <v>321</v>
      </c>
      <c r="H92" s="534" t="s">
        <v>284</v>
      </c>
      <c r="I92" s="575">
        <f t="shared" si="198"/>
        <v>2932532</v>
      </c>
      <c r="J92" s="496">
        <v>2137966</v>
      </c>
      <c r="K92" s="131">
        <f>ROUND((J92)*33.8%,0)</f>
        <v>722633</v>
      </c>
      <c r="L92" s="131">
        <f>ROUND(J92*2%,0)</f>
        <v>42759</v>
      </c>
      <c r="M92" s="496">
        <v>29174</v>
      </c>
      <c r="N92" s="576">
        <f t="shared" si="201"/>
        <v>7.27</v>
      </c>
      <c r="O92" s="577">
        <v>0</v>
      </c>
      <c r="P92" s="607">
        <v>7.27</v>
      </c>
      <c r="Q92" s="579">
        <f t="shared" si="202"/>
        <v>0</v>
      </c>
      <c r="R92" s="498">
        <v>0</v>
      </c>
      <c r="S92" s="498">
        <v>0</v>
      </c>
      <c r="T92" s="498">
        <v>0</v>
      </c>
      <c r="U92" s="498">
        <f t="shared" si="174"/>
        <v>0</v>
      </c>
      <c r="V92" s="498">
        <v>0</v>
      </c>
      <c r="W92" s="498">
        <v>0</v>
      </c>
      <c r="X92" s="498">
        <v>0</v>
      </c>
      <c r="Y92" s="498">
        <f t="shared" si="175"/>
        <v>0</v>
      </c>
      <c r="Z92" s="498">
        <f t="shared" si="176"/>
        <v>0</v>
      </c>
      <c r="AA92" s="131">
        <f t="shared" si="203"/>
        <v>0</v>
      </c>
      <c r="AB92" s="131">
        <f t="shared" si="177"/>
        <v>0</v>
      </c>
      <c r="AC92" s="498">
        <v>0</v>
      </c>
      <c r="AD92" s="498">
        <v>0</v>
      </c>
      <c r="AE92" s="498">
        <f t="shared" si="178"/>
        <v>0</v>
      </c>
      <c r="AF92" s="498">
        <f t="shared" si="179"/>
        <v>0</v>
      </c>
      <c r="AG92" s="499">
        <v>0</v>
      </c>
      <c r="AH92" s="499">
        <v>0</v>
      </c>
      <c r="AI92" s="499">
        <v>0</v>
      </c>
      <c r="AJ92" s="499">
        <v>0</v>
      </c>
      <c r="AK92" s="499">
        <v>0</v>
      </c>
      <c r="AL92" s="499">
        <f t="shared" si="180"/>
        <v>0</v>
      </c>
      <c r="AM92" s="499">
        <f t="shared" si="181"/>
        <v>0</v>
      </c>
      <c r="AN92" s="500">
        <f t="shared" si="182"/>
        <v>0</v>
      </c>
      <c r="AO92" s="497">
        <f>I92+AF92</f>
        <v>2932532</v>
      </c>
      <c r="AP92" s="498">
        <f>J92+U92</f>
        <v>2137966</v>
      </c>
      <c r="AQ92" s="498">
        <f t="shared" si="204"/>
        <v>0</v>
      </c>
      <c r="AR92" s="498">
        <f t="shared" si="205"/>
        <v>722633</v>
      </c>
      <c r="AS92" s="498">
        <f t="shared" si="205"/>
        <v>42759</v>
      </c>
      <c r="AT92" s="498">
        <f>M92+AE92</f>
        <v>29174</v>
      </c>
      <c r="AU92" s="499">
        <f>N92+AN92</f>
        <v>7.27</v>
      </c>
      <c r="AV92" s="499">
        <f t="shared" si="206"/>
        <v>0</v>
      </c>
      <c r="AW92" s="500">
        <f t="shared" si="206"/>
        <v>7.27</v>
      </c>
    </row>
    <row r="93" spans="1:49" s="569" customFormat="1" x14ac:dyDescent="0.2">
      <c r="A93" s="531">
        <v>17</v>
      </c>
      <c r="B93" s="532">
        <v>4454</v>
      </c>
      <c r="C93" s="532">
        <v>600074811</v>
      </c>
      <c r="D93" s="532">
        <v>48283070</v>
      </c>
      <c r="E93" s="524" t="s">
        <v>181</v>
      </c>
      <c r="F93" s="532">
        <v>3143</v>
      </c>
      <c r="G93" s="533" t="s">
        <v>635</v>
      </c>
      <c r="H93" s="574" t="s">
        <v>283</v>
      </c>
      <c r="I93" s="575">
        <f t="shared" si="198"/>
        <v>2477983</v>
      </c>
      <c r="J93" s="496">
        <v>1824730</v>
      </c>
      <c r="K93" s="131">
        <v>616758</v>
      </c>
      <c r="L93" s="131">
        <f t="shared" ref="L93:L94" si="207">ROUND(J93*2%,0)</f>
        <v>36495</v>
      </c>
      <c r="M93" s="496">
        <v>0</v>
      </c>
      <c r="N93" s="576">
        <f t="shared" si="201"/>
        <v>3.5710000000000002</v>
      </c>
      <c r="O93" s="577">
        <v>3.5710000000000002</v>
      </c>
      <c r="P93" s="607">
        <v>0</v>
      </c>
      <c r="Q93" s="579">
        <f t="shared" si="202"/>
        <v>-16000</v>
      </c>
      <c r="R93" s="498">
        <v>0</v>
      </c>
      <c r="S93" s="498">
        <v>0</v>
      </c>
      <c r="T93" s="498">
        <v>0</v>
      </c>
      <c r="U93" s="498">
        <f t="shared" si="174"/>
        <v>-16000</v>
      </c>
      <c r="V93" s="498">
        <v>16000</v>
      </c>
      <c r="W93" s="498">
        <v>0</v>
      </c>
      <c r="X93" s="498">
        <v>0</v>
      </c>
      <c r="Y93" s="498">
        <f t="shared" si="175"/>
        <v>16000</v>
      </c>
      <c r="Z93" s="498">
        <f t="shared" si="176"/>
        <v>0</v>
      </c>
      <c r="AA93" s="131">
        <f t="shared" si="203"/>
        <v>0</v>
      </c>
      <c r="AB93" s="131">
        <f t="shared" si="177"/>
        <v>-320</v>
      </c>
      <c r="AC93" s="498">
        <v>0</v>
      </c>
      <c r="AD93" s="498">
        <v>0</v>
      </c>
      <c r="AE93" s="498">
        <f t="shared" si="178"/>
        <v>0</v>
      </c>
      <c r="AF93" s="498">
        <f t="shared" si="179"/>
        <v>-320</v>
      </c>
      <c r="AG93" s="499">
        <v>-0.01</v>
      </c>
      <c r="AH93" s="499">
        <v>0</v>
      </c>
      <c r="AI93" s="499">
        <v>0</v>
      </c>
      <c r="AJ93" s="499">
        <v>0</v>
      </c>
      <c r="AK93" s="499">
        <v>0</v>
      </c>
      <c r="AL93" s="499">
        <f t="shared" si="180"/>
        <v>-0.01</v>
      </c>
      <c r="AM93" s="499">
        <f t="shared" si="181"/>
        <v>0</v>
      </c>
      <c r="AN93" s="500">
        <f t="shared" si="182"/>
        <v>-0.01</v>
      </c>
      <c r="AO93" s="497">
        <f>I93+AF93</f>
        <v>2477663</v>
      </c>
      <c r="AP93" s="498">
        <f>J93+U93</f>
        <v>1808730</v>
      </c>
      <c r="AQ93" s="498">
        <f t="shared" si="204"/>
        <v>16000</v>
      </c>
      <c r="AR93" s="498">
        <f t="shared" si="205"/>
        <v>616758</v>
      </c>
      <c r="AS93" s="498">
        <f t="shared" si="205"/>
        <v>36175</v>
      </c>
      <c r="AT93" s="498">
        <f>M93+AE93</f>
        <v>0</v>
      </c>
      <c r="AU93" s="499">
        <f>N93+AN93</f>
        <v>3.5610000000000004</v>
      </c>
      <c r="AV93" s="499">
        <f t="shared" si="206"/>
        <v>3.5610000000000004</v>
      </c>
      <c r="AW93" s="500">
        <f t="shared" si="206"/>
        <v>0</v>
      </c>
    </row>
    <row r="94" spans="1:49" s="569" customFormat="1" x14ac:dyDescent="0.2">
      <c r="A94" s="531">
        <v>17</v>
      </c>
      <c r="B94" s="532">
        <v>4454</v>
      </c>
      <c r="C94" s="532">
        <v>600074811</v>
      </c>
      <c r="D94" s="532">
        <v>48283070</v>
      </c>
      <c r="E94" s="524" t="s">
        <v>181</v>
      </c>
      <c r="F94" s="532">
        <v>3143</v>
      </c>
      <c r="G94" s="533" t="s">
        <v>636</v>
      </c>
      <c r="H94" s="574" t="s">
        <v>284</v>
      </c>
      <c r="I94" s="575">
        <f>SUM(J94:M94)</f>
        <v>84265</v>
      </c>
      <c r="J94" s="496">
        <v>59400</v>
      </c>
      <c r="K94" s="131">
        <f t="shared" ref="K94" si="208">ROUND((J94)*33.8%,0)</f>
        <v>20077</v>
      </c>
      <c r="L94" s="131">
        <f t="shared" si="207"/>
        <v>1188</v>
      </c>
      <c r="M94" s="496">
        <v>3600</v>
      </c>
      <c r="N94" s="576">
        <f t="shared" si="201"/>
        <v>0.25</v>
      </c>
      <c r="O94" s="577">
        <v>0</v>
      </c>
      <c r="P94" s="607">
        <v>0.25</v>
      </c>
      <c r="Q94" s="579">
        <f t="shared" si="202"/>
        <v>0</v>
      </c>
      <c r="R94" s="498">
        <v>0</v>
      </c>
      <c r="S94" s="498">
        <v>0</v>
      </c>
      <c r="T94" s="498">
        <v>0</v>
      </c>
      <c r="U94" s="498">
        <f t="shared" si="174"/>
        <v>0</v>
      </c>
      <c r="V94" s="498">
        <v>0</v>
      </c>
      <c r="W94" s="498">
        <v>0</v>
      </c>
      <c r="X94" s="498">
        <v>0</v>
      </c>
      <c r="Y94" s="498">
        <f t="shared" si="175"/>
        <v>0</v>
      </c>
      <c r="Z94" s="498">
        <f t="shared" si="176"/>
        <v>0</v>
      </c>
      <c r="AA94" s="131">
        <f t="shared" si="203"/>
        <v>0</v>
      </c>
      <c r="AB94" s="131">
        <f t="shared" si="177"/>
        <v>0</v>
      </c>
      <c r="AC94" s="498">
        <v>0</v>
      </c>
      <c r="AD94" s="498">
        <v>0</v>
      </c>
      <c r="AE94" s="498">
        <f t="shared" si="178"/>
        <v>0</v>
      </c>
      <c r="AF94" s="498">
        <f t="shared" si="179"/>
        <v>0</v>
      </c>
      <c r="AG94" s="499">
        <v>0</v>
      </c>
      <c r="AH94" s="499">
        <v>0</v>
      </c>
      <c r="AI94" s="499">
        <v>0</v>
      </c>
      <c r="AJ94" s="499">
        <v>0</v>
      </c>
      <c r="AK94" s="499">
        <v>0</v>
      </c>
      <c r="AL94" s="499">
        <f t="shared" si="180"/>
        <v>0</v>
      </c>
      <c r="AM94" s="499">
        <f t="shared" si="181"/>
        <v>0</v>
      </c>
      <c r="AN94" s="500">
        <f t="shared" si="182"/>
        <v>0</v>
      </c>
      <c r="AO94" s="497">
        <f>I94+AF94</f>
        <v>84265</v>
      </c>
      <c r="AP94" s="498">
        <f>J94+U94</f>
        <v>59400</v>
      </c>
      <c r="AQ94" s="498">
        <f t="shared" si="204"/>
        <v>0</v>
      </c>
      <c r="AR94" s="498">
        <f t="shared" si="205"/>
        <v>20077</v>
      </c>
      <c r="AS94" s="498">
        <f t="shared" si="205"/>
        <v>1188</v>
      </c>
      <c r="AT94" s="498">
        <f>M94+AE94</f>
        <v>3600</v>
      </c>
      <c r="AU94" s="499">
        <f>N94+AN94</f>
        <v>0.25</v>
      </c>
      <c r="AV94" s="499">
        <f t="shared" si="206"/>
        <v>0</v>
      </c>
      <c r="AW94" s="500">
        <f t="shared" si="206"/>
        <v>0.25</v>
      </c>
    </row>
    <row r="95" spans="1:49" s="569" customFormat="1" x14ac:dyDescent="0.2">
      <c r="A95" s="302">
        <v>17</v>
      </c>
      <c r="B95" s="32">
        <v>4454</v>
      </c>
      <c r="C95" s="32">
        <v>600074811</v>
      </c>
      <c r="D95" s="32">
        <v>48283070</v>
      </c>
      <c r="E95" s="311" t="s">
        <v>182</v>
      </c>
      <c r="F95" s="32"/>
      <c r="G95" s="301"/>
      <c r="H95" s="454"/>
      <c r="I95" s="5">
        <f t="shared" ref="I95:P95" si="209">SUM(I90:I94)</f>
        <v>34650660</v>
      </c>
      <c r="J95" s="8">
        <f t="shared" si="209"/>
        <v>25027663</v>
      </c>
      <c r="K95" s="8">
        <f t="shared" si="209"/>
        <v>8459350</v>
      </c>
      <c r="L95" s="8">
        <f t="shared" si="209"/>
        <v>500553</v>
      </c>
      <c r="M95" s="8">
        <f t="shared" si="209"/>
        <v>663094</v>
      </c>
      <c r="N95" s="9">
        <f t="shared" si="209"/>
        <v>49.01639999999999</v>
      </c>
      <c r="O95" s="9">
        <f t="shared" si="209"/>
        <v>32.707000000000001</v>
      </c>
      <c r="P95" s="39">
        <f t="shared" si="209"/>
        <v>16.3094</v>
      </c>
      <c r="Q95" s="5">
        <f t="shared" ref="Q95:AW95" si="210">SUM(Q90:Q94)</f>
        <v>-70400</v>
      </c>
      <c r="R95" s="8">
        <f t="shared" si="210"/>
        <v>2752866</v>
      </c>
      <c r="S95" s="8">
        <f t="shared" si="210"/>
        <v>0</v>
      </c>
      <c r="T95" s="8">
        <f t="shared" si="210"/>
        <v>164448</v>
      </c>
      <c r="U95" s="8">
        <f t="shared" si="210"/>
        <v>2846914</v>
      </c>
      <c r="V95" s="8">
        <f t="shared" si="210"/>
        <v>70400</v>
      </c>
      <c r="W95" s="8">
        <f t="shared" si="210"/>
        <v>0</v>
      </c>
      <c r="X95" s="8">
        <f t="shared" si="210"/>
        <v>0</v>
      </c>
      <c r="Y95" s="8">
        <f t="shared" si="210"/>
        <v>70400</v>
      </c>
      <c r="Z95" s="8">
        <f t="shared" si="210"/>
        <v>2917314</v>
      </c>
      <c r="AA95" s="8">
        <f t="shared" si="210"/>
        <v>986052</v>
      </c>
      <c r="AB95" s="8">
        <f t="shared" si="210"/>
        <v>56938</v>
      </c>
      <c r="AC95" s="8">
        <f t="shared" si="210"/>
        <v>10500</v>
      </c>
      <c r="AD95" s="8">
        <f t="shared" si="210"/>
        <v>0</v>
      </c>
      <c r="AE95" s="8">
        <f t="shared" si="210"/>
        <v>10500</v>
      </c>
      <c r="AF95" s="8">
        <f t="shared" si="210"/>
        <v>3970804</v>
      </c>
      <c r="AG95" s="9">
        <f t="shared" si="210"/>
        <v>-0.12</v>
      </c>
      <c r="AH95" s="9">
        <f t="shared" si="210"/>
        <v>0</v>
      </c>
      <c r="AI95" s="9">
        <f t="shared" si="210"/>
        <v>7.92</v>
      </c>
      <c r="AJ95" s="9">
        <f t="shared" si="210"/>
        <v>0.28000000000000003</v>
      </c>
      <c r="AK95" s="9">
        <f t="shared" si="210"/>
        <v>0</v>
      </c>
      <c r="AL95" s="9">
        <f t="shared" si="210"/>
        <v>8.08</v>
      </c>
      <c r="AM95" s="9">
        <f t="shared" si="210"/>
        <v>0</v>
      </c>
      <c r="AN95" s="92">
        <f t="shared" si="210"/>
        <v>8.08</v>
      </c>
      <c r="AO95" s="295">
        <f t="shared" si="210"/>
        <v>38621464</v>
      </c>
      <c r="AP95" s="8">
        <f t="shared" si="210"/>
        <v>27874577</v>
      </c>
      <c r="AQ95" s="8">
        <f t="shared" si="210"/>
        <v>70400</v>
      </c>
      <c r="AR95" s="8">
        <f t="shared" si="210"/>
        <v>9445402</v>
      </c>
      <c r="AS95" s="8">
        <f t="shared" si="210"/>
        <v>557491</v>
      </c>
      <c r="AT95" s="8">
        <f t="shared" si="210"/>
        <v>673594</v>
      </c>
      <c r="AU95" s="9">
        <f t="shared" si="210"/>
        <v>57.096399999999996</v>
      </c>
      <c r="AV95" s="9">
        <f t="shared" si="210"/>
        <v>40.786999999999999</v>
      </c>
      <c r="AW95" s="92">
        <f t="shared" si="210"/>
        <v>16.3094</v>
      </c>
    </row>
    <row r="96" spans="1:49" s="569" customFormat="1" x14ac:dyDescent="0.2">
      <c r="A96" s="531">
        <v>18</v>
      </c>
      <c r="B96" s="532">
        <v>4479</v>
      </c>
      <c r="C96" s="532">
        <v>600075150</v>
      </c>
      <c r="D96" s="532">
        <v>70982228</v>
      </c>
      <c r="E96" s="530" t="s">
        <v>183</v>
      </c>
      <c r="F96" s="532">
        <v>3111</v>
      </c>
      <c r="G96" s="533" t="s">
        <v>317</v>
      </c>
      <c r="H96" s="534" t="s">
        <v>283</v>
      </c>
      <c r="I96" s="575">
        <f t="shared" ref="I96:I100" si="211">SUM(J96:M96)</f>
        <v>1565024</v>
      </c>
      <c r="J96" s="496">
        <v>1144826</v>
      </c>
      <c r="K96" s="131">
        <f t="shared" ref="K96:K99" si="212">ROUND((J96)*33.8%,0)</f>
        <v>386951</v>
      </c>
      <c r="L96" s="131">
        <f t="shared" ref="L96:L100" si="213">ROUND(J96*2%,0)</f>
        <v>22897</v>
      </c>
      <c r="M96" s="496">
        <v>10350</v>
      </c>
      <c r="N96" s="576">
        <f t="shared" ref="N96:N104" si="214">SUM(O96:P96)</f>
        <v>2.5108999999999999</v>
      </c>
      <c r="O96" s="577">
        <v>2</v>
      </c>
      <c r="P96" s="607">
        <v>0.51090000000000002</v>
      </c>
      <c r="Q96" s="579">
        <f t="shared" ref="Q96:Q104" si="215">V96*-1</f>
        <v>0</v>
      </c>
      <c r="R96" s="498">
        <v>0</v>
      </c>
      <c r="S96" s="498">
        <v>0</v>
      </c>
      <c r="T96" s="498">
        <v>0</v>
      </c>
      <c r="U96" s="498">
        <f t="shared" si="174"/>
        <v>0</v>
      </c>
      <c r="V96" s="498">
        <v>0</v>
      </c>
      <c r="W96" s="498">
        <v>0</v>
      </c>
      <c r="X96" s="498">
        <v>0</v>
      </c>
      <c r="Y96" s="498">
        <f t="shared" si="175"/>
        <v>0</v>
      </c>
      <c r="Z96" s="498">
        <f t="shared" si="176"/>
        <v>0</v>
      </c>
      <c r="AA96" s="131">
        <f t="shared" ref="AA96:AA104" si="216">ROUND((U96+V96+W96)*33.8%,0)</f>
        <v>0</v>
      </c>
      <c r="AB96" s="131">
        <f t="shared" si="177"/>
        <v>0</v>
      </c>
      <c r="AC96" s="498">
        <v>0</v>
      </c>
      <c r="AD96" s="498">
        <v>0</v>
      </c>
      <c r="AE96" s="498">
        <f t="shared" si="178"/>
        <v>0</v>
      </c>
      <c r="AF96" s="498">
        <f t="shared" si="179"/>
        <v>0</v>
      </c>
      <c r="AG96" s="499">
        <v>0</v>
      </c>
      <c r="AH96" s="499">
        <v>0</v>
      </c>
      <c r="AI96" s="499">
        <v>0</v>
      </c>
      <c r="AJ96" s="499">
        <v>0</v>
      </c>
      <c r="AK96" s="499">
        <v>0</v>
      </c>
      <c r="AL96" s="499">
        <f t="shared" si="180"/>
        <v>0</v>
      </c>
      <c r="AM96" s="499">
        <f t="shared" si="181"/>
        <v>0</v>
      </c>
      <c r="AN96" s="500">
        <f t="shared" si="182"/>
        <v>0</v>
      </c>
      <c r="AO96" s="497">
        <f t="shared" ref="AO96:AO104" si="217">I96+AF96</f>
        <v>1565024</v>
      </c>
      <c r="AP96" s="498">
        <f t="shared" ref="AP96:AP104" si="218">J96+U96</f>
        <v>1144826</v>
      </c>
      <c r="AQ96" s="498">
        <f t="shared" ref="AQ96:AQ104" si="219">Y96</f>
        <v>0</v>
      </c>
      <c r="AR96" s="498">
        <f t="shared" ref="AR96:AS104" si="220">K96+AA96</f>
        <v>386951</v>
      </c>
      <c r="AS96" s="498">
        <f t="shared" si="220"/>
        <v>22897</v>
      </c>
      <c r="AT96" s="498">
        <f t="shared" ref="AT96:AT104" si="221">M96+AE96</f>
        <v>10350</v>
      </c>
      <c r="AU96" s="499">
        <f t="shared" ref="AU96:AU104" si="222">N96+AN96</f>
        <v>2.5108999999999999</v>
      </c>
      <c r="AV96" s="499">
        <f t="shared" ref="AV96:AW104" si="223">O96+AL96</f>
        <v>2</v>
      </c>
      <c r="AW96" s="500">
        <f t="shared" si="223"/>
        <v>0.51090000000000002</v>
      </c>
    </row>
    <row r="97" spans="1:49" s="569" customFormat="1" x14ac:dyDescent="0.2">
      <c r="A97" s="531">
        <v>18</v>
      </c>
      <c r="B97" s="532">
        <v>4479</v>
      </c>
      <c r="C97" s="532">
        <v>600075150</v>
      </c>
      <c r="D97" s="532">
        <v>70982228</v>
      </c>
      <c r="E97" s="530" t="s">
        <v>183</v>
      </c>
      <c r="F97" s="532">
        <v>3114</v>
      </c>
      <c r="G97" s="533" t="s">
        <v>565</v>
      </c>
      <c r="H97" s="534" t="s">
        <v>283</v>
      </c>
      <c r="I97" s="575">
        <f t="shared" si="211"/>
        <v>35405456</v>
      </c>
      <c r="J97" s="496">
        <v>25715689</v>
      </c>
      <c r="K97" s="131">
        <f t="shared" si="212"/>
        <v>8691903</v>
      </c>
      <c r="L97" s="131">
        <f t="shared" si="213"/>
        <v>514314</v>
      </c>
      <c r="M97" s="496">
        <v>483550</v>
      </c>
      <c r="N97" s="576">
        <f t="shared" si="214"/>
        <v>46.638300000000001</v>
      </c>
      <c r="O97" s="577">
        <v>34.9998</v>
      </c>
      <c r="P97" s="607">
        <v>11.638500000000001</v>
      </c>
      <c r="Q97" s="579">
        <f t="shared" si="215"/>
        <v>0</v>
      </c>
      <c r="R97" s="498">
        <v>0</v>
      </c>
      <c r="S97" s="498">
        <v>0</v>
      </c>
      <c r="T97" s="498">
        <v>19168</v>
      </c>
      <c r="U97" s="498">
        <f t="shared" si="174"/>
        <v>19168</v>
      </c>
      <c r="V97" s="498">
        <v>0</v>
      </c>
      <c r="W97" s="498">
        <v>0</v>
      </c>
      <c r="X97" s="498">
        <v>0</v>
      </c>
      <c r="Y97" s="498">
        <f t="shared" si="175"/>
        <v>0</v>
      </c>
      <c r="Z97" s="498">
        <f t="shared" si="176"/>
        <v>19168</v>
      </c>
      <c r="AA97" s="131">
        <f t="shared" si="216"/>
        <v>6479</v>
      </c>
      <c r="AB97" s="131">
        <f t="shared" si="177"/>
        <v>383</v>
      </c>
      <c r="AC97" s="498">
        <v>0</v>
      </c>
      <c r="AD97" s="498">
        <v>0</v>
      </c>
      <c r="AE97" s="498">
        <f t="shared" si="178"/>
        <v>0</v>
      </c>
      <c r="AF97" s="498">
        <f t="shared" si="179"/>
        <v>26030</v>
      </c>
      <c r="AG97" s="499">
        <v>0</v>
      </c>
      <c r="AH97" s="499">
        <v>0</v>
      </c>
      <c r="AI97" s="499">
        <v>0</v>
      </c>
      <c r="AJ97" s="499">
        <v>0.03</v>
      </c>
      <c r="AK97" s="499">
        <v>0</v>
      </c>
      <c r="AL97" s="499">
        <f t="shared" si="180"/>
        <v>0.03</v>
      </c>
      <c r="AM97" s="499">
        <f t="shared" si="181"/>
        <v>0</v>
      </c>
      <c r="AN97" s="500">
        <f t="shared" si="182"/>
        <v>0.03</v>
      </c>
      <c r="AO97" s="497">
        <f t="shared" si="217"/>
        <v>35431486</v>
      </c>
      <c r="AP97" s="498">
        <f t="shared" si="218"/>
        <v>25734857</v>
      </c>
      <c r="AQ97" s="498">
        <f t="shared" si="219"/>
        <v>0</v>
      </c>
      <c r="AR97" s="498">
        <f t="shared" si="220"/>
        <v>8698382</v>
      </c>
      <c r="AS97" s="498">
        <f t="shared" si="220"/>
        <v>514697</v>
      </c>
      <c r="AT97" s="498">
        <f t="shared" si="221"/>
        <v>483550</v>
      </c>
      <c r="AU97" s="499">
        <f t="shared" si="222"/>
        <v>46.668300000000002</v>
      </c>
      <c r="AV97" s="499">
        <f t="shared" si="223"/>
        <v>35.029800000000002</v>
      </c>
      <c r="AW97" s="500">
        <f t="shared" si="223"/>
        <v>11.638500000000001</v>
      </c>
    </row>
    <row r="98" spans="1:49" s="569" customFormat="1" x14ac:dyDescent="0.2">
      <c r="A98" s="531">
        <v>18</v>
      </c>
      <c r="B98" s="532">
        <v>4479</v>
      </c>
      <c r="C98" s="532">
        <v>600075150</v>
      </c>
      <c r="D98" s="532">
        <v>70982228</v>
      </c>
      <c r="E98" s="530" t="s">
        <v>183</v>
      </c>
      <c r="F98" s="532">
        <v>3114</v>
      </c>
      <c r="G98" s="533" t="s">
        <v>319</v>
      </c>
      <c r="H98" s="534" t="s">
        <v>283</v>
      </c>
      <c r="I98" s="575">
        <f t="shared" si="211"/>
        <v>9908953</v>
      </c>
      <c r="J98" s="496">
        <v>7296725</v>
      </c>
      <c r="K98" s="131">
        <f t="shared" si="212"/>
        <v>2466293</v>
      </c>
      <c r="L98" s="131">
        <f t="shared" si="213"/>
        <v>145935</v>
      </c>
      <c r="M98" s="496">
        <v>0</v>
      </c>
      <c r="N98" s="576">
        <f t="shared" si="214"/>
        <v>19.763100000000001</v>
      </c>
      <c r="O98" s="577">
        <v>19.763100000000001</v>
      </c>
      <c r="P98" s="607">
        <v>0</v>
      </c>
      <c r="Q98" s="579">
        <f t="shared" si="215"/>
        <v>0</v>
      </c>
      <c r="R98" s="498">
        <v>0</v>
      </c>
      <c r="S98" s="498">
        <v>0</v>
      </c>
      <c r="T98" s="498">
        <v>0</v>
      </c>
      <c r="U98" s="498">
        <f t="shared" si="174"/>
        <v>0</v>
      </c>
      <c r="V98" s="498">
        <v>0</v>
      </c>
      <c r="W98" s="498">
        <v>0</v>
      </c>
      <c r="X98" s="498">
        <v>0</v>
      </c>
      <c r="Y98" s="498">
        <f t="shared" si="175"/>
        <v>0</v>
      </c>
      <c r="Z98" s="498">
        <f t="shared" si="176"/>
        <v>0</v>
      </c>
      <c r="AA98" s="131">
        <f t="shared" si="216"/>
        <v>0</v>
      </c>
      <c r="AB98" s="131">
        <f t="shared" si="177"/>
        <v>0</v>
      </c>
      <c r="AC98" s="498">
        <v>0</v>
      </c>
      <c r="AD98" s="498">
        <v>0</v>
      </c>
      <c r="AE98" s="498">
        <f t="shared" si="178"/>
        <v>0</v>
      </c>
      <c r="AF98" s="498">
        <f t="shared" si="179"/>
        <v>0</v>
      </c>
      <c r="AG98" s="499">
        <v>0</v>
      </c>
      <c r="AH98" s="499">
        <v>0</v>
      </c>
      <c r="AI98" s="499">
        <v>0</v>
      </c>
      <c r="AJ98" s="499">
        <v>0</v>
      </c>
      <c r="AK98" s="499">
        <v>0</v>
      </c>
      <c r="AL98" s="499">
        <f t="shared" si="180"/>
        <v>0</v>
      </c>
      <c r="AM98" s="499">
        <f t="shared" si="181"/>
        <v>0</v>
      </c>
      <c r="AN98" s="500">
        <f t="shared" si="182"/>
        <v>0</v>
      </c>
      <c r="AO98" s="497">
        <f t="shared" si="217"/>
        <v>9908953</v>
      </c>
      <c r="AP98" s="498">
        <f t="shared" si="218"/>
        <v>7296725</v>
      </c>
      <c r="AQ98" s="498">
        <f t="shared" si="219"/>
        <v>0</v>
      </c>
      <c r="AR98" s="498">
        <f t="shared" si="220"/>
        <v>2466293</v>
      </c>
      <c r="AS98" s="498">
        <f t="shared" si="220"/>
        <v>145935</v>
      </c>
      <c r="AT98" s="498">
        <f t="shared" si="221"/>
        <v>0</v>
      </c>
      <c r="AU98" s="499">
        <f t="shared" si="222"/>
        <v>19.763100000000001</v>
      </c>
      <c r="AV98" s="499">
        <f t="shared" si="223"/>
        <v>19.763100000000001</v>
      </c>
      <c r="AW98" s="500">
        <f t="shared" si="223"/>
        <v>0</v>
      </c>
    </row>
    <row r="99" spans="1:49" s="569" customFormat="1" x14ac:dyDescent="0.2">
      <c r="A99" s="531">
        <v>18</v>
      </c>
      <c r="B99" s="532">
        <v>4479</v>
      </c>
      <c r="C99" s="532">
        <v>600075150</v>
      </c>
      <c r="D99" s="532">
        <v>70982228</v>
      </c>
      <c r="E99" s="530" t="s">
        <v>183</v>
      </c>
      <c r="F99" s="532">
        <v>3124</v>
      </c>
      <c r="G99" s="533" t="s">
        <v>326</v>
      </c>
      <c r="H99" s="534" t="s">
        <v>283</v>
      </c>
      <c r="I99" s="575">
        <f t="shared" si="211"/>
        <v>3425300</v>
      </c>
      <c r="J99" s="496">
        <v>2504786</v>
      </c>
      <c r="K99" s="131">
        <f t="shared" si="212"/>
        <v>846618</v>
      </c>
      <c r="L99" s="131">
        <f t="shared" si="213"/>
        <v>50096</v>
      </c>
      <c r="M99" s="496">
        <v>23800</v>
      </c>
      <c r="N99" s="576">
        <f t="shared" si="214"/>
        <v>4.1916000000000002</v>
      </c>
      <c r="O99" s="577">
        <v>3.4285999999999999</v>
      </c>
      <c r="P99" s="607">
        <v>0.76300000000000001</v>
      </c>
      <c r="Q99" s="579">
        <f t="shared" si="215"/>
        <v>0</v>
      </c>
      <c r="R99" s="498">
        <v>0</v>
      </c>
      <c r="S99" s="498">
        <v>0</v>
      </c>
      <c r="T99" s="498">
        <v>0</v>
      </c>
      <c r="U99" s="498">
        <f t="shared" si="174"/>
        <v>0</v>
      </c>
      <c r="V99" s="498">
        <v>0</v>
      </c>
      <c r="W99" s="498">
        <v>0</v>
      </c>
      <c r="X99" s="498">
        <v>0</v>
      </c>
      <c r="Y99" s="498">
        <f t="shared" si="175"/>
        <v>0</v>
      </c>
      <c r="Z99" s="498">
        <f t="shared" si="176"/>
        <v>0</v>
      </c>
      <c r="AA99" s="131">
        <f t="shared" si="216"/>
        <v>0</v>
      </c>
      <c r="AB99" s="131">
        <f t="shared" si="177"/>
        <v>0</v>
      </c>
      <c r="AC99" s="498">
        <v>0</v>
      </c>
      <c r="AD99" s="498">
        <v>0</v>
      </c>
      <c r="AE99" s="498">
        <f t="shared" si="178"/>
        <v>0</v>
      </c>
      <c r="AF99" s="498">
        <f t="shared" si="179"/>
        <v>0</v>
      </c>
      <c r="AG99" s="499">
        <v>0</v>
      </c>
      <c r="AH99" s="499">
        <v>0</v>
      </c>
      <c r="AI99" s="499">
        <v>0</v>
      </c>
      <c r="AJ99" s="499">
        <v>0</v>
      </c>
      <c r="AK99" s="499">
        <v>0</v>
      </c>
      <c r="AL99" s="499">
        <f t="shared" si="180"/>
        <v>0</v>
      </c>
      <c r="AM99" s="499">
        <f t="shared" si="181"/>
        <v>0</v>
      </c>
      <c r="AN99" s="500">
        <f t="shared" si="182"/>
        <v>0</v>
      </c>
      <c r="AO99" s="497">
        <f t="shared" si="217"/>
        <v>3425300</v>
      </c>
      <c r="AP99" s="498">
        <f t="shared" si="218"/>
        <v>2504786</v>
      </c>
      <c r="AQ99" s="498">
        <f t="shared" si="219"/>
        <v>0</v>
      </c>
      <c r="AR99" s="498">
        <f t="shared" si="220"/>
        <v>846618</v>
      </c>
      <c r="AS99" s="498">
        <f t="shared" si="220"/>
        <v>50096</v>
      </c>
      <c r="AT99" s="498">
        <f t="shared" si="221"/>
        <v>23800</v>
      </c>
      <c r="AU99" s="499">
        <f t="shared" si="222"/>
        <v>4.1916000000000002</v>
      </c>
      <c r="AV99" s="499">
        <f t="shared" si="223"/>
        <v>3.4285999999999999</v>
      </c>
      <c r="AW99" s="500">
        <f t="shared" si="223"/>
        <v>0.76300000000000001</v>
      </c>
    </row>
    <row r="100" spans="1:49" s="569" customFormat="1" x14ac:dyDescent="0.2">
      <c r="A100" s="531">
        <v>18</v>
      </c>
      <c r="B100" s="532">
        <v>4479</v>
      </c>
      <c r="C100" s="532">
        <v>600075150</v>
      </c>
      <c r="D100" s="532">
        <v>70982228</v>
      </c>
      <c r="E100" s="530" t="s">
        <v>183</v>
      </c>
      <c r="F100" s="532">
        <v>3124</v>
      </c>
      <c r="G100" s="533" t="s">
        <v>327</v>
      </c>
      <c r="H100" s="534" t="s">
        <v>283</v>
      </c>
      <c r="I100" s="575">
        <f t="shared" si="211"/>
        <v>764211</v>
      </c>
      <c r="J100" s="496">
        <v>562748</v>
      </c>
      <c r="K100" s="131">
        <v>190208</v>
      </c>
      <c r="L100" s="131">
        <f t="shared" si="213"/>
        <v>11255</v>
      </c>
      <c r="M100" s="496">
        <v>0</v>
      </c>
      <c r="N100" s="576">
        <f t="shared" si="214"/>
        <v>1.7777000000000001</v>
      </c>
      <c r="O100" s="577">
        <v>1.7777000000000001</v>
      </c>
      <c r="P100" s="607">
        <v>0</v>
      </c>
      <c r="Q100" s="579">
        <f t="shared" si="215"/>
        <v>0</v>
      </c>
      <c r="R100" s="498">
        <v>0</v>
      </c>
      <c r="S100" s="498">
        <v>0</v>
      </c>
      <c r="T100" s="498">
        <v>0</v>
      </c>
      <c r="U100" s="498">
        <f t="shared" si="174"/>
        <v>0</v>
      </c>
      <c r="V100" s="498">
        <v>0</v>
      </c>
      <c r="W100" s="498">
        <v>0</v>
      </c>
      <c r="X100" s="498">
        <v>0</v>
      </c>
      <c r="Y100" s="498">
        <f t="shared" si="175"/>
        <v>0</v>
      </c>
      <c r="Z100" s="498">
        <f t="shared" si="176"/>
        <v>0</v>
      </c>
      <c r="AA100" s="131">
        <f t="shared" si="216"/>
        <v>0</v>
      </c>
      <c r="AB100" s="131">
        <f t="shared" si="177"/>
        <v>0</v>
      </c>
      <c r="AC100" s="498">
        <v>0</v>
      </c>
      <c r="AD100" s="498">
        <v>0</v>
      </c>
      <c r="AE100" s="498">
        <f t="shared" si="178"/>
        <v>0</v>
      </c>
      <c r="AF100" s="498">
        <f t="shared" si="179"/>
        <v>0</v>
      </c>
      <c r="AG100" s="499">
        <v>0</v>
      </c>
      <c r="AH100" s="499">
        <v>0</v>
      </c>
      <c r="AI100" s="499">
        <v>0</v>
      </c>
      <c r="AJ100" s="499">
        <v>0</v>
      </c>
      <c r="AK100" s="499">
        <v>0</v>
      </c>
      <c r="AL100" s="499">
        <f t="shared" si="180"/>
        <v>0</v>
      </c>
      <c r="AM100" s="499">
        <f t="shared" si="181"/>
        <v>0</v>
      </c>
      <c r="AN100" s="500">
        <f t="shared" si="182"/>
        <v>0</v>
      </c>
      <c r="AO100" s="497">
        <f t="shared" si="217"/>
        <v>764211</v>
      </c>
      <c r="AP100" s="498">
        <f t="shared" si="218"/>
        <v>562748</v>
      </c>
      <c r="AQ100" s="498">
        <f t="shared" si="219"/>
        <v>0</v>
      </c>
      <c r="AR100" s="498">
        <f t="shared" si="220"/>
        <v>190208</v>
      </c>
      <c r="AS100" s="498">
        <f t="shared" si="220"/>
        <v>11255</v>
      </c>
      <c r="AT100" s="498">
        <f t="shared" si="221"/>
        <v>0</v>
      </c>
      <c r="AU100" s="499">
        <f t="shared" si="222"/>
        <v>1.7777000000000001</v>
      </c>
      <c r="AV100" s="499">
        <f t="shared" si="223"/>
        <v>1.7777000000000001</v>
      </c>
      <c r="AW100" s="500">
        <f t="shared" si="223"/>
        <v>0</v>
      </c>
    </row>
    <row r="101" spans="1:49" s="569" customFormat="1" x14ac:dyDescent="0.2">
      <c r="A101" s="531">
        <v>18</v>
      </c>
      <c r="B101" s="532">
        <v>4479</v>
      </c>
      <c r="C101" s="532">
        <v>600075150</v>
      </c>
      <c r="D101" s="532">
        <v>70982228</v>
      </c>
      <c r="E101" s="524" t="s">
        <v>183</v>
      </c>
      <c r="F101" s="532">
        <v>3141</v>
      </c>
      <c r="G101" s="533" t="s">
        <v>321</v>
      </c>
      <c r="H101" s="534" t="s">
        <v>284</v>
      </c>
      <c r="I101" s="575">
        <f>SUM(J101:M101)</f>
        <v>1525048</v>
      </c>
      <c r="J101" s="496">
        <v>1115676</v>
      </c>
      <c r="K101" s="131">
        <f>ROUND((J101)*33.8%,0)</f>
        <v>377098</v>
      </c>
      <c r="L101" s="131">
        <f>ROUND(J101*2%,0)</f>
        <v>22314</v>
      </c>
      <c r="M101" s="496">
        <v>9960</v>
      </c>
      <c r="N101" s="576">
        <f t="shared" si="214"/>
        <v>3.79</v>
      </c>
      <c r="O101" s="577">
        <v>0</v>
      </c>
      <c r="P101" s="607">
        <v>3.79</v>
      </c>
      <c r="Q101" s="579">
        <f t="shared" si="215"/>
        <v>0</v>
      </c>
      <c r="R101" s="498">
        <v>0</v>
      </c>
      <c r="S101" s="498">
        <v>0</v>
      </c>
      <c r="T101" s="498">
        <v>0</v>
      </c>
      <c r="U101" s="498">
        <f t="shared" si="174"/>
        <v>0</v>
      </c>
      <c r="V101" s="498">
        <v>0</v>
      </c>
      <c r="W101" s="498">
        <v>0</v>
      </c>
      <c r="X101" s="498">
        <v>0</v>
      </c>
      <c r="Y101" s="498">
        <f t="shared" si="175"/>
        <v>0</v>
      </c>
      <c r="Z101" s="498">
        <f t="shared" si="176"/>
        <v>0</v>
      </c>
      <c r="AA101" s="131">
        <f t="shared" si="216"/>
        <v>0</v>
      </c>
      <c r="AB101" s="131">
        <f t="shared" si="177"/>
        <v>0</v>
      </c>
      <c r="AC101" s="498">
        <v>0</v>
      </c>
      <c r="AD101" s="498">
        <v>0</v>
      </c>
      <c r="AE101" s="498">
        <f t="shared" si="178"/>
        <v>0</v>
      </c>
      <c r="AF101" s="498">
        <f t="shared" si="179"/>
        <v>0</v>
      </c>
      <c r="AG101" s="499">
        <v>0</v>
      </c>
      <c r="AH101" s="499">
        <v>0</v>
      </c>
      <c r="AI101" s="499">
        <v>0</v>
      </c>
      <c r="AJ101" s="499">
        <v>0</v>
      </c>
      <c r="AK101" s="499">
        <v>0</v>
      </c>
      <c r="AL101" s="499">
        <f t="shared" si="180"/>
        <v>0</v>
      </c>
      <c r="AM101" s="499">
        <f t="shared" si="181"/>
        <v>0</v>
      </c>
      <c r="AN101" s="500">
        <f t="shared" si="182"/>
        <v>0</v>
      </c>
      <c r="AO101" s="497">
        <f t="shared" si="217"/>
        <v>1525048</v>
      </c>
      <c r="AP101" s="498">
        <f t="shared" si="218"/>
        <v>1115676</v>
      </c>
      <c r="AQ101" s="498">
        <f t="shared" si="219"/>
        <v>0</v>
      </c>
      <c r="AR101" s="498">
        <f t="shared" si="220"/>
        <v>377098</v>
      </c>
      <c r="AS101" s="498">
        <f t="shared" si="220"/>
        <v>22314</v>
      </c>
      <c r="AT101" s="498">
        <f t="shared" si="221"/>
        <v>9960</v>
      </c>
      <c r="AU101" s="499">
        <f t="shared" si="222"/>
        <v>3.79</v>
      </c>
      <c r="AV101" s="499">
        <f t="shared" si="223"/>
        <v>0</v>
      </c>
      <c r="AW101" s="500">
        <f t="shared" si="223"/>
        <v>3.79</v>
      </c>
    </row>
    <row r="102" spans="1:49" s="569" customFormat="1" x14ac:dyDescent="0.2">
      <c r="A102" s="531">
        <v>18</v>
      </c>
      <c r="B102" s="532">
        <v>4479</v>
      </c>
      <c r="C102" s="532">
        <v>600075150</v>
      </c>
      <c r="D102" s="532">
        <v>70982228</v>
      </c>
      <c r="E102" s="530" t="s">
        <v>183</v>
      </c>
      <c r="F102" s="532">
        <v>3143</v>
      </c>
      <c r="G102" s="533" t="s">
        <v>635</v>
      </c>
      <c r="H102" s="574" t="s">
        <v>283</v>
      </c>
      <c r="I102" s="575">
        <f t="shared" ref="I102:I104" si="224">SUM(J102:M102)</f>
        <v>2235013</v>
      </c>
      <c r="J102" s="496">
        <v>1645813</v>
      </c>
      <c r="K102" s="131">
        <f t="shared" ref="K102:K104" si="225">ROUND((J102)*33.8%,0)</f>
        <v>556285</v>
      </c>
      <c r="L102" s="131">
        <v>32915</v>
      </c>
      <c r="M102" s="496"/>
      <c r="N102" s="576">
        <f t="shared" si="214"/>
        <v>3.4823</v>
      </c>
      <c r="O102" s="577">
        <v>3.4823</v>
      </c>
      <c r="P102" s="607">
        <v>0</v>
      </c>
      <c r="Q102" s="579">
        <f t="shared" si="215"/>
        <v>0</v>
      </c>
      <c r="R102" s="498">
        <v>0</v>
      </c>
      <c r="S102" s="498">
        <v>0</v>
      </c>
      <c r="T102" s="498">
        <v>0</v>
      </c>
      <c r="U102" s="498">
        <f t="shared" si="174"/>
        <v>0</v>
      </c>
      <c r="V102" s="498">
        <v>0</v>
      </c>
      <c r="W102" s="498">
        <v>0</v>
      </c>
      <c r="X102" s="498">
        <v>0</v>
      </c>
      <c r="Y102" s="498">
        <f t="shared" si="175"/>
        <v>0</v>
      </c>
      <c r="Z102" s="498">
        <f t="shared" si="176"/>
        <v>0</v>
      </c>
      <c r="AA102" s="131">
        <f t="shared" si="216"/>
        <v>0</v>
      </c>
      <c r="AB102" s="131">
        <f t="shared" si="177"/>
        <v>0</v>
      </c>
      <c r="AC102" s="498">
        <v>0</v>
      </c>
      <c r="AD102" s="498">
        <v>0</v>
      </c>
      <c r="AE102" s="498">
        <f t="shared" si="178"/>
        <v>0</v>
      </c>
      <c r="AF102" s="498">
        <f t="shared" si="179"/>
        <v>0</v>
      </c>
      <c r="AG102" s="499">
        <v>0</v>
      </c>
      <c r="AH102" s="499">
        <v>0</v>
      </c>
      <c r="AI102" s="499">
        <v>0</v>
      </c>
      <c r="AJ102" s="499">
        <v>0</v>
      </c>
      <c r="AK102" s="499">
        <v>0</v>
      </c>
      <c r="AL102" s="499">
        <f t="shared" si="180"/>
        <v>0</v>
      </c>
      <c r="AM102" s="499">
        <f t="shared" si="181"/>
        <v>0</v>
      </c>
      <c r="AN102" s="500">
        <f t="shared" si="182"/>
        <v>0</v>
      </c>
      <c r="AO102" s="497">
        <f t="shared" si="217"/>
        <v>2235013</v>
      </c>
      <c r="AP102" s="498">
        <f t="shared" si="218"/>
        <v>1645813</v>
      </c>
      <c r="AQ102" s="498">
        <f t="shared" si="219"/>
        <v>0</v>
      </c>
      <c r="AR102" s="498">
        <f t="shared" si="220"/>
        <v>556285</v>
      </c>
      <c r="AS102" s="498">
        <f t="shared" si="220"/>
        <v>32915</v>
      </c>
      <c r="AT102" s="498">
        <f t="shared" si="221"/>
        <v>0</v>
      </c>
      <c r="AU102" s="499">
        <f t="shared" si="222"/>
        <v>3.4823</v>
      </c>
      <c r="AV102" s="499">
        <f t="shared" si="223"/>
        <v>3.4823</v>
      </c>
      <c r="AW102" s="500">
        <f t="shared" si="223"/>
        <v>0</v>
      </c>
    </row>
    <row r="103" spans="1:49" s="569" customFormat="1" x14ac:dyDescent="0.2">
      <c r="A103" s="531">
        <v>18</v>
      </c>
      <c r="B103" s="532">
        <v>4479</v>
      </c>
      <c r="C103" s="532">
        <v>600075150</v>
      </c>
      <c r="D103" s="532">
        <v>70982228</v>
      </c>
      <c r="E103" s="530" t="s">
        <v>183</v>
      </c>
      <c r="F103" s="532">
        <v>3143</v>
      </c>
      <c r="G103" s="533" t="s">
        <v>636</v>
      </c>
      <c r="H103" s="574" t="s">
        <v>284</v>
      </c>
      <c r="I103" s="575">
        <f t="shared" si="224"/>
        <v>29493</v>
      </c>
      <c r="J103" s="496">
        <v>20790</v>
      </c>
      <c r="K103" s="131">
        <f t="shared" si="225"/>
        <v>7027</v>
      </c>
      <c r="L103" s="131">
        <f t="shared" ref="L103:L104" si="226">ROUND(J103*2%,0)</f>
        <v>416</v>
      </c>
      <c r="M103" s="496">
        <v>1260</v>
      </c>
      <c r="N103" s="576">
        <f t="shared" si="214"/>
        <v>0.09</v>
      </c>
      <c r="O103" s="577">
        <v>0</v>
      </c>
      <c r="P103" s="607">
        <v>0.09</v>
      </c>
      <c r="Q103" s="579">
        <f t="shared" si="215"/>
        <v>0</v>
      </c>
      <c r="R103" s="498">
        <v>0</v>
      </c>
      <c r="S103" s="498">
        <v>0</v>
      </c>
      <c r="T103" s="498">
        <v>0</v>
      </c>
      <c r="U103" s="498">
        <f t="shared" si="174"/>
        <v>0</v>
      </c>
      <c r="V103" s="498">
        <v>0</v>
      </c>
      <c r="W103" s="498">
        <v>0</v>
      </c>
      <c r="X103" s="498">
        <v>0</v>
      </c>
      <c r="Y103" s="498">
        <f t="shared" si="175"/>
        <v>0</v>
      </c>
      <c r="Z103" s="498">
        <f t="shared" si="176"/>
        <v>0</v>
      </c>
      <c r="AA103" s="131">
        <f t="shared" si="216"/>
        <v>0</v>
      </c>
      <c r="AB103" s="131">
        <f t="shared" si="177"/>
        <v>0</v>
      </c>
      <c r="AC103" s="498">
        <v>0</v>
      </c>
      <c r="AD103" s="498">
        <v>0</v>
      </c>
      <c r="AE103" s="498">
        <f t="shared" si="178"/>
        <v>0</v>
      </c>
      <c r="AF103" s="498">
        <f t="shared" si="179"/>
        <v>0</v>
      </c>
      <c r="AG103" s="499">
        <v>0</v>
      </c>
      <c r="AH103" s="499">
        <v>0</v>
      </c>
      <c r="AI103" s="499">
        <v>0</v>
      </c>
      <c r="AJ103" s="499">
        <v>0</v>
      </c>
      <c r="AK103" s="499">
        <v>0</v>
      </c>
      <c r="AL103" s="499">
        <f t="shared" si="180"/>
        <v>0</v>
      </c>
      <c r="AM103" s="499">
        <f t="shared" si="181"/>
        <v>0</v>
      </c>
      <c r="AN103" s="500">
        <f t="shared" si="182"/>
        <v>0</v>
      </c>
      <c r="AO103" s="497">
        <f t="shared" si="217"/>
        <v>29493</v>
      </c>
      <c r="AP103" s="498">
        <f t="shared" si="218"/>
        <v>20790</v>
      </c>
      <c r="AQ103" s="498">
        <f t="shared" si="219"/>
        <v>0</v>
      </c>
      <c r="AR103" s="498">
        <f t="shared" si="220"/>
        <v>7027</v>
      </c>
      <c r="AS103" s="498">
        <f t="shared" si="220"/>
        <v>416</v>
      </c>
      <c r="AT103" s="498">
        <f t="shared" si="221"/>
        <v>1260</v>
      </c>
      <c r="AU103" s="499">
        <f t="shared" si="222"/>
        <v>0.09</v>
      </c>
      <c r="AV103" s="499">
        <f t="shared" si="223"/>
        <v>0</v>
      </c>
      <c r="AW103" s="500">
        <f t="shared" si="223"/>
        <v>0.09</v>
      </c>
    </row>
    <row r="104" spans="1:49" s="569" customFormat="1" x14ac:dyDescent="0.2">
      <c r="A104" s="531">
        <v>18</v>
      </c>
      <c r="B104" s="532">
        <v>4479</v>
      </c>
      <c r="C104" s="532">
        <v>600075150</v>
      </c>
      <c r="D104" s="532">
        <v>70982228</v>
      </c>
      <c r="E104" s="530" t="s">
        <v>183</v>
      </c>
      <c r="F104" s="532">
        <v>3143</v>
      </c>
      <c r="G104" s="533" t="s">
        <v>323</v>
      </c>
      <c r="H104" s="574" t="s">
        <v>284</v>
      </c>
      <c r="I104" s="575">
        <f t="shared" si="224"/>
        <v>332743</v>
      </c>
      <c r="J104" s="496">
        <v>244605</v>
      </c>
      <c r="K104" s="131">
        <f t="shared" si="225"/>
        <v>82676</v>
      </c>
      <c r="L104" s="131">
        <f t="shared" si="226"/>
        <v>4892</v>
      </c>
      <c r="M104" s="496">
        <v>570</v>
      </c>
      <c r="N104" s="576">
        <f t="shared" si="214"/>
        <v>0.54</v>
      </c>
      <c r="O104" s="577">
        <v>0.5</v>
      </c>
      <c r="P104" s="607">
        <v>0.04</v>
      </c>
      <c r="Q104" s="579">
        <f t="shared" si="215"/>
        <v>0</v>
      </c>
      <c r="R104" s="498">
        <v>0</v>
      </c>
      <c r="S104" s="498">
        <v>0</v>
      </c>
      <c r="T104" s="498">
        <v>0</v>
      </c>
      <c r="U104" s="498">
        <f t="shared" si="174"/>
        <v>0</v>
      </c>
      <c r="V104" s="498">
        <v>0</v>
      </c>
      <c r="W104" s="498">
        <v>0</v>
      </c>
      <c r="X104" s="498">
        <v>0</v>
      </c>
      <c r="Y104" s="498">
        <f t="shared" si="175"/>
        <v>0</v>
      </c>
      <c r="Z104" s="498">
        <f t="shared" si="176"/>
        <v>0</v>
      </c>
      <c r="AA104" s="131">
        <f t="shared" si="216"/>
        <v>0</v>
      </c>
      <c r="AB104" s="131">
        <f t="shared" si="177"/>
        <v>0</v>
      </c>
      <c r="AC104" s="498">
        <v>0</v>
      </c>
      <c r="AD104" s="498">
        <v>0</v>
      </c>
      <c r="AE104" s="498">
        <f t="shared" si="178"/>
        <v>0</v>
      </c>
      <c r="AF104" s="498">
        <f t="shared" si="179"/>
        <v>0</v>
      </c>
      <c r="AG104" s="499">
        <v>0</v>
      </c>
      <c r="AH104" s="499">
        <v>0</v>
      </c>
      <c r="AI104" s="499">
        <v>0</v>
      </c>
      <c r="AJ104" s="499">
        <v>0</v>
      </c>
      <c r="AK104" s="499">
        <v>0</v>
      </c>
      <c r="AL104" s="499">
        <f t="shared" si="180"/>
        <v>0</v>
      </c>
      <c r="AM104" s="499">
        <f t="shared" si="181"/>
        <v>0</v>
      </c>
      <c r="AN104" s="500">
        <f t="shared" si="182"/>
        <v>0</v>
      </c>
      <c r="AO104" s="497">
        <f t="shared" si="217"/>
        <v>332743</v>
      </c>
      <c r="AP104" s="498">
        <f t="shared" si="218"/>
        <v>244605</v>
      </c>
      <c r="AQ104" s="498">
        <f t="shared" si="219"/>
        <v>0</v>
      </c>
      <c r="AR104" s="498">
        <f t="shared" si="220"/>
        <v>82676</v>
      </c>
      <c r="AS104" s="498">
        <f t="shared" si="220"/>
        <v>4892</v>
      </c>
      <c r="AT104" s="498">
        <f t="shared" si="221"/>
        <v>570</v>
      </c>
      <c r="AU104" s="499">
        <f t="shared" si="222"/>
        <v>0.54</v>
      </c>
      <c r="AV104" s="499">
        <f t="shared" si="223"/>
        <v>0.5</v>
      </c>
      <c r="AW104" s="500">
        <f t="shared" si="223"/>
        <v>0.04</v>
      </c>
    </row>
    <row r="105" spans="1:49" s="569" customFormat="1" x14ac:dyDescent="0.2">
      <c r="A105" s="302">
        <v>18</v>
      </c>
      <c r="B105" s="32">
        <v>4479</v>
      </c>
      <c r="C105" s="32">
        <v>600075150</v>
      </c>
      <c r="D105" s="32">
        <v>70982228</v>
      </c>
      <c r="E105" s="311" t="s">
        <v>184</v>
      </c>
      <c r="F105" s="32"/>
      <c r="G105" s="301"/>
      <c r="H105" s="454"/>
      <c r="I105" s="5">
        <f t="shared" ref="I105:P105" si="227">SUM(I96:I104)</f>
        <v>55191241</v>
      </c>
      <c r="J105" s="8">
        <f t="shared" si="227"/>
        <v>40251658</v>
      </c>
      <c r="K105" s="8">
        <f t="shared" si="227"/>
        <v>13605059</v>
      </c>
      <c r="L105" s="8">
        <f t="shared" si="227"/>
        <v>805034</v>
      </c>
      <c r="M105" s="8">
        <f t="shared" si="227"/>
        <v>529490</v>
      </c>
      <c r="N105" s="9">
        <f t="shared" si="227"/>
        <v>82.783900000000003</v>
      </c>
      <c r="O105" s="9">
        <f t="shared" si="227"/>
        <v>65.95150000000001</v>
      </c>
      <c r="P105" s="39">
        <f t="shared" si="227"/>
        <v>16.8324</v>
      </c>
      <c r="Q105" s="5">
        <f t="shared" ref="Q105:AW105" si="228">SUM(Q96:Q104)</f>
        <v>0</v>
      </c>
      <c r="R105" s="8">
        <f t="shared" si="228"/>
        <v>0</v>
      </c>
      <c r="S105" s="8">
        <f t="shared" si="228"/>
        <v>0</v>
      </c>
      <c r="T105" s="8">
        <f t="shared" si="228"/>
        <v>19168</v>
      </c>
      <c r="U105" s="8">
        <f t="shared" si="228"/>
        <v>19168</v>
      </c>
      <c r="V105" s="8">
        <f t="shared" si="228"/>
        <v>0</v>
      </c>
      <c r="W105" s="8">
        <f t="shared" si="228"/>
        <v>0</v>
      </c>
      <c r="X105" s="8">
        <f t="shared" si="228"/>
        <v>0</v>
      </c>
      <c r="Y105" s="8">
        <f t="shared" si="228"/>
        <v>0</v>
      </c>
      <c r="Z105" s="8">
        <f t="shared" si="228"/>
        <v>19168</v>
      </c>
      <c r="AA105" s="8">
        <f t="shared" si="228"/>
        <v>6479</v>
      </c>
      <c r="AB105" s="8">
        <f t="shared" si="228"/>
        <v>383</v>
      </c>
      <c r="AC105" s="8">
        <f t="shared" si="228"/>
        <v>0</v>
      </c>
      <c r="AD105" s="8">
        <f t="shared" si="228"/>
        <v>0</v>
      </c>
      <c r="AE105" s="8">
        <f t="shared" si="228"/>
        <v>0</v>
      </c>
      <c r="AF105" s="8">
        <f t="shared" si="228"/>
        <v>26030</v>
      </c>
      <c r="AG105" s="9">
        <f t="shared" si="228"/>
        <v>0</v>
      </c>
      <c r="AH105" s="9">
        <f t="shared" si="228"/>
        <v>0</v>
      </c>
      <c r="AI105" s="9">
        <f t="shared" si="228"/>
        <v>0</v>
      </c>
      <c r="AJ105" s="9">
        <f t="shared" si="228"/>
        <v>0.03</v>
      </c>
      <c r="AK105" s="9">
        <f t="shared" si="228"/>
        <v>0</v>
      </c>
      <c r="AL105" s="9">
        <f t="shared" si="228"/>
        <v>0.03</v>
      </c>
      <c r="AM105" s="9">
        <f t="shared" si="228"/>
        <v>0</v>
      </c>
      <c r="AN105" s="92">
        <f t="shared" si="228"/>
        <v>0.03</v>
      </c>
      <c r="AO105" s="295">
        <f t="shared" si="228"/>
        <v>55217271</v>
      </c>
      <c r="AP105" s="8">
        <f t="shared" si="228"/>
        <v>40270826</v>
      </c>
      <c r="AQ105" s="8">
        <f t="shared" si="228"/>
        <v>0</v>
      </c>
      <c r="AR105" s="8">
        <f t="shared" si="228"/>
        <v>13611538</v>
      </c>
      <c r="AS105" s="8">
        <f t="shared" si="228"/>
        <v>805417</v>
      </c>
      <c r="AT105" s="8">
        <f t="shared" si="228"/>
        <v>529490</v>
      </c>
      <c r="AU105" s="9">
        <f t="shared" si="228"/>
        <v>82.813900000000004</v>
      </c>
      <c r="AV105" s="9">
        <f t="shared" si="228"/>
        <v>65.981500000000011</v>
      </c>
      <c r="AW105" s="92">
        <f t="shared" si="228"/>
        <v>16.8324</v>
      </c>
    </row>
    <row r="106" spans="1:49" s="569" customFormat="1" x14ac:dyDescent="0.2">
      <c r="A106" s="531">
        <v>19</v>
      </c>
      <c r="B106" s="532">
        <v>4473</v>
      </c>
      <c r="C106" s="532">
        <v>600075117</v>
      </c>
      <c r="D106" s="532">
        <v>62237021</v>
      </c>
      <c r="E106" s="530" t="s">
        <v>185</v>
      </c>
      <c r="F106" s="532">
        <v>3231</v>
      </c>
      <c r="G106" s="533" t="s">
        <v>322</v>
      </c>
      <c r="H106" s="534" t="s">
        <v>283</v>
      </c>
      <c r="I106" s="575">
        <f t="shared" ref="I106" si="229">SUM(J106:M106)</f>
        <v>27336681</v>
      </c>
      <c r="J106" s="496">
        <v>20063837</v>
      </c>
      <c r="K106" s="131">
        <f>ROUND((J106)*33.8%,0)</f>
        <v>6781577</v>
      </c>
      <c r="L106" s="131">
        <f>ROUND(J106*2%,0)</f>
        <v>401277</v>
      </c>
      <c r="M106" s="496">
        <v>89990</v>
      </c>
      <c r="N106" s="576">
        <f t="shared" ref="N106" si="230">SUM(O106:P106)</f>
        <v>38.846699999999998</v>
      </c>
      <c r="O106" s="577">
        <v>34.543399999999998</v>
      </c>
      <c r="P106" s="607">
        <v>4.3033000000000001</v>
      </c>
      <c r="Q106" s="579">
        <f>V106*-1</f>
        <v>0</v>
      </c>
      <c r="R106" s="498">
        <v>0</v>
      </c>
      <c r="S106" s="498">
        <v>0</v>
      </c>
      <c r="T106" s="498">
        <v>0</v>
      </c>
      <c r="U106" s="498">
        <f t="shared" si="174"/>
        <v>0</v>
      </c>
      <c r="V106" s="498">
        <v>0</v>
      </c>
      <c r="W106" s="498">
        <v>0</v>
      </c>
      <c r="X106" s="498">
        <v>0</v>
      </c>
      <c r="Y106" s="498">
        <f t="shared" si="175"/>
        <v>0</v>
      </c>
      <c r="Z106" s="498">
        <f t="shared" si="176"/>
        <v>0</v>
      </c>
      <c r="AA106" s="131">
        <f>ROUND((U106+V106+W106)*33.8%,0)</f>
        <v>0</v>
      </c>
      <c r="AB106" s="131">
        <f t="shared" si="177"/>
        <v>0</v>
      </c>
      <c r="AC106" s="498">
        <v>0</v>
      </c>
      <c r="AD106" s="498">
        <v>0</v>
      </c>
      <c r="AE106" s="498">
        <f t="shared" si="178"/>
        <v>0</v>
      </c>
      <c r="AF106" s="498">
        <f t="shared" si="179"/>
        <v>0</v>
      </c>
      <c r="AG106" s="499">
        <v>0</v>
      </c>
      <c r="AH106" s="499">
        <v>0</v>
      </c>
      <c r="AI106" s="499">
        <v>0</v>
      </c>
      <c r="AJ106" s="499">
        <v>0</v>
      </c>
      <c r="AK106" s="499">
        <v>0</v>
      </c>
      <c r="AL106" s="499">
        <f t="shared" si="180"/>
        <v>0</v>
      </c>
      <c r="AM106" s="499">
        <f t="shared" si="181"/>
        <v>0</v>
      </c>
      <c r="AN106" s="500">
        <f t="shared" si="182"/>
        <v>0</v>
      </c>
      <c r="AO106" s="497">
        <f>I106+AF106</f>
        <v>27336681</v>
      </c>
      <c r="AP106" s="498">
        <f>J106+U106</f>
        <v>20063837</v>
      </c>
      <c r="AQ106" s="498">
        <f>Y106</f>
        <v>0</v>
      </c>
      <c r="AR106" s="498">
        <f>K106+AA106</f>
        <v>6781577</v>
      </c>
      <c r="AS106" s="498">
        <f>L106+AB106</f>
        <v>401277</v>
      </c>
      <c r="AT106" s="498">
        <f>M106+AE106</f>
        <v>89990</v>
      </c>
      <c r="AU106" s="499">
        <f>N106+AN106</f>
        <v>38.846699999999998</v>
      </c>
      <c r="AV106" s="499">
        <f>O106+AL106</f>
        <v>34.543399999999998</v>
      </c>
      <c r="AW106" s="500">
        <f>P106+AM106</f>
        <v>4.3033000000000001</v>
      </c>
    </row>
    <row r="107" spans="1:49" s="569" customFormat="1" x14ac:dyDescent="0.2">
      <c r="A107" s="302">
        <v>19</v>
      </c>
      <c r="B107" s="32">
        <v>4473</v>
      </c>
      <c r="C107" s="32">
        <v>600075117</v>
      </c>
      <c r="D107" s="32">
        <v>62237021</v>
      </c>
      <c r="E107" s="311" t="s">
        <v>186</v>
      </c>
      <c r="F107" s="32"/>
      <c r="G107" s="301"/>
      <c r="H107" s="454"/>
      <c r="I107" s="5">
        <f t="shared" ref="I107:AW107" si="231">SUM(I106)</f>
        <v>27336681</v>
      </c>
      <c r="J107" s="8">
        <f t="shared" si="231"/>
        <v>20063837</v>
      </c>
      <c r="K107" s="8">
        <f t="shared" si="231"/>
        <v>6781577</v>
      </c>
      <c r="L107" s="8">
        <f t="shared" si="231"/>
        <v>401277</v>
      </c>
      <c r="M107" s="8">
        <f t="shared" si="231"/>
        <v>89990</v>
      </c>
      <c r="N107" s="9">
        <f t="shared" si="231"/>
        <v>38.846699999999998</v>
      </c>
      <c r="O107" s="9">
        <f t="shared" si="231"/>
        <v>34.543399999999998</v>
      </c>
      <c r="P107" s="39">
        <f t="shared" si="231"/>
        <v>4.3033000000000001</v>
      </c>
      <c r="Q107" s="5">
        <f t="shared" si="231"/>
        <v>0</v>
      </c>
      <c r="R107" s="8">
        <f t="shared" si="231"/>
        <v>0</v>
      </c>
      <c r="S107" s="8">
        <f t="shared" si="231"/>
        <v>0</v>
      </c>
      <c r="T107" s="8">
        <f t="shared" si="231"/>
        <v>0</v>
      </c>
      <c r="U107" s="8">
        <f t="shared" si="231"/>
        <v>0</v>
      </c>
      <c r="V107" s="8">
        <f t="shared" si="231"/>
        <v>0</v>
      </c>
      <c r="W107" s="8">
        <f t="shared" si="231"/>
        <v>0</v>
      </c>
      <c r="X107" s="8">
        <f t="shared" si="231"/>
        <v>0</v>
      </c>
      <c r="Y107" s="8">
        <f t="shared" si="231"/>
        <v>0</v>
      </c>
      <c r="Z107" s="8">
        <f t="shared" si="231"/>
        <v>0</v>
      </c>
      <c r="AA107" s="8">
        <f t="shared" si="231"/>
        <v>0</v>
      </c>
      <c r="AB107" s="8">
        <f t="shared" si="231"/>
        <v>0</v>
      </c>
      <c r="AC107" s="8">
        <f t="shared" si="231"/>
        <v>0</v>
      </c>
      <c r="AD107" s="8">
        <f t="shared" si="231"/>
        <v>0</v>
      </c>
      <c r="AE107" s="8">
        <f t="shared" si="231"/>
        <v>0</v>
      </c>
      <c r="AF107" s="8">
        <f t="shared" si="231"/>
        <v>0</v>
      </c>
      <c r="AG107" s="9">
        <f t="shared" si="231"/>
        <v>0</v>
      </c>
      <c r="AH107" s="9">
        <f t="shared" si="231"/>
        <v>0</v>
      </c>
      <c r="AI107" s="9">
        <f t="shared" si="231"/>
        <v>0</v>
      </c>
      <c r="AJ107" s="9">
        <f t="shared" si="231"/>
        <v>0</v>
      </c>
      <c r="AK107" s="9">
        <f t="shared" si="231"/>
        <v>0</v>
      </c>
      <c r="AL107" s="9">
        <f t="shared" si="231"/>
        <v>0</v>
      </c>
      <c r="AM107" s="9">
        <f t="shared" si="231"/>
        <v>0</v>
      </c>
      <c r="AN107" s="92">
        <f t="shared" si="231"/>
        <v>0</v>
      </c>
      <c r="AO107" s="295">
        <f t="shared" si="231"/>
        <v>27336681</v>
      </c>
      <c r="AP107" s="8">
        <f t="shared" si="231"/>
        <v>20063837</v>
      </c>
      <c r="AQ107" s="8">
        <f t="shared" si="231"/>
        <v>0</v>
      </c>
      <c r="AR107" s="8">
        <f t="shared" si="231"/>
        <v>6781577</v>
      </c>
      <c r="AS107" s="8">
        <f t="shared" si="231"/>
        <v>401277</v>
      </c>
      <c r="AT107" s="8">
        <f t="shared" si="231"/>
        <v>89990</v>
      </c>
      <c r="AU107" s="9">
        <f t="shared" si="231"/>
        <v>38.846699999999998</v>
      </c>
      <c r="AV107" s="9">
        <f t="shared" si="231"/>
        <v>34.543399999999998</v>
      </c>
      <c r="AW107" s="92">
        <f t="shared" si="231"/>
        <v>4.3033000000000001</v>
      </c>
    </row>
    <row r="108" spans="1:49" s="569" customFormat="1" x14ac:dyDescent="0.2">
      <c r="A108" s="531">
        <v>20</v>
      </c>
      <c r="B108" s="532">
        <v>4485</v>
      </c>
      <c r="C108" s="532">
        <v>600074102</v>
      </c>
      <c r="D108" s="532">
        <v>70695113</v>
      </c>
      <c r="E108" s="530" t="s">
        <v>187</v>
      </c>
      <c r="F108" s="532">
        <v>3111</v>
      </c>
      <c r="G108" s="533" t="s">
        <v>317</v>
      </c>
      <c r="H108" s="534" t="s">
        <v>283</v>
      </c>
      <c r="I108" s="575">
        <f t="shared" ref="I108:I110" si="232">SUM(J108:M108)</f>
        <v>2997489</v>
      </c>
      <c r="J108" s="496">
        <v>2196678</v>
      </c>
      <c r="K108" s="131">
        <f t="shared" ref="K108:K109" si="233">ROUND((J108)*33.8%,0)</f>
        <v>742477</v>
      </c>
      <c r="L108" s="131">
        <f t="shared" ref="L108:L109" si="234">ROUND(J108*2%,0)</f>
        <v>43934</v>
      </c>
      <c r="M108" s="496">
        <v>14400</v>
      </c>
      <c r="N108" s="576">
        <f t="shared" ref="N108:N110" si="235">SUM(O108:P108)</f>
        <v>5.3898000000000001</v>
      </c>
      <c r="O108" s="577">
        <v>4</v>
      </c>
      <c r="P108" s="607">
        <v>1.3897999999999999</v>
      </c>
      <c r="Q108" s="579">
        <f t="shared" ref="Q108:Q110" si="236">V108*-1</f>
        <v>-60000</v>
      </c>
      <c r="R108" s="498">
        <v>0</v>
      </c>
      <c r="S108" s="498">
        <v>0</v>
      </c>
      <c r="T108" s="498">
        <v>0</v>
      </c>
      <c r="U108" s="498">
        <f t="shared" si="174"/>
        <v>-60000</v>
      </c>
      <c r="V108" s="498">
        <v>60000</v>
      </c>
      <c r="W108" s="498">
        <v>0</v>
      </c>
      <c r="X108" s="498">
        <v>0</v>
      </c>
      <c r="Y108" s="498">
        <f t="shared" si="175"/>
        <v>60000</v>
      </c>
      <c r="Z108" s="498">
        <f t="shared" si="176"/>
        <v>0</v>
      </c>
      <c r="AA108" s="131">
        <f t="shared" ref="AA108:AA110" si="237">ROUND((U108+V108+W108)*33.8%,0)</f>
        <v>0</v>
      </c>
      <c r="AB108" s="131">
        <f t="shared" si="177"/>
        <v>-1200</v>
      </c>
      <c r="AC108" s="498">
        <v>0</v>
      </c>
      <c r="AD108" s="498">
        <v>0</v>
      </c>
      <c r="AE108" s="498">
        <f t="shared" si="178"/>
        <v>0</v>
      </c>
      <c r="AF108" s="498">
        <f t="shared" si="179"/>
        <v>-1200</v>
      </c>
      <c r="AG108" s="499">
        <v>0</v>
      </c>
      <c r="AH108" s="499">
        <v>-0.32</v>
      </c>
      <c r="AI108" s="499">
        <v>0</v>
      </c>
      <c r="AJ108" s="499">
        <v>0</v>
      </c>
      <c r="AK108" s="499">
        <v>0</v>
      </c>
      <c r="AL108" s="499">
        <f t="shared" si="180"/>
        <v>0</v>
      </c>
      <c r="AM108" s="499">
        <f t="shared" si="181"/>
        <v>-0.32</v>
      </c>
      <c r="AN108" s="500">
        <f t="shared" si="182"/>
        <v>-0.32</v>
      </c>
      <c r="AO108" s="497">
        <f>I108+AF108</f>
        <v>2996289</v>
      </c>
      <c r="AP108" s="498">
        <f>J108+U108</f>
        <v>2136678</v>
      </c>
      <c r="AQ108" s="498">
        <f t="shared" ref="AQ108:AQ110" si="238">Y108</f>
        <v>60000</v>
      </c>
      <c r="AR108" s="498">
        <f t="shared" ref="AR108:AS110" si="239">K108+AA108</f>
        <v>742477</v>
      </c>
      <c r="AS108" s="498">
        <f t="shared" si="239"/>
        <v>42734</v>
      </c>
      <c r="AT108" s="498">
        <f>M108+AE108</f>
        <v>14400</v>
      </c>
      <c r="AU108" s="499">
        <f>N108+AN108</f>
        <v>5.0697999999999999</v>
      </c>
      <c r="AV108" s="499">
        <f t="shared" ref="AV108:AW110" si="240">O108+AL108</f>
        <v>4</v>
      </c>
      <c r="AW108" s="500">
        <f t="shared" si="240"/>
        <v>1.0697999999999999</v>
      </c>
    </row>
    <row r="109" spans="1:49" s="569" customFormat="1" x14ac:dyDescent="0.2">
      <c r="A109" s="531">
        <v>20</v>
      </c>
      <c r="B109" s="532">
        <v>4485</v>
      </c>
      <c r="C109" s="532">
        <v>600074102</v>
      </c>
      <c r="D109" s="532">
        <v>70695113</v>
      </c>
      <c r="E109" s="530" t="s">
        <v>187</v>
      </c>
      <c r="F109" s="532">
        <v>3111</v>
      </c>
      <c r="G109" s="533" t="s">
        <v>318</v>
      </c>
      <c r="H109" s="534" t="s">
        <v>284</v>
      </c>
      <c r="I109" s="575">
        <f t="shared" si="232"/>
        <v>0</v>
      </c>
      <c r="J109" s="496">
        <v>0</v>
      </c>
      <c r="K109" s="131">
        <f t="shared" si="233"/>
        <v>0</v>
      </c>
      <c r="L109" s="131">
        <f t="shared" si="234"/>
        <v>0</v>
      </c>
      <c r="M109" s="496">
        <v>0</v>
      </c>
      <c r="N109" s="576">
        <f t="shared" si="235"/>
        <v>0</v>
      </c>
      <c r="O109" s="577">
        <v>0</v>
      </c>
      <c r="P109" s="607">
        <v>0</v>
      </c>
      <c r="Q109" s="579">
        <f t="shared" si="236"/>
        <v>0</v>
      </c>
      <c r="R109" s="496">
        <v>346444</v>
      </c>
      <c r="S109" s="498">
        <v>0</v>
      </c>
      <c r="T109" s="498">
        <v>0</v>
      </c>
      <c r="U109" s="498">
        <f t="shared" si="174"/>
        <v>346444</v>
      </c>
      <c r="V109" s="498">
        <v>0</v>
      </c>
      <c r="W109" s="498">
        <v>0</v>
      </c>
      <c r="X109" s="498">
        <v>0</v>
      </c>
      <c r="Y109" s="498">
        <f t="shared" si="175"/>
        <v>0</v>
      </c>
      <c r="Z109" s="498">
        <f t="shared" si="176"/>
        <v>346444</v>
      </c>
      <c r="AA109" s="131">
        <f t="shared" si="237"/>
        <v>117098</v>
      </c>
      <c r="AB109" s="131">
        <f t="shared" si="177"/>
        <v>6929</v>
      </c>
      <c r="AC109" s="498">
        <v>0</v>
      </c>
      <c r="AD109" s="498">
        <v>0</v>
      </c>
      <c r="AE109" s="498">
        <f t="shared" si="178"/>
        <v>0</v>
      </c>
      <c r="AF109" s="498">
        <f t="shared" si="179"/>
        <v>470471</v>
      </c>
      <c r="AG109" s="499">
        <v>0</v>
      </c>
      <c r="AH109" s="499">
        <v>0</v>
      </c>
      <c r="AI109" s="499">
        <v>1</v>
      </c>
      <c r="AJ109" s="499">
        <v>0</v>
      </c>
      <c r="AK109" s="499">
        <v>0</v>
      </c>
      <c r="AL109" s="499">
        <f t="shared" si="180"/>
        <v>1</v>
      </c>
      <c r="AM109" s="499">
        <f t="shared" si="181"/>
        <v>0</v>
      </c>
      <c r="AN109" s="500">
        <f t="shared" si="182"/>
        <v>1</v>
      </c>
      <c r="AO109" s="497">
        <f>I109+AF109</f>
        <v>470471</v>
      </c>
      <c r="AP109" s="498">
        <f>J109+U109</f>
        <v>346444</v>
      </c>
      <c r="AQ109" s="498">
        <f t="shared" si="238"/>
        <v>0</v>
      </c>
      <c r="AR109" s="498">
        <f t="shared" si="239"/>
        <v>117098</v>
      </c>
      <c r="AS109" s="498">
        <f t="shared" si="239"/>
        <v>6929</v>
      </c>
      <c r="AT109" s="498">
        <f>M109+AE109</f>
        <v>0</v>
      </c>
      <c r="AU109" s="499">
        <f>N109+AN109</f>
        <v>1</v>
      </c>
      <c r="AV109" s="499">
        <f t="shared" si="240"/>
        <v>1</v>
      </c>
      <c r="AW109" s="500">
        <f t="shared" si="240"/>
        <v>0</v>
      </c>
    </row>
    <row r="110" spans="1:49" s="569" customFormat="1" x14ac:dyDescent="0.2">
      <c r="A110" s="531">
        <v>20</v>
      </c>
      <c r="B110" s="532">
        <v>4485</v>
      </c>
      <c r="C110" s="532">
        <v>600074102</v>
      </c>
      <c r="D110" s="532">
        <v>70695113</v>
      </c>
      <c r="E110" s="530" t="s">
        <v>187</v>
      </c>
      <c r="F110" s="532">
        <v>3141</v>
      </c>
      <c r="G110" s="533" t="s">
        <v>321</v>
      </c>
      <c r="H110" s="534" t="s">
        <v>284</v>
      </c>
      <c r="I110" s="575">
        <f t="shared" si="232"/>
        <v>875046</v>
      </c>
      <c r="J110" s="496">
        <v>641557</v>
      </c>
      <c r="K110" s="131">
        <f>ROUND((J110)*33.8%,0)</f>
        <v>216846</v>
      </c>
      <c r="L110" s="131">
        <f>ROUND(J110*2%,0)</f>
        <v>12831</v>
      </c>
      <c r="M110" s="496">
        <v>3812</v>
      </c>
      <c r="N110" s="576">
        <f t="shared" si="235"/>
        <v>2.1800000000000002</v>
      </c>
      <c r="O110" s="577">
        <v>0</v>
      </c>
      <c r="P110" s="607">
        <v>2.1800000000000002</v>
      </c>
      <c r="Q110" s="579">
        <f t="shared" si="236"/>
        <v>0</v>
      </c>
      <c r="R110" s="498">
        <v>0</v>
      </c>
      <c r="S110" s="498">
        <v>0</v>
      </c>
      <c r="T110" s="498">
        <v>0</v>
      </c>
      <c r="U110" s="498">
        <f t="shared" si="174"/>
        <v>0</v>
      </c>
      <c r="V110" s="498">
        <v>0</v>
      </c>
      <c r="W110" s="498">
        <v>0</v>
      </c>
      <c r="X110" s="498">
        <v>0</v>
      </c>
      <c r="Y110" s="498">
        <f t="shared" si="175"/>
        <v>0</v>
      </c>
      <c r="Z110" s="498">
        <f t="shared" si="176"/>
        <v>0</v>
      </c>
      <c r="AA110" s="131">
        <f t="shared" si="237"/>
        <v>0</v>
      </c>
      <c r="AB110" s="131">
        <f t="shared" si="177"/>
        <v>0</v>
      </c>
      <c r="AC110" s="498">
        <v>0</v>
      </c>
      <c r="AD110" s="498">
        <v>0</v>
      </c>
      <c r="AE110" s="498">
        <f t="shared" si="178"/>
        <v>0</v>
      </c>
      <c r="AF110" s="498">
        <f t="shared" si="179"/>
        <v>0</v>
      </c>
      <c r="AG110" s="499">
        <v>0</v>
      </c>
      <c r="AH110" s="499">
        <v>0</v>
      </c>
      <c r="AI110" s="499">
        <v>0</v>
      </c>
      <c r="AJ110" s="499">
        <v>0</v>
      </c>
      <c r="AK110" s="499">
        <v>0</v>
      </c>
      <c r="AL110" s="499">
        <f t="shared" si="180"/>
        <v>0</v>
      </c>
      <c r="AM110" s="499">
        <f t="shared" si="181"/>
        <v>0</v>
      </c>
      <c r="AN110" s="500">
        <f t="shared" si="182"/>
        <v>0</v>
      </c>
      <c r="AO110" s="497">
        <f>I110+AF110</f>
        <v>875046</v>
      </c>
      <c r="AP110" s="498">
        <f>J110+U110</f>
        <v>641557</v>
      </c>
      <c r="AQ110" s="498">
        <f t="shared" si="238"/>
        <v>0</v>
      </c>
      <c r="AR110" s="498">
        <f t="shared" si="239"/>
        <v>216846</v>
      </c>
      <c r="AS110" s="498">
        <f t="shared" si="239"/>
        <v>12831</v>
      </c>
      <c r="AT110" s="498">
        <f>M110+AE110</f>
        <v>3812</v>
      </c>
      <c r="AU110" s="499">
        <f>N110+AN110</f>
        <v>2.1800000000000002</v>
      </c>
      <c r="AV110" s="499">
        <f t="shared" si="240"/>
        <v>0</v>
      </c>
      <c r="AW110" s="500">
        <f t="shared" si="240"/>
        <v>2.1800000000000002</v>
      </c>
    </row>
    <row r="111" spans="1:49" s="569" customFormat="1" x14ac:dyDescent="0.2">
      <c r="A111" s="302">
        <v>20</v>
      </c>
      <c r="B111" s="32">
        <v>4485</v>
      </c>
      <c r="C111" s="32">
        <v>600074102</v>
      </c>
      <c r="D111" s="32">
        <v>70695113</v>
      </c>
      <c r="E111" s="311" t="s">
        <v>188</v>
      </c>
      <c r="F111" s="32"/>
      <c r="G111" s="301"/>
      <c r="H111" s="454"/>
      <c r="I111" s="5">
        <f t="shared" ref="I111:P111" si="241">SUM(I108:I110)</f>
        <v>3872535</v>
      </c>
      <c r="J111" s="8">
        <f t="shared" si="241"/>
        <v>2838235</v>
      </c>
      <c r="K111" s="8">
        <f t="shared" si="241"/>
        <v>959323</v>
      </c>
      <c r="L111" s="8">
        <f t="shared" si="241"/>
        <v>56765</v>
      </c>
      <c r="M111" s="8">
        <f t="shared" si="241"/>
        <v>18212</v>
      </c>
      <c r="N111" s="9">
        <f t="shared" si="241"/>
        <v>7.5698000000000008</v>
      </c>
      <c r="O111" s="9">
        <f t="shared" si="241"/>
        <v>4</v>
      </c>
      <c r="P111" s="39">
        <f t="shared" si="241"/>
        <v>3.5697999999999999</v>
      </c>
      <c r="Q111" s="5">
        <f t="shared" ref="Q111:AW111" si="242">SUM(Q108:Q110)</f>
        <v>-60000</v>
      </c>
      <c r="R111" s="8">
        <f t="shared" si="242"/>
        <v>346444</v>
      </c>
      <c r="S111" s="8">
        <f t="shared" si="242"/>
        <v>0</v>
      </c>
      <c r="T111" s="8">
        <f t="shared" si="242"/>
        <v>0</v>
      </c>
      <c r="U111" s="8">
        <f t="shared" si="242"/>
        <v>286444</v>
      </c>
      <c r="V111" s="8">
        <f t="shared" si="242"/>
        <v>60000</v>
      </c>
      <c r="W111" s="8">
        <f t="shared" si="242"/>
        <v>0</v>
      </c>
      <c r="X111" s="8">
        <f t="shared" si="242"/>
        <v>0</v>
      </c>
      <c r="Y111" s="8">
        <f t="shared" si="242"/>
        <v>60000</v>
      </c>
      <c r="Z111" s="8">
        <f t="shared" si="242"/>
        <v>346444</v>
      </c>
      <c r="AA111" s="8">
        <f t="shared" si="242"/>
        <v>117098</v>
      </c>
      <c r="AB111" s="8">
        <f t="shared" si="242"/>
        <v>5729</v>
      </c>
      <c r="AC111" s="8">
        <f t="shared" si="242"/>
        <v>0</v>
      </c>
      <c r="AD111" s="8">
        <f t="shared" si="242"/>
        <v>0</v>
      </c>
      <c r="AE111" s="8">
        <f t="shared" si="242"/>
        <v>0</v>
      </c>
      <c r="AF111" s="8">
        <f t="shared" si="242"/>
        <v>469271</v>
      </c>
      <c r="AG111" s="9">
        <f t="shared" si="242"/>
        <v>0</v>
      </c>
      <c r="AH111" s="9">
        <f t="shared" si="242"/>
        <v>-0.32</v>
      </c>
      <c r="AI111" s="9">
        <f t="shared" si="242"/>
        <v>1</v>
      </c>
      <c r="AJ111" s="9">
        <f t="shared" si="242"/>
        <v>0</v>
      </c>
      <c r="AK111" s="9">
        <f t="shared" si="242"/>
        <v>0</v>
      </c>
      <c r="AL111" s="9">
        <f t="shared" si="242"/>
        <v>1</v>
      </c>
      <c r="AM111" s="9">
        <f t="shared" si="242"/>
        <v>-0.32</v>
      </c>
      <c r="AN111" s="92">
        <f t="shared" si="242"/>
        <v>0.67999999999999994</v>
      </c>
      <c r="AO111" s="295">
        <f t="shared" si="242"/>
        <v>4341806</v>
      </c>
      <c r="AP111" s="8">
        <f t="shared" si="242"/>
        <v>3124679</v>
      </c>
      <c r="AQ111" s="8">
        <f t="shared" si="242"/>
        <v>60000</v>
      </c>
      <c r="AR111" s="8">
        <f t="shared" si="242"/>
        <v>1076421</v>
      </c>
      <c r="AS111" s="8">
        <f t="shared" si="242"/>
        <v>62494</v>
      </c>
      <c r="AT111" s="8">
        <f t="shared" si="242"/>
        <v>18212</v>
      </c>
      <c r="AU111" s="9">
        <f t="shared" si="242"/>
        <v>8.2498000000000005</v>
      </c>
      <c r="AV111" s="9">
        <f t="shared" si="242"/>
        <v>5</v>
      </c>
      <c r="AW111" s="92">
        <f t="shared" si="242"/>
        <v>3.2498</v>
      </c>
    </row>
    <row r="112" spans="1:49" s="569" customFormat="1" x14ac:dyDescent="0.2">
      <c r="A112" s="531">
        <v>21</v>
      </c>
      <c r="B112" s="532">
        <v>4435</v>
      </c>
      <c r="C112" s="532">
        <v>650034295</v>
      </c>
      <c r="D112" s="532">
        <v>72744669</v>
      </c>
      <c r="E112" s="530" t="s">
        <v>189</v>
      </c>
      <c r="F112" s="532">
        <v>3111</v>
      </c>
      <c r="G112" s="533" t="s">
        <v>317</v>
      </c>
      <c r="H112" s="534" t="s">
        <v>283</v>
      </c>
      <c r="I112" s="575">
        <f t="shared" ref="I112:I116" si="243">SUM(J112:M112)</f>
        <v>3601335</v>
      </c>
      <c r="J112" s="496">
        <v>2635372</v>
      </c>
      <c r="K112" s="131">
        <f t="shared" ref="K112:K114" si="244">ROUND((J112)*33.8%,0)</f>
        <v>890756</v>
      </c>
      <c r="L112" s="131">
        <f t="shared" ref="L112:L114" si="245">ROUND(J112*2%,0)</f>
        <v>52707</v>
      </c>
      <c r="M112" s="496">
        <v>22500</v>
      </c>
      <c r="N112" s="576">
        <f t="shared" ref="N112:N117" si="246">SUM(O112:P112)</f>
        <v>6.3827999999999996</v>
      </c>
      <c r="O112" s="577">
        <v>5</v>
      </c>
      <c r="P112" s="607">
        <v>1.3828</v>
      </c>
      <c r="Q112" s="579">
        <f t="shared" ref="Q112:Q117" si="247">V112*-1</f>
        <v>-16000</v>
      </c>
      <c r="R112" s="498">
        <v>0</v>
      </c>
      <c r="S112" s="498">
        <v>0</v>
      </c>
      <c r="T112" s="498">
        <v>0</v>
      </c>
      <c r="U112" s="498">
        <f t="shared" si="174"/>
        <v>-16000</v>
      </c>
      <c r="V112" s="498">
        <v>16000</v>
      </c>
      <c r="W112" s="498">
        <v>0</v>
      </c>
      <c r="X112" s="498">
        <v>0</v>
      </c>
      <c r="Y112" s="498">
        <f t="shared" si="175"/>
        <v>16000</v>
      </c>
      <c r="Z112" s="498">
        <f t="shared" si="176"/>
        <v>0</v>
      </c>
      <c r="AA112" s="131">
        <f t="shared" ref="AA112:AA117" si="248">ROUND((U112+V112+W112)*33.8%,0)</f>
        <v>0</v>
      </c>
      <c r="AB112" s="131">
        <f t="shared" si="177"/>
        <v>-320</v>
      </c>
      <c r="AC112" s="498">
        <v>0</v>
      </c>
      <c r="AD112" s="498">
        <v>0</v>
      </c>
      <c r="AE112" s="498">
        <f t="shared" si="178"/>
        <v>0</v>
      </c>
      <c r="AF112" s="498">
        <f t="shared" si="179"/>
        <v>-320</v>
      </c>
      <c r="AG112" s="499">
        <v>0</v>
      </c>
      <c r="AH112" s="499">
        <v>0</v>
      </c>
      <c r="AI112" s="499">
        <v>0</v>
      </c>
      <c r="AJ112" s="499">
        <v>0</v>
      </c>
      <c r="AK112" s="499">
        <v>0</v>
      </c>
      <c r="AL112" s="499">
        <f t="shared" si="180"/>
        <v>0</v>
      </c>
      <c r="AM112" s="499">
        <f t="shared" si="181"/>
        <v>0</v>
      </c>
      <c r="AN112" s="500">
        <f t="shared" si="182"/>
        <v>0</v>
      </c>
      <c r="AO112" s="497">
        <f t="shared" ref="AO112:AO117" si="249">I112+AF112</f>
        <v>3601015</v>
      </c>
      <c r="AP112" s="498">
        <f t="shared" ref="AP112:AP117" si="250">J112+U112</f>
        <v>2619372</v>
      </c>
      <c r="AQ112" s="498">
        <f t="shared" ref="AQ112:AQ117" si="251">Y112</f>
        <v>16000</v>
      </c>
      <c r="AR112" s="498">
        <f t="shared" ref="AR112:AS117" si="252">K112+AA112</f>
        <v>890756</v>
      </c>
      <c r="AS112" s="498">
        <f t="shared" si="252"/>
        <v>52387</v>
      </c>
      <c r="AT112" s="498">
        <f t="shared" ref="AT112:AT117" si="253">M112+AE112</f>
        <v>22500</v>
      </c>
      <c r="AU112" s="499">
        <f t="shared" ref="AU112:AU117" si="254">N112+AN112</f>
        <v>6.3827999999999996</v>
      </c>
      <c r="AV112" s="499">
        <f t="shared" ref="AV112:AW117" si="255">O112+AL112</f>
        <v>5</v>
      </c>
      <c r="AW112" s="500">
        <f t="shared" si="255"/>
        <v>1.3828</v>
      </c>
    </row>
    <row r="113" spans="1:49" s="569" customFormat="1" x14ac:dyDescent="0.2">
      <c r="A113" s="531">
        <v>21</v>
      </c>
      <c r="B113" s="532">
        <v>4435</v>
      </c>
      <c r="C113" s="532">
        <v>650034295</v>
      </c>
      <c r="D113" s="532">
        <v>72744669</v>
      </c>
      <c r="E113" s="530" t="s">
        <v>189</v>
      </c>
      <c r="F113" s="532">
        <v>3117</v>
      </c>
      <c r="G113" s="533" t="s">
        <v>320</v>
      </c>
      <c r="H113" s="534" t="s">
        <v>283</v>
      </c>
      <c r="I113" s="575">
        <f t="shared" si="243"/>
        <v>6049994</v>
      </c>
      <c r="J113" s="496">
        <v>4378265</v>
      </c>
      <c r="K113" s="131">
        <f t="shared" si="244"/>
        <v>1479854</v>
      </c>
      <c r="L113" s="131">
        <f t="shared" si="245"/>
        <v>87565</v>
      </c>
      <c r="M113" s="496">
        <v>104310</v>
      </c>
      <c r="N113" s="576">
        <f t="shared" si="246"/>
        <v>8.5866000000000007</v>
      </c>
      <c r="O113" s="577">
        <v>5.4089999999999998</v>
      </c>
      <c r="P113" s="607">
        <v>3.1776</v>
      </c>
      <c r="Q113" s="579">
        <f t="shared" si="247"/>
        <v>-20000</v>
      </c>
      <c r="R113" s="498">
        <v>0</v>
      </c>
      <c r="S113" s="498">
        <v>0</v>
      </c>
      <c r="T113" s="498">
        <v>0</v>
      </c>
      <c r="U113" s="498">
        <f t="shared" si="174"/>
        <v>-20000</v>
      </c>
      <c r="V113" s="498">
        <v>20000</v>
      </c>
      <c r="W113" s="498">
        <v>0</v>
      </c>
      <c r="X113" s="498">
        <v>0</v>
      </c>
      <c r="Y113" s="498">
        <f t="shared" si="175"/>
        <v>20000</v>
      </c>
      <c r="Z113" s="498">
        <f t="shared" si="176"/>
        <v>0</v>
      </c>
      <c r="AA113" s="131">
        <f t="shared" si="248"/>
        <v>0</v>
      </c>
      <c r="AB113" s="131">
        <f t="shared" si="177"/>
        <v>-400</v>
      </c>
      <c r="AC113" s="498">
        <v>0</v>
      </c>
      <c r="AD113" s="498">
        <v>0</v>
      </c>
      <c r="AE113" s="498">
        <f t="shared" si="178"/>
        <v>0</v>
      </c>
      <c r="AF113" s="498">
        <f t="shared" si="179"/>
        <v>-400</v>
      </c>
      <c r="AG113" s="499">
        <v>0</v>
      </c>
      <c r="AH113" s="499">
        <v>0</v>
      </c>
      <c r="AI113" s="499">
        <v>0</v>
      </c>
      <c r="AJ113" s="499">
        <v>0</v>
      </c>
      <c r="AK113" s="499">
        <v>0</v>
      </c>
      <c r="AL113" s="499">
        <f t="shared" si="180"/>
        <v>0</v>
      </c>
      <c r="AM113" s="499">
        <f t="shared" si="181"/>
        <v>0</v>
      </c>
      <c r="AN113" s="500">
        <f t="shared" si="182"/>
        <v>0</v>
      </c>
      <c r="AO113" s="497">
        <f t="shared" si="249"/>
        <v>6049594</v>
      </c>
      <c r="AP113" s="498">
        <f t="shared" si="250"/>
        <v>4358265</v>
      </c>
      <c r="AQ113" s="498">
        <f t="shared" si="251"/>
        <v>20000</v>
      </c>
      <c r="AR113" s="498">
        <f t="shared" si="252"/>
        <v>1479854</v>
      </c>
      <c r="AS113" s="498">
        <f t="shared" si="252"/>
        <v>87165</v>
      </c>
      <c r="AT113" s="498">
        <f t="shared" si="253"/>
        <v>104310</v>
      </c>
      <c r="AU113" s="499">
        <f t="shared" si="254"/>
        <v>8.5866000000000007</v>
      </c>
      <c r="AV113" s="499">
        <f t="shared" si="255"/>
        <v>5.4089999999999998</v>
      </c>
      <c r="AW113" s="500">
        <f t="shared" si="255"/>
        <v>3.1776</v>
      </c>
    </row>
    <row r="114" spans="1:49" s="569" customFormat="1" x14ac:dyDescent="0.2">
      <c r="A114" s="531">
        <v>21</v>
      </c>
      <c r="B114" s="532">
        <v>4435</v>
      </c>
      <c r="C114" s="532">
        <v>650034295</v>
      </c>
      <c r="D114" s="532">
        <v>72744669</v>
      </c>
      <c r="E114" s="530" t="s">
        <v>189</v>
      </c>
      <c r="F114" s="532">
        <v>3117</v>
      </c>
      <c r="G114" s="533" t="s">
        <v>318</v>
      </c>
      <c r="H114" s="534" t="s">
        <v>284</v>
      </c>
      <c r="I114" s="575">
        <f t="shared" si="243"/>
        <v>0</v>
      </c>
      <c r="J114" s="496">
        <v>0</v>
      </c>
      <c r="K114" s="131">
        <f t="shared" si="244"/>
        <v>0</v>
      </c>
      <c r="L114" s="131">
        <f t="shared" si="245"/>
        <v>0</v>
      </c>
      <c r="M114" s="496">
        <v>0</v>
      </c>
      <c r="N114" s="576">
        <f t="shared" si="246"/>
        <v>0</v>
      </c>
      <c r="O114" s="577">
        <v>0</v>
      </c>
      <c r="P114" s="607">
        <v>0</v>
      </c>
      <c r="Q114" s="579">
        <f t="shared" si="247"/>
        <v>0</v>
      </c>
      <c r="R114" s="496">
        <v>221342</v>
      </c>
      <c r="S114" s="498">
        <v>0</v>
      </c>
      <c r="T114" s="498">
        <v>0</v>
      </c>
      <c r="U114" s="498">
        <f t="shared" si="174"/>
        <v>221342</v>
      </c>
      <c r="V114" s="498">
        <v>0</v>
      </c>
      <c r="W114" s="498">
        <v>0</v>
      </c>
      <c r="X114" s="498">
        <v>0</v>
      </c>
      <c r="Y114" s="498">
        <f t="shared" si="175"/>
        <v>0</v>
      </c>
      <c r="Z114" s="498">
        <f t="shared" si="176"/>
        <v>221342</v>
      </c>
      <c r="AA114" s="131">
        <f t="shared" si="248"/>
        <v>74814</v>
      </c>
      <c r="AB114" s="131">
        <f t="shared" si="177"/>
        <v>4427</v>
      </c>
      <c r="AC114" s="498">
        <v>0</v>
      </c>
      <c r="AD114" s="498">
        <v>0</v>
      </c>
      <c r="AE114" s="498">
        <f t="shared" si="178"/>
        <v>0</v>
      </c>
      <c r="AF114" s="498">
        <f t="shared" si="179"/>
        <v>300583</v>
      </c>
      <c r="AG114" s="499">
        <v>0</v>
      </c>
      <c r="AH114" s="499">
        <v>0</v>
      </c>
      <c r="AI114" s="499">
        <v>0.64</v>
      </c>
      <c r="AJ114" s="499">
        <v>0</v>
      </c>
      <c r="AK114" s="499">
        <v>0</v>
      </c>
      <c r="AL114" s="499">
        <f t="shared" si="180"/>
        <v>0.64</v>
      </c>
      <c r="AM114" s="499">
        <f t="shared" si="181"/>
        <v>0</v>
      </c>
      <c r="AN114" s="500">
        <f t="shared" si="182"/>
        <v>0.64</v>
      </c>
      <c r="AO114" s="497">
        <f t="shared" si="249"/>
        <v>300583</v>
      </c>
      <c r="AP114" s="498">
        <f t="shared" si="250"/>
        <v>221342</v>
      </c>
      <c r="AQ114" s="498">
        <f t="shared" si="251"/>
        <v>0</v>
      </c>
      <c r="AR114" s="498">
        <f t="shared" si="252"/>
        <v>74814</v>
      </c>
      <c r="AS114" s="498">
        <f t="shared" si="252"/>
        <v>4427</v>
      </c>
      <c r="AT114" s="498">
        <f t="shared" si="253"/>
        <v>0</v>
      </c>
      <c r="AU114" s="499">
        <f t="shared" si="254"/>
        <v>0.64</v>
      </c>
      <c r="AV114" s="499">
        <f t="shared" si="255"/>
        <v>0.64</v>
      </c>
      <c r="AW114" s="500">
        <f t="shared" si="255"/>
        <v>0</v>
      </c>
    </row>
    <row r="115" spans="1:49" s="569" customFormat="1" x14ac:dyDescent="0.2">
      <c r="A115" s="531">
        <v>21</v>
      </c>
      <c r="B115" s="532">
        <v>4435</v>
      </c>
      <c r="C115" s="532">
        <v>650034295</v>
      </c>
      <c r="D115" s="532">
        <v>72744669</v>
      </c>
      <c r="E115" s="524" t="s">
        <v>189</v>
      </c>
      <c r="F115" s="532">
        <v>3141</v>
      </c>
      <c r="G115" s="533" t="s">
        <v>321</v>
      </c>
      <c r="H115" s="534" t="s">
        <v>284</v>
      </c>
      <c r="I115" s="575">
        <f t="shared" si="243"/>
        <v>1089590</v>
      </c>
      <c r="J115" s="496">
        <v>797695</v>
      </c>
      <c r="K115" s="131">
        <f>ROUND((J115)*33.8%,0)</f>
        <v>269621</v>
      </c>
      <c r="L115" s="131">
        <f>ROUND(J115*2%,0)</f>
        <v>15954</v>
      </c>
      <c r="M115" s="496">
        <v>6320</v>
      </c>
      <c r="N115" s="576">
        <f t="shared" si="246"/>
        <v>2.71</v>
      </c>
      <c r="O115" s="577">
        <v>0</v>
      </c>
      <c r="P115" s="607">
        <v>2.71</v>
      </c>
      <c r="Q115" s="579">
        <f t="shared" si="247"/>
        <v>-8000</v>
      </c>
      <c r="R115" s="498">
        <v>0</v>
      </c>
      <c r="S115" s="498">
        <v>0</v>
      </c>
      <c r="T115" s="498">
        <v>0</v>
      </c>
      <c r="U115" s="498">
        <f t="shared" si="174"/>
        <v>-8000</v>
      </c>
      <c r="V115" s="498">
        <v>8000</v>
      </c>
      <c r="W115" s="498">
        <v>0</v>
      </c>
      <c r="X115" s="498">
        <v>0</v>
      </c>
      <c r="Y115" s="498">
        <f t="shared" si="175"/>
        <v>8000</v>
      </c>
      <c r="Z115" s="498">
        <f t="shared" si="176"/>
        <v>0</v>
      </c>
      <c r="AA115" s="131">
        <f t="shared" si="248"/>
        <v>0</v>
      </c>
      <c r="AB115" s="131">
        <f t="shared" si="177"/>
        <v>-160</v>
      </c>
      <c r="AC115" s="498">
        <v>0</v>
      </c>
      <c r="AD115" s="498">
        <v>0</v>
      </c>
      <c r="AE115" s="498">
        <f t="shared" si="178"/>
        <v>0</v>
      </c>
      <c r="AF115" s="498">
        <f t="shared" si="179"/>
        <v>-160</v>
      </c>
      <c r="AG115" s="499">
        <v>0</v>
      </c>
      <c r="AH115" s="499">
        <v>0</v>
      </c>
      <c r="AI115" s="499">
        <v>0</v>
      </c>
      <c r="AJ115" s="499">
        <v>0</v>
      </c>
      <c r="AK115" s="499">
        <v>0</v>
      </c>
      <c r="AL115" s="499">
        <f t="shared" si="180"/>
        <v>0</v>
      </c>
      <c r="AM115" s="499">
        <f t="shared" si="181"/>
        <v>0</v>
      </c>
      <c r="AN115" s="500">
        <f t="shared" si="182"/>
        <v>0</v>
      </c>
      <c r="AO115" s="497">
        <f t="shared" si="249"/>
        <v>1089430</v>
      </c>
      <c r="AP115" s="498">
        <f t="shared" si="250"/>
        <v>789695</v>
      </c>
      <c r="AQ115" s="498">
        <f t="shared" si="251"/>
        <v>8000</v>
      </c>
      <c r="AR115" s="498">
        <f t="shared" si="252"/>
        <v>269621</v>
      </c>
      <c r="AS115" s="498">
        <f t="shared" si="252"/>
        <v>15794</v>
      </c>
      <c r="AT115" s="498">
        <f t="shared" si="253"/>
        <v>6320</v>
      </c>
      <c r="AU115" s="499">
        <f t="shared" si="254"/>
        <v>2.71</v>
      </c>
      <c r="AV115" s="499">
        <f t="shared" si="255"/>
        <v>0</v>
      </c>
      <c r="AW115" s="500">
        <f t="shared" si="255"/>
        <v>2.71</v>
      </c>
    </row>
    <row r="116" spans="1:49" s="569" customFormat="1" x14ac:dyDescent="0.2">
      <c r="A116" s="531">
        <v>21</v>
      </c>
      <c r="B116" s="532">
        <v>4435</v>
      </c>
      <c r="C116" s="532">
        <v>650034295</v>
      </c>
      <c r="D116" s="532">
        <v>72744669</v>
      </c>
      <c r="E116" s="530" t="s">
        <v>189</v>
      </c>
      <c r="F116" s="532">
        <v>3143</v>
      </c>
      <c r="G116" s="533" t="s">
        <v>635</v>
      </c>
      <c r="H116" s="574" t="s">
        <v>283</v>
      </c>
      <c r="I116" s="575">
        <f t="shared" si="243"/>
        <v>599390</v>
      </c>
      <c r="J116" s="496">
        <v>441377</v>
      </c>
      <c r="K116" s="131">
        <f t="shared" ref="K116:K117" si="256">ROUND((J116)*33.8%,0)</f>
        <v>149185</v>
      </c>
      <c r="L116" s="131">
        <f t="shared" ref="L116:L117" si="257">ROUND(J116*2%,0)</f>
        <v>8828</v>
      </c>
      <c r="M116" s="496"/>
      <c r="N116" s="576">
        <f t="shared" si="246"/>
        <v>0.9375</v>
      </c>
      <c r="O116" s="577">
        <v>0.9375</v>
      </c>
      <c r="P116" s="607">
        <v>0</v>
      </c>
      <c r="Q116" s="579">
        <f t="shared" si="247"/>
        <v>-4000</v>
      </c>
      <c r="R116" s="498">
        <v>0</v>
      </c>
      <c r="S116" s="498">
        <v>0</v>
      </c>
      <c r="T116" s="498">
        <v>0</v>
      </c>
      <c r="U116" s="498">
        <f t="shared" si="174"/>
        <v>-4000</v>
      </c>
      <c r="V116" s="498">
        <v>4000</v>
      </c>
      <c r="W116" s="498">
        <v>0</v>
      </c>
      <c r="X116" s="498">
        <v>0</v>
      </c>
      <c r="Y116" s="498">
        <f t="shared" si="175"/>
        <v>4000</v>
      </c>
      <c r="Z116" s="498">
        <f t="shared" si="176"/>
        <v>0</v>
      </c>
      <c r="AA116" s="131">
        <f t="shared" si="248"/>
        <v>0</v>
      </c>
      <c r="AB116" s="131">
        <f t="shared" si="177"/>
        <v>-80</v>
      </c>
      <c r="AC116" s="498">
        <v>0</v>
      </c>
      <c r="AD116" s="498">
        <v>0</v>
      </c>
      <c r="AE116" s="498">
        <f t="shared" si="178"/>
        <v>0</v>
      </c>
      <c r="AF116" s="498">
        <f t="shared" si="179"/>
        <v>-80</v>
      </c>
      <c r="AG116" s="499">
        <v>0</v>
      </c>
      <c r="AH116" s="499">
        <v>0</v>
      </c>
      <c r="AI116" s="499">
        <v>0</v>
      </c>
      <c r="AJ116" s="499">
        <v>0</v>
      </c>
      <c r="AK116" s="499">
        <v>0</v>
      </c>
      <c r="AL116" s="499">
        <f t="shared" si="180"/>
        <v>0</v>
      </c>
      <c r="AM116" s="499">
        <f t="shared" si="181"/>
        <v>0</v>
      </c>
      <c r="AN116" s="500">
        <f t="shared" si="182"/>
        <v>0</v>
      </c>
      <c r="AO116" s="497">
        <f t="shared" si="249"/>
        <v>599310</v>
      </c>
      <c r="AP116" s="498">
        <f t="shared" si="250"/>
        <v>437377</v>
      </c>
      <c r="AQ116" s="498">
        <f t="shared" si="251"/>
        <v>4000</v>
      </c>
      <c r="AR116" s="498">
        <f t="shared" si="252"/>
        <v>149185</v>
      </c>
      <c r="AS116" s="498">
        <f t="shared" si="252"/>
        <v>8748</v>
      </c>
      <c r="AT116" s="498">
        <f t="shared" si="253"/>
        <v>0</v>
      </c>
      <c r="AU116" s="499">
        <f t="shared" si="254"/>
        <v>0.9375</v>
      </c>
      <c r="AV116" s="499">
        <f t="shared" si="255"/>
        <v>0.9375</v>
      </c>
      <c r="AW116" s="500">
        <f t="shared" si="255"/>
        <v>0</v>
      </c>
    </row>
    <row r="117" spans="1:49" s="569" customFormat="1" x14ac:dyDescent="0.2">
      <c r="A117" s="531">
        <v>21</v>
      </c>
      <c r="B117" s="532">
        <v>4435</v>
      </c>
      <c r="C117" s="532">
        <v>650034295</v>
      </c>
      <c r="D117" s="532">
        <v>72744669</v>
      </c>
      <c r="E117" s="530" t="s">
        <v>189</v>
      </c>
      <c r="F117" s="532">
        <v>3143</v>
      </c>
      <c r="G117" s="533" t="s">
        <v>636</v>
      </c>
      <c r="H117" s="574" t="s">
        <v>284</v>
      </c>
      <c r="I117" s="575">
        <f>SUM(J117:M117)</f>
        <v>19662</v>
      </c>
      <c r="J117" s="496">
        <v>13860</v>
      </c>
      <c r="K117" s="131">
        <f t="shared" si="256"/>
        <v>4685</v>
      </c>
      <c r="L117" s="131">
        <f t="shared" si="257"/>
        <v>277</v>
      </c>
      <c r="M117" s="496">
        <v>840</v>
      </c>
      <c r="N117" s="576">
        <f t="shared" si="246"/>
        <v>0.06</v>
      </c>
      <c r="O117" s="577">
        <v>0</v>
      </c>
      <c r="P117" s="607">
        <v>0.06</v>
      </c>
      <c r="Q117" s="579">
        <f t="shared" si="247"/>
        <v>0</v>
      </c>
      <c r="R117" s="498">
        <v>0</v>
      </c>
      <c r="S117" s="498">
        <v>0</v>
      </c>
      <c r="T117" s="498">
        <v>0</v>
      </c>
      <c r="U117" s="498">
        <f t="shared" si="174"/>
        <v>0</v>
      </c>
      <c r="V117" s="498">
        <v>0</v>
      </c>
      <c r="W117" s="498">
        <v>0</v>
      </c>
      <c r="X117" s="498">
        <v>0</v>
      </c>
      <c r="Y117" s="498">
        <f t="shared" si="175"/>
        <v>0</v>
      </c>
      <c r="Z117" s="498">
        <f t="shared" si="176"/>
        <v>0</v>
      </c>
      <c r="AA117" s="131">
        <f t="shared" si="248"/>
        <v>0</v>
      </c>
      <c r="AB117" s="131">
        <f t="shared" si="177"/>
        <v>0</v>
      </c>
      <c r="AC117" s="498">
        <v>0</v>
      </c>
      <c r="AD117" s="498">
        <v>0</v>
      </c>
      <c r="AE117" s="498">
        <f t="shared" si="178"/>
        <v>0</v>
      </c>
      <c r="AF117" s="498">
        <f t="shared" si="179"/>
        <v>0</v>
      </c>
      <c r="AG117" s="499">
        <v>0</v>
      </c>
      <c r="AH117" s="499">
        <v>0</v>
      </c>
      <c r="AI117" s="499">
        <v>0</v>
      </c>
      <c r="AJ117" s="499">
        <v>0</v>
      </c>
      <c r="AK117" s="499">
        <v>0</v>
      </c>
      <c r="AL117" s="499">
        <f t="shared" si="180"/>
        <v>0</v>
      </c>
      <c r="AM117" s="499">
        <f t="shared" si="181"/>
        <v>0</v>
      </c>
      <c r="AN117" s="500">
        <f t="shared" si="182"/>
        <v>0</v>
      </c>
      <c r="AO117" s="497">
        <f t="shared" si="249"/>
        <v>19662</v>
      </c>
      <c r="AP117" s="498">
        <f t="shared" si="250"/>
        <v>13860</v>
      </c>
      <c r="AQ117" s="498">
        <f t="shared" si="251"/>
        <v>0</v>
      </c>
      <c r="AR117" s="498">
        <f t="shared" si="252"/>
        <v>4685</v>
      </c>
      <c r="AS117" s="498">
        <f t="shared" si="252"/>
        <v>277</v>
      </c>
      <c r="AT117" s="498">
        <f t="shared" si="253"/>
        <v>840</v>
      </c>
      <c r="AU117" s="499">
        <f t="shared" si="254"/>
        <v>0.06</v>
      </c>
      <c r="AV117" s="499">
        <f t="shared" si="255"/>
        <v>0</v>
      </c>
      <c r="AW117" s="500">
        <f t="shared" si="255"/>
        <v>0.06</v>
      </c>
    </row>
    <row r="118" spans="1:49" s="569" customFormat="1" x14ac:dyDescent="0.2">
      <c r="A118" s="302">
        <v>21</v>
      </c>
      <c r="B118" s="32">
        <v>4435</v>
      </c>
      <c r="C118" s="32">
        <v>650034295</v>
      </c>
      <c r="D118" s="32">
        <v>72744669</v>
      </c>
      <c r="E118" s="311" t="s">
        <v>190</v>
      </c>
      <c r="F118" s="32"/>
      <c r="G118" s="301"/>
      <c r="H118" s="454"/>
      <c r="I118" s="5">
        <f t="shared" ref="I118:AW118" si="258">SUM(I112:I117)</f>
        <v>11359971</v>
      </c>
      <c r="J118" s="8">
        <f t="shared" si="258"/>
        <v>8266569</v>
      </c>
      <c r="K118" s="8">
        <f t="shared" si="258"/>
        <v>2794101</v>
      </c>
      <c r="L118" s="8">
        <f t="shared" si="258"/>
        <v>165331</v>
      </c>
      <c r="M118" s="8">
        <f t="shared" si="258"/>
        <v>133970</v>
      </c>
      <c r="N118" s="9">
        <f t="shared" si="258"/>
        <v>18.6769</v>
      </c>
      <c r="O118" s="9">
        <f t="shared" si="258"/>
        <v>11.346499999999999</v>
      </c>
      <c r="P118" s="39">
        <f t="shared" si="258"/>
        <v>7.3303999999999991</v>
      </c>
      <c r="Q118" s="5">
        <f t="shared" si="258"/>
        <v>-48000</v>
      </c>
      <c r="R118" s="8">
        <f t="shared" si="258"/>
        <v>221342</v>
      </c>
      <c r="S118" s="8">
        <f t="shared" si="258"/>
        <v>0</v>
      </c>
      <c r="T118" s="8">
        <f t="shared" si="258"/>
        <v>0</v>
      </c>
      <c r="U118" s="8">
        <f t="shared" si="258"/>
        <v>173342</v>
      </c>
      <c r="V118" s="8">
        <f t="shared" si="258"/>
        <v>48000</v>
      </c>
      <c r="W118" s="8">
        <f t="shared" si="258"/>
        <v>0</v>
      </c>
      <c r="X118" s="8">
        <f t="shared" si="258"/>
        <v>0</v>
      </c>
      <c r="Y118" s="8">
        <f t="shared" si="258"/>
        <v>48000</v>
      </c>
      <c r="Z118" s="8">
        <f t="shared" si="258"/>
        <v>221342</v>
      </c>
      <c r="AA118" s="8">
        <f t="shared" si="258"/>
        <v>74814</v>
      </c>
      <c r="AB118" s="8">
        <f t="shared" si="258"/>
        <v>3467</v>
      </c>
      <c r="AC118" s="8">
        <f t="shared" si="258"/>
        <v>0</v>
      </c>
      <c r="AD118" s="8">
        <f t="shared" si="258"/>
        <v>0</v>
      </c>
      <c r="AE118" s="8">
        <f t="shared" si="258"/>
        <v>0</v>
      </c>
      <c r="AF118" s="8">
        <f t="shared" si="258"/>
        <v>299623</v>
      </c>
      <c r="AG118" s="9">
        <f t="shared" si="258"/>
        <v>0</v>
      </c>
      <c r="AH118" s="9">
        <f t="shared" si="258"/>
        <v>0</v>
      </c>
      <c r="AI118" s="9">
        <f t="shared" si="258"/>
        <v>0.64</v>
      </c>
      <c r="AJ118" s="9">
        <f t="shared" si="258"/>
        <v>0</v>
      </c>
      <c r="AK118" s="9">
        <f t="shared" si="258"/>
        <v>0</v>
      </c>
      <c r="AL118" s="9">
        <f t="shared" si="258"/>
        <v>0.64</v>
      </c>
      <c r="AM118" s="9">
        <f t="shared" si="258"/>
        <v>0</v>
      </c>
      <c r="AN118" s="92">
        <f t="shared" si="258"/>
        <v>0.64</v>
      </c>
      <c r="AO118" s="295">
        <f t="shared" si="258"/>
        <v>11659594</v>
      </c>
      <c r="AP118" s="8">
        <f t="shared" si="258"/>
        <v>8439911</v>
      </c>
      <c r="AQ118" s="8">
        <f t="shared" si="258"/>
        <v>48000</v>
      </c>
      <c r="AR118" s="8">
        <f t="shared" si="258"/>
        <v>2868915</v>
      </c>
      <c r="AS118" s="8">
        <f t="shared" si="258"/>
        <v>168798</v>
      </c>
      <c r="AT118" s="8">
        <f t="shared" si="258"/>
        <v>133970</v>
      </c>
      <c r="AU118" s="9">
        <f t="shared" si="258"/>
        <v>19.3169</v>
      </c>
      <c r="AV118" s="9">
        <f t="shared" si="258"/>
        <v>11.986499999999999</v>
      </c>
      <c r="AW118" s="92">
        <f t="shared" si="258"/>
        <v>7.3303999999999991</v>
      </c>
    </row>
    <row r="119" spans="1:49" s="569" customFormat="1" x14ac:dyDescent="0.2">
      <c r="A119" s="531">
        <v>22</v>
      </c>
      <c r="B119" s="532">
        <v>4412</v>
      </c>
      <c r="C119" s="532">
        <v>600074447</v>
      </c>
      <c r="D119" s="532">
        <v>70698554</v>
      </c>
      <c r="E119" s="530" t="s">
        <v>191</v>
      </c>
      <c r="F119" s="532">
        <v>3111</v>
      </c>
      <c r="G119" s="533" t="s">
        <v>317</v>
      </c>
      <c r="H119" s="534" t="s">
        <v>283</v>
      </c>
      <c r="I119" s="575">
        <f t="shared" ref="I119:I121" si="259">SUM(J119:M119)</f>
        <v>3399415</v>
      </c>
      <c r="J119" s="496">
        <v>2489333</v>
      </c>
      <c r="K119" s="131">
        <f t="shared" ref="K119:K120" si="260">ROUND((J119)*33.8%,0)</f>
        <v>841395</v>
      </c>
      <c r="L119" s="131">
        <f t="shared" ref="L119:L120" si="261">ROUND(J119*2%,0)</f>
        <v>49787</v>
      </c>
      <c r="M119" s="496">
        <v>18900</v>
      </c>
      <c r="N119" s="576">
        <f t="shared" ref="N119:N121" si="262">SUM(O119:P119)</f>
        <v>5.6150000000000002</v>
      </c>
      <c r="O119" s="577">
        <v>4.1252000000000004</v>
      </c>
      <c r="P119" s="607">
        <v>1.4898</v>
      </c>
      <c r="Q119" s="579">
        <f t="shared" ref="Q119:Q121" si="263">V119*-1</f>
        <v>0</v>
      </c>
      <c r="R119" s="498">
        <v>0</v>
      </c>
      <c r="S119" s="498">
        <v>0</v>
      </c>
      <c r="T119" s="498">
        <v>0</v>
      </c>
      <c r="U119" s="498">
        <f t="shared" si="174"/>
        <v>0</v>
      </c>
      <c r="V119" s="498">
        <v>0</v>
      </c>
      <c r="W119" s="498">
        <v>0</v>
      </c>
      <c r="X119" s="498">
        <v>0</v>
      </c>
      <c r="Y119" s="498">
        <f t="shared" si="175"/>
        <v>0</v>
      </c>
      <c r="Z119" s="498">
        <f t="shared" si="176"/>
        <v>0</v>
      </c>
      <c r="AA119" s="131">
        <f t="shared" ref="AA119:AA121" si="264">ROUND((U119+V119+W119)*33.8%,0)</f>
        <v>0</v>
      </c>
      <c r="AB119" s="131">
        <f t="shared" si="177"/>
        <v>0</v>
      </c>
      <c r="AC119" s="498">
        <v>0</v>
      </c>
      <c r="AD119" s="498">
        <v>0</v>
      </c>
      <c r="AE119" s="498">
        <f t="shared" si="178"/>
        <v>0</v>
      </c>
      <c r="AF119" s="498">
        <f t="shared" si="179"/>
        <v>0</v>
      </c>
      <c r="AG119" s="499">
        <v>0</v>
      </c>
      <c r="AH119" s="499">
        <v>0</v>
      </c>
      <c r="AI119" s="499">
        <v>0</v>
      </c>
      <c r="AJ119" s="499">
        <v>0</v>
      </c>
      <c r="AK119" s="499">
        <v>0</v>
      </c>
      <c r="AL119" s="499">
        <f t="shared" si="180"/>
        <v>0</v>
      </c>
      <c r="AM119" s="499">
        <f t="shared" si="181"/>
        <v>0</v>
      </c>
      <c r="AN119" s="500">
        <f t="shared" si="182"/>
        <v>0</v>
      </c>
      <c r="AO119" s="497">
        <f>I119+AF119</f>
        <v>3399415</v>
      </c>
      <c r="AP119" s="498">
        <f>J119+U119</f>
        <v>2489333</v>
      </c>
      <c r="AQ119" s="498">
        <f t="shared" ref="AQ119:AQ121" si="265">Y119</f>
        <v>0</v>
      </c>
      <c r="AR119" s="498">
        <f t="shared" ref="AR119:AS121" si="266">K119+AA119</f>
        <v>841395</v>
      </c>
      <c r="AS119" s="498">
        <f t="shared" si="266"/>
        <v>49787</v>
      </c>
      <c r="AT119" s="498">
        <f>M119+AE119</f>
        <v>18900</v>
      </c>
      <c r="AU119" s="499">
        <f>N119+AN119</f>
        <v>5.6150000000000002</v>
      </c>
      <c r="AV119" s="499">
        <f t="shared" ref="AV119:AW121" si="267">O119+AL119</f>
        <v>4.1252000000000004</v>
      </c>
      <c r="AW119" s="500">
        <f t="shared" si="267"/>
        <v>1.4898</v>
      </c>
    </row>
    <row r="120" spans="1:49" s="569" customFormat="1" x14ac:dyDescent="0.2">
      <c r="A120" s="531">
        <v>22</v>
      </c>
      <c r="B120" s="532">
        <v>4412</v>
      </c>
      <c r="C120" s="532">
        <v>600074447</v>
      </c>
      <c r="D120" s="532">
        <v>70698554</v>
      </c>
      <c r="E120" s="530" t="s">
        <v>191</v>
      </c>
      <c r="F120" s="532">
        <v>3111</v>
      </c>
      <c r="G120" s="533" t="s">
        <v>318</v>
      </c>
      <c r="H120" s="534" t="s">
        <v>284</v>
      </c>
      <c r="I120" s="575">
        <f t="shared" si="259"/>
        <v>0</v>
      </c>
      <c r="J120" s="496">
        <v>0</v>
      </c>
      <c r="K120" s="131">
        <f t="shared" si="260"/>
        <v>0</v>
      </c>
      <c r="L120" s="131">
        <f t="shared" si="261"/>
        <v>0</v>
      </c>
      <c r="M120" s="496">
        <v>0</v>
      </c>
      <c r="N120" s="576">
        <f t="shared" si="262"/>
        <v>0</v>
      </c>
      <c r="O120" s="577">
        <v>0</v>
      </c>
      <c r="P120" s="607">
        <v>0</v>
      </c>
      <c r="Q120" s="579">
        <f t="shared" si="263"/>
        <v>0</v>
      </c>
      <c r="R120" s="498">
        <v>0</v>
      </c>
      <c r="S120" s="498">
        <v>0</v>
      </c>
      <c r="T120" s="498">
        <v>0</v>
      </c>
      <c r="U120" s="498">
        <f t="shared" si="174"/>
        <v>0</v>
      </c>
      <c r="V120" s="498">
        <v>0</v>
      </c>
      <c r="W120" s="498">
        <v>0</v>
      </c>
      <c r="X120" s="498">
        <v>0</v>
      </c>
      <c r="Y120" s="498">
        <f t="shared" si="175"/>
        <v>0</v>
      </c>
      <c r="Z120" s="498">
        <f t="shared" si="176"/>
        <v>0</v>
      </c>
      <c r="AA120" s="131">
        <f t="shared" si="264"/>
        <v>0</v>
      </c>
      <c r="AB120" s="131">
        <f t="shared" si="177"/>
        <v>0</v>
      </c>
      <c r="AC120" s="498">
        <v>0</v>
      </c>
      <c r="AD120" s="498">
        <v>0</v>
      </c>
      <c r="AE120" s="498">
        <f t="shared" si="178"/>
        <v>0</v>
      </c>
      <c r="AF120" s="498">
        <f t="shared" si="179"/>
        <v>0</v>
      </c>
      <c r="AG120" s="499">
        <v>0</v>
      </c>
      <c r="AH120" s="499">
        <v>0</v>
      </c>
      <c r="AI120" s="499">
        <v>0</v>
      </c>
      <c r="AJ120" s="499">
        <v>0</v>
      </c>
      <c r="AK120" s="499">
        <v>0</v>
      </c>
      <c r="AL120" s="499">
        <f t="shared" si="180"/>
        <v>0</v>
      </c>
      <c r="AM120" s="499">
        <f t="shared" si="181"/>
        <v>0</v>
      </c>
      <c r="AN120" s="500">
        <f t="shared" si="182"/>
        <v>0</v>
      </c>
      <c r="AO120" s="497">
        <f>I120+AF120</f>
        <v>0</v>
      </c>
      <c r="AP120" s="498">
        <f>J120+U120</f>
        <v>0</v>
      </c>
      <c r="AQ120" s="498">
        <f t="shared" si="265"/>
        <v>0</v>
      </c>
      <c r="AR120" s="498">
        <f t="shared" si="266"/>
        <v>0</v>
      </c>
      <c r="AS120" s="498">
        <f t="shared" si="266"/>
        <v>0</v>
      </c>
      <c r="AT120" s="498">
        <f>M120+AE120</f>
        <v>0</v>
      </c>
      <c r="AU120" s="499">
        <f>N120+AN120</f>
        <v>0</v>
      </c>
      <c r="AV120" s="499">
        <f t="shared" si="267"/>
        <v>0</v>
      </c>
      <c r="AW120" s="500">
        <f t="shared" si="267"/>
        <v>0</v>
      </c>
    </row>
    <row r="121" spans="1:49" s="569" customFormat="1" x14ac:dyDescent="0.2">
      <c r="A121" s="531">
        <v>22</v>
      </c>
      <c r="B121" s="532">
        <v>4412</v>
      </c>
      <c r="C121" s="532">
        <v>600074447</v>
      </c>
      <c r="D121" s="532">
        <v>70698554</v>
      </c>
      <c r="E121" s="524" t="s">
        <v>191</v>
      </c>
      <c r="F121" s="532">
        <v>3141</v>
      </c>
      <c r="G121" s="533" t="s">
        <v>321</v>
      </c>
      <c r="H121" s="534" t="s">
        <v>284</v>
      </c>
      <c r="I121" s="575">
        <f t="shared" si="259"/>
        <v>574074</v>
      </c>
      <c r="J121" s="496">
        <v>420898</v>
      </c>
      <c r="K121" s="131">
        <f>ROUND((J121)*33.8%,0)</f>
        <v>142264</v>
      </c>
      <c r="L121" s="131">
        <f>ROUND(J121*2%,0)</f>
        <v>8418</v>
      </c>
      <c r="M121" s="496">
        <v>2494</v>
      </c>
      <c r="N121" s="576">
        <f t="shared" si="262"/>
        <v>1.43</v>
      </c>
      <c r="O121" s="577">
        <v>0</v>
      </c>
      <c r="P121" s="607">
        <v>1.43</v>
      </c>
      <c r="Q121" s="579">
        <f t="shared" si="263"/>
        <v>0</v>
      </c>
      <c r="R121" s="498">
        <v>0</v>
      </c>
      <c r="S121" s="498">
        <v>0</v>
      </c>
      <c r="T121" s="498">
        <v>0</v>
      </c>
      <c r="U121" s="498">
        <f t="shared" si="174"/>
        <v>0</v>
      </c>
      <c r="V121" s="498">
        <v>0</v>
      </c>
      <c r="W121" s="498">
        <v>0</v>
      </c>
      <c r="X121" s="498">
        <v>0</v>
      </c>
      <c r="Y121" s="498">
        <f t="shared" si="175"/>
        <v>0</v>
      </c>
      <c r="Z121" s="498">
        <f t="shared" si="176"/>
        <v>0</v>
      </c>
      <c r="AA121" s="131">
        <f t="shared" si="264"/>
        <v>0</v>
      </c>
      <c r="AB121" s="131">
        <f t="shared" si="177"/>
        <v>0</v>
      </c>
      <c r="AC121" s="498">
        <v>0</v>
      </c>
      <c r="AD121" s="498">
        <v>0</v>
      </c>
      <c r="AE121" s="498">
        <f t="shared" si="178"/>
        <v>0</v>
      </c>
      <c r="AF121" s="498">
        <f t="shared" si="179"/>
        <v>0</v>
      </c>
      <c r="AG121" s="499">
        <v>0</v>
      </c>
      <c r="AH121" s="499">
        <v>0</v>
      </c>
      <c r="AI121" s="499">
        <v>0</v>
      </c>
      <c r="AJ121" s="499">
        <v>0</v>
      </c>
      <c r="AK121" s="499">
        <v>0</v>
      </c>
      <c r="AL121" s="499">
        <f t="shared" si="180"/>
        <v>0</v>
      </c>
      <c r="AM121" s="499">
        <f t="shared" si="181"/>
        <v>0</v>
      </c>
      <c r="AN121" s="500">
        <f t="shared" si="182"/>
        <v>0</v>
      </c>
      <c r="AO121" s="497">
        <f>I121+AF121</f>
        <v>574074</v>
      </c>
      <c r="AP121" s="498">
        <f>J121+U121</f>
        <v>420898</v>
      </c>
      <c r="AQ121" s="498">
        <f t="shared" si="265"/>
        <v>0</v>
      </c>
      <c r="AR121" s="498">
        <f t="shared" si="266"/>
        <v>142264</v>
      </c>
      <c r="AS121" s="498">
        <f t="shared" si="266"/>
        <v>8418</v>
      </c>
      <c r="AT121" s="498">
        <f>M121+AE121</f>
        <v>2494</v>
      </c>
      <c r="AU121" s="499">
        <f>N121+AN121</f>
        <v>1.43</v>
      </c>
      <c r="AV121" s="499">
        <f t="shared" si="267"/>
        <v>0</v>
      </c>
      <c r="AW121" s="500">
        <f t="shared" si="267"/>
        <v>1.43</v>
      </c>
    </row>
    <row r="122" spans="1:49" s="569" customFormat="1" x14ac:dyDescent="0.2">
      <c r="A122" s="302">
        <v>22</v>
      </c>
      <c r="B122" s="32">
        <v>4412</v>
      </c>
      <c r="C122" s="32">
        <v>600074447</v>
      </c>
      <c r="D122" s="32">
        <v>70698554</v>
      </c>
      <c r="E122" s="311" t="s">
        <v>192</v>
      </c>
      <c r="F122" s="32"/>
      <c r="G122" s="301"/>
      <c r="H122" s="454"/>
      <c r="I122" s="5">
        <f t="shared" ref="I122:P122" si="268">SUM(I119:I121)</f>
        <v>3973489</v>
      </c>
      <c r="J122" s="8">
        <f t="shared" si="268"/>
        <v>2910231</v>
      </c>
      <c r="K122" s="8">
        <f t="shared" si="268"/>
        <v>983659</v>
      </c>
      <c r="L122" s="8">
        <f t="shared" si="268"/>
        <v>58205</v>
      </c>
      <c r="M122" s="8">
        <f t="shared" si="268"/>
        <v>21394</v>
      </c>
      <c r="N122" s="9">
        <f t="shared" si="268"/>
        <v>7.0449999999999999</v>
      </c>
      <c r="O122" s="9">
        <f t="shared" si="268"/>
        <v>4.1252000000000004</v>
      </c>
      <c r="P122" s="39">
        <f t="shared" si="268"/>
        <v>2.9198</v>
      </c>
      <c r="Q122" s="5">
        <f t="shared" ref="Q122:AW122" si="269">SUM(Q119:Q121)</f>
        <v>0</v>
      </c>
      <c r="R122" s="8">
        <f t="shared" si="269"/>
        <v>0</v>
      </c>
      <c r="S122" s="8">
        <f t="shared" si="269"/>
        <v>0</v>
      </c>
      <c r="T122" s="8">
        <f t="shared" si="269"/>
        <v>0</v>
      </c>
      <c r="U122" s="8">
        <f t="shared" si="269"/>
        <v>0</v>
      </c>
      <c r="V122" s="8">
        <f t="shared" si="269"/>
        <v>0</v>
      </c>
      <c r="W122" s="8">
        <f t="shared" si="269"/>
        <v>0</v>
      </c>
      <c r="X122" s="8">
        <f t="shared" si="269"/>
        <v>0</v>
      </c>
      <c r="Y122" s="8">
        <f t="shared" si="269"/>
        <v>0</v>
      </c>
      <c r="Z122" s="8">
        <f t="shared" si="269"/>
        <v>0</v>
      </c>
      <c r="AA122" s="8">
        <f t="shared" si="269"/>
        <v>0</v>
      </c>
      <c r="AB122" s="8">
        <f t="shared" si="269"/>
        <v>0</v>
      </c>
      <c r="AC122" s="8">
        <f t="shared" si="269"/>
        <v>0</v>
      </c>
      <c r="AD122" s="8">
        <f t="shared" si="269"/>
        <v>0</v>
      </c>
      <c r="AE122" s="8">
        <f t="shared" si="269"/>
        <v>0</v>
      </c>
      <c r="AF122" s="8">
        <f t="shared" si="269"/>
        <v>0</v>
      </c>
      <c r="AG122" s="9">
        <f t="shared" si="269"/>
        <v>0</v>
      </c>
      <c r="AH122" s="9">
        <f t="shared" si="269"/>
        <v>0</v>
      </c>
      <c r="AI122" s="9">
        <f t="shared" si="269"/>
        <v>0</v>
      </c>
      <c r="AJ122" s="9">
        <f t="shared" si="269"/>
        <v>0</v>
      </c>
      <c r="AK122" s="9">
        <f t="shared" si="269"/>
        <v>0</v>
      </c>
      <c r="AL122" s="9">
        <f t="shared" si="269"/>
        <v>0</v>
      </c>
      <c r="AM122" s="9">
        <f t="shared" si="269"/>
        <v>0</v>
      </c>
      <c r="AN122" s="92">
        <f t="shared" si="269"/>
        <v>0</v>
      </c>
      <c r="AO122" s="295">
        <f t="shared" si="269"/>
        <v>3973489</v>
      </c>
      <c r="AP122" s="8">
        <f t="shared" si="269"/>
        <v>2910231</v>
      </c>
      <c r="AQ122" s="8">
        <f t="shared" si="269"/>
        <v>0</v>
      </c>
      <c r="AR122" s="8">
        <f t="shared" si="269"/>
        <v>983659</v>
      </c>
      <c r="AS122" s="8">
        <f t="shared" si="269"/>
        <v>58205</v>
      </c>
      <c r="AT122" s="8">
        <f t="shared" si="269"/>
        <v>21394</v>
      </c>
      <c r="AU122" s="9">
        <f t="shared" si="269"/>
        <v>7.0449999999999999</v>
      </c>
      <c r="AV122" s="9">
        <f t="shared" si="269"/>
        <v>4.1252000000000004</v>
      </c>
      <c r="AW122" s="92">
        <f t="shared" si="269"/>
        <v>2.9198</v>
      </c>
    </row>
    <row r="123" spans="1:49" s="569" customFormat="1" x14ac:dyDescent="0.2">
      <c r="A123" s="531">
        <v>23</v>
      </c>
      <c r="B123" s="532">
        <v>4413</v>
      </c>
      <c r="C123" s="532">
        <v>600074455</v>
      </c>
      <c r="D123" s="532">
        <v>70695369</v>
      </c>
      <c r="E123" s="530" t="s">
        <v>193</v>
      </c>
      <c r="F123" s="532">
        <v>3111</v>
      </c>
      <c r="G123" s="533" t="s">
        <v>317</v>
      </c>
      <c r="H123" s="534" t="s">
        <v>283</v>
      </c>
      <c r="I123" s="575">
        <f t="shared" ref="I123:I126" si="270">SUM(J123:M123)</f>
        <v>8534592</v>
      </c>
      <c r="J123" s="496">
        <v>6246570</v>
      </c>
      <c r="K123" s="131">
        <f t="shared" ref="K123:K124" si="271">ROUND((J123)*33.8%,0)</f>
        <v>2111341</v>
      </c>
      <c r="L123" s="131">
        <f t="shared" ref="L123:L124" si="272">ROUND(J123*2%,0)</f>
        <v>124931</v>
      </c>
      <c r="M123" s="496">
        <v>51750</v>
      </c>
      <c r="N123" s="576">
        <f t="shared" ref="N123:N127" si="273">SUM(O123:P123)</f>
        <v>14.552199999999999</v>
      </c>
      <c r="O123" s="577">
        <v>11</v>
      </c>
      <c r="P123" s="607">
        <v>3.5522</v>
      </c>
      <c r="Q123" s="579">
        <f t="shared" ref="Q123:Q127" si="274">V123*-1</f>
        <v>0</v>
      </c>
      <c r="R123" s="498">
        <v>0</v>
      </c>
      <c r="S123" s="498">
        <v>0</v>
      </c>
      <c r="T123" s="498">
        <v>0</v>
      </c>
      <c r="U123" s="498">
        <f t="shared" si="174"/>
        <v>0</v>
      </c>
      <c r="V123" s="498">
        <v>0</v>
      </c>
      <c r="W123" s="498">
        <v>0</v>
      </c>
      <c r="X123" s="498">
        <v>0</v>
      </c>
      <c r="Y123" s="498">
        <f t="shared" si="175"/>
        <v>0</v>
      </c>
      <c r="Z123" s="498">
        <f t="shared" si="176"/>
        <v>0</v>
      </c>
      <c r="AA123" s="131">
        <f t="shared" ref="AA123:AA127" si="275">ROUND((U123+V123+W123)*33.8%,0)</f>
        <v>0</v>
      </c>
      <c r="AB123" s="131">
        <f t="shared" si="177"/>
        <v>0</v>
      </c>
      <c r="AC123" s="498">
        <v>0</v>
      </c>
      <c r="AD123" s="498">
        <v>0</v>
      </c>
      <c r="AE123" s="498">
        <f t="shared" si="178"/>
        <v>0</v>
      </c>
      <c r="AF123" s="498">
        <f t="shared" si="179"/>
        <v>0</v>
      </c>
      <c r="AG123" s="499">
        <v>0</v>
      </c>
      <c r="AH123" s="499">
        <v>0</v>
      </c>
      <c r="AI123" s="499">
        <v>0</v>
      </c>
      <c r="AJ123" s="499">
        <v>0</v>
      </c>
      <c r="AK123" s="499">
        <v>0</v>
      </c>
      <c r="AL123" s="499">
        <f t="shared" si="180"/>
        <v>0</v>
      </c>
      <c r="AM123" s="499">
        <f t="shared" si="181"/>
        <v>0</v>
      </c>
      <c r="AN123" s="500">
        <f t="shared" si="182"/>
        <v>0</v>
      </c>
      <c r="AO123" s="497">
        <f>I123+AF123</f>
        <v>8534592</v>
      </c>
      <c r="AP123" s="498">
        <f>J123+U123</f>
        <v>6246570</v>
      </c>
      <c r="AQ123" s="498">
        <f t="shared" ref="AQ123:AQ127" si="276">Y123</f>
        <v>0</v>
      </c>
      <c r="AR123" s="498">
        <f t="shared" ref="AR123:AS127" si="277">K123+AA123</f>
        <v>2111341</v>
      </c>
      <c r="AS123" s="498">
        <f t="shared" si="277"/>
        <v>124931</v>
      </c>
      <c r="AT123" s="498">
        <f>M123+AE123</f>
        <v>51750</v>
      </c>
      <c r="AU123" s="499">
        <f>N123+AN123</f>
        <v>14.552199999999999</v>
      </c>
      <c r="AV123" s="499">
        <f t="shared" ref="AV123:AW127" si="278">O123+AL123</f>
        <v>11</v>
      </c>
      <c r="AW123" s="500">
        <f t="shared" si="278"/>
        <v>3.5522</v>
      </c>
    </row>
    <row r="124" spans="1:49" s="569" customFormat="1" x14ac:dyDescent="0.2">
      <c r="A124" s="531">
        <v>23</v>
      </c>
      <c r="B124" s="532">
        <v>4413</v>
      </c>
      <c r="C124" s="532">
        <v>600074455</v>
      </c>
      <c r="D124" s="532">
        <v>70695369</v>
      </c>
      <c r="E124" s="530" t="s">
        <v>193</v>
      </c>
      <c r="F124" s="532">
        <v>3111</v>
      </c>
      <c r="G124" s="533" t="s">
        <v>318</v>
      </c>
      <c r="H124" s="534" t="s">
        <v>284</v>
      </c>
      <c r="I124" s="575">
        <f t="shared" si="270"/>
        <v>0</v>
      </c>
      <c r="J124" s="496">
        <v>0</v>
      </c>
      <c r="K124" s="131">
        <f t="shared" si="271"/>
        <v>0</v>
      </c>
      <c r="L124" s="131">
        <f t="shared" si="272"/>
        <v>0</v>
      </c>
      <c r="M124" s="496">
        <v>0</v>
      </c>
      <c r="N124" s="576">
        <f t="shared" si="273"/>
        <v>0</v>
      </c>
      <c r="O124" s="577">
        <v>0</v>
      </c>
      <c r="P124" s="607">
        <v>0</v>
      </c>
      <c r="Q124" s="579">
        <f t="shared" si="274"/>
        <v>0</v>
      </c>
      <c r="R124" s="496">
        <v>1628402</v>
      </c>
      <c r="S124" s="498">
        <v>0</v>
      </c>
      <c r="T124" s="498">
        <v>0</v>
      </c>
      <c r="U124" s="498">
        <f t="shared" si="174"/>
        <v>1628402</v>
      </c>
      <c r="V124" s="498">
        <v>0</v>
      </c>
      <c r="W124" s="498">
        <v>0</v>
      </c>
      <c r="X124" s="498">
        <v>0</v>
      </c>
      <c r="Y124" s="498">
        <f t="shared" si="175"/>
        <v>0</v>
      </c>
      <c r="Z124" s="498">
        <f t="shared" si="176"/>
        <v>1628402</v>
      </c>
      <c r="AA124" s="131">
        <f t="shared" si="275"/>
        <v>550400</v>
      </c>
      <c r="AB124" s="131">
        <f t="shared" si="177"/>
        <v>32568</v>
      </c>
      <c r="AC124" s="498">
        <v>0</v>
      </c>
      <c r="AD124" s="498">
        <v>0</v>
      </c>
      <c r="AE124" s="498">
        <f t="shared" si="178"/>
        <v>0</v>
      </c>
      <c r="AF124" s="498">
        <f t="shared" si="179"/>
        <v>2211370</v>
      </c>
      <c r="AG124" s="499">
        <v>0</v>
      </c>
      <c r="AH124" s="499">
        <v>0</v>
      </c>
      <c r="AI124" s="499">
        <v>4.6500000000000004</v>
      </c>
      <c r="AJ124" s="499">
        <v>0</v>
      </c>
      <c r="AK124" s="499">
        <v>0</v>
      </c>
      <c r="AL124" s="499">
        <f t="shared" si="180"/>
        <v>4.6500000000000004</v>
      </c>
      <c r="AM124" s="499">
        <f t="shared" si="181"/>
        <v>0</v>
      </c>
      <c r="AN124" s="500">
        <f t="shared" si="182"/>
        <v>4.6500000000000004</v>
      </c>
      <c r="AO124" s="497">
        <f>I124+AF124</f>
        <v>2211370</v>
      </c>
      <c r="AP124" s="498">
        <f>J124+U124</f>
        <v>1628402</v>
      </c>
      <c r="AQ124" s="498">
        <f t="shared" si="276"/>
        <v>0</v>
      </c>
      <c r="AR124" s="498">
        <f t="shared" si="277"/>
        <v>550400</v>
      </c>
      <c r="AS124" s="498">
        <f t="shared" si="277"/>
        <v>32568</v>
      </c>
      <c r="AT124" s="498">
        <f>M124+AE124</f>
        <v>0</v>
      </c>
      <c r="AU124" s="499">
        <f>N124+AN124</f>
        <v>4.6500000000000004</v>
      </c>
      <c r="AV124" s="499">
        <f t="shared" si="278"/>
        <v>4.6500000000000004</v>
      </c>
      <c r="AW124" s="500">
        <f t="shared" si="278"/>
        <v>0</v>
      </c>
    </row>
    <row r="125" spans="1:49" s="569" customFormat="1" x14ac:dyDescent="0.2">
      <c r="A125" s="531">
        <v>23</v>
      </c>
      <c r="B125" s="532">
        <v>4413</v>
      </c>
      <c r="C125" s="532">
        <v>600074455</v>
      </c>
      <c r="D125" s="532">
        <v>70695369</v>
      </c>
      <c r="E125" s="530" t="s">
        <v>193</v>
      </c>
      <c r="F125" s="532">
        <v>3141</v>
      </c>
      <c r="G125" s="533" t="s">
        <v>321</v>
      </c>
      <c r="H125" s="534" t="s">
        <v>284</v>
      </c>
      <c r="I125" s="575">
        <f t="shared" si="270"/>
        <v>1545908</v>
      </c>
      <c r="J125" s="496">
        <v>1131794</v>
      </c>
      <c r="K125" s="131">
        <f>ROUND((J125)*33.8%,0)</f>
        <v>382546</v>
      </c>
      <c r="L125" s="131">
        <f>ROUND(J125*2%,0)</f>
        <v>22636</v>
      </c>
      <c r="M125" s="496">
        <v>8932</v>
      </c>
      <c r="N125" s="576">
        <f t="shared" si="273"/>
        <v>3.85</v>
      </c>
      <c r="O125" s="577">
        <v>0</v>
      </c>
      <c r="P125" s="607">
        <v>3.85</v>
      </c>
      <c r="Q125" s="579">
        <f t="shared" si="274"/>
        <v>0</v>
      </c>
      <c r="R125" s="498">
        <v>0</v>
      </c>
      <c r="S125" s="498">
        <v>0</v>
      </c>
      <c r="T125" s="498">
        <v>0</v>
      </c>
      <c r="U125" s="498">
        <f t="shared" si="174"/>
        <v>0</v>
      </c>
      <c r="V125" s="498">
        <v>0</v>
      </c>
      <c r="W125" s="498">
        <v>0</v>
      </c>
      <c r="X125" s="498">
        <v>0</v>
      </c>
      <c r="Y125" s="498">
        <f t="shared" si="175"/>
        <v>0</v>
      </c>
      <c r="Z125" s="498">
        <f t="shared" si="176"/>
        <v>0</v>
      </c>
      <c r="AA125" s="131">
        <f t="shared" si="275"/>
        <v>0</v>
      </c>
      <c r="AB125" s="131">
        <f t="shared" si="177"/>
        <v>0</v>
      </c>
      <c r="AC125" s="498">
        <v>0</v>
      </c>
      <c r="AD125" s="498">
        <v>0</v>
      </c>
      <c r="AE125" s="498">
        <f t="shared" si="178"/>
        <v>0</v>
      </c>
      <c r="AF125" s="498">
        <f t="shared" si="179"/>
        <v>0</v>
      </c>
      <c r="AG125" s="499">
        <v>0</v>
      </c>
      <c r="AH125" s="499">
        <v>0</v>
      </c>
      <c r="AI125" s="499">
        <v>0</v>
      </c>
      <c r="AJ125" s="499">
        <v>0</v>
      </c>
      <c r="AK125" s="499">
        <v>0</v>
      </c>
      <c r="AL125" s="499">
        <f t="shared" si="180"/>
        <v>0</v>
      </c>
      <c r="AM125" s="499">
        <f t="shared" si="181"/>
        <v>0</v>
      </c>
      <c r="AN125" s="500">
        <f t="shared" si="182"/>
        <v>0</v>
      </c>
      <c r="AO125" s="497">
        <f>I125+AF125</f>
        <v>1545908</v>
      </c>
      <c r="AP125" s="498">
        <f>J125+U125</f>
        <v>1131794</v>
      </c>
      <c r="AQ125" s="498">
        <f t="shared" si="276"/>
        <v>0</v>
      </c>
      <c r="AR125" s="498">
        <f t="shared" si="277"/>
        <v>382546</v>
      </c>
      <c r="AS125" s="498">
        <f t="shared" si="277"/>
        <v>22636</v>
      </c>
      <c r="AT125" s="498">
        <f>M125+AE125</f>
        <v>8932</v>
      </c>
      <c r="AU125" s="499">
        <f>N125+AN125</f>
        <v>3.85</v>
      </c>
      <c r="AV125" s="499">
        <f t="shared" si="278"/>
        <v>0</v>
      </c>
      <c r="AW125" s="500">
        <f t="shared" si="278"/>
        <v>3.85</v>
      </c>
    </row>
    <row r="126" spans="1:49" s="569" customFormat="1" x14ac:dyDescent="0.2">
      <c r="A126" s="531">
        <v>23</v>
      </c>
      <c r="B126" s="532">
        <v>4413</v>
      </c>
      <c r="C126" s="532">
        <v>600074455</v>
      </c>
      <c r="D126" s="532">
        <v>70695369</v>
      </c>
      <c r="E126" s="530" t="s">
        <v>193</v>
      </c>
      <c r="F126" s="532">
        <v>3143</v>
      </c>
      <c r="G126" s="533" t="s">
        <v>635</v>
      </c>
      <c r="H126" s="574" t="s">
        <v>283</v>
      </c>
      <c r="I126" s="575">
        <f t="shared" si="270"/>
        <v>1152483</v>
      </c>
      <c r="J126" s="496">
        <v>848662</v>
      </c>
      <c r="K126" s="131">
        <v>286847</v>
      </c>
      <c r="L126" s="131">
        <v>16974</v>
      </c>
      <c r="M126" s="496"/>
      <c r="N126" s="576">
        <f t="shared" si="273"/>
        <v>2</v>
      </c>
      <c r="O126" s="577">
        <v>2</v>
      </c>
      <c r="P126" s="607">
        <v>0</v>
      </c>
      <c r="Q126" s="579">
        <f t="shared" si="274"/>
        <v>0</v>
      </c>
      <c r="R126" s="498">
        <v>0</v>
      </c>
      <c r="S126" s="498">
        <v>0</v>
      </c>
      <c r="T126" s="498">
        <v>0</v>
      </c>
      <c r="U126" s="498">
        <f t="shared" si="174"/>
        <v>0</v>
      </c>
      <c r="V126" s="498">
        <v>0</v>
      </c>
      <c r="W126" s="498">
        <v>0</v>
      </c>
      <c r="X126" s="498">
        <v>0</v>
      </c>
      <c r="Y126" s="498">
        <f t="shared" si="175"/>
        <v>0</v>
      </c>
      <c r="Z126" s="498">
        <f t="shared" si="176"/>
        <v>0</v>
      </c>
      <c r="AA126" s="131">
        <f t="shared" si="275"/>
        <v>0</v>
      </c>
      <c r="AB126" s="131">
        <f t="shared" si="177"/>
        <v>0</v>
      </c>
      <c r="AC126" s="498">
        <v>0</v>
      </c>
      <c r="AD126" s="498">
        <v>0</v>
      </c>
      <c r="AE126" s="498">
        <f t="shared" si="178"/>
        <v>0</v>
      </c>
      <c r="AF126" s="498">
        <f t="shared" si="179"/>
        <v>0</v>
      </c>
      <c r="AG126" s="499">
        <v>0</v>
      </c>
      <c r="AH126" s="499">
        <v>0</v>
      </c>
      <c r="AI126" s="499">
        <v>0</v>
      </c>
      <c r="AJ126" s="499">
        <v>0</v>
      </c>
      <c r="AK126" s="499">
        <v>0</v>
      </c>
      <c r="AL126" s="499">
        <f t="shared" si="180"/>
        <v>0</v>
      </c>
      <c r="AM126" s="499">
        <f t="shared" si="181"/>
        <v>0</v>
      </c>
      <c r="AN126" s="500">
        <f t="shared" si="182"/>
        <v>0</v>
      </c>
      <c r="AO126" s="497">
        <f>I126+AF126</f>
        <v>1152483</v>
      </c>
      <c r="AP126" s="498">
        <f>J126+U126</f>
        <v>848662</v>
      </c>
      <c r="AQ126" s="498">
        <f t="shared" si="276"/>
        <v>0</v>
      </c>
      <c r="AR126" s="498">
        <f t="shared" si="277"/>
        <v>286847</v>
      </c>
      <c r="AS126" s="498">
        <f t="shared" si="277"/>
        <v>16974</v>
      </c>
      <c r="AT126" s="498">
        <f>M126+AE126</f>
        <v>0</v>
      </c>
      <c r="AU126" s="499">
        <f>N126+AN126</f>
        <v>2</v>
      </c>
      <c r="AV126" s="499">
        <f t="shared" si="278"/>
        <v>2</v>
      </c>
      <c r="AW126" s="500">
        <f t="shared" si="278"/>
        <v>0</v>
      </c>
    </row>
    <row r="127" spans="1:49" s="569" customFormat="1" x14ac:dyDescent="0.2">
      <c r="A127" s="531">
        <v>23</v>
      </c>
      <c r="B127" s="532">
        <v>4413</v>
      </c>
      <c r="C127" s="532">
        <v>600074455</v>
      </c>
      <c r="D127" s="532">
        <v>70695369</v>
      </c>
      <c r="E127" s="530" t="s">
        <v>193</v>
      </c>
      <c r="F127" s="532">
        <v>3143</v>
      </c>
      <c r="G127" s="533" t="s">
        <v>636</v>
      </c>
      <c r="H127" s="574" t="s">
        <v>284</v>
      </c>
      <c r="I127" s="575">
        <f>SUM(J127:M127)</f>
        <v>24578</v>
      </c>
      <c r="J127" s="496">
        <v>17325</v>
      </c>
      <c r="K127" s="131">
        <f t="shared" ref="K127" si="279">ROUND((J127)*33.8%,0)</f>
        <v>5856</v>
      </c>
      <c r="L127" s="131">
        <f t="shared" ref="L127" si="280">ROUND(J127*2%,0)</f>
        <v>347</v>
      </c>
      <c r="M127" s="496">
        <v>1050</v>
      </c>
      <c r="N127" s="576">
        <f t="shared" si="273"/>
        <v>7.0000000000000007E-2</v>
      </c>
      <c r="O127" s="577">
        <v>0</v>
      </c>
      <c r="P127" s="607">
        <v>7.0000000000000007E-2</v>
      </c>
      <c r="Q127" s="579">
        <f t="shared" si="274"/>
        <v>0</v>
      </c>
      <c r="R127" s="498">
        <v>0</v>
      </c>
      <c r="S127" s="498">
        <v>0</v>
      </c>
      <c r="T127" s="498">
        <v>0</v>
      </c>
      <c r="U127" s="498">
        <f t="shared" si="174"/>
        <v>0</v>
      </c>
      <c r="V127" s="498">
        <v>0</v>
      </c>
      <c r="W127" s="498">
        <v>0</v>
      </c>
      <c r="X127" s="498">
        <v>0</v>
      </c>
      <c r="Y127" s="498">
        <f t="shared" si="175"/>
        <v>0</v>
      </c>
      <c r="Z127" s="498">
        <f t="shared" si="176"/>
        <v>0</v>
      </c>
      <c r="AA127" s="131">
        <f t="shared" si="275"/>
        <v>0</v>
      </c>
      <c r="AB127" s="131">
        <f t="shared" si="177"/>
        <v>0</v>
      </c>
      <c r="AC127" s="498">
        <v>0</v>
      </c>
      <c r="AD127" s="498">
        <v>0</v>
      </c>
      <c r="AE127" s="498">
        <f t="shared" si="178"/>
        <v>0</v>
      </c>
      <c r="AF127" s="498">
        <f t="shared" si="179"/>
        <v>0</v>
      </c>
      <c r="AG127" s="499">
        <v>0</v>
      </c>
      <c r="AH127" s="499">
        <v>0</v>
      </c>
      <c r="AI127" s="499">
        <v>0</v>
      </c>
      <c r="AJ127" s="499">
        <v>0</v>
      </c>
      <c r="AK127" s="499">
        <v>0</v>
      </c>
      <c r="AL127" s="499">
        <f t="shared" si="180"/>
        <v>0</v>
      </c>
      <c r="AM127" s="499">
        <f t="shared" si="181"/>
        <v>0</v>
      </c>
      <c r="AN127" s="500">
        <f t="shared" si="182"/>
        <v>0</v>
      </c>
      <c r="AO127" s="497">
        <f>I127+AF127</f>
        <v>24578</v>
      </c>
      <c r="AP127" s="498">
        <f>J127+U127</f>
        <v>17325</v>
      </c>
      <c r="AQ127" s="498">
        <f t="shared" si="276"/>
        <v>0</v>
      </c>
      <c r="AR127" s="498">
        <f t="shared" si="277"/>
        <v>5856</v>
      </c>
      <c r="AS127" s="498">
        <f t="shared" si="277"/>
        <v>347</v>
      </c>
      <c r="AT127" s="498">
        <f>M127+AE127</f>
        <v>1050</v>
      </c>
      <c r="AU127" s="499">
        <f>N127+AN127</f>
        <v>7.0000000000000007E-2</v>
      </c>
      <c r="AV127" s="499">
        <f t="shared" si="278"/>
        <v>0</v>
      </c>
      <c r="AW127" s="500">
        <f t="shared" si="278"/>
        <v>7.0000000000000007E-2</v>
      </c>
    </row>
    <row r="128" spans="1:49" s="569" customFormat="1" x14ac:dyDescent="0.2">
      <c r="A128" s="302">
        <v>23</v>
      </c>
      <c r="B128" s="32">
        <v>4413</v>
      </c>
      <c r="C128" s="32">
        <v>600074455</v>
      </c>
      <c r="D128" s="32">
        <v>70695369</v>
      </c>
      <c r="E128" s="311" t="s">
        <v>194</v>
      </c>
      <c r="F128" s="32"/>
      <c r="G128" s="301"/>
      <c r="H128" s="454"/>
      <c r="I128" s="5">
        <f t="shared" ref="I128:P128" si="281">SUM(I123:I127)</f>
        <v>11257561</v>
      </c>
      <c r="J128" s="8">
        <f t="shared" si="281"/>
        <v>8244351</v>
      </c>
      <c r="K128" s="8">
        <f t="shared" si="281"/>
        <v>2786590</v>
      </c>
      <c r="L128" s="8">
        <f t="shared" si="281"/>
        <v>164888</v>
      </c>
      <c r="M128" s="8">
        <f t="shared" si="281"/>
        <v>61732</v>
      </c>
      <c r="N128" s="9">
        <f t="shared" si="281"/>
        <v>20.472200000000001</v>
      </c>
      <c r="O128" s="9">
        <f t="shared" si="281"/>
        <v>13</v>
      </c>
      <c r="P128" s="39">
        <f t="shared" si="281"/>
        <v>7.4722000000000008</v>
      </c>
      <c r="Q128" s="5">
        <f t="shared" ref="Q128:AW128" si="282">SUM(Q123:Q127)</f>
        <v>0</v>
      </c>
      <c r="R128" s="8">
        <f t="shared" si="282"/>
        <v>1628402</v>
      </c>
      <c r="S128" s="8">
        <f t="shared" si="282"/>
        <v>0</v>
      </c>
      <c r="T128" s="8">
        <f t="shared" si="282"/>
        <v>0</v>
      </c>
      <c r="U128" s="8">
        <f t="shared" si="282"/>
        <v>1628402</v>
      </c>
      <c r="V128" s="8">
        <f t="shared" si="282"/>
        <v>0</v>
      </c>
      <c r="W128" s="8">
        <f t="shared" si="282"/>
        <v>0</v>
      </c>
      <c r="X128" s="8">
        <f t="shared" si="282"/>
        <v>0</v>
      </c>
      <c r="Y128" s="8">
        <f t="shared" si="282"/>
        <v>0</v>
      </c>
      <c r="Z128" s="8">
        <f t="shared" si="282"/>
        <v>1628402</v>
      </c>
      <c r="AA128" s="8">
        <f t="shared" si="282"/>
        <v>550400</v>
      </c>
      <c r="AB128" s="8">
        <f t="shared" si="282"/>
        <v>32568</v>
      </c>
      <c r="AC128" s="8">
        <f t="shared" si="282"/>
        <v>0</v>
      </c>
      <c r="AD128" s="8">
        <f t="shared" si="282"/>
        <v>0</v>
      </c>
      <c r="AE128" s="8">
        <f t="shared" si="282"/>
        <v>0</v>
      </c>
      <c r="AF128" s="8">
        <f t="shared" si="282"/>
        <v>2211370</v>
      </c>
      <c r="AG128" s="9">
        <f t="shared" si="282"/>
        <v>0</v>
      </c>
      <c r="AH128" s="9">
        <f t="shared" si="282"/>
        <v>0</v>
      </c>
      <c r="AI128" s="9">
        <f t="shared" si="282"/>
        <v>4.6500000000000004</v>
      </c>
      <c r="AJ128" s="9">
        <f t="shared" si="282"/>
        <v>0</v>
      </c>
      <c r="AK128" s="9">
        <f t="shared" si="282"/>
        <v>0</v>
      </c>
      <c r="AL128" s="9">
        <f t="shared" si="282"/>
        <v>4.6500000000000004</v>
      </c>
      <c r="AM128" s="9">
        <f t="shared" si="282"/>
        <v>0</v>
      </c>
      <c r="AN128" s="92">
        <f t="shared" si="282"/>
        <v>4.6500000000000004</v>
      </c>
      <c r="AO128" s="295">
        <f t="shared" si="282"/>
        <v>13468931</v>
      </c>
      <c r="AP128" s="8">
        <f t="shared" si="282"/>
        <v>9872753</v>
      </c>
      <c r="AQ128" s="8">
        <f t="shared" si="282"/>
        <v>0</v>
      </c>
      <c r="AR128" s="8">
        <f t="shared" si="282"/>
        <v>3336990</v>
      </c>
      <c r="AS128" s="8">
        <f t="shared" si="282"/>
        <v>197456</v>
      </c>
      <c r="AT128" s="8">
        <f t="shared" si="282"/>
        <v>61732</v>
      </c>
      <c r="AU128" s="9">
        <f t="shared" si="282"/>
        <v>25.122199999999999</v>
      </c>
      <c r="AV128" s="9">
        <f t="shared" si="282"/>
        <v>17.649999999999999</v>
      </c>
      <c r="AW128" s="92">
        <f t="shared" si="282"/>
        <v>7.4722000000000008</v>
      </c>
    </row>
    <row r="129" spans="1:49" s="569" customFormat="1" x14ac:dyDescent="0.2">
      <c r="A129" s="531">
        <v>24</v>
      </c>
      <c r="B129" s="532">
        <v>4429</v>
      </c>
      <c r="C129" s="532">
        <v>600074595</v>
      </c>
      <c r="D129" s="532">
        <v>70698520</v>
      </c>
      <c r="E129" s="530" t="s">
        <v>195</v>
      </c>
      <c r="F129" s="532">
        <v>3111</v>
      </c>
      <c r="G129" s="533" t="s">
        <v>317</v>
      </c>
      <c r="H129" s="534" t="s">
        <v>283</v>
      </c>
      <c r="I129" s="575">
        <f t="shared" ref="I129:I133" si="283">SUM(J129:M129)</f>
        <v>1365774</v>
      </c>
      <c r="J129" s="496">
        <v>1000754</v>
      </c>
      <c r="K129" s="131">
        <f t="shared" ref="K129:K131" si="284">ROUND((J129)*33.8%,0)</f>
        <v>338255</v>
      </c>
      <c r="L129" s="131">
        <f t="shared" ref="L129:L131" si="285">ROUND(J129*2%,0)</f>
        <v>20015</v>
      </c>
      <c r="M129" s="496">
        <v>6750</v>
      </c>
      <c r="N129" s="576">
        <f t="shared" ref="N129:N134" si="286">SUM(O129:P129)</f>
        <v>2.4609000000000001</v>
      </c>
      <c r="O129" s="577">
        <v>2</v>
      </c>
      <c r="P129" s="607">
        <v>0.46089999999999998</v>
      </c>
      <c r="Q129" s="579">
        <f t="shared" ref="Q129:Q134" si="287">V129*-1</f>
        <v>0</v>
      </c>
      <c r="R129" s="498">
        <v>0</v>
      </c>
      <c r="S129" s="498">
        <v>0</v>
      </c>
      <c r="T129" s="498">
        <v>0</v>
      </c>
      <c r="U129" s="498">
        <f t="shared" si="174"/>
        <v>0</v>
      </c>
      <c r="V129" s="498">
        <v>0</v>
      </c>
      <c r="W129" s="498">
        <v>0</v>
      </c>
      <c r="X129" s="498">
        <v>0</v>
      </c>
      <c r="Y129" s="498">
        <f t="shared" si="175"/>
        <v>0</v>
      </c>
      <c r="Z129" s="498">
        <f t="shared" si="176"/>
        <v>0</v>
      </c>
      <c r="AA129" s="131">
        <f t="shared" ref="AA129:AA134" si="288">ROUND((U129+V129+W129)*33.8%,0)</f>
        <v>0</v>
      </c>
      <c r="AB129" s="131">
        <f t="shared" si="177"/>
        <v>0</v>
      </c>
      <c r="AC129" s="498">
        <v>0</v>
      </c>
      <c r="AD129" s="498">
        <v>0</v>
      </c>
      <c r="AE129" s="498">
        <f t="shared" si="178"/>
        <v>0</v>
      </c>
      <c r="AF129" s="498">
        <f t="shared" si="179"/>
        <v>0</v>
      </c>
      <c r="AG129" s="499">
        <v>0</v>
      </c>
      <c r="AH129" s="499">
        <v>0</v>
      </c>
      <c r="AI129" s="499">
        <v>0</v>
      </c>
      <c r="AJ129" s="499">
        <v>0</v>
      </c>
      <c r="AK129" s="499">
        <v>0</v>
      </c>
      <c r="AL129" s="499">
        <f t="shared" si="180"/>
        <v>0</v>
      </c>
      <c r="AM129" s="499">
        <f t="shared" si="181"/>
        <v>0</v>
      </c>
      <c r="AN129" s="500">
        <f t="shared" si="182"/>
        <v>0</v>
      </c>
      <c r="AO129" s="497">
        <f t="shared" ref="AO129:AO134" si="289">I129+AF129</f>
        <v>1365774</v>
      </c>
      <c r="AP129" s="498">
        <f t="shared" ref="AP129:AP134" si="290">J129+U129</f>
        <v>1000754</v>
      </c>
      <c r="AQ129" s="498">
        <f t="shared" ref="AQ129:AQ134" si="291">Y129</f>
        <v>0</v>
      </c>
      <c r="AR129" s="498">
        <f t="shared" ref="AR129:AS134" si="292">K129+AA129</f>
        <v>338255</v>
      </c>
      <c r="AS129" s="498">
        <f t="shared" si="292"/>
        <v>20015</v>
      </c>
      <c r="AT129" s="498">
        <f t="shared" ref="AT129:AT134" si="293">M129+AE129</f>
        <v>6750</v>
      </c>
      <c r="AU129" s="499">
        <f t="shared" ref="AU129:AU134" si="294">N129+AN129</f>
        <v>2.4609000000000001</v>
      </c>
      <c r="AV129" s="499">
        <f t="shared" ref="AV129:AW134" si="295">O129+AL129</f>
        <v>2</v>
      </c>
      <c r="AW129" s="500">
        <f t="shared" si="295"/>
        <v>0.46089999999999998</v>
      </c>
    </row>
    <row r="130" spans="1:49" s="569" customFormat="1" x14ac:dyDescent="0.2">
      <c r="A130" s="531">
        <v>24</v>
      </c>
      <c r="B130" s="532">
        <v>4429</v>
      </c>
      <c r="C130" s="532">
        <v>600074595</v>
      </c>
      <c r="D130" s="532">
        <v>70698520</v>
      </c>
      <c r="E130" s="530" t="s">
        <v>195</v>
      </c>
      <c r="F130" s="532">
        <v>3117</v>
      </c>
      <c r="G130" s="533" t="s">
        <v>320</v>
      </c>
      <c r="H130" s="534" t="s">
        <v>283</v>
      </c>
      <c r="I130" s="575">
        <f t="shared" si="283"/>
        <v>3233628</v>
      </c>
      <c r="J130" s="496">
        <v>2343393</v>
      </c>
      <c r="K130" s="131">
        <f t="shared" si="284"/>
        <v>792067</v>
      </c>
      <c r="L130" s="131">
        <f t="shared" si="285"/>
        <v>46868</v>
      </c>
      <c r="M130" s="496">
        <v>51300</v>
      </c>
      <c r="N130" s="576">
        <f t="shared" si="286"/>
        <v>4.7740999999999998</v>
      </c>
      <c r="O130" s="577">
        <v>3.3635999999999999</v>
      </c>
      <c r="P130" s="607">
        <v>1.4105000000000001</v>
      </c>
      <c r="Q130" s="579">
        <f t="shared" si="287"/>
        <v>-16000</v>
      </c>
      <c r="R130" s="498">
        <v>0</v>
      </c>
      <c r="S130" s="498">
        <v>0</v>
      </c>
      <c r="T130" s="498">
        <v>0</v>
      </c>
      <c r="U130" s="498">
        <f t="shared" si="174"/>
        <v>-16000</v>
      </c>
      <c r="V130" s="498">
        <v>16000</v>
      </c>
      <c r="W130" s="498">
        <v>0</v>
      </c>
      <c r="X130" s="498">
        <v>0</v>
      </c>
      <c r="Y130" s="498">
        <f t="shared" si="175"/>
        <v>16000</v>
      </c>
      <c r="Z130" s="498">
        <f t="shared" si="176"/>
        <v>0</v>
      </c>
      <c r="AA130" s="131">
        <f t="shared" si="288"/>
        <v>0</v>
      </c>
      <c r="AB130" s="131">
        <f t="shared" si="177"/>
        <v>-320</v>
      </c>
      <c r="AC130" s="498">
        <v>0</v>
      </c>
      <c r="AD130" s="498">
        <v>0</v>
      </c>
      <c r="AE130" s="498">
        <f t="shared" si="178"/>
        <v>0</v>
      </c>
      <c r="AF130" s="498">
        <f t="shared" si="179"/>
        <v>-320</v>
      </c>
      <c r="AG130" s="499">
        <v>-0.02</v>
      </c>
      <c r="AH130" s="499">
        <v>-0.04</v>
      </c>
      <c r="AI130" s="499">
        <v>0</v>
      </c>
      <c r="AJ130" s="499">
        <v>0</v>
      </c>
      <c r="AK130" s="499">
        <v>0</v>
      </c>
      <c r="AL130" s="499">
        <f t="shared" si="180"/>
        <v>-0.02</v>
      </c>
      <c r="AM130" s="499">
        <f t="shared" si="181"/>
        <v>-0.04</v>
      </c>
      <c r="AN130" s="500">
        <f t="shared" si="182"/>
        <v>-0.06</v>
      </c>
      <c r="AO130" s="497">
        <f t="shared" si="289"/>
        <v>3233308</v>
      </c>
      <c r="AP130" s="498">
        <f t="shared" si="290"/>
        <v>2327393</v>
      </c>
      <c r="AQ130" s="498">
        <f t="shared" si="291"/>
        <v>16000</v>
      </c>
      <c r="AR130" s="498">
        <f t="shared" si="292"/>
        <v>792067</v>
      </c>
      <c r="AS130" s="498">
        <f t="shared" si="292"/>
        <v>46548</v>
      </c>
      <c r="AT130" s="498">
        <f t="shared" si="293"/>
        <v>51300</v>
      </c>
      <c r="AU130" s="499">
        <f t="shared" si="294"/>
        <v>4.7141000000000002</v>
      </c>
      <c r="AV130" s="499">
        <f t="shared" si="295"/>
        <v>3.3435999999999999</v>
      </c>
      <c r="AW130" s="500">
        <f t="shared" si="295"/>
        <v>1.3705000000000001</v>
      </c>
    </row>
    <row r="131" spans="1:49" s="569" customFormat="1" x14ac:dyDescent="0.2">
      <c r="A131" s="531">
        <v>24</v>
      </c>
      <c r="B131" s="532">
        <v>4429</v>
      </c>
      <c r="C131" s="532">
        <v>600074595</v>
      </c>
      <c r="D131" s="532">
        <v>70698520</v>
      </c>
      <c r="E131" s="530" t="s">
        <v>195</v>
      </c>
      <c r="F131" s="532">
        <v>3117</v>
      </c>
      <c r="G131" s="533" t="s">
        <v>318</v>
      </c>
      <c r="H131" s="534" t="s">
        <v>284</v>
      </c>
      <c r="I131" s="575">
        <f t="shared" si="283"/>
        <v>0</v>
      </c>
      <c r="J131" s="496">
        <v>0</v>
      </c>
      <c r="K131" s="131">
        <f t="shared" si="284"/>
        <v>0</v>
      </c>
      <c r="L131" s="131">
        <f t="shared" si="285"/>
        <v>0</v>
      </c>
      <c r="M131" s="496">
        <v>0</v>
      </c>
      <c r="N131" s="576">
        <f t="shared" si="286"/>
        <v>0</v>
      </c>
      <c r="O131" s="577">
        <v>0</v>
      </c>
      <c r="P131" s="607">
        <v>0</v>
      </c>
      <c r="Q131" s="579">
        <f t="shared" si="287"/>
        <v>0</v>
      </c>
      <c r="R131" s="496">
        <v>716024</v>
      </c>
      <c r="S131" s="498">
        <v>0</v>
      </c>
      <c r="T131" s="498">
        <v>0</v>
      </c>
      <c r="U131" s="498">
        <f t="shared" si="174"/>
        <v>716024</v>
      </c>
      <c r="V131" s="498">
        <v>0</v>
      </c>
      <c r="W131" s="498">
        <v>0</v>
      </c>
      <c r="X131" s="498">
        <v>0</v>
      </c>
      <c r="Y131" s="498">
        <f t="shared" si="175"/>
        <v>0</v>
      </c>
      <c r="Z131" s="498">
        <f t="shared" si="176"/>
        <v>716024</v>
      </c>
      <c r="AA131" s="131">
        <f t="shared" si="288"/>
        <v>242016</v>
      </c>
      <c r="AB131" s="131">
        <f t="shared" si="177"/>
        <v>14320</v>
      </c>
      <c r="AC131" s="498">
        <v>0</v>
      </c>
      <c r="AD131" s="498">
        <v>0</v>
      </c>
      <c r="AE131" s="498">
        <f t="shared" si="178"/>
        <v>0</v>
      </c>
      <c r="AF131" s="498">
        <f t="shared" si="179"/>
        <v>972360</v>
      </c>
      <c r="AG131" s="499">
        <v>0</v>
      </c>
      <c r="AH131" s="499">
        <v>0</v>
      </c>
      <c r="AI131" s="499">
        <v>2.0499999999999998</v>
      </c>
      <c r="AJ131" s="499">
        <v>0</v>
      </c>
      <c r="AK131" s="499">
        <v>0</v>
      </c>
      <c r="AL131" s="499">
        <f t="shared" si="180"/>
        <v>2.0499999999999998</v>
      </c>
      <c r="AM131" s="499">
        <f t="shared" si="181"/>
        <v>0</v>
      </c>
      <c r="AN131" s="500">
        <f t="shared" si="182"/>
        <v>2.0499999999999998</v>
      </c>
      <c r="AO131" s="497">
        <f t="shared" si="289"/>
        <v>972360</v>
      </c>
      <c r="AP131" s="498">
        <f t="shared" si="290"/>
        <v>716024</v>
      </c>
      <c r="AQ131" s="498">
        <f t="shared" si="291"/>
        <v>0</v>
      </c>
      <c r="AR131" s="498">
        <f t="shared" si="292"/>
        <v>242016</v>
      </c>
      <c r="AS131" s="498">
        <f t="shared" si="292"/>
        <v>14320</v>
      </c>
      <c r="AT131" s="498">
        <f t="shared" si="293"/>
        <v>0</v>
      </c>
      <c r="AU131" s="499">
        <f t="shared" si="294"/>
        <v>2.0499999999999998</v>
      </c>
      <c r="AV131" s="499">
        <f t="shared" si="295"/>
        <v>2.0499999999999998</v>
      </c>
      <c r="AW131" s="500">
        <f t="shared" si="295"/>
        <v>0</v>
      </c>
    </row>
    <row r="132" spans="1:49" s="569" customFormat="1" x14ac:dyDescent="0.2">
      <c r="A132" s="531">
        <v>24</v>
      </c>
      <c r="B132" s="532">
        <v>4429</v>
      </c>
      <c r="C132" s="532">
        <v>600074595</v>
      </c>
      <c r="D132" s="532">
        <v>70698520</v>
      </c>
      <c r="E132" s="530" t="s">
        <v>195</v>
      </c>
      <c r="F132" s="532">
        <v>3141</v>
      </c>
      <c r="G132" s="533" t="s">
        <v>321</v>
      </c>
      <c r="H132" s="534" t="s">
        <v>284</v>
      </c>
      <c r="I132" s="575">
        <f t="shared" si="283"/>
        <v>621728</v>
      </c>
      <c r="J132" s="496">
        <v>455819</v>
      </c>
      <c r="K132" s="131">
        <f>ROUND((J132)*33.8%,0)</f>
        <v>154067</v>
      </c>
      <c r="L132" s="131">
        <f>ROUND(J132*2%,0)</f>
        <v>9116</v>
      </c>
      <c r="M132" s="496">
        <v>2726</v>
      </c>
      <c r="N132" s="576">
        <f t="shared" si="286"/>
        <v>1.55</v>
      </c>
      <c r="O132" s="577">
        <v>0</v>
      </c>
      <c r="P132" s="607">
        <v>1.55</v>
      </c>
      <c r="Q132" s="579">
        <f t="shared" si="287"/>
        <v>0</v>
      </c>
      <c r="R132" s="498">
        <v>0</v>
      </c>
      <c r="S132" s="498">
        <v>0</v>
      </c>
      <c r="T132" s="498">
        <v>0</v>
      </c>
      <c r="U132" s="498">
        <f t="shared" si="174"/>
        <v>0</v>
      </c>
      <c r="V132" s="498">
        <v>0</v>
      </c>
      <c r="W132" s="498">
        <v>0</v>
      </c>
      <c r="X132" s="498">
        <v>0</v>
      </c>
      <c r="Y132" s="498">
        <f t="shared" si="175"/>
        <v>0</v>
      </c>
      <c r="Z132" s="498">
        <f t="shared" si="176"/>
        <v>0</v>
      </c>
      <c r="AA132" s="131">
        <f t="shared" si="288"/>
        <v>0</v>
      </c>
      <c r="AB132" s="131">
        <f t="shared" si="177"/>
        <v>0</v>
      </c>
      <c r="AC132" s="498">
        <v>0</v>
      </c>
      <c r="AD132" s="498">
        <v>0</v>
      </c>
      <c r="AE132" s="498">
        <f t="shared" si="178"/>
        <v>0</v>
      </c>
      <c r="AF132" s="498">
        <f t="shared" si="179"/>
        <v>0</v>
      </c>
      <c r="AG132" s="499">
        <v>0</v>
      </c>
      <c r="AH132" s="499">
        <v>0</v>
      </c>
      <c r="AI132" s="499">
        <v>0</v>
      </c>
      <c r="AJ132" s="499">
        <v>0</v>
      </c>
      <c r="AK132" s="499">
        <v>0</v>
      </c>
      <c r="AL132" s="499">
        <f t="shared" si="180"/>
        <v>0</v>
      </c>
      <c r="AM132" s="499">
        <f t="shared" si="181"/>
        <v>0</v>
      </c>
      <c r="AN132" s="500">
        <f t="shared" si="182"/>
        <v>0</v>
      </c>
      <c r="AO132" s="497">
        <f t="shared" si="289"/>
        <v>621728</v>
      </c>
      <c r="AP132" s="498">
        <f t="shared" si="290"/>
        <v>455819</v>
      </c>
      <c r="AQ132" s="498">
        <f t="shared" si="291"/>
        <v>0</v>
      </c>
      <c r="AR132" s="498">
        <f t="shared" si="292"/>
        <v>154067</v>
      </c>
      <c r="AS132" s="498">
        <f t="shared" si="292"/>
        <v>9116</v>
      </c>
      <c r="AT132" s="498">
        <f t="shared" si="293"/>
        <v>2726</v>
      </c>
      <c r="AU132" s="499">
        <f t="shared" si="294"/>
        <v>1.55</v>
      </c>
      <c r="AV132" s="499">
        <f t="shared" si="295"/>
        <v>0</v>
      </c>
      <c r="AW132" s="500">
        <f t="shared" si="295"/>
        <v>1.55</v>
      </c>
    </row>
    <row r="133" spans="1:49" s="569" customFormat="1" x14ac:dyDescent="0.2">
      <c r="A133" s="531">
        <v>24</v>
      </c>
      <c r="B133" s="532">
        <v>4429</v>
      </c>
      <c r="C133" s="532">
        <v>600074595</v>
      </c>
      <c r="D133" s="532">
        <v>70698520</v>
      </c>
      <c r="E133" s="530" t="s">
        <v>195</v>
      </c>
      <c r="F133" s="532">
        <v>3143</v>
      </c>
      <c r="G133" s="533" t="s">
        <v>635</v>
      </c>
      <c r="H133" s="574" t="s">
        <v>283</v>
      </c>
      <c r="I133" s="575">
        <f t="shared" si="283"/>
        <v>885842</v>
      </c>
      <c r="J133" s="496">
        <v>652314</v>
      </c>
      <c r="K133" s="131">
        <f t="shared" ref="K133:K134" si="296">ROUND((J133)*33.8%,0)</f>
        <v>220482</v>
      </c>
      <c r="L133" s="131">
        <f t="shared" ref="L133:L134" si="297">ROUND(J133*2%,0)</f>
        <v>13046</v>
      </c>
      <c r="M133" s="496"/>
      <c r="N133" s="576">
        <f t="shared" si="286"/>
        <v>1.4910000000000001</v>
      </c>
      <c r="O133" s="577">
        <v>1.4910000000000001</v>
      </c>
      <c r="P133" s="607">
        <v>0</v>
      </c>
      <c r="Q133" s="579">
        <f t="shared" si="287"/>
        <v>0</v>
      </c>
      <c r="R133" s="498">
        <v>0</v>
      </c>
      <c r="S133" s="498">
        <v>0</v>
      </c>
      <c r="T133" s="498">
        <v>0</v>
      </c>
      <c r="U133" s="498">
        <f t="shared" si="174"/>
        <v>0</v>
      </c>
      <c r="V133" s="498">
        <v>0</v>
      </c>
      <c r="W133" s="498">
        <v>0</v>
      </c>
      <c r="X133" s="498">
        <v>0</v>
      </c>
      <c r="Y133" s="498">
        <f t="shared" si="175"/>
        <v>0</v>
      </c>
      <c r="Z133" s="498">
        <f t="shared" si="176"/>
        <v>0</v>
      </c>
      <c r="AA133" s="131">
        <f t="shared" si="288"/>
        <v>0</v>
      </c>
      <c r="AB133" s="131">
        <f t="shared" si="177"/>
        <v>0</v>
      </c>
      <c r="AC133" s="498">
        <v>0</v>
      </c>
      <c r="AD133" s="498">
        <v>0</v>
      </c>
      <c r="AE133" s="498">
        <f t="shared" si="178"/>
        <v>0</v>
      </c>
      <c r="AF133" s="498">
        <f t="shared" si="179"/>
        <v>0</v>
      </c>
      <c r="AG133" s="499">
        <v>0</v>
      </c>
      <c r="AH133" s="499">
        <v>0</v>
      </c>
      <c r="AI133" s="499">
        <v>0</v>
      </c>
      <c r="AJ133" s="499">
        <v>0</v>
      </c>
      <c r="AK133" s="499">
        <v>0</v>
      </c>
      <c r="AL133" s="499">
        <f t="shared" si="180"/>
        <v>0</v>
      </c>
      <c r="AM133" s="499">
        <f t="shared" si="181"/>
        <v>0</v>
      </c>
      <c r="AN133" s="500">
        <f t="shared" si="182"/>
        <v>0</v>
      </c>
      <c r="AO133" s="497">
        <f t="shared" si="289"/>
        <v>885842</v>
      </c>
      <c r="AP133" s="498">
        <f t="shared" si="290"/>
        <v>652314</v>
      </c>
      <c r="AQ133" s="498">
        <f t="shared" si="291"/>
        <v>0</v>
      </c>
      <c r="AR133" s="498">
        <f t="shared" si="292"/>
        <v>220482</v>
      </c>
      <c r="AS133" s="498">
        <f t="shared" si="292"/>
        <v>13046</v>
      </c>
      <c r="AT133" s="498">
        <f t="shared" si="293"/>
        <v>0</v>
      </c>
      <c r="AU133" s="499">
        <f t="shared" si="294"/>
        <v>1.4910000000000001</v>
      </c>
      <c r="AV133" s="499">
        <f t="shared" si="295"/>
        <v>1.4910000000000001</v>
      </c>
      <c r="AW133" s="500">
        <f t="shared" si="295"/>
        <v>0</v>
      </c>
    </row>
    <row r="134" spans="1:49" s="569" customFormat="1" x14ac:dyDescent="0.2">
      <c r="A134" s="531">
        <v>24</v>
      </c>
      <c r="B134" s="532">
        <v>4429</v>
      </c>
      <c r="C134" s="532">
        <v>600074595</v>
      </c>
      <c r="D134" s="532">
        <v>70698520</v>
      </c>
      <c r="E134" s="530" t="s">
        <v>195</v>
      </c>
      <c r="F134" s="532">
        <v>3143</v>
      </c>
      <c r="G134" s="533" t="s">
        <v>636</v>
      </c>
      <c r="H134" s="574" t="s">
        <v>284</v>
      </c>
      <c r="I134" s="575">
        <f>SUM(J134:M134)</f>
        <v>21066</v>
      </c>
      <c r="J134" s="496">
        <v>14850</v>
      </c>
      <c r="K134" s="131">
        <f t="shared" si="296"/>
        <v>5019</v>
      </c>
      <c r="L134" s="131">
        <f t="shared" si="297"/>
        <v>297</v>
      </c>
      <c r="M134" s="496">
        <v>900</v>
      </c>
      <c r="N134" s="576">
        <f t="shared" si="286"/>
        <v>0.06</v>
      </c>
      <c r="O134" s="577">
        <v>0</v>
      </c>
      <c r="P134" s="607">
        <v>0.06</v>
      </c>
      <c r="Q134" s="579">
        <f t="shared" si="287"/>
        <v>0</v>
      </c>
      <c r="R134" s="498">
        <v>0</v>
      </c>
      <c r="S134" s="498">
        <v>0</v>
      </c>
      <c r="T134" s="498">
        <v>0</v>
      </c>
      <c r="U134" s="498">
        <f t="shared" si="174"/>
        <v>0</v>
      </c>
      <c r="V134" s="498">
        <v>0</v>
      </c>
      <c r="W134" s="498">
        <v>0</v>
      </c>
      <c r="X134" s="498">
        <v>0</v>
      </c>
      <c r="Y134" s="498">
        <f t="shared" si="175"/>
        <v>0</v>
      </c>
      <c r="Z134" s="498">
        <f t="shared" si="176"/>
        <v>0</v>
      </c>
      <c r="AA134" s="131">
        <f t="shared" si="288"/>
        <v>0</v>
      </c>
      <c r="AB134" s="131">
        <f t="shared" si="177"/>
        <v>0</v>
      </c>
      <c r="AC134" s="498">
        <v>0</v>
      </c>
      <c r="AD134" s="498">
        <v>0</v>
      </c>
      <c r="AE134" s="498">
        <f t="shared" si="178"/>
        <v>0</v>
      </c>
      <c r="AF134" s="498">
        <f t="shared" si="179"/>
        <v>0</v>
      </c>
      <c r="AG134" s="499">
        <v>0</v>
      </c>
      <c r="AH134" s="499">
        <v>0</v>
      </c>
      <c r="AI134" s="499">
        <v>0</v>
      </c>
      <c r="AJ134" s="499">
        <v>0</v>
      </c>
      <c r="AK134" s="499">
        <v>0</v>
      </c>
      <c r="AL134" s="499">
        <f t="shared" si="180"/>
        <v>0</v>
      </c>
      <c r="AM134" s="499">
        <f t="shared" si="181"/>
        <v>0</v>
      </c>
      <c r="AN134" s="500">
        <f t="shared" si="182"/>
        <v>0</v>
      </c>
      <c r="AO134" s="497">
        <f t="shared" si="289"/>
        <v>21066</v>
      </c>
      <c r="AP134" s="498">
        <f t="shared" si="290"/>
        <v>14850</v>
      </c>
      <c r="AQ134" s="498">
        <f t="shared" si="291"/>
        <v>0</v>
      </c>
      <c r="AR134" s="498">
        <f t="shared" si="292"/>
        <v>5019</v>
      </c>
      <c r="AS134" s="498">
        <f t="shared" si="292"/>
        <v>297</v>
      </c>
      <c r="AT134" s="498">
        <f t="shared" si="293"/>
        <v>900</v>
      </c>
      <c r="AU134" s="499">
        <f t="shared" si="294"/>
        <v>0.06</v>
      </c>
      <c r="AV134" s="499">
        <f t="shared" si="295"/>
        <v>0</v>
      </c>
      <c r="AW134" s="500">
        <f t="shared" si="295"/>
        <v>0.06</v>
      </c>
    </row>
    <row r="135" spans="1:49" s="569" customFormat="1" x14ac:dyDescent="0.2">
      <c r="A135" s="302">
        <v>24</v>
      </c>
      <c r="B135" s="32">
        <v>4429</v>
      </c>
      <c r="C135" s="32">
        <v>600074595</v>
      </c>
      <c r="D135" s="32">
        <v>70698520</v>
      </c>
      <c r="E135" s="311" t="s">
        <v>196</v>
      </c>
      <c r="F135" s="32"/>
      <c r="G135" s="301"/>
      <c r="H135" s="454"/>
      <c r="I135" s="5">
        <f t="shared" ref="I135:AW135" si="298">SUM(I129:I134)</f>
        <v>6128038</v>
      </c>
      <c r="J135" s="8">
        <f t="shared" si="298"/>
        <v>4467130</v>
      </c>
      <c r="K135" s="8">
        <f t="shared" si="298"/>
        <v>1509890</v>
      </c>
      <c r="L135" s="8">
        <f t="shared" si="298"/>
        <v>89342</v>
      </c>
      <c r="M135" s="8">
        <f t="shared" si="298"/>
        <v>61676</v>
      </c>
      <c r="N135" s="9">
        <f t="shared" si="298"/>
        <v>10.336</v>
      </c>
      <c r="O135" s="9">
        <f t="shared" si="298"/>
        <v>6.8545999999999996</v>
      </c>
      <c r="P135" s="39">
        <f t="shared" si="298"/>
        <v>3.4814000000000003</v>
      </c>
      <c r="Q135" s="5">
        <f t="shared" si="298"/>
        <v>-16000</v>
      </c>
      <c r="R135" s="8">
        <f t="shared" si="298"/>
        <v>716024</v>
      </c>
      <c r="S135" s="8">
        <f t="shared" si="298"/>
        <v>0</v>
      </c>
      <c r="T135" s="8">
        <f t="shared" si="298"/>
        <v>0</v>
      </c>
      <c r="U135" s="8">
        <f t="shared" si="298"/>
        <v>700024</v>
      </c>
      <c r="V135" s="8">
        <f t="shared" si="298"/>
        <v>16000</v>
      </c>
      <c r="W135" s="8">
        <f t="shared" si="298"/>
        <v>0</v>
      </c>
      <c r="X135" s="8">
        <f t="shared" si="298"/>
        <v>0</v>
      </c>
      <c r="Y135" s="8">
        <f t="shared" si="298"/>
        <v>16000</v>
      </c>
      <c r="Z135" s="8">
        <f t="shared" si="298"/>
        <v>716024</v>
      </c>
      <c r="AA135" s="8">
        <f t="shared" si="298"/>
        <v>242016</v>
      </c>
      <c r="AB135" s="8">
        <f t="shared" si="298"/>
        <v>14000</v>
      </c>
      <c r="AC135" s="8">
        <f t="shared" si="298"/>
        <v>0</v>
      </c>
      <c r="AD135" s="8">
        <f t="shared" si="298"/>
        <v>0</v>
      </c>
      <c r="AE135" s="8">
        <f t="shared" si="298"/>
        <v>0</v>
      </c>
      <c r="AF135" s="8">
        <f t="shared" si="298"/>
        <v>972040</v>
      </c>
      <c r="AG135" s="9">
        <f t="shared" si="298"/>
        <v>-0.02</v>
      </c>
      <c r="AH135" s="9">
        <f t="shared" si="298"/>
        <v>-0.04</v>
      </c>
      <c r="AI135" s="9">
        <f t="shared" si="298"/>
        <v>2.0499999999999998</v>
      </c>
      <c r="AJ135" s="9">
        <f t="shared" si="298"/>
        <v>0</v>
      </c>
      <c r="AK135" s="9">
        <f t="shared" si="298"/>
        <v>0</v>
      </c>
      <c r="AL135" s="9">
        <f t="shared" si="298"/>
        <v>2.0299999999999998</v>
      </c>
      <c r="AM135" s="9">
        <f t="shared" si="298"/>
        <v>-0.04</v>
      </c>
      <c r="AN135" s="92">
        <f t="shared" si="298"/>
        <v>1.9899999999999998</v>
      </c>
      <c r="AO135" s="295">
        <f t="shared" si="298"/>
        <v>7100078</v>
      </c>
      <c r="AP135" s="8">
        <f t="shared" si="298"/>
        <v>5167154</v>
      </c>
      <c r="AQ135" s="8">
        <f t="shared" si="298"/>
        <v>16000</v>
      </c>
      <c r="AR135" s="8">
        <f t="shared" si="298"/>
        <v>1751906</v>
      </c>
      <c r="AS135" s="8">
        <f t="shared" si="298"/>
        <v>103342</v>
      </c>
      <c r="AT135" s="8">
        <f t="shared" si="298"/>
        <v>61676</v>
      </c>
      <c r="AU135" s="9">
        <f t="shared" si="298"/>
        <v>12.326000000000002</v>
      </c>
      <c r="AV135" s="9">
        <f t="shared" si="298"/>
        <v>8.8846000000000007</v>
      </c>
      <c r="AW135" s="92">
        <f t="shared" si="298"/>
        <v>3.4414000000000002</v>
      </c>
    </row>
    <row r="136" spans="1:49" s="569" customFormat="1" x14ac:dyDescent="0.2">
      <c r="A136" s="531">
        <v>25</v>
      </c>
      <c r="B136" s="532">
        <v>4452</v>
      </c>
      <c r="C136" s="532">
        <v>600074919</v>
      </c>
      <c r="D136" s="532">
        <v>70698511</v>
      </c>
      <c r="E136" s="530" t="s">
        <v>197</v>
      </c>
      <c r="F136" s="532">
        <v>3113</v>
      </c>
      <c r="G136" s="533" t="s">
        <v>320</v>
      </c>
      <c r="H136" s="534" t="s">
        <v>283</v>
      </c>
      <c r="I136" s="575">
        <f t="shared" ref="I136:I140" si="299">SUM(J136:M136)</f>
        <v>30327068</v>
      </c>
      <c r="J136" s="496">
        <v>21814726</v>
      </c>
      <c r="K136" s="131">
        <f t="shared" ref="K136:K138" si="300">ROUND((J136)*33.8%,0)</f>
        <v>7373377</v>
      </c>
      <c r="L136" s="131">
        <f t="shared" ref="L136:L138" si="301">ROUND(J136*2%,0)</f>
        <v>436295</v>
      </c>
      <c r="M136" s="496">
        <v>702670</v>
      </c>
      <c r="N136" s="576">
        <f t="shared" ref="N136:N141" si="302">SUM(O136:P136)</f>
        <v>40.108000000000004</v>
      </c>
      <c r="O136" s="577">
        <v>30.545400000000001</v>
      </c>
      <c r="P136" s="607">
        <v>9.5625999999999998</v>
      </c>
      <c r="Q136" s="579">
        <f t="shared" ref="Q136:Q141" si="303">V136*-1</f>
        <v>-24000</v>
      </c>
      <c r="R136" s="498">
        <v>0</v>
      </c>
      <c r="S136" s="498">
        <v>0</v>
      </c>
      <c r="T136" s="498">
        <v>0</v>
      </c>
      <c r="U136" s="498">
        <f t="shared" si="174"/>
        <v>-24000</v>
      </c>
      <c r="V136" s="498">
        <v>24000</v>
      </c>
      <c r="W136" s="498">
        <v>0</v>
      </c>
      <c r="X136" s="498">
        <v>0</v>
      </c>
      <c r="Y136" s="498">
        <f t="shared" si="175"/>
        <v>24000</v>
      </c>
      <c r="Z136" s="498">
        <f t="shared" si="176"/>
        <v>0</v>
      </c>
      <c r="AA136" s="131">
        <f t="shared" ref="AA136:AA141" si="304">ROUND((U136+V136+W136)*33.8%,0)</f>
        <v>0</v>
      </c>
      <c r="AB136" s="131">
        <f t="shared" si="177"/>
        <v>-480</v>
      </c>
      <c r="AC136" s="498">
        <v>0</v>
      </c>
      <c r="AD136" s="498">
        <v>0</v>
      </c>
      <c r="AE136" s="498">
        <f t="shared" si="178"/>
        <v>0</v>
      </c>
      <c r="AF136" s="498">
        <f t="shared" si="179"/>
        <v>-480</v>
      </c>
      <c r="AG136" s="499">
        <v>-0.05</v>
      </c>
      <c r="AH136" s="499">
        <v>0</v>
      </c>
      <c r="AI136" s="499">
        <v>0</v>
      </c>
      <c r="AJ136" s="499">
        <v>0</v>
      </c>
      <c r="AK136" s="499">
        <v>0</v>
      </c>
      <c r="AL136" s="499">
        <f t="shared" si="180"/>
        <v>-0.05</v>
      </c>
      <c r="AM136" s="499">
        <f t="shared" si="181"/>
        <v>0</v>
      </c>
      <c r="AN136" s="500">
        <f t="shared" si="182"/>
        <v>-0.05</v>
      </c>
      <c r="AO136" s="497">
        <f t="shared" ref="AO136:AO141" si="305">I136+AF136</f>
        <v>30326588</v>
      </c>
      <c r="AP136" s="498">
        <f t="shared" ref="AP136:AP141" si="306">J136+U136</f>
        <v>21790726</v>
      </c>
      <c r="AQ136" s="498">
        <f t="shared" ref="AQ136:AQ141" si="307">Y136</f>
        <v>24000</v>
      </c>
      <c r="AR136" s="498">
        <f t="shared" ref="AR136:AS141" si="308">K136+AA136</f>
        <v>7373377</v>
      </c>
      <c r="AS136" s="498">
        <f t="shared" si="308"/>
        <v>435815</v>
      </c>
      <c r="AT136" s="498">
        <f t="shared" ref="AT136:AT141" si="309">M136+AE136</f>
        <v>702670</v>
      </c>
      <c r="AU136" s="499">
        <f t="shared" ref="AU136:AU141" si="310">N136+AN136</f>
        <v>40.058000000000007</v>
      </c>
      <c r="AV136" s="499">
        <f t="shared" ref="AV136:AW141" si="311">O136+AL136</f>
        <v>30.4954</v>
      </c>
      <c r="AW136" s="500">
        <f t="shared" si="311"/>
        <v>9.5625999999999998</v>
      </c>
    </row>
    <row r="137" spans="1:49" s="569" customFormat="1" x14ac:dyDescent="0.2">
      <c r="A137" s="531">
        <v>25</v>
      </c>
      <c r="B137" s="532">
        <v>4452</v>
      </c>
      <c r="C137" s="532">
        <v>600074919</v>
      </c>
      <c r="D137" s="532">
        <v>70698511</v>
      </c>
      <c r="E137" s="530" t="s">
        <v>197</v>
      </c>
      <c r="F137" s="532">
        <v>3113</v>
      </c>
      <c r="G137" s="533" t="s">
        <v>319</v>
      </c>
      <c r="H137" s="534" t="s">
        <v>283</v>
      </c>
      <c r="I137" s="575">
        <f t="shared" si="299"/>
        <v>248595</v>
      </c>
      <c r="J137" s="496">
        <v>183060</v>
      </c>
      <c r="K137" s="131">
        <f t="shared" si="300"/>
        <v>61874</v>
      </c>
      <c r="L137" s="131">
        <f t="shared" si="301"/>
        <v>3661</v>
      </c>
      <c r="M137" s="496">
        <v>0</v>
      </c>
      <c r="N137" s="576">
        <f t="shared" si="302"/>
        <v>0.5</v>
      </c>
      <c r="O137" s="577">
        <v>0.5</v>
      </c>
      <c r="P137" s="607">
        <v>0</v>
      </c>
      <c r="Q137" s="579">
        <f t="shared" si="303"/>
        <v>0</v>
      </c>
      <c r="R137" s="498">
        <v>0</v>
      </c>
      <c r="S137" s="498">
        <v>0</v>
      </c>
      <c r="T137" s="498">
        <v>0</v>
      </c>
      <c r="U137" s="498">
        <f t="shared" si="174"/>
        <v>0</v>
      </c>
      <c r="V137" s="498">
        <v>0</v>
      </c>
      <c r="W137" s="498">
        <v>0</v>
      </c>
      <c r="X137" s="498">
        <v>0</v>
      </c>
      <c r="Y137" s="498">
        <f t="shared" si="175"/>
        <v>0</v>
      </c>
      <c r="Z137" s="498">
        <f t="shared" si="176"/>
        <v>0</v>
      </c>
      <c r="AA137" s="131">
        <f t="shared" si="304"/>
        <v>0</v>
      </c>
      <c r="AB137" s="131">
        <f t="shared" si="177"/>
        <v>0</v>
      </c>
      <c r="AC137" s="498">
        <v>0</v>
      </c>
      <c r="AD137" s="498">
        <v>0</v>
      </c>
      <c r="AE137" s="498">
        <f t="shared" si="178"/>
        <v>0</v>
      </c>
      <c r="AF137" s="498">
        <f t="shared" si="179"/>
        <v>0</v>
      </c>
      <c r="AG137" s="499">
        <v>0</v>
      </c>
      <c r="AH137" s="499">
        <v>0</v>
      </c>
      <c r="AI137" s="499">
        <v>0</v>
      </c>
      <c r="AJ137" s="499">
        <v>0</v>
      </c>
      <c r="AK137" s="499">
        <v>0</v>
      </c>
      <c r="AL137" s="499">
        <f t="shared" si="180"/>
        <v>0</v>
      </c>
      <c r="AM137" s="499">
        <f t="shared" si="181"/>
        <v>0</v>
      </c>
      <c r="AN137" s="500">
        <f t="shared" si="182"/>
        <v>0</v>
      </c>
      <c r="AO137" s="497">
        <f t="shared" si="305"/>
        <v>248595</v>
      </c>
      <c r="AP137" s="498">
        <f t="shared" si="306"/>
        <v>183060</v>
      </c>
      <c r="AQ137" s="498">
        <f t="shared" si="307"/>
        <v>0</v>
      </c>
      <c r="AR137" s="498">
        <f t="shared" si="308"/>
        <v>61874</v>
      </c>
      <c r="AS137" s="498">
        <f t="shared" si="308"/>
        <v>3661</v>
      </c>
      <c r="AT137" s="498">
        <f t="shared" si="309"/>
        <v>0</v>
      </c>
      <c r="AU137" s="499">
        <f t="shared" si="310"/>
        <v>0.5</v>
      </c>
      <c r="AV137" s="499">
        <f t="shared" si="311"/>
        <v>0.5</v>
      </c>
      <c r="AW137" s="500">
        <f t="shared" si="311"/>
        <v>0</v>
      </c>
    </row>
    <row r="138" spans="1:49" s="569" customFormat="1" x14ac:dyDescent="0.2">
      <c r="A138" s="531">
        <v>25</v>
      </c>
      <c r="B138" s="532">
        <v>4452</v>
      </c>
      <c r="C138" s="532">
        <v>600074919</v>
      </c>
      <c r="D138" s="532">
        <v>70698511</v>
      </c>
      <c r="E138" s="530" t="s">
        <v>197</v>
      </c>
      <c r="F138" s="532">
        <v>3113</v>
      </c>
      <c r="G138" s="533" t="s">
        <v>318</v>
      </c>
      <c r="H138" s="534" t="s">
        <v>284</v>
      </c>
      <c r="I138" s="575">
        <f t="shared" si="299"/>
        <v>0</v>
      </c>
      <c r="J138" s="496">
        <v>0</v>
      </c>
      <c r="K138" s="131">
        <f t="shared" si="300"/>
        <v>0</v>
      </c>
      <c r="L138" s="131">
        <f t="shared" si="301"/>
        <v>0</v>
      </c>
      <c r="M138" s="496">
        <v>0</v>
      </c>
      <c r="N138" s="576">
        <f t="shared" si="302"/>
        <v>0</v>
      </c>
      <c r="O138" s="577">
        <v>0</v>
      </c>
      <c r="P138" s="607">
        <v>0</v>
      </c>
      <c r="Q138" s="579">
        <f t="shared" si="303"/>
        <v>0</v>
      </c>
      <c r="R138" s="496">
        <v>1045937</v>
      </c>
      <c r="S138" s="498">
        <v>0</v>
      </c>
      <c r="T138" s="498">
        <v>0</v>
      </c>
      <c r="U138" s="498">
        <f t="shared" si="174"/>
        <v>1045937</v>
      </c>
      <c r="V138" s="498">
        <v>0</v>
      </c>
      <c r="W138" s="498">
        <v>0</v>
      </c>
      <c r="X138" s="498">
        <v>0</v>
      </c>
      <c r="Y138" s="498">
        <f t="shared" si="175"/>
        <v>0</v>
      </c>
      <c r="Z138" s="498">
        <f t="shared" si="176"/>
        <v>1045937</v>
      </c>
      <c r="AA138" s="131">
        <f t="shared" si="304"/>
        <v>353527</v>
      </c>
      <c r="AB138" s="131">
        <f t="shared" si="177"/>
        <v>20919</v>
      </c>
      <c r="AC138" s="498">
        <v>11650</v>
      </c>
      <c r="AD138" s="498">
        <v>0</v>
      </c>
      <c r="AE138" s="498">
        <f t="shared" si="178"/>
        <v>11650</v>
      </c>
      <c r="AF138" s="498">
        <f t="shared" si="179"/>
        <v>1432033</v>
      </c>
      <c r="AG138" s="499">
        <v>0</v>
      </c>
      <c r="AH138" s="499">
        <v>0</v>
      </c>
      <c r="AI138" s="499">
        <v>2.8</v>
      </c>
      <c r="AJ138" s="499">
        <v>0</v>
      </c>
      <c r="AK138" s="499">
        <v>0</v>
      </c>
      <c r="AL138" s="499">
        <f t="shared" si="180"/>
        <v>2.8</v>
      </c>
      <c r="AM138" s="499">
        <f t="shared" si="181"/>
        <v>0</v>
      </c>
      <c r="AN138" s="500">
        <f t="shared" si="182"/>
        <v>2.8</v>
      </c>
      <c r="AO138" s="497">
        <f t="shared" si="305"/>
        <v>1432033</v>
      </c>
      <c r="AP138" s="498">
        <f t="shared" si="306"/>
        <v>1045937</v>
      </c>
      <c r="AQ138" s="498">
        <f t="shared" si="307"/>
        <v>0</v>
      </c>
      <c r="AR138" s="498">
        <f t="shared" si="308"/>
        <v>353527</v>
      </c>
      <c r="AS138" s="498">
        <f t="shared" si="308"/>
        <v>20919</v>
      </c>
      <c r="AT138" s="498">
        <f t="shared" si="309"/>
        <v>11650</v>
      </c>
      <c r="AU138" s="499">
        <f t="shared" si="310"/>
        <v>2.8</v>
      </c>
      <c r="AV138" s="499">
        <f t="shared" si="311"/>
        <v>2.8</v>
      </c>
      <c r="AW138" s="500">
        <f t="shared" si="311"/>
        <v>0</v>
      </c>
    </row>
    <row r="139" spans="1:49" s="569" customFormat="1" x14ac:dyDescent="0.2">
      <c r="A139" s="531">
        <v>25</v>
      </c>
      <c r="B139" s="532">
        <v>4452</v>
      </c>
      <c r="C139" s="532">
        <v>600074919</v>
      </c>
      <c r="D139" s="532">
        <v>70698511</v>
      </c>
      <c r="E139" s="530" t="s">
        <v>197</v>
      </c>
      <c r="F139" s="532">
        <v>3141</v>
      </c>
      <c r="G139" s="533" t="s">
        <v>321</v>
      </c>
      <c r="H139" s="534" t="s">
        <v>284</v>
      </c>
      <c r="I139" s="575">
        <f t="shared" si="299"/>
        <v>1828160</v>
      </c>
      <c r="J139" s="496">
        <v>1334299</v>
      </c>
      <c r="K139" s="131">
        <f>ROUND((J139)*33.8%,0)</f>
        <v>450993</v>
      </c>
      <c r="L139" s="131">
        <f>ROUND(J139*2%,0)</f>
        <v>26686</v>
      </c>
      <c r="M139" s="496">
        <v>16182</v>
      </c>
      <c r="N139" s="576">
        <f t="shared" si="302"/>
        <v>4.54</v>
      </c>
      <c r="O139" s="577">
        <v>0</v>
      </c>
      <c r="P139" s="607">
        <v>4.54</v>
      </c>
      <c r="Q139" s="579">
        <f t="shared" si="303"/>
        <v>0</v>
      </c>
      <c r="R139" s="498">
        <v>0</v>
      </c>
      <c r="S139" s="498">
        <v>0</v>
      </c>
      <c r="T139" s="498">
        <v>0</v>
      </c>
      <c r="U139" s="498">
        <f t="shared" si="174"/>
        <v>0</v>
      </c>
      <c r="V139" s="498">
        <v>0</v>
      </c>
      <c r="W139" s="498">
        <v>0</v>
      </c>
      <c r="X139" s="498">
        <v>0</v>
      </c>
      <c r="Y139" s="498">
        <f t="shared" si="175"/>
        <v>0</v>
      </c>
      <c r="Z139" s="498">
        <f t="shared" si="176"/>
        <v>0</v>
      </c>
      <c r="AA139" s="131">
        <f t="shared" si="304"/>
        <v>0</v>
      </c>
      <c r="AB139" s="131">
        <f t="shared" si="177"/>
        <v>0</v>
      </c>
      <c r="AC139" s="498">
        <v>0</v>
      </c>
      <c r="AD139" s="498">
        <v>0</v>
      </c>
      <c r="AE139" s="498">
        <f t="shared" si="178"/>
        <v>0</v>
      </c>
      <c r="AF139" s="498">
        <f t="shared" si="179"/>
        <v>0</v>
      </c>
      <c r="AG139" s="499">
        <v>0</v>
      </c>
      <c r="AH139" s="499">
        <v>0</v>
      </c>
      <c r="AI139" s="499">
        <v>0</v>
      </c>
      <c r="AJ139" s="499">
        <v>0</v>
      </c>
      <c r="AK139" s="499">
        <v>0</v>
      </c>
      <c r="AL139" s="499">
        <f t="shared" si="180"/>
        <v>0</v>
      </c>
      <c r="AM139" s="499">
        <f t="shared" si="181"/>
        <v>0</v>
      </c>
      <c r="AN139" s="500">
        <f t="shared" si="182"/>
        <v>0</v>
      </c>
      <c r="AO139" s="497">
        <f t="shared" si="305"/>
        <v>1828160</v>
      </c>
      <c r="AP139" s="498">
        <f t="shared" si="306"/>
        <v>1334299</v>
      </c>
      <c r="AQ139" s="498">
        <f t="shared" si="307"/>
        <v>0</v>
      </c>
      <c r="AR139" s="498">
        <f t="shared" si="308"/>
        <v>450993</v>
      </c>
      <c r="AS139" s="498">
        <f t="shared" si="308"/>
        <v>26686</v>
      </c>
      <c r="AT139" s="498">
        <f t="shared" si="309"/>
        <v>16182</v>
      </c>
      <c r="AU139" s="499">
        <f t="shared" si="310"/>
        <v>4.54</v>
      </c>
      <c r="AV139" s="499">
        <f t="shared" si="311"/>
        <v>0</v>
      </c>
      <c r="AW139" s="500">
        <f t="shared" si="311"/>
        <v>4.54</v>
      </c>
    </row>
    <row r="140" spans="1:49" s="569" customFormat="1" x14ac:dyDescent="0.2">
      <c r="A140" s="531">
        <v>25</v>
      </c>
      <c r="B140" s="532">
        <v>4452</v>
      </c>
      <c r="C140" s="532">
        <v>600074919</v>
      </c>
      <c r="D140" s="532">
        <v>70698511</v>
      </c>
      <c r="E140" s="524" t="s">
        <v>197</v>
      </c>
      <c r="F140" s="532">
        <v>3143</v>
      </c>
      <c r="G140" s="533" t="s">
        <v>635</v>
      </c>
      <c r="H140" s="574" t="s">
        <v>283</v>
      </c>
      <c r="I140" s="575">
        <f t="shared" si="299"/>
        <v>1565471</v>
      </c>
      <c r="J140" s="496">
        <v>1152777</v>
      </c>
      <c r="K140" s="131">
        <f t="shared" ref="K140:K141" si="312">ROUND((J140)*33.8%,0)</f>
        <v>389639</v>
      </c>
      <c r="L140" s="131">
        <v>23055</v>
      </c>
      <c r="M140" s="496"/>
      <c r="N140" s="576">
        <f t="shared" si="302"/>
        <v>2.4464000000000001</v>
      </c>
      <c r="O140" s="577">
        <v>2.4464000000000001</v>
      </c>
      <c r="P140" s="607">
        <v>0</v>
      </c>
      <c r="Q140" s="579">
        <f t="shared" si="303"/>
        <v>0</v>
      </c>
      <c r="R140" s="498">
        <v>0</v>
      </c>
      <c r="S140" s="498">
        <v>0</v>
      </c>
      <c r="T140" s="498">
        <v>0</v>
      </c>
      <c r="U140" s="498">
        <f t="shared" si="174"/>
        <v>0</v>
      </c>
      <c r="V140" s="498">
        <v>0</v>
      </c>
      <c r="W140" s="498">
        <v>0</v>
      </c>
      <c r="X140" s="498">
        <v>0</v>
      </c>
      <c r="Y140" s="498">
        <f t="shared" si="175"/>
        <v>0</v>
      </c>
      <c r="Z140" s="498">
        <f t="shared" si="176"/>
        <v>0</v>
      </c>
      <c r="AA140" s="131">
        <f t="shared" si="304"/>
        <v>0</v>
      </c>
      <c r="AB140" s="131">
        <f t="shared" si="177"/>
        <v>0</v>
      </c>
      <c r="AC140" s="498">
        <v>0</v>
      </c>
      <c r="AD140" s="498">
        <v>0</v>
      </c>
      <c r="AE140" s="498">
        <f t="shared" si="178"/>
        <v>0</v>
      </c>
      <c r="AF140" s="498">
        <f t="shared" si="179"/>
        <v>0</v>
      </c>
      <c r="AG140" s="499">
        <v>0</v>
      </c>
      <c r="AH140" s="499">
        <v>0</v>
      </c>
      <c r="AI140" s="499">
        <v>0</v>
      </c>
      <c r="AJ140" s="499">
        <v>0</v>
      </c>
      <c r="AK140" s="499">
        <v>0</v>
      </c>
      <c r="AL140" s="499">
        <f t="shared" si="180"/>
        <v>0</v>
      </c>
      <c r="AM140" s="499">
        <f t="shared" si="181"/>
        <v>0</v>
      </c>
      <c r="AN140" s="500">
        <f t="shared" si="182"/>
        <v>0</v>
      </c>
      <c r="AO140" s="497">
        <f t="shared" si="305"/>
        <v>1565471</v>
      </c>
      <c r="AP140" s="498">
        <f t="shared" si="306"/>
        <v>1152777</v>
      </c>
      <c r="AQ140" s="498">
        <f t="shared" si="307"/>
        <v>0</v>
      </c>
      <c r="AR140" s="498">
        <f t="shared" si="308"/>
        <v>389639</v>
      </c>
      <c r="AS140" s="498">
        <f t="shared" si="308"/>
        <v>23055</v>
      </c>
      <c r="AT140" s="498">
        <f t="shared" si="309"/>
        <v>0</v>
      </c>
      <c r="AU140" s="499">
        <f t="shared" si="310"/>
        <v>2.4464000000000001</v>
      </c>
      <c r="AV140" s="499">
        <f t="shared" si="311"/>
        <v>2.4464000000000001</v>
      </c>
      <c r="AW140" s="500">
        <f t="shared" si="311"/>
        <v>0</v>
      </c>
    </row>
    <row r="141" spans="1:49" s="569" customFormat="1" x14ac:dyDescent="0.2">
      <c r="A141" s="531">
        <v>25</v>
      </c>
      <c r="B141" s="532">
        <v>4452</v>
      </c>
      <c r="C141" s="532">
        <v>600074919</v>
      </c>
      <c r="D141" s="532">
        <v>70698511</v>
      </c>
      <c r="E141" s="524" t="s">
        <v>197</v>
      </c>
      <c r="F141" s="532">
        <v>3143</v>
      </c>
      <c r="G141" s="533" t="s">
        <v>636</v>
      </c>
      <c r="H141" s="574" t="s">
        <v>284</v>
      </c>
      <c r="I141" s="575">
        <f>SUM(J141:M141)</f>
        <v>61794</v>
      </c>
      <c r="J141" s="496">
        <v>43560</v>
      </c>
      <c r="K141" s="131">
        <f t="shared" si="312"/>
        <v>14723</v>
      </c>
      <c r="L141" s="131">
        <f t="shared" ref="L141" si="313">ROUND(J141*2%,0)</f>
        <v>871</v>
      </c>
      <c r="M141" s="496">
        <v>2640</v>
      </c>
      <c r="N141" s="576">
        <f t="shared" si="302"/>
        <v>0.18</v>
      </c>
      <c r="O141" s="577">
        <v>0</v>
      </c>
      <c r="P141" s="607">
        <v>0.18</v>
      </c>
      <c r="Q141" s="579">
        <f t="shared" si="303"/>
        <v>0</v>
      </c>
      <c r="R141" s="498">
        <v>0</v>
      </c>
      <c r="S141" s="498">
        <v>0</v>
      </c>
      <c r="T141" s="498">
        <v>0</v>
      </c>
      <c r="U141" s="498">
        <f t="shared" si="174"/>
        <v>0</v>
      </c>
      <c r="V141" s="498">
        <v>0</v>
      </c>
      <c r="W141" s="498">
        <v>0</v>
      </c>
      <c r="X141" s="498">
        <v>0</v>
      </c>
      <c r="Y141" s="498">
        <f t="shared" si="175"/>
        <v>0</v>
      </c>
      <c r="Z141" s="498">
        <f t="shared" si="176"/>
        <v>0</v>
      </c>
      <c r="AA141" s="131">
        <f t="shared" si="304"/>
        <v>0</v>
      </c>
      <c r="AB141" s="131">
        <f t="shared" si="177"/>
        <v>0</v>
      </c>
      <c r="AC141" s="498">
        <v>0</v>
      </c>
      <c r="AD141" s="498">
        <v>0</v>
      </c>
      <c r="AE141" s="498">
        <f t="shared" si="178"/>
        <v>0</v>
      </c>
      <c r="AF141" s="498">
        <f t="shared" si="179"/>
        <v>0</v>
      </c>
      <c r="AG141" s="499">
        <v>0</v>
      </c>
      <c r="AH141" s="499">
        <v>0</v>
      </c>
      <c r="AI141" s="499">
        <v>0</v>
      </c>
      <c r="AJ141" s="499">
        <v>0</v>
      </c>
      <c r="AK141" s="499">
        <v>0</v>
      </c>
      <c r="AL141" s="499">
        <f t="shared" si="180"/>
        <v>0</v>
      </c>
      <c r="AM141" s="499">
        <f t="shared" si="181"/>
        <v>0</v>
      </c>
      <c r="AN141" s="500">
        <f t="shared" si="182"/>
        <v>0</v>
      </c>
      <c r="AO141" s="497">
        <f t="shared" si="305"/>
        <v>61794</v>
      </c>
      <c r="AP141" s="498">
        <f t="shared" si="306"/>
        <v>43560</v>
      </c>
      <c r="AQ141" s="498">
        <f t="shared" si="307"/>
        <v>0</v>
      </c>
      <c r="AR141" s="498">
        <f t="shared" si="308"/>
        <v>14723</v>
      </c>
      <c r="AS141" s="498">
        <f t="shared" si="308"/>
        <v>871</v>
      </c>
      <c r="AT141" s="498">
        <f t="shared" si="309"/>
        <v>2640</v>
      </c>
      <c r="AU141" s="499">
        <f t="shared" si="310"/>
        <v>0.18</v>
      </c>
      <c r="AV141" s="499">
        <f t="shared" si="311"/>
        <v>0</v>
      </c>
      <c r="AW141" s="500">
        <f t="shared" si="311"/>
        <v>0.18</v>
      </c>
    </row>
    <row r="142" spans="1:49" s="569" customFormat="1" x14ac:dyDescent="0.2">
      <c r="A142" s="302">
        <v>25</v>
      </c>
      <c r="B142" s="32">
        <v>4452</v>
      </c>
      <c r="C142" s="32">
        <v>600074919</v>
      </c>
      <c r="D142" s="32">
        <v>70698511</v>
      </c>
      <c r="E142" s="311" t="s">
        <v>198</v>
      </c>
      <c r="F142" s="32"/>
      <c r="G142" s="301"/>
      <c r="H142" s="454"/>
      <c r="I142" s="5">
        <f t="shared" ref="I142:P142" si="314">SUM(I136:I141)</f>
        <v>34031088</v>
      </c>
      <c r="J142" s="8">
        <f t="shared" si="314"/>
        <v>24528422</v>
      </c>
      <c r="K142" s="8">
        <f t="shared" si="314"/>
        <v>8290606</v>
      </c>
      <c r="L142" s="8">
        <f t="shared" si="314"/>
        <v>490568</v>
      </c>
      <c r="M142" s="8">
        <f t="shared" si="314"/>
        <v>721492</v>
      </c>
      <c r="N142" s="9">
        <f t="shared" si="314"/>
        <v>47.7744</v>
      </c>
      <c r="O142" s="9">
        <f t="shared" si="314"/>
        <v>33.491799999999998</v>
      </c>
      <c r="P142" s="39">
        <f t="shared" si="314"/>
        <v>14.282599999999999</v>
      </c>
      <c r="Q142" s="5">
        <f t="shared" ref="Q142:AW142" si="315">SUM(Q136:Q141)</f>
        <v>-24000</v>
      </c>
      <c r="R142" s="8">
        <f t="shared" si="315"/>
        <v>1045937</v>
      </c>
      <c r="S142" s="8">
        <f t="shared" si="315"/>
        <v>0</v>
      </c>
      <c r="T142" s="8">
        <f t="shared" si="315"/>
        <v>0</v>
      </c>
      <c r="U142" s="8">
        <f t="shared" si="315"/>
        <v>1021937</v>
      </c>
      <c r="V142" s="8">
        <f t="shared" si="315"/>
        <v>24000</v>
      </c>
      <c r="W142" s="8">
        <f t="shared" si="315"/>
        <v>0</v>
      </c>
      <c r="X142" s="8">
        <f t="shared" si="315"/>
        <v>0</v>
      </c>
      <c r="Y142" s="8">
        <f t="shared" si="315"/>
        <v>24000</v>
      </c>
      <c r="Z142" s="8">
        <f t="shared" si="315"/>
        <v>1045937</v>
      </c>
      <c r="AA142" s="8">
        <f t="shared" si="315"/>
        <v>353527</v>
      </c>
      <c r="AB142" s="8">
        <f t="shared" si="315"/>
        <v>20439</v>
      </c>
      <c r="AC142" s="8">
        <f t="shared" si="315"/>
        <v>11650</v>
      </c>
      <c r="AD142" s="8">
        <f t="shared" si="315"/>
        <v>0</v>
      </c>
      <c r="AE142" s="8">
        <f t="shared" si="315"/>
        <v>11650</v>
      </c>
      <c r="AF142" s="8">
        <f t="shared" si="315"/>
        <v>1431553</v>
      </c>
      <c r="AG142" s="9">
        <f t="shared" si="315"/>
        <v>-0.05</v>
      </c>
      <c r="AH142" s="9">
        <f t="shared" si="315"/>
        <v>0</v>
      </c>
      <c r="AI142" s="9">
        <f t="shared" si="315"/>
        <v>2.8</v>
      </c>
      <c r="AJ142" s="9">
        <f t="shared" si="315"/>
        <v>0</v>
      </c>
      <c r="AK142" s="9">
        <f t="shared" si="315"/>
        <v>0</v>
      </c>
      <c r="AL142" s="9">
        <f t="shared" si="315"/>
        <v>2.75</v>
      </c>
      <c r="AM142" s="9">
        <f t="shared" si="315"/>
        <v>0</v>
      </c>
      <c r="AN142" s="92">
        <f t="shared" si="315"/>
        <v>2.75</v>
      </c>
      <c r="AO142" s="295">
        <f t="shared" si="315"/>
        <v>35462641</v>
      </c>
      <c r="AP142" s="8">
        <f t="shared" si="315"/>
        <v>25550359</v>
      </c>
      <c r="AQ142" s="8">
        <f t="shared" si="315"/>
        <v>24000</v>
      </c>
      <c r="AR142" s="8">
        <f t="shared" si="315"/>
        <v>8644133</v>
      </c>
      <c r="AS142" s="8">
        <f t="shared" si="315"/>
        <v>511007</v>
      </c>
      <c r="AT142" s="8">
        <f t="shared" si="315"/>
        <v>733142</v>
      </c>
      <c r="AU142" s="9">
        <f t="shared" si="315"/>
        <v>50.5244</v>
      </c>
      <c r="AV142" s="9">
        <f t="shared" si="315"/>
        <v>36.241799999999998</v>
      </c>
      <c r="AW142" s="92">
        <f t="shared" si="315"/>
        <v>14.282599999999999</v>
      </c>
    </row>
    <row r="143" spans="1:49" s="569" customFormat="1" x14ac:dyDescent="0.2">
      <c r="A143" s="531">
        <v>26</v>
      </c>
      <c r="B143" s="532">
        <v>4468</v>
      </c>
      <c r="C143" s="532">
        <v>600075052</v>
      </c>
      <c r="D143" s="532">
        <v>70698546</v>
      </c>
      <c r="E143" s="530" t="s">
        <v>199</v>
      </c>
      <c r="F143" s="532">
        <v>3231</v>
      </c>
      <c r="G143" s="533" t="s">
        <v>322</v>
      </c>
      <c r="H143" s="534" t="s">
        <v>283</v>
      </c>
      <c r="I143" s="575">
        <f t="shared" ref="I143" si="316">SUM(J143:M143)</f>
        <v>6234494</v>
      </c>
      <c r="J143" s="496">
        <v>4575345</v>
      </c>
      <c r="K143" s="131">
        <f>ROUND((J143)*33.8%,0)</f>
        <v>1546467</v>
      </c>
      <c r="L143" s="131">
        <f>ROUND(J143*2%,0)</f>
        <v>91507</v>
      </c>
      <c r="M143" s="496">
        <v>21175</v>
      </c>
      <c r="N143" s="576">
        <f t="shared" ref="N143" si="317">SUM(O143:P143)</f>
        <v>8.8675999999999995</v>
      </c>
      <c r="O143" s="577">
        <v>7.8639000000000001</v>
      </c>
      <c r="P143" s="607">
        <v>1.0037</v>
      </c>
      <c r="Q143" s="579">
        <f>V143*-1</f>
        <v>-77600</v>
      </c>
      <c r="R143" s="498">
        <v>0</v>
      </c>
      <c r="S143" s="498">
        <v>0</v>
      </c>
      <c r="T143" s="498">
        <v>0</v>
      </c>
      <c r="U143" s="498">
        <f t="shared" ref="U143:U205" si="318">SUM(Q143:T143)</f>
        <v>-77600</v>
      </c>
      <c r="V143" s="498">
        <v>77600</v>
      </c>
      <c r="W143" s="498">
        <v>0</v>
      </c>
      <c r="X143" s="498">
        <v>0</v>
      </c>
      <c r="Y143" s="498">
        <f t="shared" ref="Y143:Y206" si="319">SUM(V143:X143)</f>
        <v>77600</v>
      </c>
      <c r="Z143" s="498">
        <f t="shared" ref="Z143:Z206" si="320">U143+Y143</f>
        <v>0</v>
      </c>
      <c r="AA143" s="131">
        <f>ROUND((U143+V143+W143)*33.8%,0)</f>
        <v>0</v>
      </c>
      <c r="AB143" s="131">
        <f t="shared" ref="AB143:AB206" si="321">ROUND(U143*2%,0)</f>
        <v>-1552</v>
      </c>
      <c r="AC143" s="498">
        <v>0</v>
      </c>
      <c r="AD143" s="498">
        <v>0</v>
      </c>
      <c r="AE143" s="498">
        <f t="shared" ref="AE143:AE206" si="322">SUM(AC143:AD143)</f>
        <v>0</v>
      </c>
      <c r="AF143" s="498">
        <f t="shared" ref="AF143:AF206" si="323">Z143+AA143+AB143+AE143</f>
        <v>-1552</v>
      </c>
      <c r="AG143" s="499">
        <v>-7.0000000000000007E-2</v>
      </c>
      <c r="AH143" s="499">
        <v>-0.1</v>
      </c>
      <c r="AI143" s="499">
        <v>0</v>
      </c>
      <c r="AJ143" s="499">
        <v>0</v>
      </c>
      <c r="AK143" s="499">
        <v>0</v>
      </c>
      <c r="AL143" s="499">
        <f t="shared" ref="AL143:AL206" si="324">AG143+AI143+AJ143</f>
        <v>-7.0000000000000007E-2</v>
      </c>
      <c r="AM143" s="499">
        <f t="shared" ref="AM143:AM206" si="325">AH143+AK143</f>
        <v>-0.1</v>
      </c>
      <c r="AN143" s="500">
        <f t="shared" ref="AN143:AN206" si="326">SUM(AL143:AM143)</f>
        <v>-0.17</v>
      </c>
      <c r="AO143" s="497">
        <f>I143+AF143</f>
        <v>6232942</v>
      </c>
      <c r="AP143" s="498">
        <f>J143+U143</f>
        <v>4497745</v>
      </c>
      <c r="AQ143" s="498">
        <f>Y143</f>
        <v>77600</v>
      </c>
      <c r="AR143" s="498">
        <f>K143+AA143</f>
        <v>1546467</v>
      </c>
      <c r="AS143" s="498">
        <f>L143+AB143</f>
        <v>89955</v>
      </c>
      <c r="AT143" s="498">
        <f>M143+AE143</f>
        <v>21175</v>
      </c>
      <c r="AU143" s="499">
        <f>N143+AN143</f>
        <v>8.6975999999999996</v>
      </c>
      <c r="AV143" s="499">
        <f>O143+AL143</f>
        <v>7.7938999999999998</v>
      </c>
      <c r="AW143" s="500">
        <f>P143+AM143</f>
        <v>0.90370000000000006</v>
      </c>
    </row>
    <row r="144" spans="1:49" s="569" customFormat="1" x14ac:dyDescent="0.2">
      <c r="A144" s="302">
        <v>26</v>
      </c>
      <c r="B144" s="32">
        <v>4468</v>
      </c>
      <c r="C144" s="32">
        <v>600075052</v>
      </c>
      <c r="D144" s="32">
        <v>70698546</v>
      </c>
      <c r="E144" s="311" t="s">
        <v>200</v>
      </c>
      <c r="F144" s="32"/>
      <c r="G144" s="301"/>
      <c r="H144" s="454"/>
      <c r="I144" s="5">
        <f t="shared" ref="I144:AW144" si="327">SUM(I143)</f>
        <v>6234494</v>
      </c>
      <c r="J144" s="8">
        <f t="shared" si="327"/>
        <v>4575345</v>
      </c>
      <c r="K144" s="8">
        <f t="shared" si="327"/>
        <v>1546467</v>
      </c>
      <c r="L144" s="8">
        <f t="shared" si="327"/>
        <v>91507</v>
      </c>
      <c r="M144" s="8">
        <f t="shared" si="327"/>
        <v>21175</v>
      </c>
      <c r="N144" s="9">
        <f t="shared" si="327"/>
        <v>8.8675999999999995</v>
      </c>
      <c r="O144" s="9">
        <f t="shared" si="327"/>
        <v>7.8639000000000001</v>
      </c>
      <c r="P144" s="39">
        <f t="shared" si="327"/>
        <v>1.0037</v>
      </c>
      <c r="Q144" s="5">
        <f t="shared" si="327"/>
        <v>-77600</v>
      </c>
      <c r="R144" s="8">
        <f t="shared" si="327"/>
        <v>0</v>
      </c>
      <c r="S144" s="8">
        <f t="shared" si="327"/>
        <v>0</v>
      </c>
      <c r="T144" s="8">
        <f t="shared" si="327"/>
        <v>0</v>
      </c>
      <c r="U144" s="8">
        <f t="shared" si="327"/>
        <v>-77600</v>
      </c>
      <c r="V144" s="8">
        <f t="shared" si="327"/>
        <v>77600</v>
      </c>
      <c r="W144" s="8">
        <f t="shared" si="327"/>
        <v>0</v>
      </c>
      <c r="X144" s="8">
        <f t="shared" si="327"/>
        <v>0</v>
      </c>
      <c r="Y144" s="8">
        <f t="shared" si="327"/>
        <v>77600</v>
      </c>
      <c r="Z144" s="8">
        <f t="shared" si="327"/>
        <v>0</v>
      </c>
      <c r="AA144" s="8">
        <f t="shared" si="327"/>
        <v>0</v>
      </c>
      <c r="AB144" s="8">
        <f t="shared" si="327"/>
        <v>-1552</v>
      </c>
      <c r="AC144" s="8">
        <f t="shared" si="327"/>
        <v>0</v>
      </c>
      <c r="AD144" s="8">
        <f t="shared" si="327"/>
        <v>0</v>
      </c>
      <c r="AE144" s="8">
        <f t="shared" si="327"/>
        <v>0</v>
      </c>
      <c r="AF144" s="8">
        <f t="shared" si="327"/>
        <v>-1552</v>
      </c>
      <c r="AG144" s="9">
        <f t="shared" si="327"/>
        <v>-7.0000000000000007E-2</v>
      </c>
      <c r="AH144" s="9">
        <f t="shared" si="327"/>
        <v>-0.1</v>
      </c>
      <c r="AI144" s="9">
        <f t="shared" si="327"/>
        <v>0</v>
      </c>
      <c r="AJ144" s="9">
        <f t="shared" si="327"/>
        <v>0</v>
      </c>
      <c r="AK144" s="9">
        <f t="shared" si="327"/>
        <v>0</v>
      </c>
      <c r="AL144" s="9">
        <f t="shared" si="327"/>
        <v>-7.0000000000000007E-2</v>
      </c>
      <c r="AM144" s="9">
        <f t="shared" si="327"/>
        <v>-0.1</v>
      </c>
      <c r="AN144" s="92">
        <f t="shared" si="327"/>
        <v>-0.17</v>
      </c>
      <c r="AO144" s="295">
        <f t="shared" si="327"/>
        <v>6232942</v>
      </c>
      <c r="AP144" s="8">
        <f t="shared" si="327"/>
        <v>4497745</v>
      </c>
      <c r="AQ144" s="8">
        <f t="shared" si="327"/>
        <v>77600</v>
      </c>
      <c r="AR144" s="8">
        <f t="shared" si="327"/>
        <v>1546467</v>
      </c>
      <c r="AS144" s="8">
        <f t="shared" si="327"/>
        <v>89955</v>
      </c>
      <c r="AT144" s="8">
        <f t="shared" si="327"/>
        <v>21175</v>
      </c>
      <c r="AU144" s="9">
        <f t="shared" si="327"/>
        <v>8.6975999999999996</v>
      </c>
      <c r="AV144" s="9">
        <f t="shared" si="327"/>
        <v>7.7938999999999998</v>
      </c>
      <c r="AW144" s="92">
        <f t="shared" si="327"/>
        <v>0.90370000000000006</v>
      </c>
    </row>
    <row r="145" spans="1:49" s="569" customFormat="1" x14ac:dyDescent="0.2">
      <c r="A145" s="531">
        <v>27</v>
      </c>
      <c r="B145" s="532">
        <v>4414</v>
      </c>
      <c r="C145" s="532">
        <v>600074307</v>
      </c>
      <c r="D145" s="532">
        <v>70695831</v>
      </c>
      <c r="E145" s="530" t="s">
        <v>201</v>
      </c>
      <c r="F145" s="532">
        <v>3111</v>
      </c>
      <c r="G145" s="533" t="s">
        <v>317</v>
      </c>
      <c r="H145" s="534" t="s">
        <v>283</v>
      </c>
      <c r="I145" s="575">
        <f t="shared" ref="I145:I147" si="328">SUM(J145:M145)</f>
        <v>5032569</v>
      </c>
      <c r="J145" s="496">
        <v>3681678</v>
      </c>
      <c r="K145" s="131">
        <f t="shared" ref="K145:K146" si="329">ROUND((J145)*33.8%,0)</f>
        <v>1244407</v>
      </c>
      <c r="L145" s="131">
        <f t="shared" ref="L145:L146" si="330">ROUND(J145*2%,0)</f>
        <v>73634</v>
      </c>
      <c r="M145" s="496">
        <v>32850</v>
      </c>
      <c r="N145" s="576">
        <f t="shared" ref="N145:N147" si="331">SUM(O145:P145)</f>
        <v>8.3060000000000009</v>
      </c>
      <c r="O145" s="577">
        <v>6.1718000000000002</v>
      </c>
      <c r="P145" s="607">
        <v>2.1341999999999999</v>
      </c>
      <c r="Q145" s="579">
        <f t="shared" ref="Q145:Q147" si="332">V145*-1</f>
        <v>-12000</v>
      </c>
      <c r="R145" s="498">
        <v>0</v>
      </c>
      <c r="S145" s="498">
        <v>0</v>
      </c>
      <c r="T145" s="498">
        <v>0</v>
      </c>
      <c r="U145" s="498">
        <f t="shared" si="318"/>
        <v>-12000</v>
      </c>
      <c r="V145" s="498">
        <v>12000</v>
      </c>
      <c r="W145" s="498">
        <v>0</v>
      </c>
      <c r="X145" s="498">
        <v>0</v>
      </c>
      <c r="Y145" s="498">
        <f t="shared" si="319"/>
        <v>12000</v>
      </c>
      <c r="Z145" s="498">
        <f t="shared" si="320"/>
        <v>0</v>
      </c>
      <c r="AA145" s="131">
        <f t="shared" ref="AA145:AA147" si="333">ROUND((U145+V145+W145)*33.8%,0)</f>
        <v>0</v>
      </c>
      <c r="AB145" s="131">
        <f t="shared" si="321"/>
        <v>-240</v>
      </c>
      <c r="AC145" s="498">
        <v>0</v>
      </c>
      <c r="AD145" s="498">
        <v>0</v>
      </c>
      <c r="AE145" s="498">
        <f t="shared" si="322"/>
        <v>0</v>
      </c>
      <c r="AF145" s="498">
        <f t="shared" si="323"/>
        <v>-240</v>
      </c>
      <c r="AG145" s="499">
        <v>-0.02</v>
      </c>
      <c r="AH145" s="499">
        <v>0</v>
      </c>
      <c r="AI145" s="499">
        <v>0</v>
      </c>
      <c r="AJ145" s="499">
        <v>0</v>
      </c>
      <c r="AK145" s="499">
        <v>0</v>
      </c>
      <c r="AL145" s="499">
        <f t="shared" si="324"/>
        <v>-0.02</v>
      </c>
      <c r="AM145" s="499">
        <f t="shared" si="325"/>
        <v>0</v>
      </c>
      <c r="AN145" s="500">
        <f t="shared" si="326"/>
        <v>-0.02</v>
      </c>
      <c r="AO145" s="497">
        <f>I145+AF145</f>
        <v>5032329</v>
      </c>
      <c r="AP145" s="498">
        <f>J145+U145</f>
        <v>3669678</v>
      </c>
      <c r="AQ145" s="498">
        <f t="shared" ref="AQ145:AQ147" si="334">Y145</f>
        <v>12000</v>
      </c>
      <c r="AR145" s="498">
        <f t="shared" ref="AR145:AS147" si="335">K145+AA145</f>
        <v>1244407</v>
      </c>
      <c r="AS145" s="498">
        <f t="shared" si="335"/>
        <v>73394</v>
      </c>
      <c r="AT145" s="498">
        <f>M145+AE145</f>
        <v>32850</v>
      </c>
      <c r="AU145" s="499">
        <f>N145+AN145</f>
        <v>8.2860000000000014</v>
      </c>
      <c r="AV145" s="499">
        <f t="shared" ref="AV145:AW147" si="336">O145+AL145</f>
        <v>6.1518000000000006</v>
      </c>
      <c r="AW145" s="500">
        <f t="shared" si="336"/>
        <v>2.1341999999999999</v>
      </c>
    </row>
    <row r="146" spans="1:49" s="569" customFormat="1" x14ac:dyDescent="0.2">
      <c r="A146" s="531">
        <v>27</v>
      </c>
      <c r="B146" s="532">
        <v>4414</v>
      </c>
      <c r="C146" s="532">
        <v>600074307</v>
      </c>
      <c r="D146" s="532">
        <v>70695831</v>
      </c>
      <c r="E146" s="530" t="s">
        <v>201</v>
      </c>
      <c r="F146" s="532">
        <v>3111</v>
      </c>
      <c r="G146" s="533" t="s">
        <v>318</v>
      </c>
      <c r="H146" s="534" t="s">
        <v>284</v>
      </c>
      <c r="I146" s="575">
        <f t="shared" si="328"/>
        <v>0</v>
      </c>
      <c r="J146" s="496">
        <v>0</v>
      </c>
      <c r="K146" s="131">
        <f t="shared" si="329"/>
        <v>0</v>
      </c>
      <c r="L146" s="131">
        <f t="shared" si="330"/>
        <v>0</v>
      </c>
      <c r="M146" s="496">
        <v>0</v>
      </c>
      <c r="N146" s="576">
        <f t="shared" si="331"/>
        <v>0</v>
      </c>
      <c r="O146" s="577">
        <v>0</v>
      </c>
      <c r="P146" s="607">
        <v>0</v>
      </c>
      <c r="Q146" s="579">
        <f t="shared" si="332"/>
        <v>0</v>
      </c>
      <c r="R146" s="496">
        <v>654398</v>
      </c>
      <c r="S146" s="498">
        <v>0</v>
      </c>
      <c r="T146" s="498">
        <v>0</v>
      </c>
      <c r="U146" s="498">
        <f t="shared" si="318"/>
        <v>654398</v>
      </c>
      <c r="V146" s="498">
        <v>0</v>
      </c>
      <c r="W146" s="498">
        <v>0</v>
      </c>
      <c r="X146" s="498">
        <v>0</v>
      </c>
      <c r="Y146" s="498">
        <f t="shared" si="319"/>
        <v>0</v>
      </c>
      <c r="Z146" s="498">
        <f t="shared" si="320"/>
        <v>654398</v>
      </c>
      <c r="AA146" s="131">
        <f t="shared" si="333"/>
        <v>221187</v>
      </c>
      <c r="AB146" s="131">
        <f t="shared" si="321"/>
        <v>13088</v>
      </c>
      <c r="AC146" s="498">
        <v>0</v>
      </c>
      <c r="AD146" s="498">
        <v>0</v>
      </c>
      <c r="AE146" s="498">
        <f t="shared" si="322"/>
        <v>0</v>
      </c>
      <c r="AF146" s="498">
        <f t="shared" si="323"/>
        <v>888673</v>
      </c>
      <c r="AG146" s="499">
        <v>0</v>
      </c>
      <c r="AH146" s="499">
        <v>0</v>
      </c>
      <c r="AI146" s="499">
        <v>1.89</v>
      </c>
      <c r="AJ146" s="499">
        <v>0</v>
      </c>
      <c r="AK146" s="499">
        <v>0</v>
      </c>
      <c r="AL146" s="499">
        <f t="shared" si="324"/>
        <v>1.89</v>
      </c>
      <c r="AM146" s="499">
        <f t="shared" si="325"/>
        <v>0</v>
      </c>
      <c r="AN146" s="500">
        <f t="shared" si="326"/>
        <v>1.89</v>
      </c>
      <c r="AO146" s="497">
        <f>I146+AF146</f>
        <v>888673</v>
      </c>
      <c r="AP146" s="498">
        <f>J146+U146</f>
        <v>654398</v>
      </c>
      <c r="AQ146" s="498">
        <f t="shared" si="334"/>
        <v>0</v>
      </c>
      <c r="AR146" s="498">
        <f t="shared" si="335"/>
        <v>221187</v>
      </c>
      <c r="AS146" s="498">
        <f t="shared" si="335"/>
        <v>13088</v>
      </c>
      <c r="AT146" s="498">
        <f>M146+AE146</f>
        <v>0</v>
      </c>
      <c r="AU146" s="499">
        <f>N146+AN146</f>
        <v>1.89</v>
      </c>
      <c r="AV146" s="499">
        <f t="shared" si="336"/>
        <v>1.89</v>
      </c>
      <c r="AW146" s="500">
        <f t="shared" si="336"/>
        <v>0</v>
      </c>
    </row>
    <row r="147" spans="1:49" s="569" customFormat="1" x14ac:dyDescent="0.2">
      <c r="A147" s="531">
        <v>27</v>
      </c>
      <c r="B147" s="532">
        <v>4414</v>
      </c>
      <c r="C147" s="532">
        <v>600074307</v>
      </c>
      <c r="D147" s="532">
        <v>70695831</v>
      </c>
      <c r="E147" s="524" t="s">
        <v>201</v>
      </c>
      <c r="F147" s="532">
        <v>3141</v>
      </c>
      <c r="G147" s="533" t="s">
        <v>321</v>
      </c>
      <c r="H147" s="534" t="s">
        <v>284</v>
      </c>
      <c r="I147" s="575">
        <f t="shared" si="328"/>
        <v>327157</v>
      </c>
      <c r="J147" s="496">
        <v>238896</v>
      </c>
      <c r="K147" s="131">
        <f>ROUND((J147)*33.8%,0)</f>
        <v>80747</v>
      </c>
      <c r="L147" s="131">
        <f>ROUND(J147*2%,0)</f>
        <v>4778</v>
      </c>
      <c r="M147" s="496">
        <v>2736</v>
      </c>
      <c r="N147" s="576">
        <f t="shared" si="331"/>
        <v>0.81</v>
      </c>
      <c r="O147" s="577">
        <v>0</v>
      </c>
      <c r="P147" s="607">
        <v>0.81</v>
      </c>
      <c r="Q147" s="579">
        <f t="shared" si="332"/>
        <v>-20000</v>
      </c>
      <c r="R147" s="498">
        <v>0</v>
      </c>
      <c r="S147" s="498">
        <v>0</v>
      </c>
      <c r="T147" s="498">
        <v>0</v>
      </c>
      <c r="U147" s="498">
        <f t="shared" si="318"/>
        <v>-20000</v>
      </c>
      <c r="V147" s="498">
        <v>20000</v>
      </c>
      <c r="W147" s="498">
        <v>0</v>
      </c>
      <c r="X147" s="498">
        <v>0</v>
      </c>
      <c r="Y147" s="498">
        <f t="shared" si="319"/>
        <v>20000</v>
      </c>
      <c r="Z147" s="498">
        <f t="shared" si="320"/>
        <v>0</v>
      </c>
      <c r="AA147" s="131">
        <f t="shared" si="333"/>
        <v>0</v>
      </c>
      <c r="AB147" s="131">
        <f t="shared" si="321"/>
        <v>-400</v>
      </c>
      <c r="AC147" s="498">
        <v>0</v>
      </c>
      <c r="AD147" s="498">
        <v>0</v>
      </c>
      <c r="AE147" s="498">
        <f t="shared" si="322"/>
        <v>0</v>
      </c>
      <c r="AF147" s="498">
        <f t="shared" si="323"/>
        <v>-400</v>
      </c>
      <c r="AG147" s="499">
        <v>0</v>
      </c>
      <c r="AH147" s="499">
        <v>-0.08</v>
      </c>
      <c r="AI147" s="499">
        <v>0</v>
      </c>
      <c r="AJ147" s="499">
        <v>0</v>
      </c>
      <c r="AK147" s="499">
        <v>0</v>
      </c>
      <c r="AL147" s="499">
        <f t="shared" si="324"/>
        <v>0</v>
      </c>
      <c r="AM147" s="499">
        <f t="shared" si="325"/>
        <v>-0.08</v>
      </c>
      <c r="AN147" s="500">
        <f t="shared" si="326"/>
        <v>-0.08</v>
      </c>
      <c r="AO147" s="497">
        <f>I147+AF147</f>
        <v>326757</v>
      </c>
      <c r="AP147" s="498">
        <f>J147+U147</f>
        <v>218896</v>
      </c>
      <c r="AQ147" s="498">
        <f t="shared" si="334"/>
        <v>20000</v>
      </c>
      <c r="AR147" s="498">
        <f t="shared" si="335"/>
        <v>80747</v>
      </c>
      <c r="AS147" s="498">
        <f t="shared" si="335"/>
        <v>4378</v>
      </c>
      <c r="AT147" s="498">
        <f>M147+AE147</f>
        <v>2736</v>
      </c>
      <c r="AU147" s="499">
        <f>N147+AN147</f>
        <v>0.73000000000000009</v>
      </c>
      <c r="AV147" s="499">
        <f t="shared" si="336"/>
        <v>0</v>
      </c>
      <c r="AW147" s="500">
        <f t="shared" si="336"/>
        <v>0.73000000000000009</v>
      </c>
    </row>
    <row r="148" spans="1:49" s="569" customFormat="1" x14ac:dyDescent="0.2">
      <c r="A148" s="302">
        <v>27</v>
      </c>
      <c r="B148" s="32">
        <v>4414</v>
      </c>
      <c r="C148" s="32">
        <v>600074307</v>
      </c>
      <c r="D148" s="32">
        <v>70695831</v>
      </c>
      <c r="E148" s="311" t="s">
        <v>202</v>
      </c>
      <c r="F148" s="32"/>
      <c r="G148" s="301"/>
      <c r="H148" s="454"/>
      <c r="I148" s="5">
        <f t="shared" ref="I148:P148" si="337">SUM(I145:I147)</f>
        <v>5359726</v>
      </c>
      <c r="J148" s="8">
        <f t="shared" si="337"/>
        <v>3920574</v>
      </c>
      <c r="K148" s="8">
        <f t="shared" si="337"/>
        <v>1325154</v>
      </c>
      <c r="L148" s="8">
        <f t="shared" si="337"/>
        <v>78412</v>
      </c>
      <c r="M148" s="8">
        <f t="shared" si="337"/>
        <v>35586</v>
      </c>
      <c r="N148" s="9">
        <f t="shared" si="337"/>
        <v>9.1160000000000014</v>
      </c>
      <c r="O148" s="9">
        <f t="shared" si="337"/>
        <v>6.1718000000000002</v>
      </c>
      <c r="P148" s="39">
        <f t="shared" si="337"/>
        <v>2.9441999999999999</v>
      </c>
      <c r="Q148" s="5">
        <f t="shared" ref="Q148:AW148" si="338">SUM(Q145:Q147)</f>
        <v>-32000</v>
      </c>
      <c r="R148" s="8">
        <f t="shared" si="338"/>
        <v>654398</v>
      </c>
      <c r="S148" s="8">
        <f t="shared" si="338"/>
        <v>0</v>
      </c>
      <c r="T148" s="8">
        <f t="shared" si="338"/>
        <v>0</v>
      </c>
      <c r="U148" s="8">
        <f t="shared" si="338"/>
        <v>622398</v>
      </c>
      <c r="V148" s="8">
        <f t="shared" si="338"/>
        <v>32000</v>
      </c>
      <c r="W148" s="8">
        <f t="shared" si="338"/>
        <v>0</v>
      </c>
      <c r="X148" s="8">
        <f t="shared" si="338"/>
        <v>0</v>
      </c>
      <c r="Y148" s="8">
        <f t="shared" si="338"/>
        <v>32000</v>
      </c>
      <c r="Z148" s="8">
        <f t="shared" si="338"/>
        <v>654398</v>
      </c>
      <c r="AA148" s="8">
        <f t="shared" si="338"/>
        <v>221187</v>
      </c>
      <c r="AB148" s="8">
        <f t="shared" si="338"/>
        <v>12448</v>
      </c>
      <c r="AC148" s="8">
        <f t="shared" si="338"/>
        <v>0</v>
      </c>
      <c r="AD148" s="8">
        <f t="shared" si="338"/>
        <v>0</v>
      </c>
      <c r="AE148" s="8">
        <f t="shared" si="338"/>
        <v>0</v>
      </c>
      <c r="AF148" s="8">
        <f t="shared" si="338"/>
        <v>888033</v>
      </c>
      <c r="AG148" s="9">
        <f t="shared" si="338"/>
        <v>-0.02</v>
      </c>
      <c r="AH148" s="9">
        <f t="shared" si="338"/>
        <v>-0.08</v>
      </c>
      <c r="AI148" s="9">
        <f t="shared" si="338"/>
        <v>1.89</v>
      </c>
      <c r="AJ148" s="9">
        <f t="shared" si="338"/>
        <v>0</v>
      </c>
      <c r="AK148" s="9">
        <f t="shared" si="338"/>
        <v>0</v>
      </c>
      <c r="AL148" s="9">
        <f t="shared" si="338"/>
        <v>1.8699999999999999</v>
      </c>
      <c r="AM148" s="9">
        <f t="shared" si="338"/>
        <v>-0.08</v>
      </c>
      <c r="AN148" s="92">
        <f t="shared" si="338"/>
        <v>1.7899999999999998</v>
      </c>
      <c r="AO148" s="295">
        <f t="shared" si="338"/>
        <v>6247759</v>
      </c>
      <c r="AP148" s="8">
        <f t="shared" si="338"/>
        <v>4542972</v>
      </c>
      <c r="AQ148" s="8">
        <f t="shared" si="338"/>
        <v>32000</v>
      </c>
      <c r="AR148" s="8">
        <f t="shared" si="338"/>
        <v>1546341</v>
      </c>
      <c r="AS148" s="8">
        <f t="shared" si="338"/>
        <v>90860</v>
      </c>
      <c r="AT148" s="8">
        <f t="shared" si="338"/>
        <v>35586</v>
      </c>
      <c r="AU148" s="9">
        <f t="shared" si="338"/>
        <v>10.906000000000002</v>
      </c>
      <c r="AV148" s="9">
        <f t="shared" si="338"/>
        <v>8.0418000000000003</v>
      </c>
      <c r="AW148" s="92">
        <f t="shared" si="338"/>
        <v>2.8641999999999999</v>
      </c>
    </row>
    <row r="149" spans="1:49" s="569" customFormat="1" x14ac:dyDescent="0.2">
      <c r="A149" s="531">
        <v>28</v>
      </c>
      <c r="B149" s="532">
        <v>4444</v>
      </c>
      <c r="C149" s="532">
        <v>600074731</v>
      </c>
      <c r="D149" s="532">
        <v>48282979</v>
      </c>
      <c r="E149" s="530" t="s">
        <v>203</v>
      </c>
      <c r="F149" s="532">
        <v>3113</v>
      </c>
      <c r="G149" s="533" t="s">
        <v>320</v>
      </c>
      <c r="H149" s="534" t="s">
        <v>283</v>
      </c>
      <c r="I149" s="575">
        <f t="shared" ref="I149:I154" si="339">SUM(J149:M149)</f>
        <v>13733635</v>
      </c>
      <c r="J149" s="496">
        <v>9896476</v>
      </c>
      <c r="K149" s="131">
        <f t="shared" ref="K149:K150" si="340">ROUND((J149)*33.8%,0)</f>
        <v>3345009</v>
      </c>
      <c r="L149" s="131">
        <f t="shared" ref="L149:L150" si="341">ROUND(J149*2%,0)</f>
        <v>197930</v>
      </c>
      <c r="M149" s="496">
        <v>294220</v>
      </c>
      <c r="N149" s="576">
        <f t="shared" ref="N149:N154" si="342">SUM(O149:P149)</f>
        <v>18.700299999999999</v>
      </c>
      <c r="O149" s="577">
        <v>13.7727</v>
      </c>
      <c r="P149" s="607">
        <v>4.9276</v>
      </c>
      <c r="Q149" s="579">
        <f t="shared" ref="Q149:Q154" si="343">V149*-1</f>
        <v>-40000</v>
      </c>
      <c r="R149" s="498">
        <v>0</v>
      </c>
      <c r="S149" s="498">
        <v>0</v>
      </c>
      <c r="T149" s="498">
        <v>0</v>
      </c>
      <c r="U149" s="498">
        <f t="shared" si="318"/>
        <v>-40000</v>
      </c>
      <c r="V149" s="498">
        <v>40000</v>
      </c>
      <c r="W149" s="498">
        <v>0</v>
      </c>
      <c r="X149" s="498">
        <v>0</v>
      </c>
      <c r="Y149" s="498">
        <f t="shared" si="319"/>
        <v>40000</v>
      </c>
      <c r="Z149" s="498">
        <f t="shared" si="320"/>
        <v>0</v>
      </c>
      <c r="AA149" s="131">
        <f t="shared" ref="AA149:AA154" si="344">ROUND((U149+V149+W149)*33.8%,0)</f>
        <v>0</v>
      </c>
      <c r="AB149" s="131">
        <f t="shared" si="321"/>
        <v>-800</v>
      </c>
      <c r="AC149" s="498">
        <v>0</v>
      </c>
      <c r="AD149" s="498">
        <v>0</v>
      </c>
      <c r="AE149" s="498">
        <f t="shared" si="322"/>
        <v>0</v>
      </c>
      <c r="AF149" s="498">
        <f t="shared" si="323"/>
        <v>-800</v>
      </c>
      <c r="AG149" s="499">
        <v>0</v>
      </c>
      <c r="AH149" s="499">
        <v>-0.2</v>
      </c>
      <c r="AI149" s="499">
        <v>0</v>
      </c>
      <c r="AJ149" s="499">
        <v>0</v>
      </c>
      <c r="AK149" s="499">
        <v>0</v>
      </c>
      <c r="AL149" s="499">
        <f t="shared" si="324"/>
        <v>0</v>
      </c>
      <c r="AM149" s="499">
        <f t="shared" si="325"/>
        <v>-0.2</v>
      </c>
      <c r="AN149" s="500">
        <f t="shared" si="326"/>
        <v>-0.2</v>
      </c>
      <c r="AO149" s="497">
        <f t="shared" ref="AO149:AO154" si="345">I149+AF149</f>
        <v>13732835</v>
      </c>
      <c r="AP149" s="498">
        <f t="shared" ref="AP149:AP154" si="346">J149+U149</f>
        <v>9856476</v>
      </c>
      <c r="AQ149" s="498">
        <f t="shared" ref="AQ149:AQ154" si="347">Y149</f>
        <v>40000</v>
      </c>
      <c r="AR149" s="498">
        <f t="shared" ref="AR149:AS154" si="348">K149+AA149</f>
        <v>3345009</v>
      </c>
      <c r="AS149" s="498">
        <f t="shared" si="348"/>
        <v>197130</v>
      </c>
      <c r="AT149" s="498">
        <f t="shared" ref="AT149:AT154" si="349">M149+AE149</f>
        <v>294220</v>
      </c>
      <c r="AU149" s="499">
        <f t="shared" ref="AU149:AU154" si="350">N149+AN149</f>
        <v>18.500299999999999</v>
      </c>
      <c r="AV149" s="499">
        <f t="shared" ref="AV149:AW154" si="351">O149+AL149</f>
        <v>13.7727</v>
      </c>
      <c r="AW149" s="500">
        <f t="shared" si="351"/>
        <v>4.7275999999999998</v>
      </c>
    </row>
    <row r="150" spans="1:49" s="569" customFormat="1" x14ac:dyDescent="0.2">
      <c r="A150" s="531">
        <v>28</v>
      </c>
      <c r="B150" s="532">
        <v>4444</v>
      </c>
      <c r="C150" s="532">
        <v>600074731</v>
      </c>
      <c r="D150" s="532">
        <v>48282979</v>
      </c>
      <c r="E150" s="530" t="s">
        <v>203</v>
      </c>
      <c r="F150" s="532">
        <v>3113</v>
      </c>
      <c r="G150" s="533" t="s">
        <v>325</v>
      </c>
      <c r="H150" s="534" t="s">
        <v>284</v>
      </c>
      <c r="I150" s="575">
        <f t="shared" si="339"/>
        <v>0</v>
      </c>
      <c r="J150" s="496">
        <v>0</v>
      </c>
      <c r="K150" s="131">
        <f t="shared" si="340"/>
        <v>0</v>
      </c>
      <c r="L150" s="131">
        <f t="shared" si="341"/>
        <v>0</v>
      </c>
      <c r="M150" s="496">
        <v>0</v>
      </c>
      <c r="N150" s="576">
        <f t="shared" si="342"/>
        <v>0</v>
      </c>
      <c r="O150" s="577">
        <v>0</v>
      </c>
      <c r="P150" s="607">
        <v>0</v>
      </c>
      <c r="Q150" s="579">
        <f t="shared" si="343"/>
        <v>0</v>
      </c>
      <c r="R150" s="496">
        <v>2261517</v>
      </c>
      <c r="S150" s="498">
        <v>0</v>
      </c>
      <c r="T150" s="498">
        <v>0</v>
      </c>
      <c r="U150" s="498">
        <f t="shared" si="318"/>
        <v>2261517</v>
      </c>
      <c r="V150" s="498">
        <v>0</v>
      </c>
      <c r="W150" s="498">
        <v>0</v>
      </c>
      <c r="X150" s="498">
        <v>0</v>
      </c>
      <c r="Y150" s="498">
        <f t="shared" si="319"/>
        <v>0</v>
      </c>
      <c r="Z150" s="498">
        <f t="shared" si="320"/>
        <v>2261517</v>
      </c>
      <c r="AA150" s="131">
        <f t="shared" si="344"/>
        <v>764393</v>
      </c>
      <c r="AB150" s="131">
        <f t="shared" si="321"/>
        <v>45230</v>
      </c>
      <c r="AC150" s="498">
        <v>1000</v>
      </c>
      <c r="AD150" s="498">
        <v>0</v>
      </c>
      <c r="AE150" s="498">
        <f t="shared" si="322"/>
        <v>1000</v>
      </c>
      <c r="AF150" s="498">
        <f t="shared" si="323"/>
        <v>3072140</v>
      </c>
      <c r="AG150" s="499">
        <v>0</v>
      </c>
      <c r="AH150" s="499">
        <v>0</v>
      </c>
      <c r="AI150" s="499">
        <v>6.53</v>
      </c>
      <c r="AJ150" s="499">
        <v>0</v>
      </c>
      <c r="AK150" s="499">
        <v>0</v>
      </c>
      <c r="AL150" s="499">
        <f t="shared" si="324"/>
        <v>6.53</v>
      </c>
      <c r="AM150" s="499">
        <f t="shared" si="325"/>
        <v>0</v>
      </c>
      <c r="AN150" s="500">
        <f t="shared" si="326"/>
        <v>6.53</v>
      </c>
      <c r="AO150" s="497">
        <f t="shared" si="345"/>
        <v>3072140</v>
      </c>
      <c r="AP150" s="498">
        <f t="shared" si="346"/>
        <v>2261517</v>
      </c>
      <c r="AQ150" s="498">
        <f t="shared" si="347"/>
        <v>0</v>
      </c>
      <c r="AR150" s="498">
        <f t="shared" si="348"/>
        <v>764393</v>
      </c>
      <c r="AS150" s="498">
        <f t="shared" si="348"/>
        <v>45230</v>
      </c>
      <c r="AT150" s="498">
        <f t="shared" si="349"/>
        <v>1000</v>
      </c>
      <c r="AU150" s="499">
        <f t="shared" si="350"/>
        <v>6.53</v>
      </c>
      <c r="AV150" s="499">
        <f t="shared" si="351"/>
        <v>6.53</v>
      </c>
      <c r="AW150" s="500">
        <f t="shared" si="351"/>
        <v>0</v>
      </c>
    </row>
    <row r="151" spans="1:49" s="569" customFormat="1" x14ac:dyDescent="0.2">
      <c r="A151" s="531">
        <v>28</v>
      </c>
      <c r="B151" s="532">
        <v>4444</v>
      </c>
      <c r="C151" s="532">
        <v>600074731</v>
      </c>
      <c r="D151" s="532">
        <v>48282979</v>
      </c>
      <c r="E151" s="530" t="s">
        <v>203</v>
      </c>
      <c r="F151" s="532">
        <v>3141</v>
      </c>
      <c r="G151" s="533" t="s">
        <v>321</v>
      </c>
      <c r="H151" s="534" t="s">
        <v>284</v>
      </c>
      <c r="I151" s="575">
        <f t="shared" si="339"/>
        <v>1820281</v>
      </c>
      <c r="J151" s="496">
        <v>1330412</v>
      </c>
      <c r="K151" s="131">
        <f>ROUND((J151)*33.8%,0)</f>
        <v>449679</v>
      </c>
      <c r="L151" s="131">
        <f>ROUND(J151*2%,0)</f>
        <v>26608</v>
      </c>
      <c r="M151" s="496">
        <v>13582</v>
      </c>
      <c r="N151" s="576">
        <f t="shared" si="342"/>
        <v>4.53</v>
      </c>
      <c r="O151" s="577">
        <v>0</v>
      </c>
      <c r="P151" s="607">
        <v>4.53</v>
      </c>
      <c r="Q151" s="579">
        <f t="shared" si="343"/>
        <v>-32000</v>
      </c>
      <c r="R151" s="498">
        <v>0</v>
      </c>
      <c r="S151" s="498">
        <v>0</v>
      </c>
      <c r="T151" s="498">
        <v>0</v>
      </c>
      <c r="U151" s="498">
        <f t="shared" si="318"/>
        <v>-32000</v>
      </c>
      <c r="V151" s="498">
        <v>32000</v>
      </c>
      <c r="W151" s="498">
        <v>0</v>
      </c>
      <c r="X151" s="498">
        <v>0</v>
      </c>
      <c r="Y151" s="498">
        <f t="shared" si="319"/>
        <v>32000</v>
      </c>
      <c r="Z151" s="498">
        <f t="shared" si="320"/>
        <v>0</v>
      </c>
      <c r="AA151" s="131">
        <f t="shared" si="344"/>
        <v>0</v>
      </c>
      <c r="AB151" s="131">
        <f t="shared" si="321"/>
        <v>-640</v>
      </c>
      <c r="AC151" s="498">
        <v>0</v>
      </c>
      <c r="AD151" s="498">
        <v>0</v>
      </c>
      <c r="AE151" s="498">
        <f t="shared" si="322"/>
        <v>0</v>
      </c>
      <c r="AF151" s="498">
        <f t="shared" si="323"/>
        <v>-640</v>
      </c>
      <c r="AG151" s="499">
        <v>0</v>
      </c>
      <c r="AH151" s="499">
        <v>-0.13</v>
      </c>
      <c r="AI151" s="499">
        <v>0</v>
      </c>
      <c r="AJ151" s="499">
        <v>0</v>
      </c>
      <c r="AK151" s="499">
        <v>0</v>
      </c>
      <c r="AL151" s="499">
        <f t="shared" si="324"/>
        <v>0</v>
      </c>
      <c r="AM151" s="499">
        <f t="shared" si="325"/>
        <v>-0.13</v>
      </c>
      <c r="AN151" s="500">
        <f t="shared" si="326"/>
        <v>-0.13</v>
      </c>
      <c r="AO151" s="497">
        <f t="shared" si="345"/>
        <v>1819641</v>
      </c>
      <c r="AP151" s="498">
        <f t="shared" si="346"/>
        <v>1298412</v>
      </c>
      <c r="AQ151" s="498">
        <f t="shared" si="347"/>
        <v>32000</v>
      </c>
      <c r="AR151" s="498">
        <f t="shared" si="348"/>
        <v>449679</v>
      </c>
      <c r="AS151" s="498">
        <f t="shared" si="348"/>
        <v>25968</v>
      </c>
      <c r="AT151" s="498">
        <f t="shared" si="349"/>
        <v>13582</v>
      </c>
      <c r="AU151" s="499">
        <f t="shared" si="350"/>
        <v>4.4000000000000004</v>
      </c>
      <c r="AV151" s="499">
        <f t="shared" si="351"/>
        <v>0</v>
      </c>
      <c r="AW151" s="500">
        <f t="shared" si="351"/>
        <v>4.4000000000000004</v>
      </c>
    </row>
    <row r="152" spans="1:49" s="569" customFormat="1" x14ac:dyDescent="0.2">
      <c r="A152" s="531">
        <v>28</v>
      </c>
      <c r="B152" s="532">
        <v>4444</v>
      </c>
      <c r="C152" s="532">
        <v>600074731</v>
      </c>
      <c r="D152" s="532">
        <v>48282979</v>
      </c>
      <c r="E152" s="530" t="s">
        <v>203</v>
      </c>
      <c r="F152" s="532">
        <v>3143</v>
      </c>
      <c r="G152" s="533" t="s">
        <v>635</v>
      </c>
      <c r="H152" s="574" t="s">
        <v>283</v>
      </c>
      <c r="I152" s="575">
        <f t="shared" si="339"/>
        <v>1383650</v>
      </c>
      <c r="J152" s="496">
        <v>1018889</v>
      </c>
      <c r="K152" s="131">
        <f t="shared" ref="K152:K154" si="352">ROUND((J152)*33.8%,0)</f>
        <v>344384</v>
      </c>
      <c r="L152" s="131">
        <v>20377</v>
      </c>
      <c r="M152" s="496"/>
      <c r="N152" s="576">
        <f t="shared" si="342"/>
        <v>2.3332999999999999</v>
      </c>
      <c r="O152" s="577">
        <v>2.3332999999999999</v>
      </c>
      <c r="P152" s="607">
        <v>0</v>
      </c>
      <c r="Q152" s="579">
        <f t="shared" si="343"/>
        <v>-16000</v>
      </c>
      <c r="R152" s="498">
        <v>0</v>
      </c>
      <c r="S152" s="498">
        <v>0</v>
      </c>
      <c r="T152" s="498">
        <v>0</v>
      </c>
      <c r="U152" s="498">
        <f t="shared" si="318"/>
        <v>-16000</v>
      </c>
      <c r="V152" s="498">
        <v>16000</v>
      </c>
      <c r="W152" s="498">
        <v>0</v>
      </c>
      <c r="X152" s="498">
        <v>0</v>
      </c>
      <c r="Y152" s="498">
        <f t="shared" si="319"/>
        <v>16000</v>
      </c>
      <c r="Z152" s="498">
        <f t="shared" si="320"/>
        <v>0</v>
      </c>
      <c r="AA152" s="131">
        <f t="shared" si="344"/>
        <v>0</v>
      </c>
      <c r="AB152" s="131">
        <f t="shared" si="321"/>
        <v>-320</v>
      </c>
      <c r="AC152" s="498">
        <v>0</v>
      </c>
      <c r="AD152" s="498">
        <v>0</v>
      </c>
      <c r="AE152" s="498">
        <f t="shared" si="322"/>
        <v>0</v>
      </c>
      <c r="AF152" s="498">
        <f t="shared" si="323"/>
        <v>-320</v>
      </c>
      <c r="AG152" s="499">
        <v>-0.04</v>
      </c>
      <c r="AH152" s="499">
        <v>0</v>
      </c>
      <c r="AI152" s="499">
        <v>0</v>
      </c>
      <c r="AJ152" s="499">
        <v>0</v>
      </c>
      <c r="AK152" s="499">
        <v>0</v>
      </c>
      <c r="AL152" s="499">
        <f t="shared" si="324"/>
        <v>-0.04</v>
      </c>
      <c r="AM152" s="499">
        <f t="shared" si="325"/>
        <v>0</v>
      </c>
      <c r="AN152" s="500">
        <f t="shared" si="326"/>
        <v>-0.04</v>
      </c>
      <c r="AO152" s="497">
        <f t="shared" si="345"/>
        <v>1383330</v>
      </c>
      <c r="AP152" s="498">
        <f t="shared" si="346"/>
        <v>1002889</v>
      </c>
      <c r="AQ152" s="498">
        <f t="shared" si="347"/>
        <v>16000</v>
      </c>
      <c r="AR152" s="498">
        <f t="shared" si="348"/>
        <v>344384</v>
      </c>
      <c r="AS152" s="498">
        <f t="shared" si="348"/>
        <v>20057</v>
      </c>
      <c r="AT152" s="498">
        <f t="shared" si="349"/>
        <v>0</v>
      </c>
      <c r="AU152" s="499">
        <f t="shared" si="350"/>
        <v>2.2932999999999999</v>
      </c>
      <c r="AV152" s="499">
        <f t="shared" si="351"/>
        <v>2.2932999999999999</v>
      </c>
      <c r="AW152" s="500">
        <f t="shared" si="351"/>
        <v>0</v>
      </c>
    </row>
    <row r="153" spans="1:49" s="569" customFormat="1" x14ac:dyDescent="0.2">
      <c r="A153" s="531">
        <v>28</v>
      </c>
      <c r="B153" s="532">
        <v>4444</v>
      </c>
      <c r="C153" s="532">
        <v>600074731</v>
      </c>
      <c r="D153" s="532">
        <v>48282979</v>
      </c>
      <c r="E153" s="530" t="s">
        <v>203</v>
      </c>
      <c r="F153" s="532">
        <v>3143</v>
      </c>
      <c r="G153" s="533" t="s">
        <v>636</v>
      </c>
      <c r="H153" s="574" t="s">
        <v>284</v>
      </c>
      <c r="I153" s="575">
        <f t="shared" si="339"/>
        <v>46345</v>
      </c>
      <c r="J153" s="496">
        <v>32670</v>
      </c>
      <c r="K153" s="131">
        <f t="shared" si="352"/>
        <v>11042</v>
      </c>
      <c r="L153" s="131">
        <f t="shared" ref="L153:L154" si="353">ROUND(J153*2%,0)</f>
        <v>653</v>
      </c>
      <c r="M153" s="496">
        <v>1980</v>
      </c>
      <c r="N153" s="576">
        <f t="shared" si="342"/>
        <v>0.14000000000000001</v>
      </c>
      <c r="O153" s="577">
        <v>0</v>
      </c>
      <c r="P153" s="607">
        <v>0.14000000000000001</v>
      </c>
      <c r="Q153" s="579">
        <f t="shared" si="343"/>
        <v>0</v>
      </c>
      <c r="R153" s="498">
        <v>0</v>
      </c>
      <c r="S153" s="498">
        <v>0</v>
      </c>
      <c r="T153" s="498">
        <v>0</v>
      </c>
      <c r="U153" s="498">
        <f t="shared" si="318"/>
        <v>0</v>
      </c>
      <c r="V153" s="498">
        <v>0</v>
      </c>
      <c r="W153" s="498">
        <v>0</v>
      </c>
      <c r="X153" s="498">
        <v>0</v>
      </c>
      <c r="Y153" s="498">
        <f t="shared" si="319"/>
        <v>0</v>
      </c>
      <c r="Z153" s="498">
        <f t="shared" si="320"/>
        <v>0</v>
      </c>
      <c r="AA153" s="131">
        <f t="shared" si="344"/>
        <v>0</v>
      </c>
      <c r="AB153" s="131">
        <f t="shared" si="321"/>
        <v>0</v>
      </c>
      <c r="AC153" s="498">
        <v>0</v>
      </c>
      <c r="AD153" s="498">
        <v>0</v>
      </c>
      <c r="AE153" s="498">
        <f t="shared" si="322"/>
        <v>0</v>
      </c>
      <c r="AF153" s="498">
        <f t="shared" si="323"/>
        <v>0</v>
      </c>
      <c r="AG153" s="499">
        <v>0</v>
      </c>
      <c r="AH153" s="499">
        <v>0</v>
      </c>
      <c r="AI153" s="499">
        <v>0</v>
      </c>
      <c r="AJ153" s="499">
        <v>0</v>
      </c>
      <c r="AK153" s="499">
        <v>0</v>
      </c>
      <c r="AL153" s="499">
        <f t="shared" si="324"/>
        <v>0</v>
      </c>
      <c r="AM153" s="499">
        <f t="shared" si="325"/>
        <v>0</v>
      </c>
      <c r="AN153" s="500">
        <f t="shared" si="326"/>
        <v>0</v>
      </c>
      <c r="AO153" s="497">
        <f t="shared" si="345"/>
        <v>46345</v>
      </c>
      <c r="AP153" s="498">
        <f t="shared" si="346"/>
        <v>32670</v>
      </c>
      <c r="AQ153" s="498">
        <f t="shared" si="347"/>
        <v>0</v>
      </c>
      <c r="AR153" s="498">
        <f t="shared" si="348"/>
        <v>11042</v>
      </c>
      <c r="AS153" s="498">
        <f t="shared" si="348"/>
        <v>653</v>
      </c>
      <c r="AT153" s="498">
        <f t="shared" si="349"/>
        <v>1980</v>
      </c>
      <c r="AU153" s="499">
        <f t="shared" si="350"/>
        <v>0.14000000000000001</v>
      </c>
      <c r="AV153" s="499">
        <f t="shared" si="351"/>
        <v>0</v>
      </c>
      <c r="AW153" s="500">
        <f t="shared" si="351"/>
        <v>0.14000000000000001</v>
      </c>
    </row>
    <row r="154" spans="1:49" s="569" customFormat="1" x14ac:dyDescent="0.2">
      <c r="A154" s="531">
        <v>28</v>
      </c>
      <c r="B154" s="532">
        <v>4444</v>
      </c>
      <c r="C154" s="532">
        <v>600074731</v>
      </c>
      <c r="D154" s="532">
        <v>48282979</v>
      </c>
      <c r="E154" s="530" t="s">
        <v>203</v>
      </c>
      <c r="F154" s="532">
        <v>3143</v>
      </c>
      <c r="G154" s="533" t="s">
        <v>323</v>
      </c>
      <c r="H154" s="574" t="s">
        <v>284</v>
      </c>
      <c r="I154" s="575">
        <f t="shared" si="339"/>
        <v>327828</v>
      </c>
      <c r="J154" s="496">
        <v>241140</v>
      </c>
      <c r="K154" s="131">
        <f t="shared" si="352"/>
        <v>81505</v>
      </c>
      <c r="L154" s="131">
        <f t="shared" si="353"/>
        <v>4823</v>
      </c>
      <c r="M154" s="496">
        <v>360</v>
      </c>
      <c r="N154" s="576">
        <f t="shared" si="342"/>
        <v>0.53</v>
      </c>
      <c r="O154" s="577">
        <v>0.5</v>
      </c>
      <c r="P154" s="607">
        <v>0.03</v>
      </c>
      <c r="Q154" s="579">
        <f t="shared" si="343"/>
        <v>0</v>
      </c>
      <c r="R154" s="498">
        <v>0</v>
      </c>
      <c r="S154" s="498">
        <v>0</v>
      </c>
      <c r="T154" s="498">
        <v>0</v>
      </c>
      <c r="U154" s="498">
        <f t="shared" si="318"/>
        <v>0</v>
      </c>
      <c r="V154" s="498">
        <v>0</v>
      </c>
      <c r="W154" s="498">
        <v>0</v>
      </c>
      <c r="X154" s="498">
        <v>0</v>
      </c>
      <c r="Y154" s="498">
        <f t="shared" si="319"/>
        <v>0</v>
      </c>
      <c r="Z154" s="498">
        <f t="shared" si="320"/>
        <v>0</v>
      </c>
      <c r="AA154" s="131">
        <f t="shared" si="344"/>
        <v>0</v>
      </c>
      <c r="AB154" s="131">
        <f t="shared" si="321"/>
        <v>0</v>
      </c>
      <c r="AC154" s="498">
        <v>0</v>
      </c>
      <c r="AD154" s="498">
        <v>0</v>
      </c>
      <c r="AE154" s="498">
        <f t="shared" si="322"/>
        <v>0</v>
      </c>
      <c r="AF154" s="498">
        <f t="shared" si="323"/>
        <v>0</v>
      </c>
      <c r="AG154" s="499">
        <v>0</v>
      </c>
      <c r="AH154" s="499">
        <v>0</v>
      </c>
      <c r="AI154" s="499">
        <v>0</v>
      </c>
      <c r="AJ154" s="499">
        <v>0</v>
      </c>
      <c r="AK154" s="499">
        <v>0</v>
      </c>
      <c r="AL154" s="499">
        <f t="shared" si="324"/>
        <v>0</v>
      </c>
      <c r="AM154" s="499">
        <f t="shared" si="325"/>
        <v>0</v>
      </c>
      <c r="AN154" s="500">
        <f t="shared" si="326"/>
        <v>0</v>
      </c>
      <c r="AO154" s="497">
        <f t="shared" si="345"/>
        <v>327828</v>
      </c>
      <c r="AP154" s="498">
        <f t="shared" si="346"/>
        <v>241140</v>
      </c>
      <c r="AQ154" s="498">
        <f t="shared" si="347"/>
        <v>0</v>
      </c>
      <c r="AR154" s="498">
        <f t="shared" si="348"/>
        <v>81505</v>
      </c>
      <c r="AS154" s="498">
        <f t="shared" si="348"/>
        <v>4823</v>
      </c>
      <c r="AT154" s="498">
        <f t="shared" si="349"/>
        <v>360</v>
      </c>
      <c r="AU154" s="499">
        <f t="shared" si="350"/>
        <v>0.53</v>
      </c>
      <c r="AV154" s="499">
        <f t="shared" si="351"/>
        <v>0.5</v>
      </c>
      <c r="AW154" s="500">
        <f t="shared" si="351"/>
        <v>0.03</v>
      </c>
    </row>
    <row r="155" spans="1:49" s="569" customFormat="1" x14ac:dyDescent="0.2">
      <c r="A155" s="302">
        <v>28</v>
      </c>
      <c r="B155" s="32">
        <v>4444</v>
      </c>
      <c r="C155" s="32">
        <v>600074731</v>
      </c>
      <c r="D155" s="32">
        <v>48282979</v>
      </c>
      <c r="E155" s="311" t="s">
        <v>204</v>
      </c>
      <c r="F155" s="32"/>
      <c r="G155" s="301"/>
      <c r="H155" s="454"/>
      <c r="I155" s="5">
        <f t="shared" ref="I155:P155" si="354">SUM(I149:I154)</f>
        <v>17311739</v>
      </c>
      <c r="J155" s="8">
        <f t="shared" si="354"/>
        <v>12519587</v>
      </c>
      <c r="K155" s="8">
        <f t="shared" si="354"/>
        <v>4231619</v>
      </c>
      <c r="L155" s="8">
        <f t="shared" si="354"/>
        <v>250391</v>
      </c>
      <c r="M155" s="8">
        <f t="shared" si="354"/>
        <v>310142</v>
      </c>
      <c r="N155" s="9">
        <f t="shared" si="354"/>
        <v>26.233600000000003</v>
      </c>
      <c r="O155" s="9">
        <f t="shared" si="354"/>
        <v>16.606000000000002</v>
      </c>
      <c r="P155" s="39">
        <f t="shared" si="354"/>
        <v>9.6275999999999993</v>
      </c>
      <c r="Q155" s="5">
        <f t="shared" ref="Q155:AW155" si="355">SUM(Q149:Q154)</f>
        <v>-88000</v>
      </c>
      <c r="R155" s="8">
        <f t="shared" si="355"/>
        <v>2261517</v>
      </c>
      <c r="S155" s="8">
        <f t="shared" si="355"/>
        <v>0</v>
      </c>
      <c r="T155" s="8">
        <f t="shared" si="355"/>
        <v>0</v>
      </c>
      <c r="U155" s="8">
        <f t="shared" si="355"/>
        <v>2173517</v>
      </c>
      <c r="V155" s="8">
        <f t="shared" si="355"/>
        <v>88000</v>
      </c>
      <c r="W155" s="8">
        <f t="shared" si="355"/>
        <v>0</v>
      </c>
      <c r="X155" s="8">
        <f t="shared" si="355"/>
        <v>0</v>
      </c>
      <c r="Y155" s="8">
        <f t="shared" si="355"/>
        <v>88000</v>
      </c>
      <c r="Z155" s="8">
        <f t="shared" si="355"/>
        <v>2261517</v>
      </c>
      <c r="AA155" s="8">
        <f t="shared" si="355"/>
        <v>764393</v>
      </c>
      <c r="AB155" s="8">
        <f t="shared" si="355"/>
        <v>43470</v>
      </c>
      <c r="AC155" s="8">
        <f t="shared" si="355"/>
        <v>1000</v>
      </c>
      <c r="AD155" s="8">
        <f t="shared" si="355"/>
        <v>0</v>
      </c>
      <c r="AE155" s="8">
        <f t="shared" si="355"/>
        <v>1000</v>
      </c>
      <c r="AF155" s="8">
        <f t="shared" si="355"/>
        <v>3070380</v>
      </c>
      <c r="AG155" s="9">
        <f t="shared" si="355"/>
        <v>-0.04</v>
      </c>
      <c r="AH155" s="9">
        <f t="shared" si="355"/>
        <v>-0.33</v>
      </c>
      <c r="AI155" s="9">
        <f t="shared" si="355"/>
        <v>6.53</v>
      </c>
      <c r="AJ155" s="9">
        <f t="shared" si="355"/>
        <v>0</v>
      </c>
      <c r="AK155" s="9">
        <f t="shared" si="355"/>
        <v>0</v>
      </c>
      <c r="AL155" s="9">
        <f t="shared" si="355"/>
        <v>6.49</v>
      </c>
      <c r="AM155" s="9">
        <f t="shared" si="355"/>
        <v>-0.33</v>
      </c>
      <c r="AN155" s="92">
        <f t="shared" si="355"/>
        <v>6.16</v>
      </c>
      <c r="AO155" s="295">
        <f t="shared" si="355"/>
        <v>20382119</v>
      </c>
      <c r="AP155" s="8">
        <f t="shared" si="355"/>
        <v>14693104</v>
      </c>
      <c r="AQ155" s="8">
        <f t="shared" si="355"/>
        <v>88000</v>
      </c>
      <c r="AR155" s="8">
        <f t="shared" si="355"/>
        <v>4996012</v>
      </c>
      <c r="AS155" s="8">
        <f t="shared" si="355"/>
        <v>293861</v>
      </c>
      <c r="AT155" s="8">
        <f t="shared" si="355"/>
        <v>311142</v>
      </c>
      <c r="AU155" s="9">
        <f t="shared" si="355"/>
        <v>32.393599999999999</v>
      </c>
      <c r="AV155" s="9">
        <f t="shared" si="355"/>
        <v>23.096</v>
      </c>
      <c r="AW155" s="92">
        <f t="shared" si="355"/>
        <v>9.297600000000001</v>
      </c>
    </row>
    <row r="156" spans="1:49" s="569" customFormat="1" ht="12.75" customHeight="1" x14ac:dyDescent="0.2">
      <c r="A156" s="531">
        <v>29</v>
      </c>
      <c r="B156" s="532">
        <v>4445</v>
      </c>
      <c r="C156" s="532">
        <v>600075044</v>
      </c>
      <c r="D156" s="532">
        <v>72742631</v>
      </c>
      <c r="E156" s="530" t="s">
        <v>205</v>
      </c>
      <c r="F156" s="532">
        <v>3111</v>
      </c>
      <c r="G156" s="533" t="s">
        <v>317</v>
      </c>
      <c r="H156" s="534" t="s">
        <v>283</v>
      </c>
      <c r="I156" s="575">
        <f t="shared" ref="I156:I157" si="356">SUM(J156:M156)</f>
        <v>2115916</v>
      </c>
      <c r="J156" s="496">
        <v>1548171</v>
      </c>
      <c r="K156" s="131">
        <f t="shared" ref="K156:K158" si="357">ROUND((J156)*33.8%,0)</f>
        <v>523282</v>
      </c>
      <c r="L156" s="131">
        <f t="shared" ref="L156:L158" si="358">ROUND(J156*2%,0)</f>
        <v>30963</v>
      </c>
      <c r="M156" s="496">
        <v>13500</v>
      </c>
      <c r="N156" s="576">
        <f t="shared" ref="N156:N161" si="359">SUM(O156:P156)</f>
        <v>3.9218000000000002</v>
      </c>
      <c r="O156" s="577">
        <v>3</v>
      </c>
      <c r="P156" s="607">
        <v>0.92179999999999995</v>
      </c>
      <c r="Q156" s="579">
        <f t="shared" ref="Q156:Q161" si="360">V156*-1</f>
        <v>0</v>
      </c>
      <c r="R156" s="498">
        <v>0</v>
      </c>
      <c r="S156" s="498">
        <v>0</v>
      </c>
      <c r="T156" s="498">
        <v>288385</v>
      </c>
      <c r="U156" s="498">
        <f t="shared" si="318"/>
        <v>288385</v>
      </c>
      <c r="V156" s="498">
        <v>0</v>
      </c>
      <c r="W156" s="498">
        <v>0</v>
      </c>
      <c r="X156" s="498">
        <v>0</v>
      </c>
      <c r="Y156" s="498">
        <f t="shared" si="319"/>
        <v>0</v>
      </c>
      <c r="Z156" s="498">
        <f t="shared" si="320"/>
        <v>288385</v>
      </c>
      <c r="AA156" s="131">
        <f t="shared" ref="AA156:AA161" si="361">ROUND((U156+V156+W156)*33.8%,0)</f>
        <v>97474</v>
      </c>
      <c r="AB156" s="131">
        <f t="shared" si="321"/>
        <v>5768</v>
      </c>
      <c r="AC156" s="498">
        <v>0</v>
      </c>
      <c r="AD156" s="498">
        <v>0</v>
      </c>
      <c r="AE156" s="498">
        <f t="shared" si="322"/>
        <v>0</v>
      </c>
      <c r="AF156" s="498">
        <f t="shared" si="323"/>
        <v>391627</v>
      </c>
      <c r="AG156" s="499">
        <v>0</v>
      </c>
      <c r="AH156" s="499">
        <v>0</v>
      </c>
      <c r="AI156" s="499">
        <v>0</v>
      </c>
      <c r="AJ156" s="499">
        <v>0.65</v>
      </c>
      <c r="AK156" s="499">
        <v>0</v>
      </c>
      <c r="AL156" s="499">
        <f t="shared" si="324"/>
        <v>0.65</v>
      </c>
      <c r="AM156" s="499">
        <f t="shared" si="325"/>
        <v>0</v>
      </c>
      <c r="AN156" s="500">
        <f t="shared" si="326"/>
        <v>0.65</v>
      </c>
      <c r="AO156" s="497">
        <f t="shared" ref="AO156:AO161" si="362">I156+AF156</f>
        <v>2507543</v>
      </c>
      <c r="AP156" s="498">
        <f t="shared" ref="AP156:AP161" si="363">J156+U156</f>
        <v>1836556</v>
      </c>
      <c r="AQ156" s="498">
        <f t="shared" ref="AQ156:AQ161" si="364">Y156</f>
        <v>0</v>
      </c>
      <c r="AR156" s="498">
        <f t="shared" ref="AR156:AS161" si="365">K156+AA156</f>
        <v>620756</v>
      </c>
      <c r="AS156" s="498">
        <f t="shared" si="365"/>
        <v>36731</v>
      </c>
      <c r="AT156" s="498">
        <f t="shared" ref="AT156:AT161" si="366">M156+AE156</f>
        <v>13500</v>
      </c>
      <c r="AU156" s="499">
        <f t="shared" ref="AU156:AU161" si="367">N156+AN156</f>
        <v>4.5718000000000005</v>
      </c>
      <c r="AV156" s="499">
        <f t="shared" ref="AV156:AW161" si="368">O156+AL156</f>
        <v>3.65</v>
      </c>
      <c r="AW156" s="500">
        <f t="shared" si="368"/>
        <v>0.92179999999999995</v>
      </c>
    </row>
    <row r="157" spans="1:49" s="569" customFormat="1" ht="12.75" customHeight="1" x14ac:dyDescent="0.2">
      <c r="A157" s="531">
        <v>29</v>
      </c>
      <c r="B157" s="532">
        <v>4445</v>
      </c>
      <c r="C157" s="532">
        <v>600075044</v>
      </c>
      <c r="D157" s="532">
        <v>72742631</v>
      </c>
      <c r="E157" s="530" t="s">
        <v>205</v>
      </c>
      <c r="F157" s="532">
        <v>3117</v>
      </c>
      <c r="G157" s="533" t="s">
        <v>320</v>
      </c>
      <c r="H157" s="534" t="s">
        <v>283</v>
      </c>
      <c r="I157" s="575">
        <f t="shared" si="356"/>
        <v>3481628</v>
      </c>
      <c r="J157" s="496">
        <v>2515941</v>
      </c>
      <c r="K157" s="131">
        <f t="shared" si="357"/>
        <v>850388</v>
      </c>
      <c r="L157" s="131">
        <f t="shared" si="358"/>
        <v>50319</v>
      </c>
      <c r="M157" s="496">
        <v>64980</v>
      </c>
      <c r="N157" s="576">
        <f t="shared" si="359"/>
        <v>5.5278</v>
      </c>
      <c r="O157" s="577">
        <v>3.2090000000000001</v>
      </c>
      <c r="P157" s="607">
        <v>2.3188</v>
      </c>
      <c r="Q157" s="579">
        <f t="shared" si="360"/>
        <v>0</v>
      </c>
      <c r="R157" s="498">
        <v>0</v>
      </c>
      <c r="S157" s="498">
        <v>0</v>
      </c>
      <c r="T157" s="498">
        <v>0</v>
      </c>
      <c r="U157" s="498">
        <f t="shared" si="318"/>
        <v>0</v>
      </c>
      <c r="V157" s="498">
        <v>0</v>
      </c>
      <c r="W157" s="498">
        <v>0</v>
      </c>
      <c r="X157" s="498">
        <v>0</v>
      </c>
      <c r="Y157" s="498">
        <f t="shared" si="319"/>
        <v>0</v>
      </c>
      <c r="Z157" s="498">
        <f t="shared" si="320"/>
        <v>0</v>
      </c>
      <c r="AA157" s="131">
        <f t="shared" si="361"/>
        <v>0</v>
      </c>
      <c r="AB157" s="131">
        <f t="shared" si="321"/>
        <v>0</v>
      </c>
      <c r="AC157" s="498">
        <v>0</v>
      </c>
      <c r="AD157" s="498">
        <v>0</v>
      </c>
      <c r="AE157" s="498">
        <f t="shared" si="322"/>
        <v>0</v>
      </c>
      <c r="AF157" s="498">
        <f t="shared" si="323"/>
        <v>0</v>
      </c>
      <c r="AG157" s="499">
        <v>0</v>
      </c>
      <c r="AH157" s="499">
        <v>0</v>
      </c>
      <c r="AI157" s="499">
        <v>0</v>
      </c>
      <c r="AJ157" s="499">
        <v>0</v>
      </c>
      <c r="AK157" s="499">
        <v>0</v>
      </c>
      <c r="AL157" s="499">
        <f t="shared" si="324"/>
        <v>0</v>
      </c>
      <c r="AM157" s="499">
        <f t="shared" si="325"/>
        <v>0</v>
      </c>
      <c r="AN157" s="500">
        <f t="shared" si="326"/>
        <v>0</v>
      </c>
      <c r="AO157" s="497">
        <f t="shared" si="362"/>
        <v>3481628</v>
      </c>
      <c r="AP157" s="498">
        <f t="shared" si="363"/>
        <v>2515941</v>
      </c>
      <c r="AQ157" s="498">
        <f t="shared" si="364"/>
        <v>0</v>
      </c>
      <c r="AR157" s="498">
        <f t="shared" si="365"/>
        <v>850388</v>
      </c>
      <c r="AS157" s="498">
        <f t="shared" si="365"/>
        <v>50319</v>
      </c>
      <c r="AT157" s="498">
        <f t="shared" si="366"/>
        <v>64980</v>
      </c>
      <c r="AU157" s="499">
        <f t="shared" si="367"/>
        <v>5.5278</v>
      </c>
      <c r="AV157" s="499">
        <f t="shared" si="368"/>
        <v>3.2090000000000001</v>
      </c>
      <c r="AW157" s="500">
        <f t="shared" si="368"/>
        <v>2.3188</v>
      </c>
    </row>
    <row r="158" spans="1:49" s="569" customFormat="1" ht="12.75" customHeight="1" x14ac:dyDescent="0.2">
      <c r="A158" s="531">
        <v>29</v>
      </c>
      <c r="B158" s="532">
        <v>4445</v>
      </c>
      <c r="C158" s="532">
        <v>600075044</v>
      </c>
      <c r="D158" s="532">
        <v>72742631</v>
      </c>
      <c r="E158" s="530" t="s">
        <v>205</v>
      </c>
      <c r="F158" s="532">
        <v>3117</v>
      </c>
      <c r="G158" s="533" t="s">
        <v>318</v>
      </c>
      <c r="H158" s="534" t="s">
        <v>284</v>
      </c>
      <c r="I158" s="575">
        <f>SUM(J158:M158)</f>
        <v>0</v>
      </c>
      <c r="J158" s="496">
        <v>0</v>
      </c>
      <c r="K158" s="131">
        <f t="shared" si="357"/>
        <v>0</v>
      </c>
      <c r="L158" s="131">
        <f t="shared" si="358"/>
        <v>0</v>
      </c>
      <c r="M158" s="496">
        <v>0</v>
      </c>
      <c r="N158" s="576">
        <f t="shared" si="359"/>
        <v>0</v>
      </c>
      <c r="O158" s="577">
        <v>0</v>
      </c>
      <c r="P158" s="607">
        <v>0</v>
      </c>
      <c r="Q158" s="579">
        <f t="shared" si="360"/>
        <v>0</v>
      </c>
      <c r="R158" s="496">
        <v>812265</v>
      </c>
      <c r="S158" s="498">
        <v>0</v>
      </c>
      <c r="T158" s="498">
        <v>0</v>
      </c>
      <c r="U158" s="498">
        <f t="shared" si="318"/>
        <v>812265</v>
      </c>
      <c r="V158" s="498">
        <v>0</v>
      </c>
      <c r="W158" s="498">
        <v>0</v>
      </c>
      <c r="X158" s="498">
        <v>0</v>
      </c>
      <c r="Y158" s="498">
        <f t="shared" si="319"/>
        <v>0</v>
      </c>
      <c r="Z158" s="498">
        <f t="shared" si="320"/>
        <v>812265</v>
      </c>
      <c r="AA158" s="131">
        <f t="shared" si="361"/>
        <v>274546</v>
      </c>
      <c r="AB158" s="131">
        <f t="shared" si="321"/>
        <v>16245</v>
      </c>
      <c r="AC158" s="498">
        <v>0</v>
      </c>
      <c r="AD158" s="498">
        <v>0</v>
      </c>
      <c r="AE158" s="498">
        <f t="shared" si="322"/>
        <v>0</v>
      </c>
      <c r="AF158" s="498">
        <f t="shared" si="323"/>
        <v>1103056</v>
      </c>
      <c r="AG158" s="499">
        <v>0</v>
      </c>
      <c r="AH158" s="499">
        <v>0</v>
      </c>
      <c r="AI158" s="499">
        <v>2.33</v>
      </c>
      <c r="AJ158" s="499">
        <v>0</v>
      </c>
      <c r="AK158" s="499">
        <v>0</v>
      </c>
      <c r="AL158" s="499">
        <f t="shared" si="324"/>
        <v>2.33</v>
      </c>
      <c r="AM158" s="499">
        <f t="shared" si="325"/>
        <v>0</v>
      </c>
      <c r="AN158" s="500">
        <f t="shared" si="326"/>
        <v>2.33</v>
      </c>
      <c r="AO158" s="497">
        <f t="shared" si="362"/>
        <v>1103056</v>
      </c>
      <c r="AP158" s="498">
        <f t="shared" si="363"/>
        <v>812265</v>
      </c>
      <c r="AQ158" s="498">
        <f t="shared" si="364"/>
        <v>0</v>
      </c>
      <c r="AR158" s="498">
        <f t="shared" si="365"/>
        <v>274546</v>
      </c>
      <c r="AS158" s="498">
        <f t="shared" si="365"/>
        <v>16245</v>
      </c>
      <c r="AT158" s="498">
        <f t="shared" si="366"/>
        <v>0</v>
      </c>
      <c r="AU158" s="499">
        <f t="shared" si="367"/>
        <v>2.33</v>
      </c>
      <c r="AV158" s="499">
        <f t="shared" si="368"/>
        <v>2.33</v>
      </c>
      <c r="AW158" s="500">
        <f t="shared" si="368"/>
        <v>0</v>
      </c>
    </row>
    <row r="159" spans="1:49" s="569" customFormat="1" ht="12.75" customHeight="1" x14ac:dyDescent="0.2">
      <c r="A159" s="531">
        <v>29</v>
      </c>
      <c r="B159" s="532">
        <v>4445</v>
      </c>
      <c r="C159" s="532">
        <v>600075044</v>
      </c>
      <c r="D159" s="532">
        <v>72742631</v>
      </c>
      <c r="E159" s="530" t="s">
        <v>205</v>
      </c>
      <c r="F159" s="532">
        <v>3141</v>
      </c>
      <c r="G159" s="533" t="s">
        <v>321</v>
      </c>
      <c r="H159" s="534" t="s">
        <v>284</v>
      </c>
      <c r="I159" s="575">
        <f>SUM(J159:M159)</f>
        <v>836688</v>
      </c>
      <c r="J159" s="496">
        <v>613256</v>
      </c>
      <c r="K159" s="131">
        <f>ROUND((J159)*33.8%,0)</f>
        <v>207281</v>
      </c>
      <c r="L159" s="131">
        <f>ROUND(J159*2%,0)</f>
        <v>12265</v>
      </c>
      <c r="M159" s="496">
        <v>3886</v>
      </c>
      <c r="N159" s="576">
        <f t="shared" si="359"/>
        <v>2.09</v>
      </c>
      <c r="O159" s="577">
        <v>0</v>
      </c>
      <c r="P159" s="607">
        <v>2.09</v>
      </c>
      <c r="Q159" s="579">
        <f t="shared" si="360"/>
        <v>0</v>
      </c>
      <c r="R159" s="498">
        <v>0</v>
      </c>
      <c r="S159" s="498">
        <v>0</v>
      </c>
      <c r="T159" s="498">
        <v>0</v>
      </c>
      <c r="U159" s="498">
        <f t="shared" si="318"/>
        <v>0</v>
      </c>
      <c r="V159" s="498">
        <v>0</v>
      </c>
      <c r="W159" s="498">
        <v>0</v>
      </c>
      <c r="X159" s="498">
        <v>0</v>
      </c>
      <c r="Y159" s="498">
        <f t="shared" si="319"/>
        <v>0</v>
      </c>
      <c r="Z159" s="498">
        <f t="shared" si="320"/>
        <v>0</v>
      </c>
      <c r="AA159" s="131">
        <f t="shared" si="361"/>
        <v>0</v>
      </c>
      <c r="AB159" s="131">
        <f t="shared" si="321"/>
        <v>0</v>
      </c>
      <c r="AC159" s="498">
        <v>0</v>
      </c>
      <c r="AD159" s="498">
        <v>0</v>
      </c>
      <c r="AE159" s="498">
        <f t="shared" si="322"/>
        <v>0</v>
      </c>
      <c r="AF159" s="498">
        <f t="shared" si="323"/>
        <v>0</v>
      </c>
      <c r="AG159" s="499">
        <v>0</v>
      </c>
      <c r="AH159" s="499">
        <v>0</v>
      </c>
      <c r="AI159" s="499">
        <v>0</v>
      </c>
      <c r="AJ159" s="499">
        <v>0</v>
      </c>
      <c r="AK159" s="499">
        <v>0</v>
      </c>
      <c r="AL159" s="499">
        <f t="shared" si="324"/>
        <v>0</v>
      </c>
      <c r="AM159" s="499">
        <f t="shared" si="325"/>
        <v>0</v>
      </c>
      <c r="AN159" s="500">
        <f t="shared" si="326"/>
        <v>0</v>
      </c>
      <c r="AO159" s="497">
        <f t="shared" si="362"/>
        <v>836688</v>
      </c>
      <c r="AP159" s="498">
        <f t="shared" si="363"/>
        <v>613256</v>
      </c>
      <c r="AQ159" s="498">
        <f t="shared" si="364"/>
        <v>0</v>
      </c>
      <c r="AR159" s="498">
        <f t="shared" si="365"/>
        <v>207281</v>
      </c>
      <c r="AS159" s="498">
        <f t="shared" si="365"/>
        <v>12265</v>
      </c>
      <c r="AT159" s="498">
        <f t="shared" si="366"/>
        <v>3886</v>
      </c>
      <c r="AU159" s="499">
        <f t="shared" si="367"/>
        <v>2.09</v>
      </c>
      <c r="AV159" s="499">
        <f t="shared" si="368"/>
        <v>0</v>
      </c>
      <c r="AW159" s="500">
        <f t="shared" si="368"/>
        <v>2.09</v>
      </c>
    </row>
    <row r="160" spans="1:49" s="569" customFormat="1" ht="12.75" customHeight="1" x14ac:dyDescent="0.2">
      <c r="A160" s="531">
        <v>29</v>
      </c>
      <c r="B160" s="532">
        <v>4445</v>
      </c>
      <c r="C160" s="532">
        <v>600075044</v>
      </c>
      <c r="D160" s="532">
        <v>72742631</v>
      </c>
      <c r="E160" s="524" t="s">
        <v>205</v>
      </c>
      <c r="F160" s="532">
        <v>3143</v>
      </c>
      <c r="G160" s="533" t="s">
        <v>635</v>
      </c>
      <c r="H160" s="574" t="s">
        <v>283</v>
      </c>
      <c r="I160" s="575">
        <f t="shared" ref="I160" si="369">SUM(J160:M160)</f>
        <v>693933</v>
      </c>
      <c r="J160" s="496">
        <v>510996</v>
      </c>
      <c r="K160" s="131">
        <f t="shared" ref="K160:K161" si="370">ROUND((J160)*33.8%,0)</f>
        <v>172717</v>
      </c>
      <c r="L160" s="131">
        <f t="shared" ref="L160:L161" si="371">ROUND(J160*2%,0)</f>
        <v>10220</v>
      </c>
      <c r="M160" s="496"/>
      <c r="N160" s="576">
        <f t="shared" si="359"/>
        <v>1.2951999999999999</v>
      </c>
      <c r="O160" s="577">
        <v>1.2951999999999999</v>
      </c>
      <c r="P160" s="607">
        <v>0</v>
      </c>
      <c r="Q160" s="579">
        <f t="shared" si="360"/>
        <v>0</v>
      </c>
      <c r="R160" s="498">
        <v>0</v>
      </c>
      <c r="S160" s="498">
        <v>0</v>
      </c>
      <c r="T160" s="498">
        <v>0</v>
      </c>
      <c r="U160" s="498">
        <f t="shared" si="318"/>
        <v>0</v>
      </c>
      <c r="V160" s="498">
        <v>0</v>
      </c>
      <c r="W160" s="498">
        <v>0</v>
      </c>
      <c r="X160" s="498">
        <v>0</v>
      </c>
      <c r="Y160" s="498">
        <f t="shared" si="319"/>
        <v>0</v>
      </c>
      <c r="Z160" s="498">
        <f t="shared" si="320"/>
        <v>0</v>
      </c>
      <c r="AA160" s="131">
        <f t="shared" si="361"/>
        <v>0</v>
      </c>
      <c r="AB160" s="131">
        <f t="shared" si="321"/>
        <v>0</v>
      </c>
      <c r="AC160" s="498">
        <v>0</v>
      </c>
      <c r="AD160" s="498">
        <v>0</v>
      </c>
      <c r="AE160" s="498">
        <f t="shared" si="322"/>
        <v>0</v>
      </c>
      <c r="AF160" s="498">
        <f t="shared" si="323"/>
        <v>0</v>
      </c>
      <c r="AG160" s="499">
        <v>0</v>
      </c>
      <c r="AH160" s="499">
        <v>0</v>
      </c>
      <c r="AI160" s="499">
        <v>0</v>
      </c>
      <c r="AJ160" s="499">
        <v>0</v>
      </c>
      <c r="AK160" s="499">
        <v>0</v>
      </c>
      <c r="AL160" s="499">
        <f t="shared" si="324"/>
        <v>0</v>
      </c>
      <c r="AM160" s="499">
        <f t="shared" si="325"/>
        <v>0</v>
      </c>
      <c r="AN160" s="500">
        <f t="shared" si="326"/>
        <v>0</v>
      </c>
      <c r="AO160" s="497">
        <f t="shared" si="362"/>
        <v>693933</v>
      </c>
      <c r="AP160" s="498">
        <f t="shared" si="363"/>
        <v>510996</v>
      </c>
      <c r="AQ160" s="498">
        <f t="shared" si="364"/>
        <v>0</v>
      </c>
      <c r="AR160" s="498">
        <f t="shared" si="365"/>
        <v>172717</v>
      </c>
      <c r="AS160" s="498">
        <f t="shared" si="365"/>
        <v>10220</v>
      </c>
      <c r="AT160" s="498">
        <f t="shared" si="366"/>
        <v>0</v>
      </c>
      <c r="AU160" s="499">
        <f t="shared" si="367"/>
        <v>1.2951999999999999</v>
      </c>
      <c r="AV160" s="499">
        <f t="shared" si="368"/>
        <v>1.2951999999999999</v>
      </c>
      <c r="AW160" s="500">
        <f t="shared" si="368"/>
        <v>0</v>
      </c>
    </row>
    <row r="161" spans="1:49" s="569" customFormat="1" ht="12.75" customHeight="1" x14ac:dyDescent="0.2">
      <c r="A161" s="531">
        <v>29</v>
      </c>
      <c r="B161" s="532">
        <v>4445</v>
      </c>
      <c r="C161" s="532">
        <v>600075044</v>
      </c>
      <c r="D161" s="532">
        <v>72742631</v>
      </c>
      <c r="E161" s="524" t="s">
        <v>205</v>
      </c>
      <c r="F161" s="532">
        <v>3143</v>
      </c>
      <c r="G161" s="533" t="s">
        <v>636</v>
      </c>
      <c r="H161" s="574" t="s">
        <v>284</v>
      </c>
      <c r="I161" s="575">
        <f>SUM(J161:M161)</f>
        <v>25981</v>
      </c>
      <c r="J161" s="496">
        <v>18315</v>
      </c>
      <c r="K161" s="131">
        <f t="shared" si="370"/>
        <v>6190</v>
      </c>
      <c r="L161" s="131">
        <f t="shared" si="371"/>
        <v>366</v>
      </c>
      <c r="M161" s="496">
        <v>1110</v>
      </c>
      <c r="N161" s="576">
        <f t="shared" si="359"/>
        <v>0.08</v>
      </c>
      <c r="O161" s="577">
        <v>0</v>
      </c>
      <c r="P161" s="607">
        <v>0.08</v>
      </c>
      <c r="Q161" s="579">
        <f t="shared" si="360"/>
        <v>0</v>
      </c>
      <c r="R161" s="498">
        <v>0</v>
      </c>
      <c r="S161" s="498">
        <v>0</v>
      </c>
      <c r="T161" s="498">
        <v>0</v>
      </c>
      <c r="U161" s="498">
        <f t="shared" si="318"/>
        <v>0</v>
      </c>
      <c r="V161" s="498">
        <v>0</v>
      </c>
      <c r="W161" s="498">
        <v>0</v>
      </c>
      <c r="X161" s="498">
        <v>0</v>
      </c>
      <c r="Y161" s="498">
        <f t="shared" si="319"/>
        <v>0</v>
      </c>
      <c r="Z161" s="498">
        <f t="shared" si="320"/>
        <v>0</v>
      </c>
      <c r="AA161" s="131">
        <f t="shared" si="361"/>
        <v>0</v>
      </c>
      <c r="AB161" s="131">
        <f t="shared" si="321"/>
        <v>0</v>
      </c>
      <c r="AC161" s="498">
        <v>0</v>
      </c>
      <c r="AD161" s="498">
        <v>0</v>
      </c>
      <c r="AE161" s="498">
        <f t="shared" si="322"/>
        <v>0</v>
      </c>
      <c r="AF161" s="498">
        <f t="shared" si="323"/>
        <v>0</v>
      </c>
      <c r="AG161" s="499">
        <v>0</v>
      </c>
      <c r="AH161" s="499">
        <v>0</v>
      </c>
      <c r="AI161" s="499">
        <v>0</v>
      </c>
      <c r="AJ161" s="499">
        <v>0</v>
      </c>
      <c r="AK161" s="499">
        <v>0</v>
      </c>
      <c r="AL161" s="499">
        <f t="shared" si="324"/>
        <v>0</v>
      </c>
      <c r="AM161" s="499">
        <f t="shared" si="325"/>
        <v>0</v>
      </c>
      <c r="AN161" s="500">
        <f t="shared" si="326"/>
        <v>0</v>
      </c>
      <c r="AO161" s="497">
        <f t="shared" si="362"/>
        <v>25981</v>
      </c>
      <c r="AP161" s="498">
        <f t="shared" si="363"/>
        <v>18315</v>
      </c>
      <c r="AQ161" s="498">
        <f t="shared" si="364"/>
        <v>0</v>
      </c>
      <c r="AR161" s="498">
        <f t="shared" si="365"/>
        <v>6190</v>
      </c>
      <c r="AS161" s="498">
        <f t="shared" si="365"/>
        <v>366</v>
      </c>
      <c r="AT161" s="498">
        <f t="shared" si="366"/>
        <v>1110</v>
      </c>
      <c r="AU161" s="499">
        <f t="shared" si="367"/>
        <v>0.08</v>
      </c>
      <c r="AV161" s="499">
        <f t="shared" si="368"/>
        <v>0</v>
      </c>
      <c r="AW161" s="500">
        <f t="shared" si="368"/>
        <v>0.08</v>
      </c>
    </row>
    <row r="162" spans="1:49" s="569" customFormat="1" ht="12.75" customHeight="1" x14ac:dyDescent="0.2">
      <c r="A162" s="302">
        <v>29</v>
      </c>
      <c r="B162" s="32">
        <v>4445</v>
      </c>
      <c r="C162" s="32">
        <v>600075044</v>
      </c>
      <c r="D162" s="32">
        <v>72742631</v>
      </c>
      <c r="E162" s="311" t="s">
        <v>206</v>
      </c>
      <c r="F162" s="32"/>
      <c r="G162" s="301"/>
      <c r="H162" s="454"/>
      <c r="I162" s="5">
        <f t="shared" ref="I162:AW162" si="372">SUM(I156:I161)</f>
        <v>7154146</v>
      </c>
      <c r="J162" s="8">
        <f t="shared" si="372"/>
        <v>5206679</v>
      </c>
      <c r="K162" s="8">
        <f t="shared" si="372"/>
        <v>1759858</v>
      </c>
      <c r="L162" s="8">
        <f t="shared" si="372"/>
        <v>104133</v>
      </c>
      <c r="M162" s="8">
        <f t="shared" si="372"/>
        <v>83476</v>
      </c>
      <c r="N162" s="9">
        <f t="shared" si="372"/>
        <v>12.9148</v>
      </c>
      <c r="O162" s="9">
        <f t="shared" si="372"/>
        <v>7.5041999999999991</v>
      </c>
      <c r="P162" s="39">
        <f t="shared" si="372"/>
        <v>5.4105999999999996</v>
      </c>
      <c r="Q162" s="5">
        <f t="shared" si="372"/>
        <v>0</v>
      </c>
      <c r="R162" s="8">
        <f t="shared" si="372"/>
        <v>812265</v>
      </c>
      <c r="S162" s="8">
        <f t="shared" si="372"/>
        <v>0</v>
      </c>
      <c r="T162" s="8">
        <f t="shared" si="372"/>
        <v>288385</v>
      </c>
      <c r="U162" s="8">
        <f t="shared" si="372"/>
        <v>1100650</v>
      </c>
      <c r="V162" s="8">
        <f t="shared" si="372"/>
        <v>0</v>
      </c>
      <c r="W162" s="8">
        <f t="shared" si="372"/>
        <v>0</v>
      </c>
      <c r="X162" s="8">
        <f t="shared" si="372"/>
        <v>0</v>
      </c>
      <c r="Y162" s="8">
        <f t="shared" si="372"/>
        <v>0</v>
      </c>
      <c r="Z162" s="8">
        <f t="shared" si="372"/>
        <v>1100650</v>
      </c>
      <c r="AA162" s="8">
        <f t="shared" si="372"/>
        <v>372020</v>
      </c>
      <c r="AB162" s="8">
        <f t="shared" si="372"/>
        <v>22013</v>
      </c>
      <c r="AC162" s="8">
        <f t="shared" si="372"/>
        <v>0</v>
      </c>
      <c r="AD162" s="8">
        <f t="shared" si="372"/>
        <v>0</v>
      </c>
      <c r="AE162" s="8">
        <f t="shared" si="372"/>
        <v>0</v>
      </c>
      <c r="AF162" s="8">
        <f t="shared" si="372"/>
        <v>1494683</v>
      </c>
      <c r="AG162" s="9">
        <f t="shared" si="372"/>
        <v>0</v>
      </c>
      <c r="AH162" s="9">
        <f t="shared" si="372"/>
        <v>0</v>
      </c>
      <c r="AI162" s="9">
        <f t="shared" si="372"/>
        <v>2.33</v>
      </c>
      <c r="AJ162" s="9">
        <f t="shared" si="372"/>
        <v>0.65</v>
      </c>
      <c r="AK162" s="9">
        <f t="shared" si="372"/>
        <v>0</v>
      </c>
      <c r="AL162" s="9">
        <f t="shared" si="372"/>
        <v>2.98</v>
      </c>
      <c r="AM162" s="9">
        <f t="shared" si="372"/>
        <v>0</v>
      </c>
      <c r="AN162" s="92">
        <f t="shared" si="372"/>
        <v>2.98</v>
      </c>
      <c r="AO162" s="295">
        <f t="shared" si="372"/>
        <v>8648829</v>
      </c>
      <c r="AP162" s="8">
        <f t="shared" si="372"/>
        <v>6307329</v>
      </c>
      <c r="AQ162" s="8">
        <f t="shared" si="372"/>
        <v>0</v>
      </c>
      <c r="AR162" s="8">
        <f t="shared" si="372"/>
        <v>2131878</v>
      </c>
      <c r="AS162" s="8">
        <f t="shared" si="372"/>
        <v>126146</v>
      </c>
      <c r="AT162" s="8">
        <f t="shared" si="372"/>
        <v>83476</v>
      </c>
      <c r="AU162" s="9">
        <f t="shared" si="372"/>
        <v>15.8948</v>
      </c>
      <c r="AV162" s="9">
        <f t="shared" si="372"/>
        <v>10.4842</v>
      </c>
      <c r="AW162" s="92">
        <f t="shared" si="372"/>
        <v>5.4105999999999996</v>
      </c>
    </row>
    <row r="163" spans="1:49" s="569" customFormat="1" ht="12.75" customHeight="1" x14ac:dyDescent="0.2">
      <c r="A163" s="531">
        <v>30</v>
      </c>
      <c r="B163" s="532">
        <v>4446</v>
      </c>
      <c r="C163" s="532">
        <v>600074587</v>
      </c>
      <c r="D163" s="532">
        <v>70695504</v>
      </c>
      <c r="E163" s="530" t="s">
        <v>207</v>
      </c>
      <c r="F163" s="532">
        <v>3111</v>
      </c>
      <c r="G163" s="533" t="s">
        <v>317</v>
      </c>
      <c r="H163" s="534" t="s">
        <v>283</v>
      </c>
      <c r="I163" s="575">
        <f t="shared" ref="I163:I167" si="373">SUM(J163:M163)</f>
        <v>1689172</v>
      </c>
      <c r="J163" s="496">
        <v>1235583</v>
      </c>
      <c r="K163" s="131">
        <f t="shared" ref="K163:K165" si="374">ROUND((J163)*33.8%,0)</f>
        <v>417627</v>
      </c>
      <c r="L163" s="131">
        <f t="shared" ref="L163:L165" si="375">ROUND(J163*2%,0)</f>
        <v>24712</v>
      </c>
      <c r="M163" s="496">
        <v>11250</v>
      </c>
      <c r="N163" s="576">
        <f t="shared" ref="N163:N168" si="376">SUM(O163:P163)</f>
        <v>2.6997</v>
      </c>
      <c r="O163" s="577">
        <v>2.1888000000000001</v>
      </c>
      <c r="P163" s="607">
        <v>0.51090000000000002</v>
      </c>
      <c r="Q163" s="579">
        <f t="shared" ref="Q163:Q168" si="377">V163*-1</f>
        <v>0</v>
      </c>
      <c r="R163" s="498">
        <v>0</v>
      </c>
      <c r="S163" s="498">
        <v>0</v>
      </c>
      <c r="T163" s="498">
        <v>0</v>
      </c>
      <c r="U163" s="498">
        <f t="shared" si="318"/>
        <v>0</v>
      </c>
      <c r="V163" s="498">
        <v>0</v>
      </c>
      <c r="W163" s="498">
        <v>0</v>
      </c>
      <c r="X163" s="498">
        <v>0</v>
      </c>
      <c r="Y163" s="498">
        <f t="shared" si="319"/>
        <v>0</v>
      </c>
      <c r="Z163" s="498">
        <f t="shared" si="320"/>
        <v>0</v>
      </c>
      <c r="AA163" s="131">
        <f t="shared" ref="AA163:AA168" si="378">ROUND((U163+V163+W163)*33.8%,0)</f>
        <v>0</v>
      </c>
      <c r="AB163" s="131">
        <f t="shared" si="321"/>
        <v>0</v>
      </c>
      <c r="AC163" s="498">
        <v>0</v>
      </c>
      <c r="AD163" s="498">
        <v>0</v>
      </c>
      <c r="AE163" s="498">
        <f t="shared" si="322"/>
        <v>0</v>
      </c>
      <c r="AF163" s="498">
        <f t="shared" si="323"/>
        <v>0</v>
      </c>
      <c r="AG163" s="499">
        <v>0</v>
      </c>
      <c r="AH163" s="499">
        <v>0</v>
      </c>
      <c r="AI163" s="499">
        <v>0</v>
      </c>
      <c r="AJ163" s="499">
        <v>0</v>
      </c>
      <c r="AK163" s="499">
        <v>0</v>
      </c>
      <c r="AL163" s="499">
        <f t="shared" si="324"/>
        <v>0</v>
      </c>
      <c r="AM163" s="499">
        <f t="shared" si="325"/>
        <v>0</v>
      </c>
      <c r="AN163" s="500">
        <f t="shared" si="326"/>
        <v>0</v>
      </c>
      <c r="AO163" s="497">
        <f t="shared" ref="AO163:AO168" si="379">I163+AF163</f>
        <v>1689172</v>
      </c>
      <c r="AP163" s="498">
        <f t="shared" ref="AP163:AP168" si="380">J163+U163</f>
        <v>1235583</v>
      </c>
      <c r="AQ163" s="498">
        <f t="shared" ref="AQ163:AQ168" si="381">Y163</f>
        <v>0</v>
      </c>
      <c r="AR163" s="498">
        <f t="shared" ref="AR163:AS168" si="382">K163+AA163</f>
        <v>417627</v>
      </c>
      <c r="AS163" s="498">
        <f t="shared" si="382"/>
        <v>24712</v>
      </c>
      <c r="AT163" s="498">
        <f t="shared" ref="AT163:AT168" si="383">M163+AE163</f>
        <v>11250</v>
      </c>
      <c r="AU163" s="499">
        <f t="shared" ref="AU163:AU168" si="384">N163+AN163</f>
        <v>2.6997</v>
      </c>
      <c r="AV163" s="499">
        <f t="shared" ref="AV163:AW168" si="385">O163+AL163</f>
        <v>2.1888000000000001</v>
      </c>
      <c r="AW163" s="500">
        <f t="shared" si="385"/>
        <v>0.51090000000000002</v>
      </c>
    </row>
    <row r="164" spans="1:49" s="569" customFormat="1" ht="12.75" customHeight="1" x14ac:dyDescent="0.2">
      <c r="A164" s="531">
        <v>30</v>
      </c>
      <c r="B164" s="532">
        <v>4446</v>
      </c>
      <c r="C164" s="532">
        <v>600074587</v>
      </c>
      <c r="D164" s="532">
        <v>70695504</v>
      </c>
      <c r="E164" s="530" t="s">
        <v>207</v>
      </c>
      <c r="F164" s="532">
        <v>3117</v>
      </c>
      <c r="G164" s="533" t="s">
        <v>320</v>
      </c>
      <c r="H164" s="534" t="s">
        <v>283</v>
      </c>
      <c r="I164" s="575">
        <f t="shared" si="373"/>
        <v>2744068</v>
      </c>
      <c r="J164" s="496">
        <v>1984152</v>
      </c>
      <c r="K164" s="131">
        <f t="shared" si="374"/>
        <v>670643</v>
      </c>
      <c r="L164" s="131">
        <f t="shared" si="375"/>
        <v>39683</v>
      </c>
      <c r="M164" s="496">
        <v>49590</v>
      </c>
      <c r="N164" s="576">
        <f t="shared" si="376"/>
        <v>4.0184999999999995</v>
      </c>
      <c r="O164" s="577">
        <v>2.8180999999999998</v>
      </c>
      <c r="P164" s="607">
        <v>1.2004000000000001</v>
      </c>
      <c r="Q164" s="579">
        <f t="shared" si="377"/>
        <v>0</v>
      </c>
      <c r="R164" s="498">
        <v>0</v>
      </c>
      <c r="S164" s="498">
        <v>0</v>
      </c>
      <c r="T164" s="498">
        <v>0</v>
      </c>
      <c r="U164" s="498">
        <f t="shared" si="318"/>
        <v>0</v>
      </c>
      <c r="V164" s="498">
        <v>0</v>
      </c>
      <c r="W164" s="498">
        <v>0</v>
      </c>
      <c r="X164" s="498">
        <v>0</v>
      </c>
      <c r="Y164" s="498">
        <f t="shared" si="319"/>
        <v>0</v>
      </c>
      <c r="Z164" s="498">
        <f t="shared" si="320"/>
        <v>0</v>
      </c>
      <c r="AA164" s="131">
        <f t="shared" si="378"/>
        <v>0</v>
      </c>
      <c r="AB164" s="131">
        <f t="shared" si="321"/>
        <v>0</v>
      </c>
      <c r="AC164" s="498">
        <v>0</v>
      </c>
      <c r="AD164" s="498">
        <v>0</v>
      </c>
      <c r="AE164" s="498">
        <f t="shared" si="322"/>
        <v>0</v>
      </c>
      <c r="AF164" s="498">
        <f t="shared" si="323"/>
        <v>0</v>
      </c>
      <c r="AG164" s="499">
        <v>0</v>
      </c>
      <c r="AH164" s="499">
        <v>0</v>
      </c>
      <c r="AI164" s="499">
        <v>0</v>
      </c>
      <c r="AJ164" s="499">
        <v>0</v>
      </c>
      <c r="AK164" s="499">
        <v>0</v>
      </c>
      <c r="AL164" s="499">
        <f t="shared" si="324"/>
        <v>0</v>
      </c>
      <c r="AM164" s="499">
        <f t="shared" si="325"/>
        <v>0</v>
      </c>
      <c r="AN164" s="500">
        <f t="shared" si="326"/>
        <v>0</v>
      </c>
      <c r="AO164" s="497">
        <f t="shared" si="379"/>
        <v>2744068</v>
      </c>
      <c r="AP164" s="498">
        <f t="shared" si="380"/>
        <v>1984152</v>
      </c>
      <c r="AQ164" s="498">
        <f t="shared" si="381"/>
        <v>0</v>
      </c>
      <c r="AR164" s="498">
        <f t="shared" si="382"/>
        <v>670643</v>
      </c>
      <c r="AS164" s="498">
        <f t="shared" si="382"/>
        <v>39683</v>
      </c>
      <c r="AT164" s="498">
        <f t="shared" si="383"/>
        <v>49590</v>
      </c>
      <c r="AU164" s="499">
        <f t="shared" si="384"/>
        <v>4.0184999999999995</v>
      </c>
      <c r="AV164" s="499">
        <f t="shared" si="385"/>
        <v>2.8180999999999998</v>
      </c>
      <c r="AW164" s="500">
        <f t="shared" si="385"/>
        <v>1.2004000000000001</v>
      </c>
    </row>
    <row r="165" spans="1:49" s="569" customFormat="1" ht="12.75" customHeight="1" x14ac:dyDescent="0.2">
      <c r="A165" s="531">
        <v>30</v>
      </c>
      <c r="B165" s="532">
        <v>4446</v>
      </c>
      <c r="C165" s="532">
        <v>600074587</v>
      </c>
      <c r="D165" s="532">
        <v>70695504</v>
      </c>
      <c r="E165" s="530" t="s">
        <v>207</v>
      </c>
      <c r="F165" s="532">
        <v>3117</v>
      </c>
      <c r="G165" s="533" t="s">
        <v>318</v>
      </c>
      <c r="H165" s="534" t="s">
        <v>284</v>
      </c>
      <c r="I165" s="575">
        <f t="shared" si="373"/>
        <v>0</v>
      </c>
      <c r="J165" s="496">
        <v>0</v>
      </c>
      <c r="K165" s="131">
        <f t="shared" si="374"/>
        <v>0</v>
      </c>
      <c r="L165" s="131">
        <f t="shared" si="375"/>
        <v>0</v>
      </c>
      <c r="M165" s="496">
        <v>0</v>
      </c>
      <c r="N165" s="576">
        <f t="shared" si="376"/>
        <v>0</v>
      </c>
      <c r="O165" s="577">
        <v>0</v>
      </c>
      <c r="P165" s="607">
        <v>0</v>
      </c>
      <c r="Q165" s="579">
        <f t="shared" si="377"/>
        <v>0</v>
      </c>
      <c r="R165" s="496">
        <v>519665</v>
      </c>
      <c r="S165" s="498">
        <v>0</v>
      </c>
      <c r="T165" s="498">
        <v>0</v>
      </c>
      <c r="U165" s="498">
        <f t="shared" si="318"/>
        <v>519665</v>
      </c>
      <c r="V165" s="498">
        <v>0</v>
      </c>
      <c r="W165" s="498">
        <v>0</v>
      </c>
      <c r="X165" s="498">
        <v>0</v>
      </c>
      <c r="Y165" s="498">
        <f t="shared" si="319"/>
        <v>0</v>
      </c>
      <c r="Z165" s="498">
        <f t="shared" si="320"/>
        <v>519665</v>
      </c>
      <c r="AA165" s="131">
        <f t="shared" si="378"/>
        <v>175647</v>
      </c>
      <c r="AB165" s="131">
        <f t="shared" si="321"/>
        <v>10393</v>
      </c>
      <c r="AC165" s="498">
        <v>0</v>
      </c>
      <c r="AD165" s="498">
        <v>0</v>
      </c>
      <c r="AE165" s="498">
        <f t="shared" si="322"/>
        <v>0</v>
      </c>
      <c r="AF165" s="498">
        <f t="shared" si="323"/>
        <v>705705</v>
      </c>
      <c r="AG165" s="499">
        <v>0</v>
      </c>
      <c r="AH165" s="499">
        <v>0</v>
      </c>
      <c r="AI165" s="499">
        <v>1.5</v>
      </c>
      <c r="AJ165" s="499">
        <v>0</v>
      </c>
      <c r="AK165" s="499">
        <v>0</v>
      </c>
      <c r="AL165" s="499">
        <f t="shared" si="324"/>
        <v>1.5</v>
      </c>
      <c r="AM165" s="499">
        <f t="shared" si="325"/>
        <v>0</v>
      </c>
      <c r="AN165" s="500">
        <f t="shared" si="326"/>
        <v>1.5</v>
      </c>
      <c r="AO165" s="497">
        <f t="shared" si="379"/>
        <v>705705</v>
      </c>
      <c r="AP165" s="498">
        <f t="shared" si="380"/>
        <v>519665</v>
      </c>
      <c r="AQ165" s="498">
        <f t="shared" si="381"/>
        <v>0</v>
      </c>
      <c r="AR165" s="498">
        <f t="shared" si="382"/>
        <v>175647</v>
      </c>
      <c r="AS165" s="498">
        <f t="shared" si="382"/>
        <v>10393</v>
      </c>
      <c r="AT165" s="498">
        <f t="shared" si="383"/>
        <v>0</v>
      </c>
      <c r="AU165" s="499">
        <f t="shared" si="384"/>
        <v>1.5</v>
      </c>
      <c r="AV165" s="499">
        <f t="shared" si="385"/>
        <v>1.5</v>
      </c>
      <c r="AW165" s="500">
        <f t="shared" si="385"/>
        <v>0</v>
      </c>
    </row>
    <row r="166" spans="1:49" s="569" customFormat="1" ht="12.75" customHeight="1" x14ac:dyDescent="0.2">
      <c r="A166" s="531">
        <v>30</v>
      </c>
      <c r="B166" s="532">
        <v>4446</v>
      </c>
      <c r="C166" s="532">
        <v>600074587</v>
      </c>
      <c r="D166" s="532">
        <v>70695504</v>
      </c>
      <c r="E166" s="530" t="s">
        <v>207</v>
      </c>
      <c r="F166" s="532">
        <v>3141</v>
      </c>
      <c r="G166" s="533" t="s">
        <v>321</v>
      </c>
      <c r="H166" s="534" t="s">
        <v>284</v>
      </c>
      <c r="I166" s="575">
        <f t="shared" si="373"/>
        <v>281110</v>
      </c>
      <c r="J166" s="496">
        <v>205520</v>
      </c>
      <c r="K166" s="131">
        <f>ROUND((J166)*33.8%,0)</f>
        <v>69466</v>
      </c>
      <c r="L166" s="131">
        <f>ROUND(J166*2%,0)</f>
        <v>4110</v>
      </c>
      <c r="M166" s="496">
        <v>2014</v>
      </c>
      <c r="N166" s="576">
        <f t="shared" si="376"/>
        <v>0.7</v>
      </c>
      <c r="O166" s="577">
        <v>0</v>
      </c>
      <c r="P166" s="607">
        <v>0.7</v>
      </c>
      <c r="Q166" s="579">
        <f t="shared" si="377"/>
        <v>0</v>
      </c>
      <c r="R166" s="498">
        <v>0</v>
      </c>
      <c r="S166" s="498">
        <v>0</v>
      </c>
      <c r="T166" s="498">
        <v>0</v>
      </c>
      <c r="U166" s="498">
        <f t="shared" si="318"/>
        <v>0</v>
      </c>
      <c r="V166" s="498">
        <v>0</v>
      </c>
      <c r="W166" s="498">
        <v>0</v>
      </c>
      <c r="X166" s="498">
        <v>0</v>
      </c>
      <c r="Y166" s="498">
        <f t="shared" si="319"/>
        <v>0</v>
      </c>
      <c r="Z166" s="498">
        <f t="shared" si="320"/>
        <v>0</v>
      </c>
      <c r="AA166" s="131">
        <f t="shared" si="378"/>
        <v>0</v>
      </c>
      <c r="AB166" s="131">
        <f t="shared" si="321"/>
        <v>0</v>
      </c>
      <c r="AC166" s="498">
        <v>0</v>
      </c>
      <c r="AD166" s="498">
        <v>0</v>
      </c>
      <c r="AE166" s="498">
        <f t="shared" si="322"/>
        <v>0</v>
      </c>
      <c r="AF166" s="498">
        <f t="shared" si="323"/>
        <v>0</v>
      </c>
      <c r="AG166" s="499">
        <v>0</v>
      </c>
      <c r="AH166" s="499">
        <v>0</v>
      </c>
      <c r="AI166" s="499">
        <v>0</v>
      </c>
      <c r="AJ166" s="499">
        <v>0</v>
      </c>
      <c r="AK166" s="499">
        <v>0</v>
      </c>
      <c r="AL166" s="499">
        <f t="shared" si="324"/>
        <v>0</v>
      </c>
      <c r="AM166" s="499">
        <f t="shared" si="325"/>
        <v>0</v>
      </c>
      <c r="AN166" s="500">
        <f t="shared" si="326"/>
        <v>0</v>
      </c>
      <c r="AO166" s="497">
        <f t="shared" si="379"/>
        <v>281110</v>
      </c>
      <c r="AP166" s="498">
        <f t="shared" si="380"/>
        <v>205520</v>
      </c>
      <c r="AQ166" s="498">
        <f t="shared" si="381"/>
        <v>0</v>
      </c>
      <c r="AR166" s="498">
        <f t="shared" si="382"/>
        <v>69466</v>
      </c>
      <c r="AS166" s="498">
        <f t="shared" si="382"/>
        <v>4110</v>
      </c>
      <c r="AT166" s="498">
        <f t="shared" si="383"/>
        <v>2014</v>
      </c>
      <c r="AU166" s="499">
        <f t="shared" si="384"/>
        <v>0.7</v>
      </c>
      <c r="AV166" s="499">
        <f t="shared" si="385"/>
        <v>0</v>
      </c>
      <c r="AW166" s="500">
        <f t="shared" si="385"/>
        <v>0.7</v>
      </c>
    </row>
    <row r="167" spans="1:49" s="569" customFormat="1" ht="12.75" customHeight="1" x14ac:dyDescent="0.2">
      <c r="A167" s="531">
        <v>30</v>
      </c>
      <c r="B167" s="532">
        <v>4446</v>
      </c>
      <c r="C167" s="532">
        <v>600074587</v>
      </c>
      <c r="D167" s="532">
        <v>70695504</v>
      </c>
      <c r="E167" s="530" t="s">
        <v>207</v>
      </c>
      <c r="F167" s="532">
        <v>3143</v>
      </c>
      <c r="G167" s="533" t="s">
        <v>635</v>
      </c>
      <c r="H167" s="574" t="s">
        <v>283</v>
      </c>
      <c r="I167" s="575">
        <f t="shared" si="373"/>
        <v>562034</v>
      </c>
      <c r="J167" s="496">
        <v>413869</v>
      </c>
      <c r="K167" s="131">
        <f t="shared" ref="K167:K168" si="386">ROUND((J167)*33.8%,0)</f>
        <v>139888</v>
      </c>
      <c r="L167" s="131">
        <f t="shared" ref="L167:L168" si="387">ROUND(J167*2%,0)</f>
        <v>8277</v>
      </c>
      <c r="M167" s="496"/>
      <c r="N167" s="576">
        <f t="shared" si="376"/>
        <v>1</v>
      </c>
      <c r="O167" s="577">
        <v>1</v>
      </c>
      <c r="P167" s="607">
        <v>0</v>
      </c>
      <c r="Q167" s="579">
        <f t="shared" si="377"/>
        <v>0</v>
      </c>
      <c r="R167" s="498">
        <v>0</v>
      </c>
      <c r="S167" s="498">
        <v>0</v>
      </c>
      <c r="T167" s="498">
        <v>0</v>
      </c>
      <c r="U167" s="498">
        <f t="shared" si="318"/>
        <v>0</v>
      </c>
      <c r="V167" s="498">
        <v>0</v>
      </c>
      <c r="W167" s="498">
        <v>0</v>
      </c>
      <c r="X167" s="498">
        <v>0</v>
      </c>
      <c r="Y167" s="498">
        <f t="shared" si="319"/>
        <v>0</v>
      </c>
      <c r="Z167" s="498">
        <f t="shared" si="320"/>
        <v>0</v>
      </c>
      <c r="AA167" s="131">
        <f t="shared" si="378"/>
        <v>0</v>
      </c>
      <c r="AB167" s="131">
        <f t="shared" si="321"/>
        <v>0</v>
      </c>
      <c r="AC167" s="498">
        <v>0</v>
      </c>
      <c r="AD167" s="498">
        <v>0</v>
      </c>
      <c r="AE167" s="498">
        <f t="shared" si="322"/>
        <v>0</v>
      </c>
      <c r="AF167" s="498">
        <f t="shared" si="323"/>
        <v>0</v>
      </c>
      <c r="AG167" s="499">
        <v>0</v>
      </c>
      <c r="AH167" s="499">
        <v>0</v>
      </c>
      <c r="AI167" s="499">
        <v>0</v>
      </c>
      <c r="AJ167" s="499">
        <v>0</v>
      </c>
      <c r="AK167" s="499">
        <v>0</v>
      </c>
      <c r="AL167" s="499">
        <f t="shared" si="324"/>
        <v>0</v>
      </c>
      <c r="AM167" s="499">
        <f t="shared" si="325"/>
        <v>0</v>
      </c>
      <c r="AN167" s="500">
        <f t="shared" si="326"/>
        <v>0</v>
      </c>
      <c r="AO167" s="497">
        <f t="shared" si="379"/>
        <v>562034</v>
      </c>
      <c r="AP167" s="498">
        <f t="shared" si="380"/>
        <v>413869</v>
      </c>
      <c r="AQ167" s="498">
        <f t="shared" si="381"/>
        <v>0</v>
      </c>
      <c r="AR167" s="498">
        <f t="shared" si="382"/>
        <v>139888</v>
      </c>
      <c r="AS167" s="498">
        <f t="shared" si="382"/>
        <v>8277</v>
      </c>
      <c r="AT167" s="498">
        <f t="shared" si="383"/>
        <v>0</v>
      </c>
      <c r="AU167" s="499">
        <f t="shared" si="384"/>
        <v>1</v>
      </c>
      <c r="AV167" s="499">
        <f t="shared" si="385"/>
        <v>1</v>
      </c>
      <c r="AW167" s="500">
        <f t="shared" si="385"/>
        <v>0</v>
      </c>
    </row>
    <row r="168" spans="1:49" s="569" customFormat="1" ht="12.75" customHeight="1" x14ac:dyDescent="0.2">
      <c r="A168" s="531">
        <v>30</v>
      </c>
      <c r="B168" s="532">
        <v>4446</v>
      </c>
      <c r="C168" s="532">
        <v>600074587</v>
      </c>
      <c r="D168" s="532">
        <v>70695504</v>
      </c>
      <c r="E168" s="530" t="s">
        <v>207</v>
      </c>
      <c r="F168" s="532">
        <v>3143</v>
      </c>
      <c r="G168" s="533" t="s">
        <v>636</v>
      </c>
      <c r="H168" s="574" t="s">
        <v>284</v>
      </c>
      <c r="I168" s="575">
        <f>SUM(J168:M168)</f>
        <v>16151</v>
      </c>
      <c r="J168" s="496">
        <v>11385</v>
      </c>
      <c r="K168" s="131">
        <f t="shared" si="386"/>
        <v>3848</v>
      </c>
      <c r="L168" s="131">
        <f t="shared" si="387"/>
        <v>228</v>
      </c>
      <c r="M168" s="496">
        <v>690</v>
      </c>
      <c r="N168" s="576">
        <f t="shared" si="376"/>
        <v>0.05</v>
      </c>
      <c r="O168" s="577">
        <v>0</v>
      </c>
      <c r="P168" s="607">
        <v>0.05</v>
      </c>
      <c r="Q168" s="579">
        <f t="shared" si="377"/>
        <v>0</v>
      </c>
      <c r="R168" s="498">
        <v>0</v>
      </c>
      <c r="S168" s="498">
        <v>0</v>
      </c>
      <c r="T168" s="498">
        <v>0</v>
      </c>
      <c r="U168" s="498">
        <f t="shared" si="318"/>
        <v>0</v>
      </c>
      <c r="V168" s="498">
        <v>0</v>
      </c>
      <c r="W168" s="498">
        <v>0</v>
      </c>
      <c r="X168" s="498">
        <v>0</v>
      </c>
      <c r="Y168" s="498">
        <f t="shared" si="319"/>
        <v>0</v>
      </c>
      <c r="Z168" s="498">
        <f t="shared" si="320"/>
        <v>0</v>
      </c>
      <c r="AA168" s="131">
        <f t="shared" si="378"/>
        <v>0</v>
      </c>
      <c r="AB168" s="131">
        <f t="shared" si="321"/>
        <v>0</v>
      </c>
      <c r="AC168" s="498">
        <v>0</v>
      </c>
      <c r="AD168" s="498">
        <v>0</v>
      </c>
      <c r="AE168" s="498">
        <f t="shared" si="322"/>
        <v>0</v>
      </c>
      <c r="AF168" s="498">
        <f t="shared" si="323"/>
        <v>0</v>
      </c>
      <c r="AG168" s="499">
        <v>0</v>
      </c>
      <c r="AH168" s="499">
        <v>0</v>
      </c>
      <c r="AI168" s="499">
        <v>0</v>
      </c>
      <c r="AJ168" s="499">
        <v>0</v>
      </c>
      <c r="AK168" s="499">
        <v>0</v>
      </c>
      <c r="AL168" s="499">
        <f t="shared" si="324"/>
        <v>0</v>
      </c>
      <c r="AM168" s="499">
        <f t="shared" si="325"/>
        <v>0</v>
      </c>
      <c r="AN168" s="500">
        <f t="shared" si="326"/>
        <v>0</v>
      </c>
      <c r="AO168" s="497">
        <f t="shared" si="379"/>
        <v>16151</v>
      </c>
      <c r="AP168" s="498">
        <f t="shared" si="380"/>
        <v>11385</v>
      </c>
      <c r="AQ168" s="498">
        <f t="shared" si="381"/>
        <v>0</v>
      </c>
      <c r="AR168" s="498">
        <f t="shared" si="382"/>
        <v>3848</v>
      </c>
      <c r="AS168" s="498">
        <f t="shared" si="382"/>
        <v>228</v>
      </c>
      <c r="AT168" s="498">
        <f t="shared" si="383"/>
        <v>690</v>
      </c>
      <c r="AU168" s="499">
        <f t="shared" si="384"/>
        <v>0.05</v>
      </c>
      <c r="AV168" s="499">
        <f t="shared" si="385"/>
        <v>0</v>
      </c>
      <c r="AW168" s="500">
        <f t="shared" si="385"/>
        <v>0.05</v>
      </c>
    </row>
    <row r="169" spans="1:49" s="569" customFormat="1" ht="12.75" customHeight="1" x14ac:dyDescent="0.2">
      <c r="A169" s="302">
        <v>30</v>
      </c>
      <c r="B169" s="32">
        <v>4446</v>
      </c>
      <c r="C169" s="32">
        <v>600074587</v>
      </c>
      <c r="D169" s="32">
        <v>70695504</v>
      </c>
      <c r="E169" s="311" t="s">
        <v>208</v>
      </c>
      <c r="F169" s="32"/>
      <c r="G169" s="301"/>
      <c r="H169" s="454"/>
      <c r="I169" s="5">
        <f t="shared" ref="I169:AW169" si="388">SUM(I163:I168)</f>
        <v>5292535</v>
      </c>
      <c r="J169" s="8">
        <f t="shared" si="388"/>
        <v>3850509</v>
      </c>
      <c r="K169" s="8">
        <f t="shared" si="388"/>
        <v>1301472</v>
      </c>
      <c r="L169" s="8">
        <f t="shared" si="388"/>
        <v>77010</v>
      </c>
      <c r="M169" s="8">
        <f t="shared" si="388"/>
        <v>63544</v>
      </c>
      <c r="N169" s="9">
        <f t="shared" si="388"/>
        <v>8.4681999999999995</v>
      </c>
      <c r="O169" s="9">
        <f t="shared" si="388"/>
        <v>6.0068999999999999</v>
      </c>
      <c r="P169" s="39">
        <f t="shared" si="388"/>
        <v>2.4612999999999996</v>
      </c>
      <c r="Q169" s="5">
        <f t="shared" si="388"/>
        <v>0</v>
      </c>
      <c r="R169" s="8">
        <f t="shared" si="388"/>
        <v>519665</v>
      </c>
      <c r="S169" s="8">
        <f t="shared" si="388"/>
        <v>0</v>
      </c>
      <c r="T169" s="8">
        <f t="shared" si="388"/>
        <v>0</v>
      </c>
      <c r="U169" s="8">
        <f t="shared" si="388"/>
        <v>519665</v>
      </c>
      <c r="V169" s="8">
        <f t="shared" si="388"/>
        <v>0</v>
      </c>
      <c r="W169" s="8">
        <f t="shared" si="388"/>
        <v>0</v>
      </c>
      <c r="X169" s="8">
        <f t="shared" si="388"/>
        <v>0</v>
      </c>
      <c r="Y169" s="8">
        <f t="shared" si="388"/>
        <v>0</v>
      </c>
      <c r="Z169" s="8">
        <f t="shared" si="388"/>
        <v>519665</v>
      </c>
      <c r="AA169" s="8">
        <f t="shared" si="388"/>
        <v>175647</v>
      </c>
      <c r="AB169" s="8">
        <f t="shared" si="388"/>
        <v>10393</v>
      </c>
      <c r="AC169" s="8">
        <f t="shared" si="388"/>
        <v>0</v>
      </c>
      <c r="AD169" s="8">
        <f t="shared" si="388"/>
        <v>0</v>
      </c>
      <c r="AE169" s="8">
        <f t="shared" si="388"/>
        <v>0</v>
      </c>
      <c r="AF169" s="8">
        <f t="shared" si="388"/>
        <v>705705</v>
      </c>
      <c r="AG169" s="9">
        <f t="shared" si="388"/>
        <v>0</v>
      </c>
      <c r="AH169" s="9">
        <f t="shared" si="388"/>
        <v>0</v>
      </c>
      <c r="AI169" s="9">
        <f t="shared" si="388"/>
        <v>1.5</v>
      </c>
      <c r="AJ169" s="9">
        <f t="shared" si="388"/>
        <v>0</v>
      </c>
      <c r="AK169" s="9">
        <f t="shared" si="388"/>
        <v>0</v>
      </c>
      <c r="AL169" s="9">
        <f t="shared" si="388"/>
        <v>1.5</v>
      </c>
      <c r="AM169" s="9">
        <f t="shared" si="388"/>
        <v>0</v>
      </c>
      <c r="AN169" s="92">
        <f t="shared" si="388"/>
        <v>1.5</v>
      </c>
      <c r="AO169" s="295">
        <f t="shared" si="388"/>
        <v>5998240</v>
      </c>
      <c r="AP169" s="8">
        <f t="shared" si="388"/>
        <v>4370174</v>
      </c>
      <c r="AQ169" s="8">
        <f t="shared" si="388"/>
        <v>0</v>
      </c>
      <c r="AR169" s="8">
        <f t="shared" si="388"/>
        <v>1477119</v>
      </c>
      <c r="AS169" s="8">
        <f t="shared" si="388"/>
        <v>87403</v>
      </c>
      <c r="AT169" s="8">
        <f t="shared" si="388"/>
        <v>63544</v>
      </c>
      <c r="AU169" s="9">
        <f t="shared" si="388"/>
        <v>9.9681999999999995</v>
      </c>
      <c r="AV169" s="9">
        <f t="shared" si="388"/>
        <v>7.5068999999999999</v>
      </c>
      <c r="AW169" s="92">
        <f t="shared" si="388"/>
        <v>2.4612999999999996</v>
      </c>
    </row>
    <row r="170" spans="1:49" s="569" customFormat="1" ht="12.75" customHeight="1" x14ac:dyDescent="0.2">
      <c r="A170" s="531">
        <v>31</v>
      </c>
      <c r="B170" s="532">
        <v>4431</v>
      </c>
      <c r="C170" s="532">
        <v>600074820</v>
      </c>
      <c r="D170" s="532">
        <v>70981515</v>
      </c>
      <c r="E170" s="530" t="s">
        <v>209</v>
      </c>
      <c r="F170" s="532">
        <v>3111</v>
      </c>
      <c r="G170" s="533" t="s">
        <v>317</v>
      </c>
      <c r="H170" s="534" t="s">
        <v>283</v>
      </c>
      <c r="I170" s="575">
        <f t="shared" ref="I170:I174" si="389">SUM(J170:M170)</f>
        <v>2777556</v>
      </c>
      <c r="J170" s="496">
        <v>2032074</v>
      </c>
      <c r="K170" s="131">
        <f t="shared" ref="K170:K172" si="390">ROUND((J170)*33.8%,0)</f>
        <v>686841</v>
      </c>
      <c r="L170" s="131">
        <f t="shared" ref="L170:L172" si="391">ROUND(J170*2%,0)</f>
        <v>40641</v>
      </c>
      <c r="M170" s="496">
        <v>18000</v>
      </c>
      <c r="N170" s="576">
        <f t="shared" ref="N170:N175" si="392">SUM(O170:P170)</f>
        <v>4.7927</v>
      </c>
      <c r="O170" s="577">
        <v>3.8708999999999998</v>
      </c>
      <c r="P170" s="607">
        <v>0.92179999999999995</v>
      </c>
      <c r="Q170" s="579">
        <f t="shared" ref="Q170:Q175" si="393">V170*-1</f>
        <v>-12000</v>
      </c>
      <c r="R170" s="498">
        <v>0</v>
      </c>
      <c r="S170" s="498">
        <v>0</v>
      </c>
      <c r="T170" s="498">
        <v>0</v>
      </c>
      <c r="U170" s="498">
        <f t="shared" si="318"/>
        <v>-12000</v>
      </c>
      <c r="V170" s="498">
        <v>12000</v>
      </c>
      <c r="W170" s="498">
        <v>0</v>
      </c>
      <c r="X170" s="498">
        <v>0</v>
      </c>
      <c r="Y170" s="498">
        <f t="shared" si="319"/>
        <v>12000</v>
      </c>
      <c r="Z170" s="498">
        <f t="shared" si="320"/>
        <v>0</v>
      </c>
      <c r="AA170" s="131">
        <f t="shared" ref="AA170:AA175" si="394">ROUND((U170+V170+W170)*33.8%,0)</f>
        <v>0</v>
      </c>
      <c r="AB170" s="131">
        <f t="shared" si="321"/>
        <v>-240</v>
      </c>
      <c r="AC170" s="498">
        <v>0</v>
      </c>
      <c r="AD170" s="498">
        <v>0</v>
      </c>
      <c r="AE170" s="498">
        <f t="shared" si="322"/>
        <v>0</v>
      </c>
      <c r="AF170" s="498">
        <f t="shared" si="323"/>
        <v>-240</v>
      </c>
      <c r="AG170" s="499">
        <v>0</v>
      </c>
      <c r="AH170" s="499">
        <v>0</v>
      </c>
      <c r="AI170" s="499">
        <v>0</v>
      </c>
      <c r="AJ170" s="499">
        <v>0</v>
      </c>
      <c r="AK170" s="499">
        <v>0</v>
      </c>
      <c r="AL170" s="499">
        <f t="shared" si="324"/>
        <v>0</v>
      </c>
      <c r="AM170" s="499">
        <f t="shared" si="325"/>
        <v>0</v>
      </c>
      <c r="AN170" s="500">
        <f t="shared" si="326"/>
        <v>0</v>
      </c>
      <c r="AO170" s="497">
        <f t="shared" ref="AO170:AO175" si="395">I170+AF170</f>
        <v>2777316</v>
      </c>
      <c r="AP170" s="498">
        <f t="shared" ref="AP170:AP175" si="396">J170+U170</f>
        <v>2020074</v>
      </c>
      <c r="AQ170" s="498">
        <f t="shared" ref="AQ170:AQ175" si="397">Y170</f>
        <v>12000</v>
      </c>
      <c r="AR170" s="498">
        <f t="shared" ref="AR170:AS175" si="398">K170+AA170</f>
        <v>686841</v>
      </c>
      <c r="AS170" s="498">
        <f t="shared" si="398"/>
        <v>40401</v>
      </c>
      <c r="AT170" s="498">
        <f t="shared" ref="AT170:AT175" si="399">M170+AE170</f>
        <v>18000</v>
      </c>
      <c r="AU170" s="499">
        <f t="shared" ref="AU170:AU175" si="400">N170+AN170</f>
        <v>4.7927</v>
      </c>
      <c r="AV170" s="499">
        <f t="shared" ref="AV170:AW175" si="401">O170+AL170</f>
        <v>3.8708999999999998</v>
      </c>
      <c r="AW170" s="500">
        <f t="shared" si="401"/>
        <v>0.92179999999999995</v>
      </c>
    </row>
    <row r="171" spans="1:49" s="569" customFormat="1" ht="12.75" customHeight="1" x14ac:dyDescent="0.2">
      <c r="A171" s="531">
        <v>31</v>
      </c>
      <c r="B171" s="532">
        <v>4431</v>
      </c>
      <c r="C171" s="532">
        <v>600074820</v>
      </c>
      <c r="D171" s="532">
        <v>70981515</v>
      </c>
      <c r="E171" s="530" t="s">
        <v>209</v>
      </c>
      <c r="F171" s="532">
        <v>3117</v>
      </c>
      <c r="G171" s="533" t="s">
        <v>320</v>
      </c>
      <c r="H171" s="534" t="s">
        <v>283</v>
      </c>
      <c r="I171" s="575">
        <f t="shared" si="389"/>
        <v>3549164</v>
      </c>
      <c r="J171" s="496">
        <v>2564414</v>
      </c>
      <c r="K171" s="131">
        <f t="shared" si="390"/>
        <v>866772</v>
      </c>
      <c r="L171" s="131">
        <f t="shared" si="391"/>
        <v>51288</v>
      </c>
      <c r="M171" s="496">
        <v>66690</v>
      </c>
      <c r="N171" s="576">
        <f t="shared" si="392"/>
        <v>5.1828000000000003</v>
      </c>
      <c r="O171" s="577">
        <v>3.59</v>
      </c>
      <c r="P171" s="607">
        <v>1.5928</v>
      </c>
      <c r="Q171" s="579">
        <f t="shared" si="393"/>
        <v>-8000</v>
      </c>
      <c r="R171" s="498">
        <v>0</v>
      </c>
      <c r="S171" s="498">
        <v>0</v>
      </c>
      <c r="T171" s="498">
        <v>0</v>
      </c>
      <c r="U171" s="498">
        <f t="shared" si="318"/>
        <v>-8000</v>
      </c>
      <c r="V171" s="498">
        <v>8000</v>
      </c>
      <c r="W171" s="498">
        <v>18272</v>
      </c>
      <c r="X171" s="498">
        <v>0</v>
      </c>
      <c r="Y171" s="498">
        <f t="shared" si="319"/>
        <v>26272</v>
      </c>
      <c r="Z171" s="498">
        <f t="shared" si="320"/>
        <v>18272</v>
      </c>
      <c r="AA171" s="131">
        <f t="shared" si="394"/>
        <v>6176</v>
      </c>
      <c r="AB171" s="131">
        <f t="shared" si="321"/>
        <v>-160</v>
      </c>
      <c r="AC171" s="498">
        <v>0</v>
      </c>
      <c r="AD171" s="498">
        <v>0</v>
      </c>
      <c r="AE171" s="498">
        <f t="shared" si="322"/>
        <v>0</v>
      </c>
      <c r="AF171" s="498">
        <f t="shared" si="323"/>
        <v>24288</v>
      </c>
      <c r="AG171" s="499">
        <v>0</v>
      </c>
      <c r="AH171" s="499">
        <v>0</v>
      </c>
      <c r="AI171" s="499">
        <v>0</v>
      </c>
      <c r="AJ171" s="499">
        <v>0</v>
      </c>
      <c r="AK171" s="499">
        <v>0</v>
      </c>
      <c r="AL171" s="499">
        <f t="shared" si="324"/>
        <v>0</v>
      </c>
      <c r="AM171" s="499">
        <f t="shared" si="325"/>
        <v>0</v>
      </c>
      <c r="AN171" s="500">
        <f t="shared" si="326"/>
        <v>0</v>
      </c>
      <c r="AO171" s="497">
        <f t="shared" si="395"/>
        <v>3573452</v>
      </c>
      <c r="AP171" s="498">
        <f t="shared" si="396"/>
        <v>2556414</v>
      </c>
      <c r="AQ171" s="498">
        <f t="shared" si="397"/>
        <v>26272</v>
      </c>
      <c r="AR171" s="498">
        <f t="shared" si="398"/>
        <v>872948</v>
      </c>
      <c r="AS171" s="498">
        <f t="shared" si="398"/>
        <v>51128</v>
      </c>
      <c r="AT171" s="498">
        <f t="shared" si="399"/>
        <v>66690</v>
      </c>
      <c r="AU171" s="499">
        <f t="shared" si="400"/>
        <v>5.1828000000000003</v>
      </c>
      <c r="AV171" s="499">
        <f t="shared" si="401"/>
        <v>3.59</v>
      </c>
      <c r="AW171" s="500">
        <f t="shared" si="401"/>
        <v>1.5928</v>
      </c>
    </row>
    <row r="172" spans="1:49" s="569" customFormat="1" ht="12.75" customHeight="1" x14ac:dyDescent="0.2">
      <c r="A172" s="531">
        <v>31</v>
      </c>
      <c r="B172" s="532">
        <v>4431</v>
      </c>
      <c r="C172" s="532">
        <v>600074820</v>
      </c>
      <c r="D172" s="532">
        <v>70981515</v>
      </c>
      <c r="E172" s="530" t="s">
        <v>209</v>
      </c>
      <c r="F172" s="532">
        <v>3117</v>
      </c>
      <c r="G172" s="533" t="s">
        <v>318</v>
      </c>
      <c r="H172" s="534" t="s">
        <v>284</v>
      </c>
      <c r="I172" s="575">
        <f t="shared" si="389"/>
        <v>0</v>
      </c>
      <c r="J172" s="496">
        <v>0</v>
      </c>
      <c r="K172" s="131">
        <f t="shared" si="390"/>
        <v>0</v>
      </c>
      <c r="L172" s="131">
        <f t="shared" si="391"/>
        <v>0</v>
      </c>
      <c r="M172" s="496">
        <v>0</v>
      </c>
      <c r="N172" s="576">
        <f t="shared" si="392"/>
        <v>0</v>
      </c>
      <c r="O172" s="577">
        <v>0</v>
      </c>
      <c r="P172" s="607">
        <v>0</v>
      </c>
      <c r="Q172" s="579">
        <f t="shared" si="393"/>
        <v>0</v>
      </c>
      <c r="R172" s="496">
        <v>914230</v>
      </c>
      <c r="S172" s="498">
        <v>0</v>
      </c>
      <c r="T172" s="498">
        <v>0</v>
      </c>
      <c r="U172" s="498">
        <f t="shared" si="318"/>
        <v>914230</v>
      </c>
      <c r="V172" s="498">
        <v>0</v>
      </c>
      <c r="W172" s="498">
        <v>0</v>
      </c>
      <c r="X172" s="498">
        <v>0</v>
      </c>
      <c r="Y172" s="498">
        <f t="shared" si="319"/>
        <v>0</v>
      </c>
      <c r="Z172" s="498">
        <f t="shared" si="320"/>
        <v>914230</v>
      </c>
      <c r="AA172" s="131">
        <f t="shared" si="394"/>
        <v>309010</v>
      </c>
      <c r="AB172" s="131">
        <f t="shared" si="321"/>
        <v>18285</v>
      </c>
      <c r="AC172" s="498">
        <v>0</v>
      </c>
      <c r="AD172" s="498">
        <v>0</v>
      </c>
      <c r="AE172" s="498">
        <f t="shared" si="322"/>
        <v>0</v>
      </c>
      <c r="AF172" s="498">
        <f t="shared" si="323"/>
        <v>1241525</v>
      </c>
      <c r="AG172" s="499">
        <v>0</v>
      </c>
      <c r="AH172" s="499">
        <v>0</v>
      </c>
      <c r="AI172" s="499">
        <v>2.64</v>
      </c>
      <c r="AJ172" s="499">
        <v>0</v>
      </c>
      <c r="AK172" s="499">
        <v>0</v>
      </c>
      <c r="AL172" s="499">
        <f t="shared" si="324"/>
        <v>2.64</v>
      </c>
      <c r="AM172" s="499">
        <f t="shared" si="325"/>
        <v>0</v>
      </c>
      <c r="AN172" s="500">
        <f t="shared" si="326"/>
        <v>2.64</v>
      </c>
      <c r="AO172" s="497">
        <f t="shared" si="395"/>
        <v>1241525</v>
      </c>
      <c r="AP172" s="498">
        <f t="shared" si="396"/>
        <v>914230</v>
      </c>
      <c r="AQ172" s="498">
        <f t="shared" si="397"/>
        <v>0</v>
      </c>
      <c r="AR172" s="498">
        <f t="shared" si="398"/>
        <v>309010</v>
      </c>
      <c r="AS172" s="498">
        <f t="shared" si="398"/>
        <v>18285</v>
      </c>
      <c r="AT172" s="498">
        <f t="shared" si="399"/>
        <v>0</v>
      </c>
      <c r="AU172" s="499">
        <f t="shared" si="400"/>
        <v>2.64</v>
      </c>
      <c r="AV172" s="499">
        <f t="shared" si="401"/>
        <v>2.64</v>
      </c>
      <c r="AW172" s="500">
        <f t="shared" si="401"/>
        <v>0</v>
      </c>
    </row>
    <row r="173" spans="1:49" s="569" customFormat="1" ht="12.75" customHeight="1" x14ac:dyDescent="0.2">
      <c r="A173" s="531">
        <v>31</v>
      </c>
      <c r="B173" s="532">
        <v>4431</v>
      </c>
      <c r="C173" s="532">
        <v>600074820</v>
      </c>
      <c r="D173" s="532">
        <v>70981515</v>
      </c>
      <c r="E173" s="530" t="s">
        <v>209</v>
      </c>
      <c r="F173" s="532">
        <v>3141</v>
      </c>
      <c r="G173" s="533" t="s">
        <v>321</v>
      </c>
      <c r="H173" s="534" t="s">
        <v>284</v>
      </c>
      <c r="I173" s="575">
        <f t="shared" si="389"/>
        <v>882197</v>
      </c>
      <c r="J173" s="496">
        <v>646640</v>
      </c>
      <c r="K173" s="131">
        <f>ROUND((J173)*33.8%,0)</f>
        <v>218564</v>
      </c>
      <c r="L173" s="131">
        <f>ROUND(J173*2%,0)</f>
        <v>12933</v>
      </c>
      <c r="M173" s="496">
        <v>4060</v>
      </c>
      <c r="N173" s="576">
        <f t="shared" si="392"/>
        <v>2.2000000000000002</v>
      </c>
      <c r="O173" s="577">
        <v>0</v>
      </c>
      <c r="P173" s="607">
        <v>2.2000000000000002</v>
      </c>
      <c r="Q173" s="579">
        <f t="shared" si="393"/>
        <v>-28000</v>
      </c>
      <c r="R173" s="498">
        <v>0</v>
      </c>
      <c r="S173" s="498">
        <v>0</v>
      </c>
      <c r="T173" s="498">
        <v>0</v>
      </c>
      <c r="U173" s="498">
        <f t="shared" si="318"/>
        <v>-28000</v>
      </c>
      <c r="V173" s="498">
        <v>28000</v>
      </c>
      <c r="W173" s="498">
        <v>0</v>
      </c>
      <c r="X173" s="498">
        <v>0</v>
      </c>
      <c r="Y173" s="498">
        <f t="shared" si="319"/>
        <v>28000</v>
      </c>
      <c r="Z173" s="498">
        <f t="shared" si="320"/>
        <v>0</v>
      </c>
      <c r="AA173" s="131">
        <f t="shared" si="394"/>
        <v>0</v>
      </c>
      <c r="AB173" s="131">
        <f t="shared" si="321"/>
        <v>-560</v>
      </c>
      <c r="AC173" s="498">
        <v>0</v>
      </c>
      <c r="AD173" s="498">
        <v>0</v>
      </c>
      <c r="AE173" s="498">
        <f t="shared" si="322"/>
        <v>0</v>
      </c>
      <c r="AF173" s="498">
        <f t="shared" si="323"/>
        <v>-560</v>
      </c>
      <c r="AG173" s="499">
        <v>0</v>
      </c>
      <c r="AH173" s="499">
        <v>0</v>
      </c>
      <c r="AI173" s="499">
        <v>0</v>
      </c>
      <c r="AJ173" s="499">
        <v>0</v>
      </c>
      <c r="AK173" s="499">
        <v>0</v>
      </c>
      <c r="AL173" s="499">
        <f t="shared" si="324"/>
        <v>0</v>
      </c>
      <c r="AM173" s="499">
        <f t="shared" si="325"/>
        <v>0</v>
      </c>
      <c r="AN173" s="500">
        <f t="shared" si="326"/>
        <v>0</v>
      </c>
      <c r="AO173" s="497">
        <f t="shared" si="395"/>
        <v>881637</v>
      </c>
      <c r="AP173" s="498">
        <f t="shared" si="396"/>
        <v>618640</v>
      </c>
      <c r="AQ173" s="498">
        <f t="shared" si="397"/>
        <v>28000</v>
      </c>
      <c r="AR173" s="498">
        <f t="shared" si="398"/>
        <v>218564</v>
      </c>
      <c r="AS173" s="498">
        <f t="shared" si="398"/>
        <v>12373</v>
      </c>
      <c r="AT173" s="498">
        <f t="shared" si="399"/>
        <v>4060</v>
      </c>
      <c r="AU173" s="499">
        <f t="shared" si="400"/>
        <v>2.2000000000000002</v>
      </c>
      <c r="AV173" s="499">
        <f t="shared" si="401"/>
        <v>0</v>
      </c>
      <c r="AW173" s="500">
        <f t="shared" si="401"/>
        <v>2.2000000000000002</v>
      </c>
    </row>
    <row r="174" spans="1:49" s="569" customFormat="1" ht="12.75" customHeight="1" x14ac:dyDescent="0.2">
      <c r="A174" s="531">
        <v>31</v>
      </c>
      <c r="B174" s="532">
        <v>4431</v>
      </c>
      <c r="C174" s="532">
        <v>600074820</v>
      </c>
      <c r="D174" s="532">
        <v>70981515</v>
      </c>
      <c r="E174" s="530" t="s">
        <v>209</v>
      </c>
      <c r="F174" s="532">
        <v>3143</v>
      </c>
      <c r="G174" s="533" t="s">
        <v>635</v>
      </c>
      <c r="H174" s="574" t="s">
        <v>283</v>
      </c>
      <c r="I174" s="575">
        <f t="shared" si="389"/>
        <v>896368</v>
      </c>
      <c r="J174" s="496">
        <v>660064</v>
      </c>
      <c r="K174" s="131">
        <f t="shared" ref="K174:K175" si="402">ROUND((J174)*33.8%,0)</f>
        <v>223102</v>
      </c>
      <c r="L174" s="131">
        <v>13202</v>
      </c>
      <c r="M174" s="496"/>
      <c r="N174" s="576">
        <f t="shared" si="392"/>
        <v>1.3742000000000001</v>
      </c>
      <c r="O174" s="577">
        <v>1.3742000000000001</v>
      </c>
      <c r="P174" s="607">
        <v>0</v>
      </c>
      <c r="Q174" s="579">
        <f t="shared" si="393"/>
        <v>0</v>
      </c>
      <c r="R174" s="498">
        <v>0</v>
      </c>
      <c r="S174" s="498">
        <v>0</v>
      </c>
      <c r="T174" s="498">
        <v>0</v>
      </c>
      <c r="U174" s="498">
        <f t="shared" si="318"/>
        <v>0</v>
      </c>
      <c r="V174" s="498">
        <v>0</v>
      </c>
      <c r="W174" s="498">
        <v>0</v>
      </c>
      <c r="X174" s="498">
        <v>0</v>
      </c>
      <c r="Y174" s="498">
        <f t="shared" si="319"/>
        <v>0</v>
      </c>
      <c r="Z174" s="498">
        <f t="shared" si="320"/>
        <v>0</v>
      </c>
      <c r="AA174" s="131">
        <f t="shared" si="394"/>
        <v>0</v>
      </c>
      <c r="AB174" s="131">
        <f t="shared" si="321"/>
        <v>0</v>
      </c>
      <c r="AC174" s="498">
        <v>0</v>
      </c>
      <c r="AD174" s="498">
        <v>0</v>
      </c>
      <c r="AE174" s="498">
        <f t="shared" si="322"/>
        <v>0</v>
      </c>
      <c r="AF174" s="498">
        <f t="shared" si="323"/>
        <v>0</v>
      </c>
      <c r="AG174" s="499">
        <v>0</v>
      </c>
      <c r="AH174" s="499">
        <v>0</v>
      </c>
      <c r="AI174" s="499">
        <v>0</v>
      </c>
      <c r="AJ174" s="499">
        <v>0</v>
      </c>
      <c r="AK174" s="499">
        <v>0</v>
      </c>
      <c r="AL174" s="499">
        <f t="shared" si="324"/>
        <v>0</v>
      </c>
      <c r="AM174" s="499">
        <f t="shared" si="325"/>
        <v>0</v>
      </c>
      <c r="AN174" s="500">
        <f t="shared" si="326"/>
        <v>0</v>
      </c>
      <c r="AO174" s="497">
        <f t="shared" si="395"/>
        <v>896368</v>
      </c>
      <c r="AP174" s="498">
        <f t="shared" si="396"/>
        <v>660064</v>
      </c>
      <c r="AQ174" s="498">
        <f t="shared" si="397"/>
        <v>0</v>
      </c>
      <c r="AR174" s="498">
        <f t="shared" si="398"/>
        <v>223102</v>
      </c>
      <c r="AS174" s="498">
        <f t="shared" si="398"/>
        <v>13202</v>
      </c>
      <c r="AT174" s="498">
        <f t="shared" si="399"/>
        <v>0</v>
      </c>
      <c r="AU174" s="499">
        <f t="shared" si="400"/>
        <v>1.3742000000000001</v>
      </c>
      <c r="AV174" s="499">
        <f t="shared" si="401"/>
        <v>1.3742000000000001</v>
      </c>
      <c r="AW174" s="500">
        <f t="shared" si="401"/>
        <v>0</v>
      </c>
    </row>
    <row r="175" spans="1:49" s="569" customFormat="1" ht="12.75" customHeight="1" x14ac:dyDescent="0.2">
      <c r="A175" s="531">
        <v>31</v>
      </c>
      <c r="B175" s="532">
        <v>4431</v>
      </c>
      <c r="C175" s="532">
        <v>600074820</v>
      </c>
      <c r="D175" s="532">
        <v>70981515</v>
      </c>
      <c r="E175" s="530" t="s">
        <v>209</v>
      </c>
      <c r="F175" s="532">
        <v>3143</v>
      </c>
      <c r="G175" s="533" t="s">
        <v>636</v>
      </c>
      <c r="H175" s="574" t="s">
        <v>284</v>
      </c>
      <c r="I175" s="575">
        <f>SUM(J175:M175)</f>
        <v>16853</v>
      </c>
      <c r="J175" s="496">
        <v>11880</v>
      </c>
      <c r="K175" s="131">
        <f t="shared" si="402"/>
        <v>4015</v>
      </c>
      <c r="L175" s="131">
        <f t="shared" ref="L175" si="403">ROUND(J175*2%,0)</f>
        <v>238</v>
      </c>
      <c r="M175" s="496">
        <v>720</v>
      </c>
      <c r="N175" s="576">
        <f t="shared" si="392"/>
        <v>0.05</v>
      </c>
      <c r="O175" s="577">
        <v>0</v>
      </c>
      <c r="P175" s="607">
        <v>0.05</v>
      </c>
      <c r="Q175" s="579">
        <f t="shared" si="393"/>
        <v>0</v>
      </c>
      <c r="R175" s="498">
        <v>0</v>
      </c>
      <c r="S175" s="498">
        <v>0</v>
      </c>
      <c r="T175" s="498">
        <v>0</v>
      </c>
      <c r="U175" s="498">
        <f t="shared" si="318"/>
        <v>0</v>
      </c>
      <c r="V175" s="498">
        <v>0</v>
      </c>
      <c r="W175" s="498">
        <v>0</v>
      </c>
      <c r="X175" s="498">
        <v>0</v>
      </c>
      <c r="Y175" s="498">
        <f t="shared" si="319"/>
        <v>0</v>
      </c>
      <c r="Z175" s="498">
        <f t="shared" si="320"/>
        <v>0</v>
      </c>
      <c r="AA175" s="131">
        <f t="shared" si="394"/>
        <v>0</v>
      </c>
      <c r="AB175" s="131">
        <f t="shared" si="321"/>
        <v>0</v>
      </c>
      <c r="AC175" s="498">
        <v>0</v>
      </c>
      <c r="AD175" s="498">
        <v>0</v>
      </c>
      <c r="AE175" s="498">
        <f t="shared" si="322"/>
        <v>0</v>
      </c>
      <c r="AF175" s="498">
        <f t="shared" si="323"/>
        <v>0</v>
      </c>
      <c r="AG175" s="499">
        <v>0</v>
      </c>
      <c r="AH175" s="499">
        <v>0</v>
      </c>
      <c r="AI175" s="499">
        <v>0</v>
      </c>
      <c r="AJ175" s="499">
        <v>0</v>
      </c>
      <c r="AK175" s="499">
        <v>0</v>
      </c>
      <c r="AL175" s="499">
        <f t="shared" si="324"/>
        <v>0</v>
      </c>
      <c r="AM175" s="499">
        <f t="shared" si="325"/>
        <v>0</v>
      </c>
      <c r="AN175" s="500">
        <f t="shared" si="326"/>
        <v>0</v>
      </c>
      <c r="AO175" s="497">
        <f t="shared" si="395"/>
        <v>16853</v>
      </c>
      <c r="AP175" s="498">
        <f t="shared" si="396"/>
        <v>11880</v>
      </c>
      <c r="AQ175" s="498">
        <f t="shared" si="397"/>
        <v>0</v>
      </c>
      <c r="AR175" s="498">
        <f t="shared" si="398"/>
        <v>4015</v>
      </c>
      <c r="AS175" s="498">
        <f t="shared" si="398"/>
        <v>238</v>
      </c>
      <c r="AT175" s="498">
        <f t="shared" si="399"/>
        <v>720</v>
      </c>
      <c r="AU175" s="499">
        <f t="shared" si="400"/>
        <v>0.05</v>
      </c>
      <c r="AV175" s="499">
        <f t="shared" si="401"/>
        <v>0</v>
      </c>
      <c r="AW175" s="500">
        <f t="shared" si="401"/>
        <v>0.05</v>
      </c>
    </row>
    <row r="176" spans="1:49" s="569" customFormat="1" ht="12.75" customHeight="1" x14ac:dyDescent="0.2">
      <c r="A176" s="302">
        <v>31</v>
      </c>
      <c r="B176" s="32">
        <v>4431</v>
      </c>
      <c r="C176" s="32">
        <v>600074820</v>
      </c>
      <c r="D176" s="32">
        <v>70981515</v>
      </c>
      <c r="E176" s="311" t="s">
        <v>210</v>
      </c>
      <c r="F176" s="32"/>
      <c r="G176" s="301"/>
      <c r="H176" s="454"/>
      <c r="I176" s="6">
        <f t="shared" ref="I176:P176" si="404">SUM(I170:I175)</f>
        <v>8122138</v>
      </c>
      <c r="J176" s="10">
        <f t="shared" si="404"/>
        <v>5915072</v>
      </c>
      <c r="K176" s="10">
        <f t="shared" si="404"/>
        <v>1999294</v>
      </c>
      <c r="L176" s="10">
        <f t="shared" si="404"/>
        <v>118302</v>
      </c>
      <c r="M176" s="10">
        <f t="shared" si="404"/>
        <v>89470</v>
      </c>
      <c r="N176" s="11">
        <f t="shared" si="404"/>
        <v>13.5997</v>
      </c>
      <c r="O176" s="11">
        <f t="shared" si="404"/>
        <v>8.8351000000000006</v>
      </c>
      <c r="P176" s="38">
        <f t="shared" si="404"/>
        <v>4.7645999999999997</v>
      </c>
      <c r="Q176" s="6">
        <f t="shared" ref="Q176:AW176" si="405">SUM(Q170:Q175)</f>
        <v>-48000</v>
      </c>
      <c r="R176" s="10">
        <f t="shared" si="405"/>
        <v>914230</v>
      </c>
      <c r="S176" s="10">
        <f t="shared" si="405"/>
        <v>0</v>
      </c>
      <c r="T176" s="10">
        <f t="shared" si="405"/>
        <v>0</v>
      </c>
      <c r="U176" s="10">
        <f t="shared" si="405"/>
        <v>866230</v>
      </c>
      <c r="V176" s="10">
        <f t="shared" si="405"/>
        <v>48000</v>
      </c>
      <c r="W176" s="10">
        <f t="shared" si="405"/>
        <v>18272</v>
      </c>
      <c r="X176" s="10">
        <f t="shared" si="405"/>
        <v>0</v>
      </c>
      <c r="Y176" s="10">
        <f t="shared" si="405"/>
        <v>66272</v>
      </c>
      <c r="Z176" s="10">
        <f t="shared" si="405"/>
        <v>932502</v>
      </c>
      <c r="AA176" s="10">
        <f t="shared" si="405"/>
        <v>315186</v>
      </c>
      <c r="AB176" s="10">
        <f t="shared" si="405"/>
        <v>17325</v>
      </c>
      <c r="AC176" s="10">
        <f t="shared" si="405"/>
        <v>0</v>
      </c>
      <c r="AD176" s="10">
        <f t="shared" si="405"/>
        <v>0</v>
      </c>
      <c r="AE176" s="10">
        <f t="shared" si="405"/>
        <v>0</v>
      </c>
      <c r="AF176" s="10">
        <f t="shared" si="405"/>
        <v>1265013</v>
      </c>
      <c r="AG176" s="11">
        <f t="shared" si="405"/>
        <v>0</v>
      </c>
      <c r="AH176" s="11">
        <f t="shared" si="405"/>
        <v>0</v>
      </c>
      <c r="AI176" s="11">
        <f t="shared" si="405"/>
        <v>2.64</v>
      </c>
      <c r="AJ176" s="11">
        <f t="shared" si="405"/>
        <v>0</v>
      </c>
      <c r="AK176" s="11">
        <f t="shared" si="405"/>
        <v>0</v>
      </c>
      <c r="AL176" s="11">
        <f t="shared" si="405"/>
        <v>2.64</v>
      </c>
      <c r="AM176" s="11">
        <f t="shared" si="405"/>
        <v>0</v>
      </c>
      <c r="AN176" s="93">
        <f t="shared" si="405"/>
        <v>2.64</v>
      </c>
      <c r="AO176" s="296">
        <f t="shared" si="405"/>
        <v>9387151</v>
      </c>
      <c r="AP176" s="10">
        <f t="shared" si="405"/>
        <v>6781302</v>
      </c>
      <c r="AQ176" s="10">
        <f t="shared" si="405"/>
        <v>66272</v>
      </c>
      <c r="AR176" s="10">
        <f t="shared" si="405"/>
        <v>2314480</v>
      </c>
      <c r="AS176" s="10">
        <f t="shared" si="405"/>
        <v>135627</v>
      </c>
      <c r="AT176" s="10">
        <f t="shared" si="405"/>
        <v>89470</v>
      </c>
      <c r="AU176" s="11">
        <f t="shared" si="405"/>
        <v>16.239700000000003</v>
      </c>
      <c r="AV176" s="11">
        <f t="shared" si="405"/>
        <v>11.475099999999999</v>
      </c>
      <c r="AW176" s="93">
        <f t="shared" si="405"/>
        <v>4.7645999999999997</v>
      </c>
    </row>
    <row r="177" spans="1:49" s="569" customFormat="1" ht="12.75" customHeight="1" x14ac:dyDescent="0.2">
      <c r="A177" s="531">
        <v>32</v>
      </c>
      <c r="B177" s="532">
        <v>4416</v>
      </c>
      <c r="C177" s="532">
        <v>600074153</v>
      </c>
      <c r="D177" s="532">
        <v>71013105</v>
      </c>
      <c r="E177" s="530" t="s">
        <v>211</v>
      </c>
      <c r="F177" s="532">
        <v>3111</v>
      </c>
      <c r="G177" s="533" t="s">
        <v>317</v>
      </c>
      <c r="H177" s="534" t="s">
        <v>283</v>
      </c>
      <c r="I177" s="575">
        <f t="shared" ref="I177:I180" si="406">SUM(J177:M177)</f>
        <v>3328468</v>
      </c>
      <c r="J177" s="496">
        <v>2437090</v>
      </c>
      <c r="K177" s="131">
        <f t="shared" ref="K177:K178" si="407">ROUND((J177)*33.8%,0)</f>
        <v>823736</v>
      </c>
      <c r="L177" s="131">
        <f t="shared" ref="L177:L178" si="408">ROUND(J177*2%,0)</f>
        <v>48742</v>
      </c>
      <c r="M177" s="496">
        <v>18900</v>
      </c>
      <c r="N177" s="576">
        <f t="shared" ref="N177:N181" si="409">SUM(O177:P177)</f>
        <v>5.8498000000000001</v>
      </c>
      <c r="O177" s="577">
        <v>4.3600000000000003</v>
      </c>
      <c r="P177" s="607">
        <v>1.4898</v>
      </c>
      <c r="Q177" s="579">
        <f t="shared" ref="Q177:Q181" si="410">V177*-1</f>
        <v>0</v>
      </c>
      <c r="R177" s="498">
        <v>0</v>
      </c>
      <c r="S177" s="498">
        <v>0</v>
      </c>
      <c r="T177" s="498">
        <v>0</v>
      </c>
      <c r="U177" s="498">
        <f t="shared" si="318"/>
        <v>0</v>
      </c>
      <c r="V177" s="498">
        <v>0</v>
      </c>
      <c r="W177" s="498">
        <v>0</v>
      </c>
      <c r="X177" s="498">
        <v>0</v>
      </c>
      <c r="Y177" s="498">
        <f t="shared" si="319"/>
        <v>0</v>
      </c>
      <c r="Z177" s="498">
        <f t="shared" si="320"/>
        <v>0</v>
      </c>
      <c r="AA177" s="131">
        <f t="shared" ref="AA177:AA181" si="411">ROUND((U177+V177+W177)*33.8%,0)</f>
        <v>0</v>
      </c>
      <c r="AB177" s="131">
        <f t="shared" si="321"/>
        <v>0</v>
      </c>
      <c r="AC177" s="498">
        <v>0</v>
      </c>
      <c r="AD177" s="498">
        <v>0</v>
      </c>
      <c r="AE177" s="498">
        <f t="shared" si="322"/>
        <v>0</v>
      </c>
      <c r="AF177" s="498">
        <f t="shared" si="323"/>
        <v>0</v>
      </c>
      <c r="AG177" s="499">
        <v>0</v>
      </c>
      <c r="AH177" s="499">
        <v>0</v>
      </c>
      <c r="AI177" s="499">
        <v>0</v>
      </c>
      <c r="AJ177" s="499">
        <v>0</v>
      </c>
      <c r="AK177" s="499">
        <v>0</v>
      </c>
      <c r="AL177" s="499">
        <f t="shared" si="324"/>
        <v>0</v>
      </c>
      <c r="AM177" s="499">
        <f t="shared" si="325"/>
        <v>0</v>
      </c>
      <c r="AN177" s="500">
        <f t="shared" si="326"/>
        <v>0</v>
      </c>
      <c r="AO177" s="497">
        <f>I177+AF177</f>
        <v>3328468</v>
      </c>
      <c r="AP177" s="498">
        <f>J177+U177</f>
        <v>2437090</v>
      </c>
      <c r="AQ177" s="498">
        <f t="shared" ref="AQ177:AQ181" si="412">Y177</f>
        <v>0</v>
      </c>
      <c r="AR177" s="498">
        <f t="shared" ref="AR177:AS181" si="413">K177+AA177</f>
        <v>823736</v>
      </c>
      <c r="AS177" s="498">
        <f t="shared" si="413"/>
        <v>48742</v>
      </c>
      <c r="AT177" s="498">
        <f>M177+AE177</f>
        <v>18900</v>
      </c>
      <c r="AU177" s="499">
        <f>N177+AN177</f>
        <v>5.8498000000000001</v>
      </c>
      <c r="AV177" s="499">
        <f t="shared" ref="AV177:AW181" si="414">O177+AL177</f>
        <v>4.3600000000000003</v>
      </c>
      <c r="AW177" s="500">
        <f t="shared" si="414"/>
        <v>1.4898</v>
      </c>
    </row>
    <row r="178" spans="1:49" s="569" customFormat="1" ht="12.75" customHeight="1" x14ac:dyDescent="0.2">
      <c r="A178" s="531">
        <v>32</v>
      </c>
      <c r="B178" s="532">
        <v>4416</v>
      </c>
      <c r="C178" s="532">
        <v>600074153</v>
      </c>
      <c r="D178" s="532">
        <v>71013105</v>
      </c>
      <c r="E178" s="530" t="s">
        <v>211</v>
      </c>
      <c r="F178" s="532">
        <v>3111</v>
      </c>
      <c r="G178" s="533" t="s">
        <v>318</v>
      </c>
      <c r="H178" s="534" t="s">
        <v>284</v>
      </c>
      <c r="I178" s="575">
        <f t="shared" si="406"/>
        <v>0</v>
      </c>
      <c r="J178" s="496">
        <v>0</v>
      </c>
      <c r="K178" s="131">
        <f t="shared" si="407"/>
        <v>0</v>
      </c>
      <c r="L178" s="131">
        <f t="shared" si="408"/>
        <v>0</v>
      </c>
      <c r="M178" s="496">
        <v>0</v>
      </c>
      <c r="N178" s="576">
        <f t="shared" si="409"/>
        <v>0</v>
      </c>
      <c r="O178" s="577">
        <v>0</v>
      </c>
      <c r="P178" s="607">
        <v>0</v>
      </c>
      <c r="Q178" s="579">
        <f t="shared" si="410"/>
        <v>0</v>
      </c>
      <c r="R178" s="496">
        <v>692886</v>
      </c>
      <c r="S178" s="498">
        <v>0</v>
      </c>
      <c r="T178" s="498">
        <v>0</v>
      </c>
      <c r="U178" s="498">
        <f t="shared" si="318"/>
        <v>692886</v>
      </c>
      <c r="V178" s="498">
        <v>0</v>
      </c>
      <c r="W178" s="498">
        <v>0</v>
      </c>
      <c r="X178" s="498">
        <v>0</v>
      </c>
      <c r="Y178" s="498">
        <f t="shared" si="319"/>
        <v>0</v>
      </c>
      <c r="Z178" s="498">
        <f t="shared" si="320"/>
        <v>692886</v>
      </c>
      <c r="AA178" s="131">
        <f t="shared" si="411"/>
        <v>234195</v>
      </c>
      <c r="AB178" s="131">
        <f t="shared" si="321"/>
        <v>13858</v>
      </c>
      <c r="AC178" s="498">
        <v>0</v>
      </c>
      <c r="AD178" s="498">
        <v>0</v>
      </c>
      <c r="AE178" s="498">
        <f t="shared" si="322"/>
        <v>0</v>
      </c>
      <c r="AF178" s="498">
        <f t="shared" si="323"/>
        <v>940939</v>
      </c>
      <c r="AG178" s="499">
        <v>0</v>
      </c>
      <c r="AH178" s="499">
        <v>0</v>
      </c>
      <c r="AI178" s="499">
        <v>2</v>
      </c>
      <c r="AJ178" s="499">
        <v>0</v>
      </c>
      <c r="AK178" s="499">
        <v>0</v>
      </c>
      <c r="AL178" s="499">
        <f t="shared" si="324"/>
        <v>2</v>
      </c>
      <c r="AM178" s="499">
        <f t="shared" si="325"/>
        <v>0</v>
      </c>
      <c r="AN178" s="500">
        <f t="shared" si="326"/>
        <v>2</v>
      </c>
      <c r="AO178" s="497">
        <f>I178+AF178</f>
        <v>940939</v>
      </c>
      <c r="AP178" s="498">
        <f>J178+U178</f>
        <v>692886</v>
      </c>
      <c r="AQ178" s="498">
        <f t="shared" si="412"/>
        <v>0</v>
      </c>
      <c r="AR178" s="498">
        <f t="shared" si="413"/>
        <v>234195</v>
      </c>
      <c r="AS178" s="498">
        <f t="shared" si="413"/>
        <v>13858</v>
      </c>
      <c r="AT178" s="498">
        <f>M178+AE178</f>
        <v>0</v>
      </c>
      <c r="AU178" s="499">
        <f>N178+AN178</f>
        <v>2</v>
      </c>
      <c r="AV178" s="499">
        <f t="shared" si="414"/>
        <v>2</v>
      </c>
      <c r="AW178" s="500">
        <f t="shared" si="414"/>
        <v>0</v>
      </c>
    </row>
    <row r="179" spans="1:49" s="569" customFormat="1" ht="12.75" customHeight="1" x14ac:dyDescent="0.2">
      <c r="A179" s="531">
        <v>32</v>
      </c>
      <c r="B179" s="532">
        <v>4416</v>
      </c>
      <c r="C179" s="532">
        <v>600074153</v>
      </c>
      <c r="D179" s="532">
        <v>71013105</v>
      </c>
      <c r="E179" s="524" t="s">
        <v>211</v>
      </c>
      <c r="F179" s="532">
        <v>3141</v>
      </c>
      <c r="G179" s="533" t="s">
        <v>321</v>
      </c>
      <c r="H179" s="534" t="s">
        <v>284</v>
      </c>
      <c r="I179" s="575">
        <f t="shared" si="406"/>
        <v>636537</v>
      </c>
      <c r="J179" s="496">
        <v>466643</v>
      </c>
      <c r="K179" s="131">
        <f>ROUND((J179)*33.8%,0)</f>
        <v>157725</v>
      </c>
      <c r="L179" s="131">
        <f>ROUND(J179*2%,0)</f>
        <v>9333</v>
      </c>
      <c r="M179" s="496">
        <v>2836</v>
      </c>
      <c r="N179" s="576">
        <f t="shared" si="409"/>
        <v>1.59</v>
      </c>
      <c r="O179" s="577">
        <v>0</v>
      </c>
      <c r="P179" s="607">
        <v>1.59</v>
      </c>
      <c r="Q179" s="579">
        <f t="shared" si="410"/>
        <v>0</v>
      </c>
      <c r="R179" s="498">
        <v>0</v>
      </c>
      <c r="S179" s="498">
        <v>0</v>
      </c>
      <c r="T179" s="498">
        <v>0</v>
      </c>
      <c r="U179" s="498">
        <f t="shared" si="318"/>
        <v>0</v>
      </c>
      <c r="V179" s="498">
        <v>0</v>
      </c>
      <c r="W179" s="498">
        <v>0</v>
      </c>
      <c r="X179" s="498">
        <v>0</v>
      </c>
      <c r="Y179" s="498">
        <f t="shared" si="319"/>
        <v>0</v>
      </c>
      <c r="Z179" s="498">
        <f t="shared" si="320"/>
        <v>0</v>
      </c>
      <c r="AA179" s="131">
        <f t="shared" si="411"/>
        <v>0</v>
      </c>
      <c r="AB179" s="131">
        <f t="shared" si="321"/>
        <v>0</v>
      </c>
      <c r="AC179" s="498">
        <v>0</v>
      </c>
      <c r="AD179" s="498">
        <v>0</v>
      </c>
      <c r="AE179" s="498">
        <f t="shared" si="322"/>
        <v>0</v>
      </c>
      <c r="AF179" s="498">
        <f t="shared" si="323"/>
        <v>0</v>
      </c>
      <c r="AG179" s="499">
        <v>0</v>
      </c>
      <c r="AH179" s="499">
        <v>0</v>
      </c>
      <c r="AI179" s="499">
        <v>0</v>
      </c>
      <c r="AJ179" s="499">
        <v>0</v>
      </c>
      <c r="AK179" s="499">
        <v>0</v>
      </c>
      <c r="AL179" s="499">
        <f t="shared" si="324"/>
        <v>0</v>
      </c>
      <c r="AM179" s="499">
        <f t="shared" si="325"/>
        <v>0</v>
      </c>
      <c r="AN179" s="500">
        <f t="shared" si="326"/>
        <v>0</v>
      </c>
      <c r="AO179" s="497">
        <f>I179+AF179</f>
        <v>636537</v>
      </c>
      <c r="AP179" s="498">
        <f>J179+U179</f>
        <v>466643</v>
      </c>
      <c r="AQ179" s="498">
        <f t="shared" si="412"/>
        <v>0</v>
      </c>
      <c r="AR179" s="498">
        <f t="shared" si="413"/>
        <v>157725</v>
      </c>
      <c r="AS179" s="498">
        <f t="shared" si="413"/>
        <v>9333</v>
      </c>
      <c r="AT179" s="498">
        <f>M179+AE179</f>
        <v>2836</v>
      </c>
      <c r="AU179" s="499">
        <f>N179+AN179</f>
        <v>1.59</v>
      </c>
      <c r="AV179" s="499">
        <f t="shared" si="414"/>
        <v>0</v>
      </c>
      <c r="AW179" s="500">
        <f t="shared" si="414"/>
        <v>1.59</v>
      </c>
    </row>
    <row r="180" spans="1:49" s="569" customFormat="1" ht="12.75" customHeight="1" x14ac:dyDescent="0.2">
      <c r="A180" s="531">
        <v>32</v>
      </c>
      <c r="B180" s="532">
        <v>4416</v>
      </c>
      <c r="C180" s="532">
        <v>600074153</v>
      </c>
      <c r="D180" s="532">
        <v>71013105</v>
      </c>
      <c r="E180" s="530" t="s">
        <v>211</v>
      </c>
      <c r="F180" s="532">
        <v>3143</v>
      </c>
      <c r="G180" s="533" t="s">
        <v>635</v>
      </c>
      <c r="H180" s="574" t="s">
        <v>283</v>
      </c>
      <c r="I180" s="575">
        <f t="shared" si="406"/>
        <v>966277</v>
      </c>
      <c r="J180" s="496">
        <v>711544</v>
      </c>
      <c r="K180" s="131">
        <f t="shared" ref="K180:K181" si="415">ROUND((J180)*33.8%,0)</f>
        <v>240502</v>
      </c>
      <c r="L180" s="131">
        <f t="shared" ref="L180:L181" si="416">ROUND(J180*2%,0)</f>
        <v>14231</v>
      </c>
      <c r="M180" s="496"/>
      <c r="N180" s="576">
        <f t="shared" si="409"/>
        <v>1.7661</v>
      </c>
      <c r="O180" s="577">
        <v>1.7661</v>
      </c>
      <c r="P180" s="607">
        <v>0</v>
      </c>
      <c r="Q180" s="579">
        <f t="shared" si="410"/>
        <v>0</v>
      </c>
      <c r="R180" s="498">
        <v>0</v>
      </c>
      <c r="S180" s="498">
        <v>0</v>
      </c>
      <c r="T180" s="498">
        <v>0</v>
      </c>
      <c r="U180" s="498">
        <f t="shared" si="318"/>
        <v>0</v>
      </c>
      <c r="V180" s="498">
        <v>0</v>
      </c>
      <c r="W180" s="498">
        <v>0</v>
      </c>
      <c r="X180" s="498">
        <v>0</v>
      </c>
      <c r="Y180" s="498">
        <f t="shared" si="319"/>
        <v>0</v>
      </c>
      <c r="Z180" s="498">
        <f t="shared" si="320"/>
        <v>0</v>
      </c>
      <c r="AA180" s="131">
        <f t="shared" si="411"/>
        <v>0</v>
      </c>
      <c r="AB180" s="131">
        <f t="shared" si="321"/>
        <v>0</v>
      </c>
      <c r="AC180" s="498">
        <v>0</v>
      </c>
      <c r="AD180" s="498">
        <v>0</v>
      </c>
      <c r="AE180" s="498">
        <f t="shared" si="322"/>
        <v>0</v>
      </c>
      <c r="AF180" s="498">
        <f t="shared" si="323"/>
        <v>0</v>
      </c>
      <c r="AG180" s="499">
        <v>0</v>
      </c>
      <c r="AH180" s="499">
        <v>0</v>
      </c>
      <c r="AI180" s="499">
        <v>0</v>
      </c>
      <c r="AJ180" s="499">
        <v>0</v>
      </c>
      <c r="AK180" s="499">
        <v>0</v>
      </c>
      <c r="AL180" s="499">
        <f t="shared" si="324"/>
        <v>0</v>
      </c>
      <c r="AM180" s="499">
        <f t="shared" si="325"/>
        <v>0</v>
      </c>
      <c r="AN180" s="500">
        <f t="shared" si="326"/>
        <v>0</v>
      </c>
      <c r="AO180" s="497">
        <f>I180+AF180</f>
        <v>966277</v>
      </c>
      <c r="AP180" s="498">
        <f>J180+U180</f>
        <v>711544</v>
      </c>
      <c r="AQ180" s="498">
        <f t="shared" si="412"/>
        <v>0</v>
      </c>
      <c r="AR180" s="498">
        <f t="shared" si="413"/>
        <v>240502</v>
      </c>
      <c r="AS180" s="498">
        <f t="shared" si="413"/>
        <v>14231</v>
      </c>
      <c r="AT180" s="498">
        <f>M180+AE180</f>
        <v>0</v>
      </c>
      <c r="AU180" s="499">
        <f>N180+AN180</f>
        <v>1.7661</v>
      </c>
      <c r="AV180" s="499">
        <f t="shared" si="414"/>
        <v>1.7661</v>
      </c>
      <c r="AW180" s="500">
        <f t="shared" si="414"/>
        <v>0</v>
      </c>
    </row>
    <row r="181" spans="1:49" s="569" customFormat="1" ht="12.75" customHeight="1" x14ac:dyDescent="0.2">
      <c r="A181" s="531">
        <v>32</v>
      </c>
      <c r="B181" s="532">
        <v>4416</v>
      </c>
      <c r="C181" s="532">
        <v>600074153</v>
      </c>
      <c r="D181" s="532">
        <v>71013105</v>
      </c>
      <c r="E181" s="530" t="s">
        <v>211</v>
      </c>
      <c r="F181" s="532">
        <v>3143</v>
      </c>
      <c r="G181" s="533" t="s">
        <v>636</v>
      </c>
      <c r="H181" s="574" t="s">
        <v>284</v>
      </c>
      <c r="I181" s="575">
        <f>SUM(J181:M181)</f>
        <v>28088</v>
      </c>
      <c r="J181" s="496">
        <v>19800</v>
      </c>
      <c r="K181" s="131">
        <f t="shared" si="415"/>
        <v>6692</v>
      </c>
      <c r="L181" s="131">
        <f t="shared" si="416"/>
        <v>396</v>
      </c>
      <c r="M181" s="496">
        <v>1200</v>
      </c>
      <c r="N181" s="576">
        <f t="shared" si="409"/>
        <v>0.08</v>
      </c>
      <c r="O181" s="577">
        <v>0</v>
      </c>
      <c r="P181" s="607">
        <v>0.08</v>
      </c>
      <c r="Q181" s="579">
        <f t="shared" si="410"/>
        <v>0</v>
      </c>
      <c r="R181" s="498">
        <v>0</v>
      </c>
      <c r="S181" s="498">
        <v>0</v>
      </c>
      <c r="T181" s="498">
        <v>0</v>
      </c>
      <c r="U181" s="498">
        <f t="shared" si="318"/>
        <v>0</v>
      </c>
      <c r="V181" s="498">
        <v>0</v>
      </c>
      <c r="W181" s="498">
        <v>0</v>
      </c>
      <c r="X181" s="498">
        <v>0</v>
      </c>
      <c r="Y181" s="498">
        <f t="shared" si="319"/>
        <v>0</v>
      </c>
      <c r="Z181" s="498">
        <f t="shared" si="320"/>
        <v>0</v>
      </c>
      <c r="AA181" s="131">
        <f t="shared" si="411"/>
        <v>0</v>
      </c>
      <c r="AB181" s="131">
        <f t="shared" si="321"/>
        <v>0</v>
      </c>
      <c r="AC181" s="498">
        <v>0</v>
      </c>
      <c r="AD181" s="498">
        <v>0</v>
      </c>
      <c r="AE181" s="498">
        <f t="shared" si="322"/>
        <v>0</v>
      </c>
      <c r="AF181" s="498">
        <f t="shared" si="323"/>
        <v>0</v>
      </c>
      <c r="AG181" s="499">
        <v>0</v>
      </c>
      <c r="AH181" s="499">
        <v>0</v>
      </c>
      <c r="AI181" s="499">
        <v>0</v>
      </c>
      <c r="AJ181" s="499">
        <v>0</v>
      </c>
      <c r="AK181" s="499">
        <v>0</v>
      </c>
      <c r="AL181" s="499">
        <f t="shared" si="324"/>
        <v>0</v>
      </c>
      <c r="AM181" s="499">
        <f t="shared" si="325"/>
        <v>0</v>
      </c>
      <c r="AN181" s="500">
        <f t="shared" si="326"/>
        <v>0</v>
      </c>
      <c r="AO181" s="497">
        <f>I181+AF181</f>
        <v>28088</v>
      </c>
      <c r="AP181" s="498">
        <f>J181+U181</f>
        <v>19800</v>
      </c>
      <c r="AQ181" s="498">
        <f t="shared" si="412"/>
        <v>0</v>
      </c>
      <c r="AR181" s="498">
        <f t="shared" si="413"/>
        <v>6692</v>
      </c>
      <c r="AS181" s="498">
        <f t="shared" si="413"/>
        <v>396</v>
      </c>
      <c r="AT181" s="498">
        <f>M181+AE181</f>
        <v>1200</v>
      </c>
      <c r="AU181" s="499">
        <f>N181+AN181</f>
        <v>0.08</v>
      </c>
      <c r="AV181" s="499">
        <f t="shared" si="414"/>
        <v>0</v>
      </c>
      <c r="AW181" s="500">
        <f t="shared" si="414"/>
        <v>0.08</v>
      </c>
    </row>
    <row r="182" spans="1:49" s="569" customFormat="1" ht="12.75" customHeight="1" x14ac:dyDescent="0.2">
      <c r="A182" s="302">
        <v>32</v>
      </c>
      <c r="B182" s="32">
        <v>4416</v>
      </c>
      <c r="C182" s="32">
        <v>600074153</v>
      </c>
      <c r="D182" s="32">
        <v>71013105</v>
      </c>
      <c r="E182" s="311" t="s">
        <v>212</v>
      </c>
      <c r="F182" s="32"/>
      <c r="G182" s="301"/>
      <c r="H182" s="454"/>
      <c r="I182" s="5">
        <f t="shared" ref="I182:AW182" si="417">SUM(I177:I181)</f>
        <v>4959370</v>
      </c>
      <c r="J182" s="8">
        <f t="shared" si="417"/>
        <v>3635077</v>
      </c>
      <c r="K182" s="8">
        <f t="shared" si="417"/>
        <v>1228655</v>
      </c>
      <c r="L182" s="8">
        <f t="shared" si="417"/>
        <v>72702</v>
      </c>
      <c r="M182" s="8">
        <f t="shared" si="417"/>
        <v>22936</v>
      </c>
      <c r="N182" s="9">
        <f t="shared" si="417"/>
        <v>9.2858999999999998</v>
      </c>
      <c r="O182" s="9">
        <f t="shared" si="417"/>
        <v>6.1261000000000001</v>
      </c>
      <c r="P182" s="39">
        <f t="shared" si="417"/>
        <v>3.1598000000000002</v>
      </c>
      <c r="Q182" s="5">
        <f t="shared" si="417"/>
        <v>0</v>
      </c>
      <c r="R182" s="8">
        <f t="shared" si="417"/>
        <v>692886</v>
      </c>
      <c r="S182" s="8">
        <f t="shared" si="417"/>
        <v>0</v>
      </c>
      <c r="T182" s="8">
        <f t="shared" si="417"/>
        <v>0</v>
      </c>
      <c r="U182" s="8">
        <f t="shared" si="417"/>
        <v>692886</v>
      </c>
      <c r="V182" s="8">
        <f t="shared" si="417"/>
        <v>0</v>
      </c>
      <c r="W182" s="8">
        <f t="shared" si="417"/>
        <v>0</v>
      </c>
      <c r="X182" s="8">
        <f t="shared" si="417"/>
        <v>0</v>
      </c>
      <c r="Y182" s="8">
        <f t="shared" si="417"/>
        <v>0</v>
      </c>
      <c r="Z182" s="8">
        <f t="shared" si="417"/>
        <v>692886</v>
      </c>
      <c r="AA182" s="8">
        <f t="shared" si="417"/>
        <v>234195</v>
      </c>
      <c r="AB182" s="8">
        <f t="shared" si="417"/>
        <v>13858</v>
      </c>
      <c r="AC182" s="8">
        <f t="shared" si="417"/>
        <v>0</v>
      </c>
      <c r="AD182" s="8">
        <f t="shared" si="417"/>
        <v>0</v>
      </c>
      <c r="AE182" s="8">
        <f t="shared" si="417"/>
        <v>0</v>
      </c>
      <c r="AF182" s="8">
        <f t="shared" si="417"/>
        <v>940939</v>
      </c>
      <c r="AG182" s="9">
        <f t="shared" si="417"/>
        <v>0</v>
      </c>
      <c r="AH182" s="9">
        <f t="shared" si="417"/>
        <v>0</v>
      </c>
      <c r="AI182" s="9">
        <f t="shared" si="417"/>
        <v>2</v>
      </c>
      <c r="AJ182" s="9">
        <f t="shared" si="417"/>
        <v>0</v>
      </c>
      <c r="AK182" s="9">
        <f t="shared" si="417"/>
        <v>0</v>
      </c>
      <c r="AL182" s="9">
        <f t="shared" si="417"/>
        <v>2</v>
      </c>
      <c r="AM182" s="9">
        <f t="shared" si="417"/>
        <v>0</v>
      </c>
      <c r="AN182" s="92">
        <f t="shared" si="417"/>
        <v>2</v>
      </c>
      <c r="AO182" s="295">
        <f t="shared" si="417"/>
        <v>5900309</v>
      </c>
      <c r="AP182" s="8">
        <f t="shared" si="417"/>
        <v>4327963</v>
      </c>
      <c r="AQ182" s="8">
        <f t="shared" si="417"/>
        <v>0</v>
      </c>
      <c r="AR182" s="8">
        <f t="shared" si="417"/>
        <v>1462850</v>
      </c>
      <c r="AS182" s="8">
        <f t="shared" si="417"/>
        <v>86560</v>
      </c>
      <c r="AT182" s="8">
        <f t="shared" si="417"/>
        <v>22936</v>
      </c>
      <c r="AU182" s="9">
        <f t="shared" si="417"/>
        <v>11.2859</v>
      </c>
      <c r="AV182" s="9">
        <f t="shared" si="417"/>
        <v>8.126100000000001</v>
      </c>
      <c r="AW182" s="92">
        <f t="shared" si="417"/>
        <v>3.1598000000000002</v>
      </c>
    </row>
    <row r="183" spans="1:49" s="569" customFormat="1" ht="12.75" customHeight="1" x14ac:dyDescent="0.2">
      <c r="A183" s="531">
        <v>33</v>
      </c>
      <c r="B183" s="532">
        <v>4447</v>
      </c>
      <c r="C183" s="532">
        <v>600074749</v>
      </c>
      <c r="D183" s="532">
        <v>70695962</v>
      </c>
      <c r="E183" s="530" t="s">
        <v>213</v>
      </c>
      <c r="F183" s="532">
        <v>3113</v>
      </c>
      <c r="G183" s="533" t="s">
        <v>320</v>
      </c>
      <c r="H183" s="534" t="s">
        <v>283</v>
      </c>
      <c r="I183" s="575">
        <f t="shared" ref="I183:I185" si="418">SUM(J183:M183)</f>
        <v>12578547</v>
      </c>
      <c r="J183" s="496">
        <v>9096632</v>
      </c>
      <c r="K183" s="131">
        <f t="shared" ref="K183:K184" si="419">ROUND((J183)*33.8%,0)</f>
        <v>3074662</v>
      </c>
      <c r="L183" s="131">
        <f t="shared" ref="L183:L184" si="420">ROUND(J183*2%,0)</f>
        <v>181933</v>
      </c>
      <c r="M183" s="496">
        <v>225320</v>
      </c>
      <c r="N183" s="576">
        <f t="shared" ref="N183:N185" si="421">SUM(O183:P183)</f>
        <v>17.054500000000001</v>
      </c>
      <c r="O183" s="577">
        <v>12.5</v>
      </c>
      <c r="P183" s="607">
        <v>4.5545</v>
      </c>
      <c r="Q183" s="579">
        <f t="shared" ref="Q183:Q185" si="422">V183*-1</f>
        <v>0</v>
      </c>
      <c r="R183" s="498">
        <v>0</v>
      </c>
      <c r="S183" s="498">
        <v>0</v>
      </c>
      <c r="T183" s="498">
        <v>0</v>
      </c>
      <c r="U183" s="498">
        <f t="shared" si="318"/>
        <v>0</v>
      </c>
      <c r="V183" s="498">
        <v>0</v>
      </c>
      <c r="W183" s="498">
        <v>0</v>
      </c>
      <c r="X183" s="498">
        <v>0</v>
      </c>
      <c r="Y183" s="498">
        <f t="shared" si="319"/>
        <v>0</v>
      </c>
      <c r="Z183" s="498">
        <f t="shared" si="320"/>
        <v>0</v>
      </c>
      <c r="AA183" s="131">
        <f t="shared" ref="AA183:AA185" si="423">ROUND((U183+V183+W183)*33.8%,0)</f>
        <v>0</v>
      </c>
      <c r="AB183" s="131">
        <f t="shared" si="321"/>
        <v>0</v>
      </c>
      <c r="AC183" s="498">
        <v>0</v>
      </c>
      <c r="AD183" s="498">
        <v>0</v>
      </c>
      <c r="AE183" s="498">
        <f t="shared" si="322"/>
        <v>0</v>
      </c>
      <c r="AF183" s="498">
        <f t="shared" si="323"/>
        <v>0</v>
      </c>
      <c r="AG183" s="499">
        <v>0</v>
      </c>
      <c r="AH183" s="499">
        <v>0</v>
      </c>
      <c r="AI183" s="499">
        <v>0</v>
      </c>
      <c r="AJ183" s="499">
        <v>0</v>
      </c>
      <c r="AK183" s="499">
        <v>0</v>
      </c>
      <c r="AL183" s="499">
        <f t="shared" si="324"/>
        <v>0</v>
      </c>
      <c r="AM183" s="499">
        <f t="shared" si="325"/>
        <v>0</v>
      </c>
      <c r="AN183" s="500">
        <f t="shared" si="326"/>
        <v>0</v>
      </c>
      <c r="AO183" s="497">
        <f>I183+AF183</f>
        <v>12578547</v>
      </c>
      <c r="AP183" s="498">
        <f>J183+U183</f>
        <v>9096632</v>
      </c>
      <c r="AQ183" s="498">
        <f t="shared" ref="AQ183:AQ185" si="424">Y183</f>
        <v>0</v>
      </c>
      <c r="AR183" s="498">
        <f t="shared" ref="AR183:AS185" si="425">K183+AA183</f>
        <v>3074662</v>
      </c>
      <c r="AS183" s="498">
        <f t="shared" si="425"/>
        <v>181933</v>
      </c>
      <c r="AT183" s="498">
        <f>M183+AE183</f>
        <v>225320</v>
      </c>
      <c r="AU183" s="499">
        <f>N183+AN183</f>
        <v>17.054500000000001</v>
      </c>
      <c r="AV183" s="499">
        <f t="shared" ref="AV183:AW185" si="426">O183+AL183</f>
        <v>12.5</v>
      </c>
      <c r="AW183" s="500">
        <f t="shared" si="426"/>
        <v>4.5545</v>
      </c>
    </row>
    <row r="184" spans="1:49" s="569" customFormat="1" ht="12.75" customHeight="1" x14ac:dyDescent="0.2">
      <c r="A184" s="531">
        <v>33</v>
      </c>
      <c r="B184" s="532">
        <v>4447</v>
      </c>
      <c r="C184" s="532">
        <v>600074749</v>
      </c>
      <c r="D184" s="532">
        <v>70695962</v>
      </c>
      <c r="E184" s="530" t="s">
        <v>213</v>
      </c>
      <c r="F184" s="532">
        <v>3113</v>
      </c>
      <c r="G184" s="533" t="s">
        <v>318</v>
      </c>
      <c r="H184" s="534" t="s">
        <v>284</v>
      </c>
      <c r="I184" s="575">
        <f t="shared" si="418"/>
        <v>0</v>
      </c>
      <c r="J184" s="496">
        <v>0</v>
      </c>
      <c r="K184" s="131">
        <f t="shared" si="419"/>
        <v>0</v>
      </c>
      <c r="L184" s="131">
        <f t="shared" si="420"/>
        <v>0</v>
      </c>
      <c r="M184" s="496">
        <v>0</v>
      </c>
      <c r="N184" s="576">
        <f t="shared" si="421"/>
        <v>0</v>
      </c>
      <c r="O184" s="577">
        <v>0</v>
      </c>
      <c r="P184" s="607">
        <v>0</v>
      </c>
      <c r="Q184" s="579">
        <f t="shared" si="422"/>
        <v>0</v>
      </c>
      <c r="R184" s="496">
        <v>779499</v>
      </c>
      <c r="S184" s="498">
        <v>0</v>
      </c>
      <c r="T184" s="498">
        <v>0</v>
      </c>
      <c r="U184" s="498">
        <f t="shared" si="318"/>
        <v>779499</v>
      </c>
      <c r="V184" s="498">
        <v>0</v>
      </c>
      <c r="W184" s="498">
        <v>0</v>
      </c>
      <c r="X184" s="498">
        <v>0</v>
      </c>
      <c r="Y184" s="498">
        <f t="shared" si="319"/>
        <v>0</v>
      </c>
      <c r="Z184" s="498">
        <f t="shared" si="320"/>
        <v>779499</v>
      </c>
      <c r="AA184" s="131">
        <f t="shared" si="423"/>
        <v>263471</v>
      </c>
      <c r="AB184" s="131">
        <f t="shared" si="321"/>
        <v>15590</v>
      </c>
      <c r="AC184" s="498">
        <v>0</v>
      </c>
      <c r="AD184" s="498">
        <v>0</v>
      </c>
      <c r="AE184" s="498">
        <f t="shared" si="322"/>
        <v>0</v>
      </c>
      <c r="AF184" s="498">
        <f t="shared" si="323"/>
        <v>1058560</v>
      </c>
      <c r="AG184" s="499">
        <v>0</v>
      </c>
      <c r="AH184" s="499">
        <v>0</v>
      </c>
      <c r="AI184" s="499">
        <v>2.25</v>
      </c>
      <c r="AJ184" s="499">
        <v>0</v>
      </c>
      <c r="AK184" s="499">
        <v>0</v>
      </c>
      <c r="AL184" s="499">
        <f t="shared" si="324"/>
        <v>2.25</v>
      </c>
      <c r="AM184" s="499">
        <f t="shared" si="325"/>
        <v>0</v>
      </c>
      <c r="AN184" s="500">
        <f t="shared" si="326"/>
        <v>2.25</v>
      </c>
      <c r="AO184" s="497">
        <f>I184+AF184</f>
        <v>1058560</v>
      </c>
      <c r="AP184" s="498">
        <f>J184+U184</f>
        <v>779499</v>
      </c>
      <c r="AQ184" s="498">
        <f t="shared" si="424"/>
        <v>0</v>
      </c>
      <c r="AR184" s="498">
        <f t="shared" si="425"/>
        <v>263471</v>
      </c>
      <c r="AS184" s="498">
        <f t="shared" si="425"/>
        <v>15590</v>
      </c>
      <c r="AT184" s="498">
        <f>M184+AE184</f>
        <v>0</v>
      </c>
      <c r="AU184" s="499">
        <f>N184+AN184</f>
        <v>2.25</v>
      </c>
      <c r="AV184" s="499">
        <f t="shared" si="426"/>
        <v>2.25</v>
      </c>
      <c r="AW184" s="500">
        <f t="shared" si="426"/>
        <v>0</v>
      </c>
    </row>
    <row r="185" spans="1:49" s="569" customFormat="1" ht="12.75" customHeight="1" x14ac:dyDescent="0.2">
      <c r="A185" s="531">
        <v>33</v>
      </c>
      <c r="B185" s="532">
        <v>4447</v>
      </c>
      <c r="C185" s="532">
        <v>600074749</v>
      </c>
      <c r="D185" s="532">
        <v>70695962</v>
      </c>
      <c r="E185" s="530" t="s">
        <v>213</v>
      </c>
      <c r="F185" s="532">
        <v>3141</v>
      </c>
      <c r="G185" s="533" t="s">
        <v>321</v>
      </c>
      <c r="H185" s="534" t="s">
        <v>284</v>
      </c>
      <c r="I185" s="575">
        <f t="shared" si="418"/>
        <v>947224</v>
      </c>
      <c r="J185" s="496">
        <v>692346</v>
      </c>
      <c r="K185" s="131">
        <f>ROUND((J185)*33.8%,0)</f>
        <v>234013</v>
      </c>
      <c r="L185" s="131">
        <f>ROUND(J185*2%,0)</f>
        <v>13847</v>
      </c>
      <c r="M185" s="496">
        <v>7018</v>
      </c>
      <c r="N185" s="576">
        <f t="shared" si="421"/>
        <v>2.35</v>
      </c>
      <c r="O185" s="577">
        <v>0</v>
      </c>
      <c r="P185" s="607">
        <v>2.35</v>
      </c>
      <c r="Q185" s="579">
        <f t="shared" si="422"/>
        <v>0</v>
      </c>
      <c r="R185" s="498">
        <v>0</v>
      </c>
      <c r="S185" s="498">
        <v>0</v>
      </c>
      <c r="T185" s="498">
        <v>0</v>
      </c>
      <c r="U185" s="498">
        <f t="shared" si="318"/>
        <v>0</v>
      </c>
      <c r="V185" s="498">
        <v>0</v>
      </c>
      <c r="W185" s="498">
        <v>0</v>
      </c>
      <c r="X185" s="498">
        <v>0</v>
      </c>
      <c r="Y185" s="498">
        <f t="shared" si="319"/>
        <v>0</v>
      </c>
      <c r="Z185" s="498">
        <f t="shared" si="320"/>
        <v>0</v>
      </c>
      <c r="AA185" s="131">
        <f t="shared" si="423"/>
        <v>0</v>
      </c>
      <c r="AB185" s="131">
        <f t="shared" si="321"/>
        <v>0</v>
      </c>
      <c r="AC185" s="498">
        <v>0</v>
      </c>
      <c r="AD185" s="498">
        <v>0</v>
      </c>
      <c r="AE185" s="498">
        <f t="shared" si="322"/>
        <v>0</v>
      </c>
      <c r="AF185" s="498">
        <f t="shared" si="323"/>
        <v>0</v>
      </c>
      <c r="AG185" s="499">
        <v>0</v>
      </c>
      <c r="AH185" s="499">
        <v>0</v>
      </c>
      <c r="AI185" s="499">
        <v>0</v>
      </c>
      <c r="AJ185" s="499">
        <v>0</v>
      </c>
      <c r="AK185" s="499">
        <v>0</v>
      </c>
      <c r="AL185" s="499">
        <f t="shared" si="324"/>
        <v>0</v>
      </c>
      <c r="AM185" s="499">
        <f t="shared" si="325"/>
        <v>0</v>
      </c>
      <c r="AN185" s="500">
        <f t="shared" si="326"/>
        <v>0</v>
      </c>
      <c r="AO185" s="497">
        <f>I185+AF185</f>
        <v>947224</v>
      </c>
      <c r="AP185" s="498">
        <f>J185+U185</f>
        <v>692346</v>
      </c>
      <c r="AQ185" s="498">
        <f t="shared" si="424"/>
        <v>0</v>
      </c>
      <c r="AR185" s="498">
        <f t="shared" si="425"/>
        <v>234013</v>
      </c>
      <c r="AS185" s="498">
        <f t="shared" si="425"/>
        <v>13847</v>
      </c>
      <c r="AT185" s="498">
        <f>M185+AE185</f>
        <v>7018</v>
      </c>
      <c r="AU185" s="499">
        <f>N185+AN185</f>
        <v>2.35</v>
      </c>
      <c r="AV185" s="499">
        <f t="shared" si="426"/>
        <v>0</v>
      </c>
      <c r="AW185" s="500">
        <f t="shared" si="426"/>
        <v>2.35</v>
      </c>
    </row>
    <row r="186" spans="1:49" s="569" customFormat="1" ht="12.75" customHeight="1" x14ac:dyDescent="0.2">
      <c r="A186" s="302">
        <v>33</v>
      </c>
      <c r="B186" s="32">
        <v>4447</v>
      </c>
      <c r="C186" s="32">
        <v>600074749</v>
      </c>
      <c r="D186" s="32">
        <v>70695962</v>
      </c>
      <c r="E186" s="311" t="s">
        <v>214</v>
      </c>
      <c r="F186" s="32"/>
      <c r="G186" s="301"/>
      <c r="H186" s="454"/>
      <c r="I186" s="5">
        <f t="shared" ref="I186:P186" si="427">SUM(I183:I185)</f>
        <v>13525771</v>
      </c>
      <c r="J186" s="8">
        <f t="shared" si="427"/>
        <v>9788978</v>
      </c>
      <c r="K186" s="8">
        <f t="shared" si="427"/>
        <v>3308675</v>
      </c>
      <c r="L186" s="8">
        <f t="shared" si="427"/>
        <v>195780</v>
      </c>
      <c r="M186" s="8">
        <f t="shared" si="427"/>
        <v>232338</v>
      </c>
      <c r="N186" s="9">
        <f t="shared" si="427"/>
        <v>19.404500000000002</v>
      </c>
      <c r="O186" s="9">
        <f t="shared" si="427"/>
        <v>12.5</v>
      </c>
      <c r="P186" s="39">
        <f t="shared" si="427"/>
        <v>6.9045000000000005</v>
      </c>
      <c r="Q186" s="5">
        <f t="shared" ref="Q186:AW186" si="428">SUM(Q183:Q185)</f>
        <v>0</v>
      </c>
      <c r="R186" s="8">
        <f t="shared" si="428"/>
        <v>779499</v>
      </c>
      <c r="S186" s="8">
        <f t="shared" si="428"/>
        <v>0</v>
      </c>
      <c r="T186" s="8">
        <f t="shared" si="428"/>
        <v>0</v>
      </c>
      <c r="U186" s="8">
        <f t="shared" si="428"/>
        <v>779499</v>
      </c>
      <c r="V186" s="8">
        <f t="shared" si="428"/>
        <v>0</v>
      </c>
      <c r="W186" s="8">
        <f t="shared" si="428"/>
        <v>0</v>
      </c>
      <c r="X186" s="8">
        <f t="shared" si="428"/>
        <v>0</v>
      </c>
      <c r="Y186" s="8">
        <f t="shared" si="428"/>
        <v>0</v>
      </c>
      <c r="Z186" s="8">
        <f t="shared" si="428"/>
        <v>779499</v>
      </c>
      <c r="AA186" s="8">
        <f t="shared" si="428"/>
        <v>263471</v>
      </c>
      <c r="AB186" s="8">
        <f t="shared" si="428"/>
        <v>15590</v>
      </c>
      <c r="AC186" s="8">
        <f t="shared" si="428"/>
        <v>0</v>
      </c>
      <c r="AD186" s="8">
        <f t="shared" si="428"/>
        <v>0</v>
      </c>
      <c r="AE186" s="8">
        <f t="shared" si="428"/>
        <v>0</v>
      </c>
      <c r="AF186" s="8">
        <f t="shared" si="428"/>
        <v>1058560</v>
      </c>
      <c r="AG186" s="9">
        <f t="shared" si="428"/>
        <v>0</v>
      </c>
      <c r="AH186" s="9">
        <f t="shared" si="428"/>
        <v>0</v>
      </c>
      <c r="AI186" s="9">
        <f t="shared" si="428"/>
        <v>2.25</v>
      </c>
      <c r="AJ186" s="9">
        <f t="shared" si="428"/>
        <v>0</v>
      </c>
      <c r="AK186" s="9">
        <f t="shared" si="428"/>
        <v>0</v>
      </c>
      <c r="AL186" s="9">
        <f t="shared" si="428"/>
        <v>2.25</v>
      </c>
      <c r="AM186" s="9">
        <f t="shared" si="428"/>
        <v>0</v>
      </c>
      <c r="AN186" s="92">
        <f t="shared" si="428"/>
        <v>2.25</v>
      </c>
      <c r="AO186" s="295">
        <f t="shared" si="428"/>
        <v>14584331</v>
      </c>
      <c r="AP186" s="8">
        <f t="shared" si="428"/>
        <v>10568477</v>
      </c>
      <c r="AQ186" s="8">
        <f t="shared" si="428"/>
        <v>0</v>
      </c>
      <c r="AR186" s="8">
        <f t="shared" si="428"/>
        <v>3572146</v>
      </c>
      <c r="AS186" s="8">
        <f t="shared" si="428"/>
        <v>211370</v>
      </c>
      <c r="AT186" s="8">
        <f t="shared" si="428"/>
        <v>232338</v>
      </c>
      <c r="AU186" s="9">
        <f t="shared" si="428"/>
        <v>21.654500000000002</v>
      </c>
      <c r="AV186" s="9">
        <f t="shared" si="428"/>
        <v>14.75</v>
      </c>
      <c r="AW186" s="92">
        <f t="shared" si="428"/>
        <v>6.9045000000000005</v>
      </c>
    </row>
    <row r="187" spans="1:49" s="569" customFormat="1" ht="12.75" customHeight="1" x14ac:dyDescent="0.2">
      <c r="A187" s="531">
        <v>34</v>
      </c>
      <c r="B187" s="532">
        <v>4449</v>
      </c>
      <c r="C187" s="532">
        <v>650037090</v>
      </c>
      <c r="D187" s="532">
        <v>72744171</v>
      </c>
      <c r="E187" s="530" t="s">
        <v>215</v>
      </c>
      <c r="F187" s="532">
        <v>3111</v>
      </c>
      <c r="G187" s="533" t="s">
        <v>317</v>
      </c>
      <c r="H187" s="534" t="s">
        <v>283</v>
      </c>
      <c r="I187" s="575">
        <f t="shared" ref="I187:I191" si="429">SUM(J187:M187)</f>
        <v>2639818</v>
      </c>
      <c r="J187" s="496">
        <v>1935617</v>
      </c>
      <c r="K187" s="131">
        <f t="shared" ref="K187:K189" si="430">ROUND((J187)*33.8%,0)</f>
        <v>654239</v>
      </c>
      <c r="L187" s="131">
        <f t="shared" ref="L187:L189" si="431">ROUND(J187*2%,0)</f>
        <v>38712</v>
      </c>
      <c r="M187" s="496">
        <v>11250</v>
      </c>
      <c r="N187" s="576">
        <f t="shared" ref="N187:N192" si="432">SUM(O187:P187)</f>
        <v>4.9218000000000002</v>
      </c>
      <c r="O187" s="577">
        <v>4</v>
      </c>
      <c r="P187" s="607">
        <v>0.92179999999999995</v>
      </c>
      <c r="Q187" s="579">
        <f t="shared" ref="Q187:Q192" si="433">V187*-1</f>
        <v>0</v>
      </c>
      <c r="R187" s="498">
        <v>0</v>
      </c>
      <c r="S187" s="498">
        <v>0</v>
      </c>
      <c r="T187" s="498">
        <v>0</v>
      </c>
      <c r="U187" s="498">
        <f t="shared" si="318"/>
        <v>0</v>
      </c>
      <c r="V187" s="498">
        <v>0</v>
      </c>
      <c r="W187" s="498">
        <v>0</v>
      </c>
      <c r="X187" s="498">
        <v>0</v>
      </c>
      <c r="Y187" s="498">
        <f t="shared" si="319"/>
        <v>0</v>
      </c>
      <c r="Z187" s="498">
        <f t="shared" si="320"/>
        <v>0</v>
      </c>
      <c r="AA187" s="131">
        <f t="shared" ref="AA187:AA192" si="434">ROUND((U187+V187+W187)*33.8%,0)</f>
        <v>0</v>
      </c>
      <c r="AB187" s="131">
        <f t="shared" si="321"/>
        <v>0</v>
      </c>
      <c r="AC187" s="498">
        <v>0</v>
      </c>
      <c r="AD187" s="498">
        <v>0</v>
      </c>
      <c r="AE187" s="498">
        <f t="shared" si="322"/>
        <v>0</v>
      </c>
      <c r="AF187" s="498">
        <f t="shared" si="323"/>
        <v>0</v>
      </c>
      <c r="AG187" s="499">
        <v>0</v>
      </c>
      <c r="AH187" s="499">
        <v>0</v>
      </c>
      <c r="AI187" s="499">
        <v>0</v>
      </c>
      <c r="AJ187" s="499">
        <v>0</v>
      </c>
      <c r="AK187" s="499">
        <v>0</v>
      </c>
      <c r="AL187" s="499">
        <f t="shared" si="324"/>
        <v>0</v>
      </c>
      <c r="AM187" s="499">
        <f t="shared" si="325"/>
        <v>0</v>
      </c>
      <c r="AN187" s="500">
        <f t="shared" si="326"/>
        <v>0</v>
      </c>
      <c r="AO187" s="497">
        <f t="shared" ref="AO187:AO192" si="435">I187+AF187</f>
        <v>2639818</v>
      </c>
      <c r="AP187" s="498">
        <f t="shared" ref="AP187:AP192" si="436">J187+U187</f>
        <v>1935617</v>
      </c>
      <c r="AQ187" s="498">
        <f t="shared" ref="AQ187:AQ192" si="437">Y187</f>
        <v>0</v>
      </c>
      <c r="AR187" s="498">
        <f t="shared" ref="AR187:AS192" si="438">K187+AA187</f>
        <v>654239</v>
      </c>
      <c r="AS187" s="498">
        <f t="shared" si="438"/>
        <v>38712</v>
      </c>
      <c r="AT187" s="498">
        <f t="shared" ref="AT187:AT192" si="439">M187+AE187</f>
        <v>11250</v>
      </c>
      <c r="AU187" s="499">
        <f t="shared" ref="AU187:AU192" si="440">N187+AN187</f>
        <v>4.9218000000000002</v>
      </c>
      <c r="AV187" s="499">
        <f t="shared" ref="AV187:AW192" si="441">O187+AL187</f>
        <v>4</v>
      </c>
      <c r="AW187" s="500">
        <f t="shared" si="441"/>
        <v>0.92179999999999995</v>
      </c>
    </row>
    <row r="188" spans="1:49" s="569" customFormat="1" ht="12.75" customHeight="1" x14ac:dyDescent="0.2">
      <c r="A188" s="531">
        <v>34</v>
      </c>
      <c r="B188" s="532">
        <v>4449</v>
      </c>
      <c r="C188" s="532">
        <v>650037090</v>
      </c>
      <c r="D188" s="532">
        <v>72744171</v>
      </c>
      <c r="E188" s="530" t="s">
        <v>215</v>
      </c>
      <c r="F188" s="532">
        <v>3113</v>
      </c>
      <c r="G188" s="533" t="s">
        <v>320</v>
      </c>
      <c r="H188" s="534" t="s">
        <v>283</v>
      </c>
      <c r="I188" s="575">
        <f t="shared" si="429"/>
        <v>11830814</v>
      </c>
      <c r="J188" s="496">
        <v>8551726</v>
      </c>
      <c r="K188" s="131">
        <f t="shared" si="430"/>
        <v>2890483</v>
      </c>
      <c r="L188" s="131">
        <f t="shared" si="431"/>
        <v>171035</v>
      </c>
      <c r="M188" s="496">
        <v>217570</v>
      </c>
      <c r="N188" s="576">
        <f t="shared" si="432"/>
        <v>17.646599999999999</v>
      </c>
      <c r="O188" s="577">
        <v>12.1364</v>
      </c>
      <c r="P188" s="607">
        <v>5.5101999999999993</v>
      </c>
      <c r="Q188" s="579">
        <f t="shared" si="433"/>
        <v>-24000</v>
      </c>
      <c r="R188" s="498">
        <v>0</v>
      </c>
      <c r="S188" s="498">
        <v>0</v>
      </c>
      <c r="T188" s="498">
        <v>0</v>
      </c>
      <c r="U188" s="498">
        <f t="shared" si="318"/>
        <v>-24000</v>
      </c>
      <c r="V188" s="498">
        <v>24000</v>
      </c>
      <c r="W188" s="498">
        <v>0</v>
      </c>
      <c r="X188" s="498">
        <v>0</v>
      </c>
      <c r="Y188" s="498">
        <f t="shared" si="319"/>
        <v>24000</v>
      </c>
      <c r="Z188" s="498">
        <f t="shared" si="320"/>
        <v>0</v>
      </c>
      <c r="AA188" s="131">
        <f t="shared" si="434"/>
        <v>0</v>
      </c>
      <c r="AB188" s="131">
        <f t="shared" si="321"/>
        <v>-480</v>
      </c>
      <c r="AC188" s="498">
        <v>0</v>
      </c>
      <c r="AD188" s="498">
        <v>0</v>
      </c>
      <c r="AE188" s="498">
        <f t="shared" si="322"/>
        <v>0</v>
      </c>
      <c r="AF188" s="498">
        <f t="shared" si="323"/>
        <v>-480</v>
      </c>
      <c r="AG188" s="499">
        <v>-0.03</v>
      </c>
      <c r="AH188" s="499">
        <v>0</v>
      </c>
      <c r="AI188" s="499">
        <v>0</v>
      </c>
      <c r="AJ188" s="499">
        <v>0</v>
      </c>
      <c r="AK188" s="499">
        <v>0</v>
      </c>
      <c r="AL188" s="499">
        <f t="shared" si="324"/>
        <v>-0.03</v>
      </c>
      <c r="AM188" s="499">
        <f t="shared" si="325"/>
        <v>0</v>
      </c>
      <c r="AN188" s="500">
        <f t="shared" si="326"/>
        <v>-0.03</v>
      </c>
      <c r="AO188" s="497">
        <f t="shared" si="435"/>
        <v>11830334</v>
      </c>
      <c r="AP188" s="498">
        <f t="shared" si="436"/>
        <v>8527726</v>
      </c>
      <c r="AQ188" s="498">
        <f t="shared" si="437"/>
        <v>24000</v>
      </c>
      <c r="AR188" s="498">
        <f t="shared" si="438"/>
        <v>2890483</v>
      </c>
      <c r="AS188" s="498">
        <f t="shared" si="438"/>
        <v>170555</v>
      </c>
      <c r="AT188" s="498">
        <f t="shared" si="439"/>
        <v>217570</v>
      </c>
      <c r="AU188" s="499">
        <f t="shared" si="440"/>
        <v>17.616599999999998</v>
      </c>
      <c r="AV188" s="499">
        <f t="shared" si="441"/>
        <v>12.106400000000001</v>
      </c>
      <c r="AW188" s="500">
        <f t="shared" si="441"/>
        <v>5.5101999999999993</v>
      </c>
    </row>
    <row r="189" spans="1:49" s="569" customFormat="1" ht="12.75" customHeight="1" x14ac:dyDescent="0.2">
      <c r="A189" s="531">
        <v>34</v>
      </c>
      <c r="B189" s="532">
        <v>4449</v>
      </c>
      <c r="C189" s="532">
        <v>650037090</v>
      </c>
      <c r="D189" s="532">
        <v>72744171</v>
      </c>
      <c r="E189" s="530" t="s">
        <v>215</v>
      </c>
      <c r="F189" s="532">
        <v>3113</v>
      </c>
      <c r="G189" s="533" t="s">
        <v>318</v>
      </c>
      <c r="H189" s="534" t="s">
        <v>284</v>
      </c>
      <c r="I189" s="575">
        <f t="shared" si="429"/>
        <v>0</v>
      </c>
      <c r="J189" s="496">
        <v>0</v>
      </c>
      <c r="K189" s="131">
        <f t="shared" si="430"/>
        <v>0</v>
      </c>
      <c r="L189" s="131">
        <f t="shared" si="431"/>
        <v>0</v>
      </c>
      <c r="M189" s="496">
        <v>0</v>
      </c>
      <c r="N189" s="576">
        <f t="shared" si="432"/>
        <v>0</v>
      </c>
      <c r="O189" s="577">
        <v>0</v>
      </c>
      <c r="P189" s="607">
        <v>0</v>
      </c>
      <c r="Q189" s="579">
        <f t="shared" si="433"/>
        <v>0</v>
      </c>
      <c r="R189" s="496">
        <f>702518+158787+52056</f>
        <v>913361</v>
      </c>
      <c r="S189" s="498">
        <v>0</v>
      </c>
      <c r="T189" s="498">
        <v>0</v>
      </c>
      <c r="U189" s="498">
        <f t="shared" si="318"/>
        <v>913361</v>
      </c>
      <c r="V189" s="498">
        <v>0</v>
      </c>
      <c r="W189" s="498">
        <v>0</v>
      </c>
      <c r="X189" s="498">
        <v>0</v>
      </c>
      <c r="Y189" s="498">
        <f t="shared" si="319"/>
        <v>0</v>
      </c>
      <c r="Z189" s="498">
        <f t="shared" si="320"/>
        <v>913361</v>
      </c>
      <c r="AA189" s="131">
        <f t="shared" si="434"/>
        <v>308716</v>
      </c>
      <c r="AB189" s="131">
        <f t="shared" si="321"/>
        <v>18267</v>
      </c>
      <c r="AC189" s="498">
        <v>26250</v>
      </c>
      <c r="AD189" s="498">
        <v>0</v>
      </c>
      <c r="AE189" s="498">
        <f t="shared" si="322"/>
        <v>26250</v>
      </c>
      <c r="AF189" s="498">
        <f t="shared" si="323"/>
        <v>1266594</v>
      </c>
      <c r="AG189" s="499">
        <v>0</v>
      </c>
      <c r="AH189" s="499">
        <v>0</v>
      </c>
      <c r="AI189" s="499">
        <f>2.03+0.46+0.12</f>
        <v>2.61</v>
      </c>
      <c r="AJ189" s="499">
        <v>0</v>
      </c>
      <c r="AK189" s="499">
        <v>0</v>
      </c>
      <c r="AL189" s="499">
        <f t="shared" si="324"/>
        <v>2.61</v>
      </c>
      <c r="AM189" s="499">
        <f t="shared" si="325"/>
        <v>0</v>
      </c>
      <c r="AN189" s="500">
        <f t="shared" si="326"/>
        <v>2.61</v>
      </c>
      <c r="AO189" s="497">
        <f t="shared" si="435"/>
        <v>1266594</v>
      </c>
      <c r="AP189" s="498">
        <f t="shared" si="436"/>
        <v>913361</v>
      </c>
      <c r="AQ189" s="498">
        <f t="shared" si="437"/>
        <v>0</v>
      </c>
      <c r="AR189" s="498">
        <f t="shared" si="438"/>
        <v>308716</v>
      </c>
      <c r="AS189" s="498">
        <f t="shared" si="438"/>
        <v>18267</v>
      </c>
      <c r="AT189" s="498">
        <f t="shared" si="439"/>
        <v>26250</v>
      </c>
      <c r="AU189" s="499">
        <f t="shared" si="440"/>
        <v>2.61</v>
      </c>
      <c r="AV189" s="499">
        <f t="shared" si="441"/>
        <v>2.61</v>
      </c>
      <c r="AW189" s="500">
        <f t="shared" si="441"/>
        <v>0</v>
      </c>
    </row>
    <row r="190" spans="1:49" s="569" customFormat="1" ht="12.75" customHeight="1" x14ac:dyDescent="0.2">
      <c r="A190" s="531">
        <v>34</v>
      </c>
      <c r="B190" s="532">
        <v>4449</v>
      </c>
      <c r="C190" s="532">
        <v>650037090</v>
      </c>
      <c r="D190" s="532">
        <v>72744171</v>
      </c>
      <c r="E190" s="530" t="s">
        <v>215</v>
      </c>
      <c r="F190" s="532">
        <v>3141</v>
      </c>
      <c r="G190" s="533" t="s">
        <v>321</v>
      </c>
      <c r="H190" s="534" t="s">
        <v>284</v>
      </c>
      <c r="I190" s="575">
        <f t="shared" si="429"/>
        <v>1011387</v>
      </c>
      <c r="J190" s="496">
        <v>740705</v>
      </c>
      <c r="K190" s="131">
        <f>ROUND((J190)*33.8%,0)</f>
        <v>250358</v>
      </c>
      <c r="L190" s="131">
        <f>ROUND(J190*2%,0)</f>
        <v>14814</v>
      </c>
      <c r="M190" s="496">
        <v>5510</v>
      </c>
      <c r="N190" s="576">
        <f t="shared" si="432"/>
        <v>2.52</v>
      </c>
      <c r="O190" s="577">
        <v>0</v>
      </c>
      <c r="P190" s="607">
        <v>2.52</v>
      </c>
      <c r="Q190" s="579">
        <f t="shared" si="433"/>
        <v>0</v>
      </c>
      <c r="R190" s="498">
        <v>0</v>
      </c>
      <c r="S190" s="498">
        <v>0</v>
      </c>
      <c r="T190" s="498">
        <v>0</v>
      </c>
      <c r="U190" s="498">
        <f t="shared" si="318"/>
        <v>0</v>
      </c>
      <c r="V190" s="498">
        <v>0</v>
      </c>
      <c r="W190" s="498">
        <v>0</v>
      </c>
      <c r="X190" s="498">
        <v>0</v>
      </c>
      <c r="Y190" s="498">
        <f t="shared" si="319"/>
        <v>0</v>
      </c>
      <c r="Z190" s="498">
        <f t="shared" si="320"/>
        <v>0</v>
      </c>
      <c r="AA190" s="131">
        <f t="shared" si="434"/>
        <v>0</v>
      </c>
      <c r="AB190" s="131">
        <f t="shared" si="321"/>
        <v>0</v>
      </c>
      <c r="AC190" s="498">
        <v>0</v>
      </c>
      <c r="AD190" s="498">
        <v>0</v>
      </c>
      <c r="AE190" s="498">
        <f t="shared" si="322"/>
        <v>0</v>
      </c>
      <c r="AF190" s="498">
        <f t="shared" si="323"/>
        <v>0</v>
      </c>
      <c r="AG190" s="499">
        <v>0</v>
      </c>
      <c r="AH190" s="499">
        <v>0</v>
      </c>
      <c r="AI190" s="499">
        <v>0</v>
      </c>
      <c r="AJ190" s="499">
        <v>0</v>
      </c>
      <c r="AK190" s="499">
        <v>0</v>
      </c>
      <c r="AL190" s="499">
        <f t="shared" si="324"/>
        <v>0</v>
      </c>
      <c r="AM190" s="499">
        <f t="shared" si="325"/>
        <v>0</v>
      </c>
      <c r="AN190" s="500">
        <f t="shared" si="326"/>
        <v>0</v>
      </c>
      <c r="AO190" s="497">
        <f t="shared" si="435"/>
        <v>1011387</v>
      </c>
      <c r="AP190" s="498">
        <f t="shared" si="436"/>
        <v>740705</v>
      </c>
      <c r="AQ190" s="498">
        <f t="shared" si="437"/>
        <v>0</v>
      </c>
      <c r="AR190" s="498">
        <f t="shared" si="438"/>
        <v>250358</v>
      </c>
      <c r="AS190" s="498">
        <f t="shared" si="438"/>
        <v>14814</v>
      </c>
      <c r="AT190" s="498">
        <f t="shared" si="439"/>
        <v>5510</v>
      </c>
      <c r="AU190" s="499">
        <f t="shared" si="440"/>
        <v>2.52</v>
      </c>
      <c r="AV190" s="499">
        <f t="shared" si="441"/>
        <v>0</v>
      </c>
      <c r="AW190" s="500">
        <f t="shared" si="441"/>
        <v>2.52</v>
      </c>
    </row>
    <row r="191" spans="1:49" s="569" customFormat="1" ht="12.75" customHeight="1" x14ac:dyDescent="0.2">
      <c r="A191" s="531">
        <v>34</v>
      </c>
      <c r="B191" s="532">
        <v>4449</v>
      </c>
      <c r="C191" s="532">
        <v>650037090</v>
      </c>
      <c r="D191" s="532">
        <v>72744171</v>
      </c>
      <c r="E191" s="530" t="s">
        <v>215</v>
      </c>
      <c r="F191" s="532">
        <v>3143</v>
      </c>
      <c r="G191" s="533" t="s">
        <v>635</v>
      </c>
      <c r="H191" s="574" t="s">
        <v>283</v>
      </c>
      <c r="I191" s="575">
        <f t="shared" si="429"/>
        <v>1146365</v>
      </c>
      <c r="J191" s="496">
        <v>844157</v>
      </c>
      <c r="K191" s="131">
        <f t="shared" ref="K191:K192" si="442">ROUND((J191)*33.8%,0)</f>
        <v>285325</v>
      </c>
      <c r="L191" s="131">
        <f t="shared" ref="L191:L192" si="443">ROUND(J191*2%,0)</f>
        <v>16883</v>
      </c>
      <c r="M191" s="496"/>
      <c r="N191" s="576">
        <f t="shared" si="432"/>
        <v>1.9</v>
      </c>
      <c r="O191" s="577">
        <v>1.9</v>
      </c>
      <c r="P191" s="607">
        <v>0</v>
      </c>
      <c r="Q191" s="579">
        <f t="shared" si="433"/>
        <v>0</v>
      </c>
      <c r="R191" s="498">
        <v>0</v>
      </c>
      <c r="S191" s="498">
        <v>0</v>
      </c>
      <c r="T191" s="498">
        <v>0</v>
      </c>
      <c r="U191" s="498">
        <f t="shared" si="318"/>
        <v>0</v>
      </c>
      <c r="V191" s="498">
        <v>0</v>
      </c>
      <c r="W191" s="498">
        <v>0</v>
      </c>
      <c r="X191" s="498">
        <v>0</v>
      </c>
      <c r="Y191" s="498">
        <f t="shared" si="319"/>
        <v>0</v>
      </c>
      <c r="Z191" s="498">
        <f t="shared" si="320"/>
        <v>0</v>
      </c>
      <c r="AA191" s="131">
        <f t="shared" si="434"/>
        <v>0</v>
      </c>
      <c r="AB191" s="131">
        <f t="shared" si="321"/>
        <v>0</v>
      </c>
      <c r="AC191" s="498">
        <v>0</v>
      </c>
      <c r="AD191" s="498">
        <v>0</v>
      </c>
      <c r="AE191" s="498">
        <f t="shared" si="322"/>
        <v>0</v>
      </c>
      <c r="AF191" s="498">
        <f t="shared" si="323"/>
        <v>0</v>
      </c>
      <c r="AG191" s="499">
        <v>0</v>
      </c>
      <c r="AH191" s="499">
        <v>0</v>
      </c>
      <c r="AI191" s="499">
        <v>0</v>
      </c>
      <c r="AJ191" s="499">
        <v>0</v>
      </c>
      <c r="AK191" s="499">
        <v>0</v>
      </c>
      <c r="AL191" s="499">
        <f t="shared" si="324"/>
        <v>0</v>
      </c>
      <c r="AM191" s="499">
        <f t="shared" si="325"/>
        <v>0</v>
      </c>
      <c r="AN191" s="500">
        <f t="shared" si="326"/>
        <v>0</v>
      </c>
      <c r="AO191" s="497">
        <f t="shared" si="435"/>
        <v>1146365</v>
      </c>
      <c r="AP191" s="498">
        <f t="shared" si="436"/>
        <v>844157</v>
      </c>
      <c r="AQ191" s="498">
        <f t="shared" si="437"/>
        <v>0</v>
      </c>
      <c r="AR191" s="498">
        <f t="shared" si="438"/>
        <v>285325</v>
      </c>
      <c r="AS191" s="498">
        <f t="shared" si="438"/>
        <v>16883</v>
      </c>
      <c r="AT191" s="498">
        <f t="shared" si="439"/>
        <v>0</v>
      </c>
      <c r="AU191" s="499">
        <f t="shared" si="440"/>
        <v>1.9</v>
      </c>
      <c r="AV191" s="499">
        <f t="shared" si="441"/>
        <v>1.9</v>
      </c>
      <c r="AW191" s="500">
        <f t="shared" si="441"/>
        <v>0</v>
      </c>
    </row>
    <row r="192" spans="1:49" s="569" customFormat="1" ht="12.75" customHeight="1" x14ac:dyDescent="0.2">
      <c r="A192" s="531">
        <v>34</v>
      </c>
      <c r="B192" s="532">
        <v>4449</v>
      </c>
      <c r="C192" s="532">
        <v>650037090</v>
      </c>
      <c r="D192" s="532">
        <v>72744171</v>
      </c>
      <c r="E192" s="530" t="s">
        <v>215</v>
      </c>
      <c r="F192" s="532">
        <v>3143</v>
      </c>
      <c r="G192" s="533" t="s">
        <v>636</v>
      </c>
      <c r="H192" s="574" t="s">
        <v>284</v>
      </c>
      <c r="I192" s="575">
        <f>SUM(J192:M192)</f>
        <v>31600</v>
      </c>
      <c r="J192" s="496">
        <v>22275</v>
      </c>
      <c r="K192" s="131">
        <f t="shared" si="442"/>
        <v>7529</v>
      </c>
      <c r="L192" s="131">
        <f t="shared" si="443"/>
        <v>446</v>
      </c>
      <c r="M192" s="496">
        <v>1350</v>
      </c>
      <c r="N192" s="576">
        <f t="shared" si="432"/>
        <v>0.09</v>
      </c>
      <c r="O192" s="577">
        <v>0</v>
      </c>
      <c r="P192" s="607">
        <v>0.09</v>
      </c>
      <c r="Q192" s="579">
        <f t="shared" si="433"/>
        <v>0</v>
      </c>
      <c r="R192" s="498">
        <v>0</v>
      </c>
      <c r="S192" s="498">
        <v>0</v>
      </c>
      <c r="T192" s="498">
        <v>0</v>
      </c>
      <c r="U192" s="498">
        <f t="shared" si="318"/>
        <v>0</v>
      </c>
      <c r="V192" s="498">
        <v>0</v>
      </c>
      <c r="W192" s="498">
        <v>0</v>
      </c>
      <c r="X192" s="498">
        <v>0</v>
      </c>
      <c r="Y192" s="498">
        <f t="shared" si="319"/>
        <v>0</v>
      </c>
      <c r="Z192" s="498">
        <f t="shared" si="320"/>
        <v>0</v>
      </c>
      <c r="AA192" s="131">
        <f t="shared" si="434"/>
        <v>0</v>
      </c>
      <c r="AB192" s="131">
        <f t="shared" si="321"/>
        <v>0</v>
      </c>
      <c r="AC192" s="498">
        <v>0</v>
      </c>
      <c r="AD192" s="498">
        <v>0</v>
      </c>
      <c r="AE192" s="498">
        <f t="shared" si="322"/>
        <v>0</v>
      </c>
      <c r="AF192" s="498">
        <f t="shared" si="323"/>
        <v>0</v>
      </c>
      <c r="AG192" s="499">
        <v>0</v>
      </c>
      <c r="AH192" s="499">
        <v>0</v>
      </c>
      <c r="AI192" s="499">
        <v>0</v>
      </c>
      <c r="AJ192" s="499">
        <v>0</v>
      </c>
      <c r="AK192" s="499">
        <v>0</v>
      </c>
      <c r="AL192" s="499">
        <f t="shared" si="324"/>
        <v>0</v>
      </c>
      <c r="AM192" s="499">
        <f t="shared" si="325"/>
        <v>0</v>
      </c>
      <c r="AN192" s="500">
        <f t="shared" si="326"/>
        <v>0</v>
      </c>
      <c r="AO192" s="497">
        <f t="shared" si="435"/>
        <v>31600</v>
      </c>
      <c r="AP192" s="498">
        <f t="shared" si="436"/>
        <v>22275</v>
      </c>
      <c r="AQ192" s="498">
        <f t="shared" si="437"/>
        <v>0</v>
      </c>
      <c r="AR192" s="498">
        <f t="shared" si="438"/>
        <v>7529</v>
      </c>
      <c r="AS192" s="498">
        <f t="shared" si="438"/>
        <v>446</v>
      </c>
      <c r="AT192" s="498">
        <f t="shared" si="439"/>
        <v>1350</v>
      </c>
      <c r="AU192" s="499">
        <f t="shared" si="440"/>
        <v>0.09</v>
      </c>
      <c r="AV192" s="499">
        <f t="shared" si="441"/>
        <v>0</v>
      </c>
      <c r="AW192" s="500">
        <f t="shared" si="441"/>
        <v>0.09</v>
      </c>
    </row>
    <row r="193" spans="1:49" s="569" customFormat="1" ht="12.75" customHeight="1" x14ac:dyDescent="0.2">
      <c r="A193" s="302">
        <v>34</v>
      </c>
      <c r="B193" s="32">
        <v>4449</v>
      </c>
      <c r="C193" s="32">
        <v>650037090</v>
      </c>
      <c r="D193" s="32">
        <v>72744171</v>
      </c>
      <c r="E193" s="311" t="s">
        <v>216</v>
      </c>
      <c r="F193" s="32"/>
      <c r="G193" s="301"/>
      <c r="H193" s="454"/>
      <c r="I193" s="5">
        <f t="shared" ref="I193:AW193" si="444">SUM(I187:I192)</f>
        <v>16659984</v>
      </c>
      <c r="J193" s="8">
        <f t="shared" si="444"/>
        <v>12094480</v>
      </c>
      <c r="K193" s="8">
        <f t="shared" si="444"/>
        <v>4087934</v>
      </c>
      <c r="L193" s="8">
        <f t="shared" si="444"/>
        <v>241890</v>
      </c>
      <c r="M193" s="8">
        <f t="shared" si="444"/>
        <v>235680</v>
      </c>
      <c r="N193" s="9">
        <f t="shared" si="444"/>
        <v>27.078399999999998</v>
      </c>
      <c r="O193" s="9">
        <f t="shared" si="444"/>
        <v>18.0364</v>
      </c>
      <c r="P193" s="39">
        <f t="shared" si="444"/>
        <v>9.0419999999999998</v>
      </c>
      <c r="Q193" s="5">
        <f t="shared" si="444"/>
        <v>-24000</v>
      </c>
      <c r="R193" s="8">
        <f t="shared" si="444"/>
        <v>913361</v>
      </c>
      <c r="S193" s="8">
        <f t="shared" si="444"/>
        <v>0</v>
      </c>
      <c r="T193" s="8">
        <f t="shared" si="444"/>
        <v>0</v>
      </c>
      <c r="U193" s="8">
        <f t="shared" si="444"/>
        <v>889361</v>
      </c>
      <c r="V193" s="8">
        <f t="shared" si="444"/>
        <v>24000</v>
      </c>
      <c r="W193" s="8">
        <f t="shared" si="444"/>
        <v>0</v>
      </c>
      <c r="X193" s="8">
        <f t="shared" si="444"/>
        <v>0</v>
      </c>
      <c r="Y193" s="8">
        <f t="shared" si="444"/>
        <v>24000</v>
      </c>
      <c r="Z193" s="8">
        <f t="shared" si="444"/>
        <v>913361</v>
      </c>
      <c r="AA193" s="8">
        <f t="shared" si="444"/>
        <v>308716</v>
      </c>
      <c r="AB193" s="8">
        <f t="shared" si="444"/>
        <v>17787</v>
      </c>
      <c r="AC193" s="8">
        <f t="shared" si="444"/>
        <v>26250</v>
      </c>
      <c r="AD193" s="8">
        <f t="shared" si="444"/>
        <v>0</v>
      </c>
      <c r="AE193" s="8">
        <f t="shared" si="444"/>
        <v>26250</v>
      </c>
      <c r="AF193" s="8">
        <f t="shared" si="444"/>
        <v>1266114</v>
      </c>
      <c r="AG193" s="9">
        <f t="shared" si="444"/>
        <v>-0.03</v>
      </c>
      <c r="AH193" s="9">
        <f t="shared" si="444"/>
        <v>0</v>
      </c>
      <c r="AI193" s="9">
        <f t="shared" si="444"/>
        <v>2.61</v>
      </c>
      <c r="AJ193" s="9">
        <f t="shared" si="444"/>
        <v>0</v>
      </c>
      <c r="AK193" s="9">
        <f t="shared" si="444"/>
        <v>0</v>
      </c>
      <c r="AL193" s="9">
        <f t="shared" si="444"/>
        <v>2.58</v>
      </c>
      <c r="AM193" s="9">
        <f t="shared" si="444"/>
        <v>0</v>
      </c>
      <c r="AN193" s="92">
        <f t="shared" si="444"/>
        <v>2.58</v>
      </c>
      <c r="AO193" s="295">
        <f t="shared" si="444"/>
        <v>17926098</v>
      </c>
      <c r="AP193" s="8">
        <f t="shared" si="444"/>
        <v>12983841</v>
      </c>
      <c r="AQ193" s="8">
        <f t="shared" si="444"/>
        <v>24000</v>
      </c>
      <c r="AR193" s="8">
        <f t="shared" si="444"/>
        <v>4396650</v>
      </c>
      <c r="AS193" s="8">
        <f t="shared" si="444"/>
        <v>259677</v>
      </c>
      <c r="AT193" s="8">
        <f t="shared" si="444"/>
        <v>261930</v>
      </c>
      <c r="AU193" s="9">
        <f t="shared" si="444"/>
        <v>29.658399999999997</v>
      </c>
      <c r="AV193" s="9">
        <f t="shared" si="444"/>
        <v>20.616399999999999</v>
      </c>
      <c r="AW193" s="92">
        <f t="shared" si="444"/>
        <v>9.0419999999999998</v>
      </c>
    </row>
    <row r="194" spans="1:49" s="569" customFormat="1" ht="12.75" customHeight="1" x14ac:dyDescent="0.2">
      <c r="A194" s="531">
        <v>35</v>
      </c>
      <c r="B194" s="532">
        <v>4401</v>
      </c>
      <c r="C194" s="532">
        <v>600074196</v>
      </c>
      <c r="D194" s="532">
        <v>71011129</v>
      </c>
      <c r="E194" s="530" t="s">
        <v>217</v>
      </c>
      <c r="F194" s="532">
        <v>3111</v>
      </c>
      <c r="G194" s="533" t="s">
        <v>317</v>
      </c>
      <c r="H194" s="534" t="s">
        <v>283</v>
      </c>
      <c r="I194" s="575">
        <f t="shared" ref="I194:I196" si="445">SUM(J194:M194)</f>
        <v>3088270</v>
      </c>
      <c r="J194" s="496">
        <v>2262533</v>
      </c>
      <c r="K194" s="131">
        <f t="shared" ref="K194:K195" si="446">ROUND((J194)*33.8%,0)</f>
        <v>764736</v>
      </c>
      <c r="L194" s="131">
        <f t="shared" ref="L194:L195" si="447">ROUND(J194*2%,0)</f>
        <v>45251</v>
      </c>
      <c r="M194" s="496">
        <v>15750</v>
      </c>
      <c r="N194" s="576">
        <f t="shared" ref="N194:N196" si="448">SUM(O194:P194)</f>
        <v>5.3898000000000001</v>
      </c>
      <c r="O194" s="577">
        <v>4</v>
      </c>
      <c r="P194" s="607">
        <v>1.3897999999999999</v>
      </c>
      <c r="Q194" s="579">
        <f t="shared" ref="Q194:Q196" si="449">V194*-1</f>
        <v>-72000</v>
      </c>
      <c r="R194" s="498">
        <v>0</v>
      </c>
      <c r="S194" s="498">
        <v>0</v>
      </c>
      <c r="T194" s="498">
        <v>0</v>
      </c>
      <c r="U194" s="498">
        <f t="shared" si="318"/>
        <v>-72000</v>
      </c>
      <c r="V194" s="498">
        <v>72000</v>
      </c>
      <c r="W194" s="498">
        <v>0</v>
      </c>
      <c r="X194" s="498">
        <v>0</v>
      </c>
      <c r="Y194" s="498">
        <f t="shared" si="319"/>
        <v>72000</v>
      </c>
      <c r="Z194" s="498">
        <f t="shared" si="320"/>
        <v>0</v>
      </c>
      <c r="AA194" s="131">
        <f t="shared" ref="AA194:AA196" si="450">ROUND((U194+V194+W194)*33.8%,0)</f>
        <v>0</v>
      </c>
      <c r="AB194" s="131">
        <f t="shared" si="321"/>
        <v>-1440</v>
      </c>
      <c r="AC194" s="498">
        <v>0</v>
      </c>
      <c r="AD194" s="498">
        <v>0</v>
      </c>
      <c r="AE194" s="498">
        <f t="shared" si="322"/>
        <v>0</v>
      </c>
      <c r="AF194" s="498">
        <f t="shared" si="323"/>
        <v>-1440</v>
      </c>
      <c r="AG194" s="499">
        <v>0</v>
      </c>
      <c r="AH194" s="499">
        <v>-0.34</v>
      </c>
      <c r="AI194" s="499">
        <v>0</v>
      </c>
      <c r="AJ194" s="499">
        <v>0</v>
      </c>
      <c r="AK194" s="499">
        <v>0</v>
      </c>
      <c r="AL194" s="499">
        <f t="shared" si="324"/>
        <v>0</v>
      </c>
      <c r="AM194" s="499">
        <f t="shared" si="325"/>
        <v>-0.34</v>
      </c>
      <c r="AN194" s="500">
        <f t="shared" si="326"/>
        <v>-0.34</v>
      </c>
      <c r="AO194" s="497">
        <f>I194+AF194</f>
        <v>3086830</v>
      </c>
      <c r="AP194" s="498">
        <f>J194+U194</f>
        <v>2190533</v>
      </c>
      <c r="AQ194" s="498">
        <f t="shared" ref="AQ194:AQ196" si="451">Y194</f>
        <v>72000</v>
      </c>
      <c r="AR194" s="498">
        <f t="shared" ref="AR194:AS196" si="452">K194+AA194</f>
        <v>764736</v>
      </c>
      <c r="AS194" s="498">
        <f t="shared" si="452"/>
        <v>43811</v>
      </c>
      <c r="AT194" s="498">
        <f>M194+AE194</f>
        <v>15750</v>
      </c>
      <c r="AU194" s="499">
        <f>N194+AN194</f>
        <v>5.0498000000000003</v>
      </c>
      <c r="AV194" s="499">
        <f t="shared" ref="AV194:AW196" si="453">O194+AL194</f>
        <v>4</v>
      </c>
      <c r="AW194" s="500">
        <f t="shared" si="453"/>
        <v>1.0497999999999998</v>
      </c>
    </row>
    <row r="195" spans="1:49" s="569" customFormat="1" ht="12.75" customHeight="1" x14ac:dyDescent="0.2">
      <c r="A195" s="531">
        <v>35</v>
      </c>
      <c r="B195" s="532">
        <v>4401</v>
      </c>
      <c r="C195" s="532">
        <v>600074196</v>
      </c>
      <c r="D195" s="532">
        <v>71011129</v>
      </c>
      <c r="E195" s="530" t="s">
        <v>217</v>
      </c>
      <c r="F195" s="532">
        <v>3111</v>
      </c>
      <c r="G195" s="533" t="s">
        <v>318</v>
      </c>
      <c r="H195" s="534" t="s">
        <v>284</v>
      </c>
      <c r="I195" s="575">
        <f t="shared" si="445"/>
        <v>0</v>
      </c>
      <c r="J195" s="496">
        <v>0</v>
      </c>
      <c r="K195" s="131">
        <f t="shared" si="446"/>
        <v>0</v>
      </c>
      <c r="L195" s="131">
        <f t="shared" si="447"/>
        <v>0</v>
      </c>
      <c r="M195" s="496">
        <v>0</v>
      </c>
      <c r="N195" s="576">
        <f t="shared" si="448"/>
        <v>0</v>
      </c>
      <c r="O195" s="577">
        <v>0</v>
      </c>
      <c r="P195" s="607">
        <v>0</v>
      </c>
      <c r="Q195" s="579">
        <f t="shared" si="449"/>
        <v>0</v>
      </c>
      <c r="R195" s="496">
        <v>190252</v>
      </c>
      <c r="S195" s="498">
        <v>0</v>
      </c>
      <c r="T195" s="498">
        <v>0</v>
      </c>
      <c r="U195" s="498">
        <f t="shared" si="318"/>
        <v>190252</v>
      </c>
      <c r="V195" s="498">
        <v>0</v>
      </c>
      <c r="W195" s="498">
        <v>0</v>
      </c>
      <c r="X195" s="498">
        <v>0</v>
      </c>
      <c r="Y195" s="498">
        <f t="shared" si="319"/>
        <v>0</v>
      </c>
      <c r="Z195" s="498">
        <f t="shared" si="320"/>
        <v>190252</v>
      </c>
      <c r="AA195" s="131">
        <f t="shared" si="450"/>
        <v>64305</v>
      </c>
      <c r="AB195" s="131">
        <f t="shared" si="321"/>
        <v>3805</v>
      </c>
      <c r="AC195" s="498">
        <v>0</v>
      </c>
      <c r="AD195" s="498">
        <v>0</v>
      </c>
      <c r="AE195" s="498">
        <f t="shared" si="322"/>
        <v>0</v>
      </c>
      <c r="AF195" s="498">
        <f t="shared" si="323"/>
        <v>258362</v>
      </c>
      <c r="AG195" s="499">
        <v>0</v>
      </c>
      <c r="AH195" s="499">
        <v>0</v>
      </c>
      <c r="AI195" s="499">
        <v>0.75</v>
      </c>
      <c r="AJ195" s="499">
        <v>0</v>
      </c>
      <c r="AK195" s="499">
        <v>0</v>
      </c>
      <c r="AL195" s="499">
        <f t="shared" si="324"/>
        <v>0.75</v>
      </c>
      <c r="AM195" s="499">
        <f t="shared" si="325"/>
        <v>0</v>
      </c>
      <c r="AN195" s="500">
        <f t="shared" si="326"/>
        <v>0.75</v>
      </c>
      <c r="AO195" s="497">
        <f>I195+AF195</f>
        <v>258362</v>
      </c>
      <c r="AP195" s="498">
        <f>J195+U195</f>
        <v>190252</v>
      </c>
      <c r="AQ195" s="498">
        <f t="shared" si="451"/>
        <v>0</v>
      </c>
      <c r="AR195" s="498">
        <f t="shared" si="452"/>
        <v>64305</v>
      </c>
      <c r="AS195" s="498">
        <f t="shared" si="452"/>
        <v>3805</v>
      </c>
      <c r="AT195" s="498">
        <f>M195+AE195</f>
        <v>0</v>
      </c>
      <c r="AU195" s="499">
        <f>N195+AN195</f>
        <v>0.75</v>
      </c>
      <c r="AV195" s="499">
        <f t="shared" si="453"/>
        <v>0.75</v>
      </c>
      <c r="AW195" s="500">
        <f t="shared" si="453"/>
        <v>0</v>
      </c>
    </row>
    <row r="196" spans="1:49" s="569" customFormat="1" ht="12.75" customHeight="1" x14ac:dyDescent="0.2">
      <c r="A196" s="531">
        <v>35</v>
      </c>
      <c r="B196" s="532">
        <v>4401</v>
      </c>
      <c r="C196" s="532">
        <v>600074196</v>
      </c>
      <c r="D196" s="532">
        <v>71011129</v>
      </c>
      <c r="E196" s="524" t="s">
        <v>217</v>
      </c>
      <c r="F196" s="532">
        <v>3141</v>
      </c>
      <c r="G196" s="533" t="s">
        <v>321</v>
      </c>
      <c r="H196" s="534" t="s">
        <v>284</v>
      </c>
      <c r="I196" s="575">
        <f t="shared" si="445"/>
        <v>194912</v>
      </c>
      <c r="J196" s="496">
        <v>142577</v>
      </c>
      <c r="K196" s="131">
        <f>ROUND((J196)*33.8%,0)</f>
        <v>48191</v>
      </c>
      <c r="L196" s="131">
        <f>ROUND(J196*2%,0)</f>
        <v>2852</v>
      </c>
      <c r="M196" s="496">
        <v>1292</v>
      </c>
      <c r="N196" s="576">
        <f t="shared" si="448"/>
        <v>0.48</v>
      </c>
      <c r="O196" s="577">
        <v>0</v>
      </c>
      <c r="P196" s="607">
        <v>0.48</v>
      </c>
      <c r="Q196" s="579">
        <f t="shared" si="449"/>
        <v>0</v>
      </c>
      <c r="R196" s="498">
        <v>0</v>
      </c>
      <c r="S196" s="498">
        <v>0</v>
      </c>
      <c r="T196" s="498">
        <v>0</v>
      </c>
      <c r="U196" s="498">
        <f t="shared" si="318"/>
        <v>0</v>
      </c>
      <c r="V196" s="498">
        <v>0</v>
      </c>
      <c r="W196" s="498">
        <v>0</v>
      </c>
      <c r="X196" s="498">
        <v>0</v>
      </c>
      <c r="Y196" s="498">
        <f t="shared" si="319"/>
        <v>0</v>
      </c>
      <c r="Z196" s="498">
        <f t="shared" si="320"/>
        <v>0</v>
      </c>
      <c r="AA196" s="131">
        <f t="shared" si="450"/>
        <v>0</v>
      </c>
      <c r="AB196" s="131">
        <f t="shared" si="321"/>
        <v>0</v>
      </c>
      <c r="AC196" s="498">
        <v>0</v>
      </c>
      <c r="AD196" s="498">
        <v>0</v>
      </c>
      <c r="AE196" s="498">
        <f t="shared" si="322"/>
        <v>0</v>
      </c>
      <c r="AF196" s="498">
        <f t="shared" si="323"/>
        <v>0</v>
      </c>
      <c r="AG196" s="499">
        <v>0</v>
      </c>
      <c r="AH196" s="499">
        <v>0</v>
      </c>
      <c r="AI196" s="499">
        <v>0</v>
      </c>
      <c r="AJ196" s="499">
        <v>0</v>
      </c>
      <c r="AK196" s="499">
        <v>0</v>
      </c>
      <c r="AL196" s="499">
        <f t="shared" si="324"/>
        <v>0</v>
      </c>
      <c r="AM196" s="499">
        <f t="shared" si="325"/>
        <v>0</v>
      </c>
      <c r="AN196" s="500">
        <f t="shared" si="326"/>
        <v>0</v>
      </c>
      <c r="AO196" s="497">
        <f>I196+AF196</f>
        <v>194912</v>
      </c>
      <c r="AP196" s="498">
        <f>J196+U196</f>
        <v>142577</v>
      </c>
      <c r="AQ196" s="498">
        <f t="shared" si="451"/>
        <v>0</v>
      </c>
      <c r="AR196" s="498">
        <f t="shared" si="452"/>
        <v>48191</v>
      </c>
      <c r="AS196" s="498">
        <f t="shared" si="452"/>
        <v>2852</v>
      </c>
      <c r="AT196" s="498">
        <f>M196+AE196</f>
        <v>1292</v>
      </c>
      <c r="AU196" s="499">
        <f>N196+AN196</f>
        <v>0.48</v>
      </c>
      <c r="AV196" s="499">
        <f t="shared" si="453"/>
        <v>0</v>
      </c>
      <c r="AW196" s="500">
        <f t="shared" si="453"/>
        <v>0.48</v>
      </c>
    </row>
    <row r="197" spans="1:49" s="569" customFormat="1" ht="12.75" customHeight="1" x14ac:dyDescent="0.2">
      <c r="A197" s="302">
        <v>35</v>
      </c>
      <c r="B197" s="32">
        <v>4401</v>
      </c>
      <c r="C197" s="32">
        <v>600074196</v>
      </c>
      <c r="D197" s="32">
        <v>71011129</v>
      </c>
      <c r="E197" s="311" t="s">
        <v>218</v>
      </c>
      <c r="F197" s="32"/>
      <c r="G197" s="301"/>
      <c r="H197" s="454"/>
      <c r="I197" s="5">
        <f t="shared" ref="I197:P197" si="454">SUM(I194:I196)</f>
        <v>3283182</v>
      </c>
      <c r="J197" s="8">
        <f t="shared" si="454"/>
        <v>2405110</v>
      </c>
      <c r="K197" s="8">
        <f t="shared" si="454"/>
        <v>812927</v>
      </c>
      <c r="L197" s="8">
        <f t="shared" si="454"/>
        <v>48103</v>
      </c>
      <c r="M197" s="8">
        <f t="shared" si="454"/>
        <v>17042</v>
      </c>
      <c r="N197" s="9">
        <f t="shared" si="454"/>
        <v>5.8697999999999997</v>
      </c>
      <c r="O197" s="9">
        <f t="shared" si="454"/>
        <v>4</v>
      </c>
      <c r="P197" s="39">
        <f t="shared" si="454"/>
        <v>1.8697999999999999</v>
      </c>
      <c r="Q197" s="5">
        <f t="shared" ref="Q197:AW197" si="455">SUM(Q194:Q196)</f>
        <v>-72000</v>
      </c>
      <c r="R197" s="8">
        <f t="shared" si="455"/>
        <v>190252</v>
      </c>
      <c r="S197" s="8">
        <f t="shared" si="455"/>
        <v>0</v>
      </c>
      <c r="T197" s="8">
        <f t="shared" si="455"/>
        <v>0</v>
      </c>
      <c r="U197" s="8">
        <f t="shared" si="455"/>
        <v>118252</v>
      </c>
      <c r="V197" s="8">
        <f t="shared" si="455"/>
        <v>72000</v>
      </c>
      <c r="W197" s="8">
        <f t="shared" si="455"/>
        <v>0</v>
      </c>
      <c r="X197" s="8">
        <f t="shared" si="455"/>
        <v>0</v>
      </c>
      <c r="Y197" s="8">
        <f t="shared" si="455"/>
        <v>72000</v>
      </c>
      <c r="Z197" s="8">
        <f t="shared" si="455"/>
        <v>190252</v>
      </c>
      <c r="AA197" s="8">
        <f t="shared" si="455"/>
        <v>64305</v>
      </c>
      <c r="AB197" s="8">
        <f t="shared" si="455"/>
        <v>2365</v>
      </c>
      <c r="AC197" s="8">
        <f t="shared" si="455"/>
        <v>0</v>
      </c>
      <c r="AD197" s="8">
        <f t="shared" si="455"/>
        <v>0</v>
      </c>
      <c r="AE197" s="8">
        <f t="shared" si="455"/>
        <v>0</v>
      </c>
      <c r="AF197" s="8">
        <f t="shared" si="455"/>
        <v>256922</v>
      </c>
      <c r="AG197" s="9">
        <f t="shared" si="455"/>
        <v>0</v>
      </c>
      <c r="AH197" s="9">
        <f t="shared" si="455"/>
        <v>-0.34</v>
      </c>
      <c r="AI197" s="9">
        <f t="shared" si="455"/>
        <v>0.75</v>
      </c>
      <c r="AJ197" s="9">
        <f t="shared" si="455"/>
        <v>0</v>
      </c>
      <c r="AK197" s="9">
        <f t="shared" si="455"/>
        <v>0</v>
      </c>
      <c r="AL197" s="9">
        <f t="shared" si="455"/>
        <v>0.75</v>
      </c>
      <c r="AM197" s="9">
        <f t="shared" si="455"/>
        <v>-0.34</v>
      </c>
      <c r="AN197" s="92">
        <f t="shared" si="455"/>
        <v>0.41</v>
      </c>
      <c r="AO197" s="295">
        <f t="shared" si="455"/>
        <v>3540104</v>
      </c>
      <c r="AP197" s="8">
        <f t="shared" si="455"/>
        <v>2523362</v>
      </c>
      <c r="AQ197" s="8">
        <f t="shared" si="455"/>
        <v>72000</v>
      </c>
      <c r="AR197" s="8">
        <f t="shared" si="455"/>
        <v>877232</v>
      </c>
      <c r="AS197" s="8">
        <f t="shared" si="455"/>
        <v>50468</v>
      </c>
      <c r="AT197" s="8">
        <f t="shared" si="455"/>
        <v>17042</v>
      </c>
      <c r="AU197" s="9">
        <f t="shared" si="455"/>
        <v>6.2797999999999998</v>
      </c>
      <c r="AV197" s="9">
        <f t="shared" si="455"/>
        <v>4.75</v>
      </c>
      <c r="AW197" s="92">
        <f t="shared" si="455"/>
        <v>1.5297999999999998</v>
      </c>
    </row>
    <row r="198" spans="1:49" s="569" customFormat="1" ht="12.75" customHeight="1" x14ac:dyDescent="0.2">
      <c r="A198" s="531">
        <v>36</v>
      </c>
      <c r="B198" s="532">
        <v>4453</v>
      </c>
      <c r="C198" s="532">
        <v>600074790</v>
      </c>
      <c r="D198" s="532">
        <v>71011111</v>
      </c>
      <c r="E198" s="530" t="s">
        <v>219</v>
      </c>
      <c r="F198" s="532">
        <v>3113</v>
      </c>
      <c r="G198" s="533" t="s">
        <v>320</v>
      </c>
      <c r="H198" s="534" t="s">
        <v>283</v>
      </c>
      <c r="I198" s="575">
        <f t="shared" ref="I198:I201" si="456">SUM(J198:M198)</f>
        <v>11600505</v>
      </c>
      <c r="J198" s="496">
        <v>8366315</v>
      </c>
      <c r="K198" s="131">
        <f t="shared" ref="K198:K199" si="457">ROUND((J198)*33.8%,0)</f>
        <v>2827814</v>
      </c>
      <c r="L198" s="131">
        <f t="shared" ref="L198:L199" si="458">ROUND(J198*2%,0)</f>
        <v>167326</v>
      </c>
      <c r="M198" s="496">
        <v>239050</v>
      </c>
      <c r="N198" s="576">
        <f t="shared" ref="N198:N202" si="459">SUM(O198:P198)</f>
        <v>16.2363</v>
      </c>
      <c r="O198" s="577">
        <v>11.681800000000001</v>
      </c>
      <c r="P198" s="607">
        <v>4.5545</v>
      </c>
      <c r="Q198" s="579">
        <f t="shared" ref="Q198:Q202" si="460">V198*-1</f>
        <v>-24000</v>
      </c>
      <c r="R198" s="498">
        <v>0</v>
      </c>
      <c r="S198" s="498">
        <v>0</v>
      </c>
      <c r="T198" s="498">
        <v>0</v>
      </c>
      <c r="U198" s="498">
        <f t="shared" si="318"/>
        <v>-24000</v>
      </c>
      <c r="V198" s="498">
        <v>24000</v>
      </c>
      <c r="W198" s="498">
        <v>0</v>
      </c>
      <c r="X198" s="498">
        <v>0</v>
      </c>
      <c r="Y198" s="498">
        <f t="shared" si="319"/>
        <v>24000</v>
      </c>
      <c r="Z198" s="498">
        <f t="shared" si="320"/>
        <v>0</v>
      </c>
      <c r="AA198" s="131">
        <f t="shared" ref="AA198:AA202" si="461">ROUND((U198+V198+W198)*33.8%,0)</f>
        <v>0</v>
      </c>
      <c r="AB198" s="131">
        <f t="shared" si="321"/>
        <v>-480</v>
      </c>
      <c r="AC198" s="498">
        <v>0</v>
      </c>
      <c r="AD198" s="498">
        <v>0</v>
      </c>
      <c r="AE198" s="498">
        <f t="shared" si="322"/>
        <v>0</v>
      </c>
      <c r="AF198" s="498">
        <f t="shared" si="323"/>
        <v>-480</v>
      </c>
      <c r="AG198" s="499">
        <v>-0.02</v>
      </c>
      <c r="AH198" s="499">
        <v>-0.06</v>
      </c>
      <c r="AI198" s="499">
        <v>0</v>
      </c>
      <c r="AJ198" s="499">
        <v>0</v>
      </c>
      <c r="AK198" s="499">
        <v>0</v>
      </c>
      <c r="AL198" s="499">
        <f t="shared" si="324"/>
        <v>-0.02</v>
      </c>
      <c r="AM198" s="499">
        <f t="shared" si="325"/>
        <v>-0.06</v>
      </c>
      <c r="AN198" s="500">
        <f t="shared" si="326"/>
        <v>-0.08</v>
      </c>
      <c r="AO198" s="497">
        <f>I198+AF198</f>
        <v>11600025</v>
      </c>
      <c r="AP198" s="498">
        <f>J198+U198</f>
        <v>8342315</v>
      </c>
      <c r="AQ198" s="498">
        <f t="shared" ref="AQ198:AQ202" si="462">Y198</f>
        <v>24000</v>
      </c>
      <c r="AR198" s="498">
        <f t="shared" ref="AR198:AS202" si="463">K198+AA198</f>
        <v>2827814</v>
      </c>
      <c r="AS198" s="498">
        <f t="shared" si="463"/>
        <v>166846</v>
      </c>
      <c r="AT198" s="498">
        <f>M198+AE198</f>
        <v>239050</v>
      </c>
      <c r="AU198" s="499">
        <f>N198+AN198</f>
        <v>16.156300000000002</v>
      </c>
      <c r="AV198" s="499">
        <f t="shared" ref="AV198:AW202" si="464">O198+AL198</f>
        <v>11.661800000000001</v>
      </c>
      <c r="AW198" s="500">
        <f t="shared" si="464"/>
        <v>4.4945000000000004</v>
      </c>
    </row>
    <row r="199" spans="1:49" s="569" customFormat="1" ht="12.75" customHeight="1" x14ac:dyDescent="0.2">
      <c r="A199" s="531">
        <v>36</v>
      </c>
      <c r="B199" s="532">
        <v>4453</v>
      </c>
      <c r="C199" s="532">
        <v>600074790</v>
      </c>
      <c r="D199" s="532">
        <v>71011111</v>
      </c>
      <c r="E199" s="530" t="s">
        <v>219</v>
      </c>
      <c r="F199" s="532">
        <v>3113</v>
      </c>
      <c r="G199" s="533" t="s">
        <v>318</v>
      </c>
      <c r="H199" s="534" t="s">
        <v>284</v>
      </c>
      <c r="I199" s="575">
        <f t="shared" si="456"/>
        <v>0</v>
      </c>
      <c r="J199" s="496">
        <v>0</v>
      </c>
      <c r="K199" s="131">
        <f t="shared" si="457"/>
        <v>0</v>
      </c>
      <c r="L199" s="131">
        <f t="shared" si="458"/>
        <v>0</v>
      </c>
      <c r="M199" s="496">
        <v>0</v>
      </c>
      <c r="N199" s="576">
        <f t="shared" si="459"/>
        <v>0</v>
      </c>
      <c r="O199" s="577">
        <v>0</v>
      </c>
      <c r="P199" s="607">
        <v>0</v>
      </c>
      <c r="Q199" s="579">
        <f t="shared" si="460"/>
        <v>0</v>
      </c>
      <c r="R199" s="496">
        <v>481176</v>
      </c>
      <c r="S199" s="498">
        <v>0</v>
      </c>
      <c r="T199" s="498">
        <v>0</v>
      </c>
      <c r="U199" s="498">
        <f t="shared" si="318"/>
        <v>481176</v>
      </c>
      <c r="V199" s="498">
        <v>0</v>
      </c>
      <c r="W199" s="498">
        <v>0</v>
      </c>
      <c r="X199" s="498">
        <v>0</v>
      </c>
      <c r="Y199" s="498">
        <f t="shared" si="319"/>
        <v>0</v>
      </c>
      <c r="Z199" s="498">
        <f t="shared" si="320"/>
        <v>481176</v>
      </c>
      <c r="AA199" s="131">
        <f t="shared" si="461"/>
        <v>162637</v>
      </c>
      <c r="AB199" s="131">
        <f t="shared" si="321"/>
        <v>9624</v>
      </c>
      <c r="AC199" s="498">
        <v>0</v>
      </c>
      <c r="AD199" s="498">
        <v>0</v>
      </c>
      <c r="AE199" s="498">
        <f t="shared" si="322"/>
        <v>0</v>
      </c>
      <c r="AF199" s="498">
        <f t="shared" si="323"/>
        <v>653437</v>
      </c>
      <c r="AG199" s="499">
        <v>0</v>
      </c>
      <c r="AH199" s="499">
        <v>0</v>
      </c>
      <c r="AI199" s="499">
        <v>1.39</v>
      </c>
      <c r="AJ199" s="499">
        <v>0</v>
      </c>
      <c r="AK199" s="499">
        <v>0</v>
      </c>
      <c r="AL199" s="499">
        <f t="shared" si="324"/>
        <v>1.39</v>
      </c>
      <c r="AM199" s="499">
        <f t="shared" si="325"/>
        <v>0</v>
      </c>
      <c r="AN199" s="500">
        <f t="shared" si="326"/>
        <v>1.39</v>
      </c>
      <c r="AO199" s="497">
        <f>I199+AF199</f>
        <v>653437</v>
      </c>
      <c r="AP199" s="498">
        <f>J199+U199</f>
        <v>481176</v>
      </c>
      <c r="AQ199" s="498">
        <f t="shared" si="462"/>
        <v>0</v>
      </c>
      <c r="AR199" s="498">
        <f t="shared" si="463"/>
        <v>162637</v>
      </c>
      <c r="AS199" s="498">
        <f t="shared" si="463"/>
        <v>9624</v>
      </c>
      <c r="AT199" s="498">
        <f>M199+AE199</f>
        <v>0</v>
      </c>
      <c r="AU199" s="499">
        <f>N199+AN199</f>
        <v>1.39</v>
      </c>
      <c r="AV199" s="499">
        <f t="shared" si="464"/>
        <v>1.39</v>
      </c>
      <c r="AW199" s="500">
        <f t="shared" si="464"/>
        <v>0</v>
      </c>
    </row>
    <row r="200" spans="1:49" s="569" customFormat="1" ht="12.75" customHeight="1" x14ac:dyDescent="0.2">
      <c r="A200" s="531">
        <v>36</v>
      </c>
      <c r="B200" s="532">
        <v>4453</v>
      </c>
      <c r="C200" s="532">
        <v>600074790</v>
      </c>
      <c r="D200" s="532">
        <v>71011111</v>
      </c>
      <c r="E200" s="530" t="s">
        <v>219</v>
      </c>
      <c r="F200" s="532">
        <v>3141</v>
      </c>
      <c r="G200" s="533" t="s">
        <v>321</v>
      </c>
      <c r="H200" s="534" t="s">
        <v>284</v>
      </c>
      <c r="I200" s="575">
        <f t="shared" si="456"/>
        <v>1263093</v>
      </c>
      <c r="J200" s="496">
        <v>923823</v>
      </c>
      <c r="K200" s="131">
        <f>ROUND((J200)*33.8%,0)</f>
        <v>312252</v>
      </c>
      <c r="L200" s="131">
        <f>ROUND(J200*2%,0)</f>
        <v>18476</v>
      </c>
      <c r="M200" s="496">
        <v>8542</v>
      </c>
      <c r="N200" s="576">
        <f t="shared" si="459"/>
        <v>3.14</v>
      </c>
      <c r="O200" s="577">
        <v>0</v>
      </c>
      <c r="P200" s="607">
        <v>3.14</v>
      </c>
      <c r="Q200" s="579">
        <f t="shared" si="460"/>
        <v>0</v>
      </c>
      <c r="R200" s="498">
        <v>0</v>
      </c>
      <c r="S200" s="498">
        <v>0</v>
      </c>
      <c r="T200" s="498">
        <v>0</v>
      </c>
      <c r="U200" s="498">
        <f t="shared" si="318"/>
        <v>0</v>
      </c>
      <c r="V200" s="498">
        <v>0</v>
      </c>
      <c r="W200" s="498">
        <v>0</v>
      </c>
      <c r="X200" s="498">
        <v>0</v>
      </c>
      <c r="Y200" s="498">
        <f t="shared" si="319"/>
        <v>0</v>
      </c>
      <c r="Z200" s="498">
        <f t="shared" si="320"/>
        <v>0</v>
      </c>
      <c r="AA200" s="131">
        <f t="shared" si="461"/>
        <v>0</v>
      </c>
      <c r="AB200" s="131">
        <f t="shared" si="321"/>
        <v>0</v>
      </c>
      <c r="AC200" s="498">
        <v>0</v>
      </c>
      <c r="AD200" s="498">
        <v>0</v>
      </c>
      <c r="AE200" s="498">
        <f t="shared" si="322"/>
        <v>0</v>
      </c>
      <c r="AF200" s="498">
        <f t="shared" si="323"/>
        <v>0</v>
      </c>
      <c r="AG200" s="499">
        <v>0</v>
      </c>
      <c r="AH200" s="499">
        <v>0</v>
      </c>
      <c r="AI200" s="499">
        <v>0</v>
      </c>
      <c r="AJ200" s="499">
        <v>0</v>
      </c>
      <c r="AK200" s="499">
        <v>0</v>
      </c>
      <c r="AL200" s="499">
        <f t="shared" si="324"/>
        <v>0</v>
      </c>
      <c r="AM200" s="499">
        <f t="shared" si="325"/>
        <v>0</v>
      </c>
      <c r="AN200" s="500">
        <f t="shared" si="326"/>
        <v>0</v>
      </c>
      <c r="AO200" s="497">
        <f>I200+AF200</f>
        <v>1263093</v>
      </c>
      <c r="AP200" s="498">
        <f>J200+U200</f>
        <v>923823</v>
      </c>
      <c r="AQ200" s="498">
        <f t="shared" si="462"/>
        <v>0</v>
      </c>
      <c r="AR200" s="498">
        <f t="shared" si="463"/>
        <v>312252</v>
      </c>
      <c r="AS200" s="498">
        <f t="shared" si="463"/>
        <v>18476</v>
      </c>
      <c r="AT200" s="498">
        <f>M200+AE200</f>
        <v>8542</v>
      </c>
      <c r="AU200" s="499">
        <f>N200+AN200</f>
        <v>3.14</v>
      </c>
      <c r="AV200" s="499">
        <f t="shared" si="464"/>
        <v>0</v>
      </c>
      <c r="AW200" s="500">
        <f t="shared" si="464"/>
        <v>3.14</v>
      </c>
    </row>
    <row r="201" spans="1:49" s="569" customFormat="1" ht="12.75" customHeight="1" x14ac:dyDescent="0.2">
      <c r="A201" s="531">
        <v>36</v>
      </c>
      <c r="B201" s="532">
        <v>4453</v>
      </c>
      <c r="C201" s="532">
        <v>600074790</v>
      </c>
      <c r="D201" s="532">
        <v>71011111</v>
      </c>
      <c r="E201" s="524" t="s">
        <v>219</v>
      </c>
      <c r="F201" s="532">
        <v>3143</v>
      </c>
      <c r="G201" s="533" t="s">
        <v>635</v>
      </c>
      <c r="H201" s="574" t="s">
        <v>283</v>
      </c>
      <c r="I201" s="575">
        <f t="shared" si="456"/>
        <v>689972</v>
      </c>
      <c r="J201" s="496">
        <v>508079</v>
      </c>
      <c r="K201" s="131">
        <f t="shared" ref="K201:K202" si="465">ROUND((J201)*33.8%,0)</f>
        <v>171731</v>
      </c>
      <c r="L201" s="131">
        <f t="shared" ref="L201:L202" si="466">ROUND(J201*2%,0)</f>
        <v>10162</v>
      </c>
      <c r="M201" s="496"/>
      <c r="N201" s="576">
        <f t="shared" si="459"/>
        <v>1.2916000000000001</v>
      </c>
      <c r="O201" s="577">
        <v>1.2916000000000001</v>
      </c>
      <c r="P201" s="607">
        <v>0</v>
      </c>
      <c r="Q201" s="579">
        <f t="shared" si="460"/>
        <v>0</v>
      </c>
      <c r="R201" s="498">
        <v>0</v>
      </c>
      <c r="S201" s="498">
        <v>0</v>
      </c>
      <c r="T201" s="498">
        <v>0</v>
      </c>
      <c r="U201" s="498">
        <f t="shared" si="318"/>
        <v>0</v>
      </c>
      <c r="V201" s="498">
        <v>0</v>
      </c>
      <c r="W201" s="498">
        <v>0</v>
      </c>
      <c r="X201" s="498">
        <v>0</v>
      </c>
      <c r="Y201" s="498">
        <f t="shared" si="319"/>
        <v>0</v>
      </c>
      <c r="Z201" s="498">
        <f t="shared" si="320"/>
        <v>0</v>
      </c>
      <c r="AA201" s="131">
        <f t="shared" si="461"/>
        <v>0</v>
      </c>
      <c r="AB201" s="131">
        <f t="shared" si="321"/>
        <v>0</v>
      </c>
      <c r="AC201" s="498">
        <v>0</v>
      </c>
      <c r="AD201" s="498">
        <v>0</v>
      </c>
      <c r="AE201" s="498">
        <f t="shared" si="322"/>
        <v>0</v>
      </c>
      <c r="AF201" s="498">
        <f t="shared" si="323"/>
        <v>0</v>
      </c>
      <c r="AG201" s="499">
        <v>0</v>
      </c>
      <c r="AH201" s="499">
        <v>0</v>
      </c>
      <c r="AI201" s="499">
        <v>0</v>
      </c>
      <c r="AJ201" s="499">
        <v>0</v>
      </c>
      <c r="AK201" s="499">
        <v>0</v>
      </c>
      <c r="AL201" s="499">
        <f t="shared" si="324"/>
        <v>0</v>
      </c>
      <c r="AM201" s="499">
        <f t="shared" si="325"/>
        <v>0</v>
      </c>
      <c r="AN201" s="500">
        <f t="shared" si="326"/>
        <v>0</v>
      </c>
      <c r="AO201" s="497">
        <f>I201+AF201</f>
        <v>689972</v>
      </c>
      <c r="AP201" s="498">
        <f>J201+U201</f>
        <v>508079</v>
      </c>
      <c r="AQ201" s="498">
        <f t="shared" si="462"/>
        <v>0</v>
      </c>
      <c r="AR201" s="498">
        <f t="shared" si="463"/>
        <v>171731</v>
      </c>
      <c r="AS201" s="498">
        <f t="shared" si="463"/>
        <v>10162</v>
      </c>
      <c r="AT201" s="498">
        <f>M201+AE201</f>
        <v>0</v>
      </c>
      <c r="AU201" s="499">
        <f>N201+AN201</f>
        <v>1.2916000000000001</v>
      </c>
      <c r="AV201" s="499">
        <f t="shared" si="464"/>
        <v>1.2916000000000001</v>
      </c>
      <c r="AW201" s="500">
        <f t="shared" si="464"/>
        <v>0</v>
      </c>
    </row>
    <row r="202" spans="1:49" s="569" customFormat="1" ht="12.75" customHeight="1" x14ac:dyDescent="0.2">
      <c r="A202" s="531">
        <v>36</v>
      </c>
      <c r="B202" s="532">
        <v>4453</v>
      </c>
      <c r="C202" s="532">
        <v>600074790</v>
      </c>
      <c r="D202" s="532">
        <v>71011111</v>
      </c>
      <c r="E202" s="524" t="s">
        <v>219</v>
      </c>
      <c r="F202" s="532">
        <v>3143</v>
      </c>
      <c r="G202" s="533" t="s">
        <v>636</v>
      </c>
      <c r="H202" s="574" t="s">
        <v>284</v>
      </c>
      <c r="I202" s="575">
        <f>SUM(J202:M202)</f>
        <v>33706</v>
      </c>
      <c r="J202" s="496">
        <v>23760</v>
      </c>
      <c r="K202" s="131">
        <f t="shared" si="465"/>
        <v>8031</v>
      </c>
      <c r="L202" s="131">
        <f t="shared" si="466"/>
        <v>475</v>
      </c>
      <c r="M202" s="496">
        <v>1440</v>
      </c>
      <c r="N202" s="576">
        <f t="shared" si="459"/>
        <v>0.1</v>
      </c>
      <c r="O202" s="577">
        <v>0</v>
      </c>
      <c r="P202" s="607">
        <v>0.1</v>
      </c>
      <c r="Q202" s="579">
        <f t="shared" si="460"/>
        <v>0</v>
      </c>
      <c r="R202" s="498">
        <v>0</v>
      </c>
      <c r="S202" s="498">
        <v>0</v>
      </c>
      <c r="T202" s="498">
        <v>0</v>
      </c>
      <c r="U202" s="498">
        <f t="shared" si="318"/>
        <v>0</v>
      </c>
      <c r="V202" s="498">
        <v>0</v>
      </c>
      <c r="W202" s="498">
        <v>0</v>
      </c>
      <c r="X202" s="498">
        <v>0</v>
      </c>
      <c r="Y202" s="498">
        <f t="shared" si="319"/>
        <v>0</v>
      </c>
      <c r="Z202" s="498">
        <f t="shared" si="320"/>
        <v>0</v>
      </c>
      <c r="AA202" s="131">
        <f t="shared" si="461"/>
        <v>0</v>
      </c>
      <c r="AB202" s="131">
        <f t="shared" si="321"/>
        <v>0</v>
      </c>
      <c r="AC202" s="498">
        <v>0</v>
      </c>
      <c r="AD202" s="498">
        <v>0</v>
      </c>
      <c r="AE202" s="498">
        <f t="shared" si="322"/>
        <v>0</v>
      </c>
      <c r="AF202" s="498">
        <f t="shared" si="323"/>
        <v>0</v>
      </c>
      <c r="AG202" s="499">
        <v>0</v>
      </c>
      <c r="AH202" s="499">
        <v>0</v>
      </c>
      <c r="AI202" s="499">
        <v>0</v>
      </c>
      <c r="AJ202" s="499">
        <v>0</v>
      </c>
      <c r="AK202" s="499">
        <v>0</v>
      </c>
      <c r="AL202" s="499">
        <f t="shared" si="324"/>
        <v>0</v>
      </c>
      <c r="AM202" s="499">
        <f t="shared" si="325"/>
        <v>0</v>
      </c>
      <c r="AN202" s="500">
        <f t="shared" si="326"/>
        <v>0</v>
      </c>
      <c r="AO202" s="497">
        <f>I202+AF202</f>
        <v>33706</v>
      </c>
      <c r="AP202" s="498">
        <f>J202+U202</f>
        <v>23760</v>
      </c>
      <c r="AQ202" s="498">
        <f t="shared" si="462"/>
        <v>0</v>
      </c>
      <c r="AR202" s="498">
        <f t="shared" si="463"/>
        <v>8031</v>
      </c>
      <c r="AS202" s="498">
        <f t="shared" si="463"/>
        <v>475</v>
      </c>
      <c r="AT202" s="498">
        <f>M202+AE202</f>
        <v>1440</v>
      </c>
      <c r="AU202" s="499">
        <f>N202+AN202</f>
        <v>0.1</v>
      </c>
      <c r="AV202" s="499">
        <f t="shared" si="464"/>
        <v>0</v>
      </c>
      <c r="AW202" s="500">
        <f t="shared" si="464"/>
        <v>0.1</v>
      </c>
    </row>
    <row r="203" spans="1:49" s="569" customFormat="1" ht="12.75" customHeight="1" x14ac:dyDescent="0.2">
      <c r="A203" s="302">
        <v>36</v>
      </c>
      <c r="B203" s="32">
        <v>4453</v>
      </c>
      <c r="C203" s="32">
        <v>600074790</v>
      </c>
      <c r="D203" s="32">
        <v>71011111</v>
      </c>
      <c r="E203" s="311" t="s">
        <v>220</v>
      </c>
      <c r="F203" s="32"/>
      <c r="G203" s="301"/>
      <c r="H203" s="454"/>
      <c r="I203" s="5">
        <f t="shared" ref="I203:AW203" si="467">SUM(I198:I202)</f>
        <v>13587276</v>
      </c>
      <c r="J203" s="8">
        <f t="shared" si="467"/>
        <v>9821977</v>
      </c>
      <c r="K203" s="8">
        <f t="shared" si="467"/>
        <v>3319828</v>
      </c>
      <c r="L203" s="8">
        <f t="shared" si="467"/>
        <v>196439</v>
      </c>
      <c r="M203" s="8">
        <f t="shared" si="467"/>
        <v>249032</v>
      </c>
      <c r="N203" s="9">
        <f t="shared" si="467"/>
        <v>20.767900000000001</v>
      </c>
      <c r="O203" s="9">
        <f t="shared" si="467"/>
        <v>12.973400000000002</v>
      </c>
      <c r="P203" s="39">
        <f t="shared" si="467"/>
        <v>7.7944999999999993</v>
      </c>
      <c r="Q203" s="5">
        <f t="shared" si="467"/>
        <v>-24000</v>
      </c>
      <c r="R203" s="8">
        <f t="shared" si="467"/>
        <v>481176</v>
      </c>
      <c r="S203" s="8">
        <f t="shared" si="467"/>
        <v>0</v>
      </c>
      <c r="T203" s="8">
        <f t="shared" si="467"/>
        <v>0</v>
      </c>
      <c r="U203" s="8">
        <f t="shared" si="467"/>
        <v>457176</v>
      </c>
      <c r="V203" s="8">
        <f t="shared" si="467"/>
        <v>24000</v>
      </c>
      <c r="W203" s="8">
        <f t="shared" si="467"/>
        <v>0</v>
      </c>
      <c r="X203" s="8">
        <f t="shared" si="467"/>
        <v>0</v>
      </c>
      <c r="Y203" s="8">
        <f t="shared" si="467"/>
        <v>24000</v>
      </c>
      <c r="Z203" s="8">
        <f t="shared" si="467"/>
        <v>481176</v>
      </c>
      <c r="AA203" s="8">
        <f t="shared" si="467"/>
        <v>162637</v>
      </c>
      <c r="AB203" s="8">
        <f t="shared" si="467"/>
        <v>9144</v>
      </c>
      <c r="AC203" s="8">
        <f t="shared" si="467"/>
        <v>0</v>
      </c>
      <c r="AD203" s="8">
        <f t="shared" si="467"/>
        <v>0</v>
      </c>
      <c r="AE203" s="8">
        <f t="shared" si="467"/>
        <v>0</v>
      </c>
      <c r="AF203" s="8">
        <f t="shared" si="467"/>
        <v>652957</v>
      </c>
      <c r="AG203" s="9">
        <f t="shared" si="467"/>
        <v>-0.02</v>
      </c>
      <c r="AH203" s="9">
        <f t="shared" si="467"/>
        <v>-0.06</v>
      </c>
      <c r="AI203" s="9">
        <f t="shared" si="467"/>
        <v>1.39</v>
      </c>
      <c r="AJ203" s="9">
        <f t="shared" si="467"/>
        <v>0</v>
      </c>
      <c r="AK203" s="9">
        <f t="shared" si="467"/>
        <v>0</v>
      </c>
      <c r="AL203" s="9">
        <f t="shared" si="467"/>
        <v>1.3699999999999999</v>
      </c>
      <c r="AM203" s="9">
        <f t="shared" si="467"/>
        <v>-0.06</v>
      </c>
      <c r="AN203" s="92">
        <f t="shared" si="467"/>
        <v>1.3099999999999998</v>
      </c>
      <c r="AO203" s="295">
        <f t="shared" si="467"/>
        <v>14240233</v>
      </c>
      <c r="AP203" s="8">
        <f t="shared" si="467"/>
        <v>10279153</v>
      </c>
      <c r="AQ203" s="8">
        <f t="shared" si="467"/>
        <v>24000</v>
      </c>
      <c r="AR203" s="8">
        <f t="shared" si="467"/>
        <v>3482465</v>
      </c>
      <c r="AS203" s="8">
        <f t="shared" si="467"/>
        <v>205583</v>
      </c>
      <c r="AT203" s="8">
        <f t="shared" si="467"/>
        <v>249032</v>
      </c>
      <c r="AU203" s="9">
        <f t="shared" si="467"/>
        <v>22.077900000000003</v>
      </c>
      <c r="AV203" s="9">
        <f t="shared" si="467"/>
        <v>14.343400000000003</v>
      </c>
      <c r="AW203" s="92">
        <f t="shared" si="467"/>
        <v>7.7345000000000006</v>
      </c>
    </row>
    <row r="204" spans="1:49" s="569" customFormat="1" ht="12.75" customHeight="1" x14ac:dyDescent="0.2">
      <c r="A204" s="531">
        <v>37</v>
      </c>
      <c r="B204" s="532">
        <v>4467</v>
      </c>
      <c r="C204" s="532">
        <v>600074935</v>
      </c>
      <c r="D204" s="532">
        <v>48282545</v>
      </c>
      <c r="E204" s="530" t="s">
        <v>221</v>
      </c>
      <c r="F204" s="532">
        <v>3111</v>
      </c>
      <c r="G204" s="533" t="s">
        <v>317</v>
      </c>
      <c r="H204" s="534" t="s">
        <v>283</v>
      </c>
      <c r="I204" s="575">
        <f t="shared" ref="I204:I211" si="468">SUM(J204:M204)</f>
        <v>9035378</v>
      </c>
      <c r="J204" s="496">
        <v>6609041</v>
      </c>
      <c r="K204" s="131">
        <f t="shared" ref="K204:K207" si="469">ROUND((J204)*33.8%,0)</f>
        <v>2233856</v>
      </c>
      <c r="L204" s="131">
        <f t="shared" ref="L204:L207" si="470">ROUND(J204*2%,0)</f>
        <v>132181</v>
      </c>
      <c r="M204" s="496">
        <v>60300</v>
      </c>
      <c r="N204" s="576">
        <f t="shared" ref="N204:N211" si="471">SUM(O204:P204)</f>
        <v>15.000999999999999</v>
      </c>
      <c r="O204" s="577">
        <v>11.935499999999999</v>
      </c>
      <c r="P204" s="607">
        <v>3.0655000000000001</v>
      </c>
      <c r="Q204" s="579">
        <f t="shared" ref="Q204:Q211" si="472">V204*-1</f>
        <v>0</v>
      </c>
      <c r="R204" s="498">
        <v>0</v>
      </c>
      <c r="S204" s="498">
        <v>0</v>
      </c>
      <c r="T204" s="498">
        <v>0</v>
      </c>
      <c r="U204" s="498">
        <f t="shared" si="318"/>
        <v>0</v>
      </c>
      <c r="V204" s="498">
        <v>0</v>
      </c>
      <c r="W204" s="498">
        <v>0</v>
      </c>
      <c r="X204" s="498">
        <v>0</v>
      </c>
      <c r="Y204" s="498">
        <f t="shared" si="319"/>
        <v>0</v>
      </c>
      <c r="Z204" s="498">
        <f t="shared" si="320"/>
        <v>0</v>
      </c>
      <c r="AA204" s="131">
        <f t="shared" ref="AA204:AA211" si="473">ROUND((U204+V204+W204)*33.8%,0)</f>
        <v>0</v>
      </c>
      <c r="AB204" s="131">
        <f t="shared" si="321"/>
        <v>0</v>
      </c>
      <c r="AC204" s="498">
        <v>0</v>
      </c>
      <c r="AD204" s="498">
        <v>0</v>
      </c>
      <c r="AE204" s="498">
        <f t="shared" si="322"/>
        <v>0</v>
      </c>
      <c r="AF204" s="498">
        <f t="shared" si="323"/>
        <v>0</v>
      </c>
      <c r="AG204" s="499">
        <v>0</v>
      </c>
      <c r="AH204" s="499">
        <v>0</v>
      </c>
      <c r="AI204" s="499">
        <v>0</v>
      </c>
      <c r="AJ204" s="499">
        <v>0</v>
      </c>
      <c r="AK204" s="499">
        <v>0</v>
      </c>
      <c r="AL204" s="499">
        <f t="shared" si="324"/>
        <v>0</v>
      </c>
      <c r="AM204" s="499">
        <f t="shared" si="325"/>
        <v>0</v>
      </c>
      <c r="AN204" s="500">
        <f t="shared" si="326"/>
        <v>0</v>
      </c>
      <c r="AO204" s="497">
        <f t="shared" ref="AO204:AO211" si="474">I204+AF204</f>
        <v>9035378</v>
      </c>
      <c r="AP204" s="498">
        <f t="shared" ref="AP204:AP211" si="475">J204+U204</f>
        <v>6609041</v>
      </c>
      <c r="AQ204" s="498">
        <f t="shared" ref="AQ204:AQ211" si="476">Y204</f>
        <v>0</v>
      </c>
      <c r="AR204" s="498">
        <f t="shared" ref="AR204:AS211" si="477">K204+AA204</f>
        <v>2233856</v>
      </c>
      <c r="AS204" s="498">
        <f t="shared" si="477"/>
        <v>132181</v>
      </c>
      <c r="AT204" s="498">
        <f t="shared" ref="AT204:AT211" si="478">M204+AE204</f>
        <v>60300</v>
      </c>
      <c r="AU204" s="499">
        <f t="shared" ref="AU204:AU211" si="479">N204+AN204</f>
        <v>15.000999999999999</v>
      </c>
      <c r="AV204" s="499">
        <f t="shared" ref="AV204:AW211" si="480">O204+AL204</f>
        <v>11.935499999999999</v>
      </c>
      <c r="AW204" s="500">
        <f t="shared" si="480"/>
        <v>3.0655000000000001</v>
      </c>
    </row>
    <row r="205" spans="1:49" s="569" customFormat="1" ht="12.75" customHeight="1" x14ac:dyDescent="0.2">
      <c r="A205" s="531">
        <v>37</v>
      </c>
      <c r="B205" s="532">
        <v>4467</v>
      </c>
      <c r="C205" s="532">
        <v>600074935</v>
      </c>
      <c r="D205" s="532">
        <v>48282545</v>
      </c>
      <c r="E205" s="530" t="s">
        <v>221</v>
      </c>
      <c r="F205" s="532">
        <v>3113</v>
      </c>
      <c r="G205" s="533" t="s">
        <v>320</v>
      </c>
      <c r="H205" s="534" t="s">
        <v>283</v>
      </c>
      <c r="I205" s="575">
        <f t="shared" si="468"/>
        <v>29132953</v>
      </c>
      <c r="J205" s="496">
        <v>21041313</v>
      </c>
      <c r="K205" s="131">
        <f t="shared" si="469"/>
        <v>7111964</v>
      </c>
      <c r="L205" s="131">
        <f t="shared" si="470"/>
        <v>420826</v>
      </c>
      <c r="M205" s="496">
        <v>558850</v>
      </c>
      <c r="N205" s="576">
        <f t="shared" si="471"/>
        <v>39.644399999999997</v>
      </c>
      <c r="O205" s="577">
        <v>29.817799999999998</v>
      </c>
      <c r="P205" s="607">
        <v>9.8265999999999991</v>
      </c>
      <c r="Q205" s="579">
        <f t="shared" si="472"/>
        <v>-176000</v>
      </c>
      <c r="R205" s="498">
        <v>0</v>
      </c>
      <c r="S205" s="498">
        <v>0</v>
      </c>
      <c r="T205" s="498">
        <v>0</v>
      </c>
      <c r="U205" s="498">
        <f t="shared" si="318"/>
        <v>-176000</v>
      </c>
      <c r="V205" s="498">
        <v>176000</v>
      </c>
      <c r="W205" s="498">
        <v>0</v>
      </c>
      <c r="X205" s="498">
        <v>0</v>
      </c>
      <c r="Y205" s="498">
        <f t="shared" si="319"/>
        <v>176000</v>
      </c>
      <c r="Z205" s="498">
        <f t="shared" si="320"/>
        <v>0</v>
      </c>
      <c r="AA205" s="131">
        <f t="shared" si="473"/>
        <v>0</v>
      </c>
      <c r="AB205" s="131">
        <f t="shared" si="321"/>
        <v>-3520</v>
      </c>
      <c r="AC205" s="498">
        <v>0</v>
      </c>
      <c r="AD205" s="498">
        <v>0</v>
      </c>
      <c r="AE205" s="498">
        <f t="shared" si="322"/>
        <v>0</v>
      </c>
      <c r="AF205" s="498">
        <f t="shared" si="323"/>
        <v>-3520</v>
      </c>
      <c r="AG205" s="499">
        <v>-0.13</v>
      </c>
      <c r="AH205" s="499">
        <v>-0.56999999999999995</v>
      </c>
      <c r="AI205" s="499">
        <v>0</v>
      </c>
      <c r="AJ205" s="499">
        <v>0</v>
      </c>
      <c r="AK205" s="499">
        <v>0</v>
      </c>
      <c r="AL205" s="499">
        <f t="shared" si="324"/>
        <v>-0.13</v>
      </c>
      <c r="AM205" s="499">
        <f t="shared" si="325"/>
        <v>-0.56999999999999995</v>
      </c>
      <c r="AN205" s="500">
        <f t="shared" si="326"/>
        <v>-0.7</v>
      </c>
      <c r="AO205" s="497">
        <f t="shared" si="474"/>
        <v>29129433</v>
      </c>
      <c r="AP205" s="498">
        <f t="shared" si="475"/>
        <v>20865313</v>
      </c>
      <c r="AQ205" s="498">
        <f t="shared" si="476"/>
        <v>176000</v>
      </c>
      <c r="AR205" s="498">
        <f t="shared" si="477"/>
        <v>7111964</v>
      </c>
      <c r="AS205" s="498">
        <f t="shared" si="477"/>
        <v>417306</v>
      </c>
      <c r="AT205" s="498">
        <f t="shared" si="478"/>
        <v>558850</v>
      </c>
      <c r="AU205" s="499">
        <f t="shared" si="479"/>
        <v>38.944399999999995</v>
      </c>
      <c r="AV205" s="499">
        <f t="shared" si="480"/>
        <v>29.687799999999999</v>
      </c>
      <c r="AW205" s="500">
        <f t="shared" si="480"/>
        <v>9.2565999999999988</v>
      </c>
    </row>
    <row r="206" spans="1:49" s="569" customFormat="1" ht="12.75" customHeight="1" x14ac:dyDescent="0.2">
      <c r="A206" s="531">
        <v>37</v>
      </c>
      <c r="B206" s="532">
        <v>4467</v>
      </c>
      <c r="C206" s="532">
        <v>600074935</v>
      </c>
      <c r="D206" s="532">
        <v>48282545</v>
      </c>
      <c r="E206" s="530" t="s">
        <v>221</v>
      </c>
      <c r="F206" s="532">
        <v>3113</v>
      </c>
      <c r="G206" s="533" t="s">
        <v>319</v>
      </c>
      <c r="H206" s="534" t="s">
        <v>283</v>
      </c>
      <c r="I206" s="575">
        <f t="shared" si="468"/>
        <v>1857337</v>
      </c>
      <c r="J206" s="496">
        <v>1367700</v>
      </c>
      <c r="K206" s="131">
        <f t="shared" si="469"/>
        <v>462283</v>
      </c>
      <c r="L206" s="131">
        <f t="shared" si="470"/>
        <v>27354</v>
      </c>
      <c r="M206" s="496">
        <v>0</v>
      </c>
      <c r="N206" s="576">
        <f t="shared" si="471"/>
        <v>3.9167000000000001</v>
      </c>
      <c r="O206" s="577">
        <v>3.9167000000000001</v>
      </c>
      <c r="P206" s="607">
        <v>0</v>
      </c>
      <c r="Q206" s="579">
        <f t="shared" si="472"/>
        <v>0</v>
      </c>
      <c r="R206" s="498">
        <v>0</v>
      </c>
      <c r="S206" s="498">
        <v>0</v>
      </c>
      <c r="T206" s="498">
        <v>0</v>
      </c>
      <c r="U206" s="498">
        <f t="shared" ref="U206:U270" si="481">SUM(Q206:T206)</f>
        <v>0</v>
      </c>
      <c r="V206" s="498">
        <v>0</v>
      </c>
      <c r="W206" s="498">
        <v>0</v>
      </c>
      <c r="X206" s="498">
        <v>0</v>
      </c>
      <c r="Y206" s="498">
        <f t="shared" si="319"/>
        <v>0</v>
      </c>
      <c r="Z206" s="498">
        <f t="shared" si="320"/>
        <v>0</v>
      </c>
      <c r="AA206" s="131">
        <f t="shared" si="473"/>
        <v>0</v>
      </c>
      <c r="AB206" s="131">
        <f t="shared" si="321"/>
        <v>0</v>
      </c>
      <c r="AC206" s="498">
        <v>0</v>
      </c>
      <c r="AD206" s="498">
        <v>0</v>
      </c>
      <c r="AE206" s="498">
        <f t="shared" si="322"/>
        <v>0</v>
      </c>
      <c r="AF206" s="498">
        <f t="shared" si="323"/>
        <v>0</v>
      </c>
      <c r="AG206" s="499">
        <v>0</v>
      </c>
      <c r="AH206" s="499">
        <v>0</v>
      </c>
      <c r="AI206" s="499">
        <v>0</v>
      </c>
      <c r="AJ206" s="499">
        <v>0</v>
      </c>
      <c r="AK206" s="499">
        <v>0</v>
      </c>
      <c r="AL206" s="499">
        <f t="shared" si="324"/>
        <v>0</v>
      </c>
      <c r="AM206" s="499">
        <f t="shared" si="325"/>
        <v>0</v>
      </c>
      <c r="AN206" s="500">
        <f t="shared" si="326"/>
        <v>0</v>
      </c>
      <c r="AO206" s="497">
        <f t="shared" si="474"/>
        <v>1857337</v>
      </c>
      <c r="AP206" s="498">
        <f t="shared" si="475"/>
        <v>1367700</v>
      </c>
      <c r="AQ206" s="498">
        <f t="shared" si="476"/>
        <v>0</v>
      </c>
      <c r="AR206" s="498">
        <f t="shared" si="477"/>
        <v>462283</v>
      </c>
      <c r="AS206" s="498">
        <f t="shared" si="477"/>
        <v>27354</v>
      </c>
      <c r="AT206" s="498">
        <f t="shared" si="478"/>
        <v>0</v>
      </c>
      <c r="AU206" s="499">
        <f t="shared" si="479"/>
        <v>3.9167000000000001</v>
      </c>
      <c r="AV206" s="499">
        <f t="shared" si="480"/>
        <v>3.9167000000000001</v>
      </c>
      <c r="AW206" s="500">
        <f t="shared" si="480"/>
        <v>0</v>
      </c>
    </row>
    <row r="207" spans="1:49" s="569" customFormat="1" ht="12.75" customHeight="1" x14ac:dyDescent="0.2">
      <c r="A207" s="531">
        <v>37</v>
      </c>
      <c r="B207" s="532">
        <v>4467</v>
      </c>
      <c r="C207" s="532">
        <v>600074935</v>
      </c>
      <c r="D207" s="532">
        <v>48282545</v>
      </c>
      <c r="E207" s="530" t="s">
        <v>221</v>
      </c>
      <c r="F207" s="532">
        <v>3113</v>
      </c>
      <c r="G207" s="533" t="s">
        <v>318</v>
      </c>
      <c r="H207" s="534" t="s">
        <v>284</v>
      </c>
      <c r="I207" s="575">
        <f t="shared" si="468"/>
        <v>0</v>
      </c>
      <c r="J207" s="496">
        <v>0</v>
      </c>
      <c r="K207" s="131">
        <f t="shared" si="469"/>
        <v>0</v>
      </c>
      <c r="L207" s="131">
        <f t="shared" si="470"/>
        <v>0</v>
      </c>
      <c r="M207" s="496">
        <v>0</v>
      </c>
      <c r="N207" s="576">
        <f t="shared" si="471"/>
        <v>0</v>
      </c>
      <c r="O207" s="577">
        <v>0</v>
      </c>
      <c r="P207" s="607">
        <v>0</v>
      </c>
      <c r="Q207" s="579">
        <f t="shared" si="472"/>
        <v>0</v>
      </c>
      <c r="R207" s="496">
        <f>2967907-72176+64959</f>
        <v>2960690</v>
      </c>
      <c r="S207" s="498">
        <v>0</v>
      </c>
      <c r="T207" s="498">
        <v>0</v>
      </c>
      <c r="U207" s="498">
        <f t="shared" si="481"/>
        <v>2960690</v>
      </c>
      <c r="V207" s="498">
        <v>0</v>
      </c>
      <c r="W207" s="498">
        <v>0</v>
      </c>
      <c r="X207" s="498">
        <v>0</v>
      </c>
      <c r="Y207" s="498">
        <f t="shared" ref="Y207:Y271" si="482">SUM(V207:X207)</f>
        <v>0</v>
      </c>
      <c r="Z207" s="498">
        <f t="shared" ref="Z207:Z271" si="483">U207+Y207</f>
        <v>2960690</v>
      </c>
      <c r="AA207" s="131">
        <f t="shared" si="473"/>
        <v>1000713</v>
      </c>
      <c r="AB207" s="131">
        <f t="shared" ref="AB207:AB271" si="484">ROUND(U207*2%,0)</f>
        <v>59214</v>
      </c>
      <c r="AC207" s="498">
        <v>2500</v>
      </c>
      <c r="AD207" s="498">
        <v>0</v>
      </c>
      <c r="AE207" s="498">
        <f t="shared" ref="AE207:AE271" si="485">SUM(AC207:AD207)</f>
        <v>2500</v>
      </c>
      <c r="AF207" s="498">
        <f t="shared" ref="AF207:AF271" si="486">Z207+AA207+AB207+AE207</f>
        <v>4023117</v>
      </c>
      <c r="AG207" s="499">
        <v>0</v>
      </c>
      <c r="AH207" s="499">
        <v>0</v>
      </c>
      <c r="AI207" s="499">
        <f>8.55-0.21+0.19</f>
        <v>8.5299999999999994</v>
      </c>
      <c r="AJ207" s="499">
        <v>0</v>
      </c>
      <c r="AK207" s="499">
        <v>0</v>
      </c>
      <c r="AL207" s="499">
        <f t="shared" ref="AL207:AL271" si="487">AG207+AI207+AJ207</f>
        <v>8.5299999999999994</v>
      </c>
      <c r="AM207" s="499">
        <f t="shared" ref="AM207:AM271" si="488">AH207+AK207</f>
        <v>0</v>
      </c>
      <c r="AN207" s="500">
        <f t="shared" ref="AN207:AN271" si="489">SUM(AL207:AM207)</f>
        <v>8.5299999999999994</v>
      </c>
      <c r="AO207" s="497">
        <f t="shared" si="474"/>
        <v>4023117</v>
      </c>
      <c r="AP207" s="498">
        <f t="shared" si="475"/>
        <v>2960690</v>
      </c>
      <c r="AQ207" s="498">
        <f t="shared" si="476"/>
        <v>0</v>
      </c>
      <c r="AR207" s="498">
        <f t="shared" si="477"/>
        <v>1000713</v>
      </c>
      <c r="AS207" s="498">
        <f t="shared" si="477"/>
        <v>59214</v>
      </c>
      <c r="AT207" s="498">
        <f t="shared" si="478"/>
        <v>2500</v>
      </c>
      <c r="AU207" s="499">
        <f t="shared" si="479"/>
        <v>8.5299999999999994</v>
      </c>
      <c r="AV207" s="499">
        <f t="shared" si="480"/>
        <v>8.5299999999999994</v>
      </c>
      <c r="AW207" s="500">
        <f t="shared" si="480"/>
        <v>0</v>
      </c>
    </row>
    <row r="208" spans="1:49" s="569" customFormat="1" ht="12.75" customHeight="1" x14ac:dyDescent="0.2">
      <c r="A208" s="531">
        <v>37</v>
      </c>
      <c r="B208" s="532">
        <v>4467</v>
      </c>
      <c r="C208" s="532">
        <v>600074935</v>
      </c>
      <c r="D208" s="532">
        <v>48282545</v>
      </c>
      <c r="E208" s="530" t="s">
        <v>221</v>
      </c>
      <c r="F208" s="532">
        <v>3141</v>
      </c>
      <c r="G208" s="533" t="s">
        <v>321</v>
      </c>
      <c r="H208" s="534" t="s">
        <v>284</v>
      </c>
      <c r="I208" s="575">
        <f t="shared" si="468"/>
        <v>2817223</v>
      </c>
      <c r="J208" s="496">
        <v>2058329</v>
      </c>
      <c r="K208" s="131">
        <f>ROUND((J208)*33.8%,0)</f>
        <v>695715</v>
      </c>
      <c r="L208" s="131">
        <f>ROUND(J208*2%,0)</f>
        <v>41167</v>
      </c>
      <c r="M208" s="496">
        <v>22012</v>
      </c>
      <c r="N208" s="576">
        <f t="shared" si="471"/>
        <v>7.01</v>
      </c>
      <c r="O208" s="577">
        <v>0</v>
      </c>
      <c r="P208" s="607">
        <v>7.01</v>
      </c>
      <c r="Q208" s="579">
        <f t="shared" si="472"/>
        <v>0</v>
      </c>
      <c r="R208" s="498">
        <v>0</v>
      </c>
      <c r="S208" s="498">
        <v>0</v>
      </c>
      <c r="T208" s="498">
        <v>0</v>
      </c>
      <c r="U208" s="498">
        <f t="shared" si="481"/>
        <v>0</v>
      </c>
      <c r="V208" s="498">
        <v>0</v>
      </c>
      <c r="W208" s="498">
        <v>0</v>
      </c>
      <c r="X208" s="498">
        <v>0</v>
      </c>
      <c r="Y208" s="498">
        <f t="shared" si="482"/>
        <v>0</v>
      </c>
      <c r="Z208" s="498">
        <f t="shared" si="483"/>
        <v>0</v>
      </c>
      <c r="AA208" s="131">
        <f t="shared" si="473"/>
        <v>0</v>
      </c>
      <c r="AB208" s="131">
        <f t="shared" si="484"/>
        <v>0</v>
      </c>
      <c r="AC208" s="498">
        <v>0</v>
      </c>
      <c r="AD208" s="498">
        <v>0</v>
      </c>
      <c r="AE208" s="498">
        <f t="shared" si="485"/>
        <v>0</v>
      </c>
      <c r="AF208" s="498">
        <f t="shared" si="486"/>
        <v>0</v>
      </c>
      <c r="AG208" s="499">
        <v>0</v>
      </c>
      <c r="AH208" s="499">
        <v>0</v>
      </c>
      <c r="AI208" s="499">
        <v>0</v>
      </c>
      <c r="AJ208" s="499">
        <v>0</v>
      </c>
      <c r="AK208" s="499">
        <v>0</v>
      </c>
      <c r="AL208" s="499">
        <f t="shared" si="487"/>
        <v>0</v>
      </c>
      <c r="AM208" s="499">
        <f t="shared" si="488"/>
        <v>0</v>
      </c>
      <c r="AN208" s="500">
        <f t="shared" si="489"/>
        <v>0</v>
      </c>
      <c r="AO208" s="497">
        <f t="shared" si="474"/>
        <v>2817223</v>
      </c>
      <c r="AP208" s="498">
        <f t="shared" si="475"/>
        <v>2058329</v>
      </c>
      <c r="AQ208" s="498">
        <f t="shared" si="476"/>
        <v>0</v>
      </c>
      <c r="AR208" s="498">
        <f t="shared" si="477"/>
        <v>695715</v>
      </c>
      <c r="AS208" s="498">
        <f t="shared" si="477"/>
        <v>41167</v>
      </c>
      <c r="AT208" s="498">
        <f t="shared" si="478"/>
        <v>22012</v>
      </c>
      <c r="AU208" s="499">
        <f t="shared" si="479"/>
        <v>7.01</v>
      </c>
      <c r="AV208" s="499">
        <f t="shared" si="480"/>
        <v>0</v>
      </c>
      <c r="AW208" s="500">
        <f t="shared" si="480"/>
        <v>7.01</v>
      </c>
    </row>
    <row r="209" spans="1:49" s="569" customFormat="1" ht="12.75" customHeight="1" x14ac:dyDescent="0.2">
      <c r="A209" s="531">
        <v>37</v>
      </c>
      <c r="B209" s="532">
        <v>4467</v>
      </c>
      <c r="C209" s="532">
        <v>600074935</v>
      </c>
      <c r="D209" s="532">
        <v>48282545</v>
      </c>
      <c r="E209" s="524" t="s">
        <v>221</v>
      </c>
      <c r="F209" s="532">
        <v>3143</v>
      </c>
      <c r="G209" s="533" t="s">
        <v>635</v>
      </c>
      <c r="H209" s="574" t="s">
        <v>283</v>
      </c>
      <c r="I209" s="575">
        <f t="shared" si="468"/>
        <v>2023343</v>
      </c>
      <c r="J209" s="496">
        <v>1489944</v>
      </c>
      <c r="K209" s="131">
        <v>503600</v>
      </c>
      <c r="L209" s="131">
        <f t="shared" ref="L209:L211" si="490">ROUND(J209*2%,0)</f>
        <v>29799</v>
      </c>
      <c r="M209" s="496">
        <v>0</v>
      </c>
      <c r="N209" s="576">
        <f t="shared" si="471"/>
        <v>3.3130999999999999</v>
      </c>
      <c r="O209" s="577">
        <v>3.3130999999999999</v>
      </c>
      <c r="P209" s="607">
        <v>0</v>
      </c>
      <c r="Q209" s="579">
        <f t="shared" si="472"/>
        <v>0</v>
      </c>
      <c r="R209" s="498">
        <v>0</v>
      </c>
      <c r="S209" s="498">
        <v>0</v>
      </c>
      <c r="T209" s="498">
        <v>0</v>
      </c>
      <c r="U209" s="498">
        <f t="shared" si="481"/>
        <v>0</v>
      </c>
      <c r="V209" s="498">
        <v>0</v>
      </c>
      <c r="W209" s="498">
        <v>0</v>
      </c>
      <c r="X209" s="498">
        <v>0</v>
      </c>
      <c r="Y209" s="498">
        <f t="shared" si="482"/>
        <v>0</v>
      </c>
      <c r="Z209" s="498">
        <f t="shared" si="483"/>
        <v>0</v>
      </c>
      <c r="AA209" s="131">
        <f t="shared" si="473"/>
        <v>0</v>
      </c>
      <c r="AB209" s="131">
        <f t="shared" si="484"/>
        <v>0</v>
      </c>
      <c r="AC209" s="498">
        <v>0</v>
      </c>
      <c r="AD209" s="498">
        <v>0</v>
      </c>
      <c r="AE209" s="498">
        <f t="shared" si="485"/>
        <v>0</v>
      </c>
      <c r="AF209" s="498">
        <f t="shared" si="486"/>
        <v>0</v>
      </c>
      <c r="AG209" s="499">
        <v>0</v>
      </c>
      <c r="AH209" s="499">
        <v>0</v>
      </c>
      <c r="AI209" s="499">
        <v>0</v>
      </c>
      <c r="AJ209" s="499">
        <v>0</v>
      </c>
      <c r="AK209" s="499">
        <v>0</v>
      </c>
      <c r="AL209" s="499">
        <f t="shared" si="487"/>
        <v>0</v>
      </c>
      <c r="AM209" s="499">
        <f t="shared" si="488"/>
        <v>0</v>
      </c>
      <c r="AN209" s="500">
        <f t="shared" si="489"/>
        <v>0</v>
      </c>
      <c r="AO209" s="497">
        <f t="shared" si="474"/>
        <v>2023343</v>
      </c>
      <c r="AP209" s="498">
        <f t="shared" si="475"/>
        <v>1489944</v>
      </c>
      <c r="AQ209" s="498">
        <f t="shared" si="476"/>
        <v>0</v>
      </c>
      <c r="AR209" s="498">
        <f t="shared" si="477"/>
        <v>503600</v>
      </c>
      <c r="AS209" s="498">
        <f t="shared" si="477"/>
        <v>29799</v>
      </c>
      <c r="AT209" s="498">
        <f t="shared" si="478"/>
        <v>0</v>
      </c>
      <c r="AU209" s="499">
        <f t="shared" si="479"/>
        <v>3.3130999999999999</v>
      </c>
      <c r="AV209" s="499">
        <f t="shared" si="480"/>
        <v>3.3130999999999999</v>
      </c>
      <c r="AW209" s="500">
        <f t="shared" si="480"/>
        <v>0</v>
      </c>
    </row>
    <row r="210" spans="1:49" s="569" customFormat="1" ht="12.75" customHeight="1" x14ac:dyDescent="0.2">
      <c r="A210" s="531">
        <v>37</v>
      </c>
      <c r="B210" s="532">
        <v>4467</v>
      </c>
      <c r="C210" s="532">
        <v>600074935</v>
      </c>
      <c r="D210" s="532">
        <v>48282545</v>
      </c>
      <c r="E210" s="524" t="s">
        <v>221</v>
      </c>
      <c r="F210" s="532">
        <v>3143</v>
      </c>
      <c r="G210" s="533" t="s">
        <v>636</v>
      </c>
      <c r="H210" s="574" t="s">
        <v>284</v>
      </c>
      <c r="I210" s="575">
        <f t="shared" si="468"/>
        <v>54772</v>
      </c>
      <c r="J210" s="496">
        <v>38610</v>
      </c>
      <c r="K210" s="131">
        <f t="shared" ref="K210:K211" si="491">ROUND((J210)*33.8%,0)</f>
        <v>13050</v>
      </c>
      <c r="L210" s="131">
        <f t="shared" si="490"/>
        <v>772</v>
      </c>
      <c r="M210" s="496">
        <v>2340</v>
      </c>
      <c r="N210" s="576">
        <f t="shared" si="471"/>
        <v>0.16</v>
      </c>
      <c r="O210" s="577">
        <v>0</v>
      </c>
      <c r="P210" s="607">
        <v>0.16</v>
      </c>
      <c r="Q210" s="579">
        <f t="shared" si="472"/>
        <v>0</v>
      </c>
      <c r="R210" s="498">
        <v>0</v>
      </c>
      <c r="S210" s="498">
        <v>0</v>
      </c>
      <c r="T210" s="498">
        <v>0</v>
      </c>
      <c r="U210" s="498">
        <f t="shared" si="481"/>
        <v>0</v>
      </c>
      <c r="V210" s="498">
        <v>0</v>
      </c>
      <c r="W210" s="498">
        <v>0</v>
      </c>
      <c r="X210" s="498">
        <v>0</v>
      </c>
      <c r="Y210" s="498">
        <f t="shared" si="482"/>
        <v>0</v>
      </c>
      <c r="Z210" s="498">
        <f t="shared" si="483"/>
        <v>0</v>
      </c>
      <c r="AA210" s="131">
        <f t="shared" si="473"/>
        <v>0</v>
      </c>
      <c r="AB210" s="131">
        <f t="shared" si="484"/>
        <v>0</v>
      </c>
      <c r="AC210" s="498">
        <v>0</v>
      </c>
      <c r="AD210" s="498">
        <v>0</v>
      </c>
      <c r="AE210" s="498">
        <f t="shared" si="485"/>
        <v>0</v>
      </c>
      <c r="AF210" s="498">
        <f t="shared" si="486"/>
        <v>0</v>
      </c>
      <c r="AG210" s="499">
        <v>0</v>
      </c>
      <c r="AH210" s="499">
        <v>0</v>
      </c>
      <c r="AI210" s="499">
        <v>0</v>
      </c>
      <c r="AJ210" s="499">
        <v>0</v>
      </c>
      <c r="AK210" s="499">
        <v>0</v>
      </c>
      <c r="AL210" s="499">
        <f t="shared" si="487"/>
        <v>0</v>
      </c>
      <c r="AM210" s="499">
        <f t="shared" si="488"/>
        <v>0</v>
      </c>
      <c r="AN210" s="500">
        <f t="shared" si="489"/>
        <v>0</v>
      </c>
      <c r="AO210" s="497">
        <f t="shared" si="474"/>
        <v>54772</v>
      </c>
      <c r="AP210" s="498">
        <f t="shared" si="475"/>
        <v>38610</v>
      </c>
      <c r="AQ210" s="498">
        <f t="shared" si="476"/>
        <v>0</v>
      </c>
      <c r="AR210" s="498">
        <f t="shared" si="477"/>
        <v>13050</v>
      </c>
      <c r="AS210" s="498">
        <f t="shared" si="477"/>
        <v>772</v>
      </c>
      <c r="AT210" s="498">
        <f t="shared" si="478"/>
        <v>2340</v>
      </c>
      <c r="AU210" s="499">
        <f t="shared" si="479"/>
        <v>0.16</v>
      </c>
      <c r="AV210" s="499">
        <f t="shared" si="480"/>
        <v>0</v>
      </c>
      <c r="AW210" s="500">
        <f t="shared" si="480"/>
        <v>0.16</v>
      </c>
    </row>
    <row r="211" spans="1:49" s="569" customFormat="1" ht="12.75" customHeight="1" x14ac:dyDescent="0.2">
      <c r="A211" s="531">
        <v>37</v>
      </c>
      <c r="B211" s="532">
        <v>4467</v>
      </c>
      <c r="C211" s="532">
        <v>600074935</v>
      </c>
      <c r="D211" s="532">
        <v>48282545</v>
      </c>
      <c r="E211" s="530" t="s">
        <v>221</v>
      </c>
      <c r="F211" s="532">
        <v>3233</v>
      </c>
      <c r="G211" s="533" t="s">
        <v>324</v>
      </c>
      <c r="H211" s="534" t="s">
        <v>284</v>
      </c>
      <c r="I211" s="575">
        <f t="shared" si="468"/>
        <v>2356670</v>
      </c>
      <c r="J211" s="496">
        <v>1722449</v>
      </c>
      <c r="K211" s="131">
        <f t="shared" si="491"/>
        <v>582188</v>
      </c>
      <c r="L211" s="131">
        <f t="shared" si="490"/>
        <v>34449</v>
      </c>
      <c r="M211" s="496">
        <v>17584</v>
      </c>
      <c r="N211" s="576">
        <f t="shared" si="471"/>
        <v>3.84</v>
      </c>
      <c r="O211" s="577">
        <v>2.75</v>
      </c>
      <c r="P211" s="607">
        <v>1.0900000000000001</v>
      </c>
      <c r="Q211" s="579">
        <f t="shared" si="472"/>
        <v>-24000</v>
      </c>
      <c r="R211" s="498">
        <v>0</v>
      </c>
      <c r="S211" s="498">
        <v>0</v>
      </c>
      <c r="T211" s="498">
        <v>0</v>
      </c>
      <c r="U211" s="498">
        <f t="shared" si="481"/>
        <v>-24000</v>
      </c>
      <c r="V211" s="498">
        <v>24000</v>
      </c>
      <c r="W211" s="498">
        <v>0</v>
      </c>
      <c r="X211" s="498">
        <v>0</v>
      </c>
      <c r="Y211" s="498">
        <f t="shared" si="482"/>
        <v>24000</v>
      </c>
      <c r="Z211" s="498">
        <f t="shared" si="483"/>
        <v>0</v>
      </c>
      <c r="AA211" s="131">
        <f t="shared" si="473"/>
        <v>0</v>
      </c>
      <c r="AB211" s="131">
        <f t="shared" si="484"/>
        <v>-480</v>
      </c>
      <c r="AC211" s="498">
        <v>0</v>
      </c>
      <c r="AD211" s="498">
        <v>0</v>
      </c>
      <c r="AE211" s="498">
        <f t="shared" si="485"/>
        <v>0</v>
      </c>
      <c r="AF211" s="498">
        <f t="shared" si="486"/>
        <v>-480</v>
      </c>
      <c r="AG211" s="499">
        <v>-0.04</v>
      </c>
      <c r="AH211" s="499">
        <v>-0.03</v>
      </c>
      <c r="AI211" s="499">
        <v>0</v>
      </c>
      <c r="AJ211" s="499">
        <v>0</v>
      </c>
      <c r="AK211" s="499">
        <v>0</v>
      </c>
      <c r="AL211" s="499">
        <f t="shared" si="487"/>
        <v>-0.04</v>
      </c>
      <c r="AM211" s="499">
        <f t="shared" si="488"/>
        <v>-0.03</v>
      </c>
      <c r="AN211" s="500">
        <f t="shared" si="489"/>
        <v>-7.0000000000000007E-2</v>
      </c>
      <c r="AO211" s="497">
        <f t="shared" si="474"/>
        <v>2356190</v>
      </c>
      <c r="AP211" s="498">
        <f t="shared" si="475"/>
        <v>1698449</v>
      </c>
      <c r="AQ211" s="498">
        <f t="shared" si="476"/>
        <v>24000</v>
      </c>
      <c r="AR211" s="498">
        <f t="shared" si="477"/>
        <v>582188</v>
      </c>
      <c r="AS211" s="498">
        <f t="shared" si="477"/>
        <v>33969</v>
      </c>
      <c r="AT211" s="498">
        <f t="shared" si="478"/>
        <v>17584</v>
      </c>
      <c r="AU211" s="499">
        <f t="shared" si="479"/>
        <v>3.77</v>
      </c>
      <c r="AV211" s="499">
        <f t="shared" si="480"/>
        <v>2.71</v>
      </c>
      <c r="AW211" s="500">
        <f t="shared" si="480"/>
        <v>1.06</v>
      </c>
    </row>
    <row r="212" spans="1:49" s="569" customFormat="1" ht="12.75" customHeight="1" x14ac:dyDescent="0.2">
      <c r="A212" s="302">
        <v>37</v>
      </c>
      <c r="B212" s="32">
        <v>4467</v>
      </c>
      <c r="C212" s="32">
        <v>600074935</v>
      </c>
      <c r="D212" s="32">
        <v>48282545</v>
      </c>
      <c r="E212" s="311" t="s">
        <v>222</v>
      </c>
      <c r="F212" s="32"/>
      <c r="G212" s="301"/>
      <c r="H212" s="454"/>
      <c r="I212" s="5">
        <f t="shared" ref="I212:P212" si="492">SUM(I204:I211)</f>
        <v>47277676</v>
      </c>
      <c r="J212" s="8">
        <f t="shared" si="492"/>
        <v>34327386</v>
      </c>
      <c r="K212" s="8">
        <f t="shared" si="492"/>
        <v>11602656</v>
      </c>
      <c r="L212" s="8">
        <f t="shared" si="492"/>
        <v>686548</v>
      </c>
      <c r="M212" s="8">
        <f t="shared" si="492"/>
        <v>661086</v>
      </c>
      <c r="N212" s="9">
        <f t="shared" si="492"/>
        <v>72.885199999999998</v>
      </c>
      <c r="O212" s="9">
        <f t="shared" si="492"/>
        <v>51.733099999999993</v>
      </c>
      <c r="P212" s="39">
        <f t="shared" si="492"/>
        <v>21.152099999999997</v>
      </c>
      <c r="Q212" s="5">
        <f t="shared" ref="Q212:AW212" si="493">SUM(Q204:Q211)</f>
        <v>-200000</v>
      </c>
      <c r="R212" s="8">
        <f t="shared" si="493"/>
        <v>2960690</v>
      </c>
      <c r="S212" s="8">
        <f t="shared" si="493"/>
        <v>0</v>
      </c>
      <c r="T212" s="8">
        <f t="shared" si="493"/>
        <v>0</v>
      </c>
      <c r="U212" s="8">
        <f t="shared" si="493"/>
        <v>2760690</v>
      </c>
      <c r="V212" s="8">
        <f t="shared" si="493"/>
        <v>200000</v>
      </c>
      <c r="W212" s="8">
        <f t="shared" si="493"/>
        <v>0</v>
      </c>
      <c r="X212" s="8">
        <f t="shared" si="493"/>
        <v>0</v>
      </c>
      <c r="Y212" s="8">
        <f t="shared" si="493"/>
        <v>200000</v>
      </c>
      <c r="Z212" s="8">
        <f t="shared" si="493"/>
        <v>2960690</v>
      </c>
      <c r="AA212" s="8">
        <f t="shared" si="493"/>
        <v>1000713</v>
      </c>
      <c r="AB212" s="8">
        <f t="shared" si="493"/>
        <v>55214</v>
      </c>
      <c r="AC212" s="8">
        <f t="shared" si="493"/>
        <v>2500</v>
      </c>
      <c r="AD212" s="8">
        <f t="shared" si="493"/>
        <v>0</v>
      </c>
      <c r="AE212" s="8">
        <f t="shared" si="493"/>
        <v>2500</v>
      </c>
      <c r="AF212" s="8">
        <f t="shared" si="493"/>
        <v>4019117</v>
      </c>
      <c r="AG212" s="9">
        <f t="shared" si="493"/>
        <v>-0.17</v>
      </c>
      <c r="AH212" s="9">
        <f t="shared" si="493"/>
        <v>-0.6</v>
      </c>
      <c r="AI212" s="9">
        <f t="shared" si="493"/>
        <v>8.5299999999999994</v>
      </c>
      <c r="AJ212" s="9">
        <f t="shared" si="493"/>
        <v>0</v>
      </c>
      <c r="AK212" s="9">
        <f t="shared" si="493"/>
        <v>0</v>
      </c>
      <c r="AL212" s="9">
        <f t="shared" si="493"/>
        <v>8.36</v>
      </c>
      <c r="AM212" s="9">
        <f t="shared" si="493"/>
        <v>-0.6</v>
      </c>
      <c r="AN212" s="92">
        <f t="shared" si="493"/>
        <v>7.7599999999999989</v>
      </c>
      <c r="AO212" s="295">
        <f t="shared" si="493"/>
        <v>51296793</v>
      </c>
      <c r="AP212" s="8">
        <f t="shared" si="493"/>
        <v>37088076</v>
      </c>
      <c r="AQ212" s="8">
        <f t="shared" si="493"/>
        <v>200000</v>
      </c>
      <c r="AR212" s="8">
        <f t="shared" si="493"/>
        <v>12603369</v>
      </c>
      <c r="AS212" s="8">
        <f t="shared" si="493"/>
        <v>741762</v>
      </c>
      <c r="AT212" s="8">
        <f t="shared" si="493"/>
        <v>663586</v>
      </c>
      <c r="AU212" s="9">
        <f t="shared" si="493"/>
        <v>80.645199999999988</v>
      </c>
      <c r="AV212" s="9">
        <f t="shared" si="493"/>
        <v>60.0931</v>
      </c>
      <c r="AW212" s="92">
        <f t="shared" si="493"/>
        <v>20.552099999999996</v>
      </c>
    </row>
    <row r="213" spans="1:49" s="569" customFormat="1" ht="12.75" customHeight="1" x14ac:dyDescent="0.2">
      <c r="A213" s="531">
        <v>38</v>
      </c>
      <c r="B213" s="532">
        <v>4460</v>
      </c>
      <c r="C213" s="532">
        <v>600074579</v>
      </c>
      <c r="D213" s="532">
        <v>48283011</v>
      </c>
      <c r="E213" s="530" t="s">
        <v>223</v>
      </c>
      <c r="F213" s="532">
        <v>3111</v>
      </c>
      <c r="G213" s="533" t="s">
        <v>317</v>
      </c>
      <c r="H213" s="534" t="s">
        <v>283</v>
      </c>
      <c r="I213" s="575">
        <f t="shared" ref="I213:I217" si="494">SUM(J213:M213)</f>
        <v>6155196</v>
      </c>
      <c r="J213" s="496">
        <v>4497751</v>
      </c>
      <c r="K213" s="131">
        <f t="shared" ref="K213:K215" si="495">ROUND((J213)*33.8%,0)</f>
        <v>1520240</v>
      </c>
      <c r="L213" s="131">
        <f t="shared" ref="L213:L215" si="496">ROUND(J213*2%,0)</f>
        <v>89955</v>
      </c>
      <c r="M213" s="496">
        <v>47250</v>
      </c>
      <c r="N213" s="576">
        <f t="shared" ref="N213:N218" si="497">SUM(O213:P213)</f>
        <v>10.043699999999999</v>
      </c>
      <c r="O213" s="577">
        <v>8</v>
      </c>
      <c r="P213" s="607">
        <v>2.0436999999999999</v>
      </c>
      <c r="Q213" s="579">
        <f t="shared" ref="Q213:Q218" si="498">V213*-1</f>
        <v>-8000</v>
      </c>
      <c r="R213" s="498">
        <v>0</v>
      </c>
      <c r="S213" s="498">
        <v>0</v>
      </c>
      <c r="T213" s="498">
        <v>0</v>
      </c>
      <c r="U213" s="498">
        <f t="shared" si="481"/>
        <v>-8000</v>
      </c>
      <c r="V213" s="498">
        <v>8000</v>
      </c>
      <c r="W213" s="498">
        <v>0</v>
      </c>
      <c r="X213" s="498">
        <v>0</v>
      </c>
      <c r="Y213" s="498">
        <f t="shared" si="482"/>
        <v>8000</v>
      </c>
      <c r="Z213" s="498">
        <f t="shared" si="483"/>
        <v>0</v>
      </c>
      <c r="AA213" s="131">
        <f t="shared" ref="AA213:AA218" si="499">ROUND((U213+V213+W213)*33.8%,0)</f>
        <v>0</v>
      </c>
      <c r="AB213" s="131">
        <f t="shared" si="484"/>
        <v>-160</v>
      </c>
      <c r="AC213" s="498">
        <v>0</v>
      </c>
      <c r="AD213" s="498">
        <v>0</v>
      </c>
      <c r="AE213" s="498">
        <f t="shared" si="485"/>
        <v>0</v>
      </c>
      <c r="AF213" s="498">
        <f t="shared" si="486"/>
        <v>-160</v>
      </c>
      <c r="AG213" s="499">
        <v>0</v>
      </c>
      <c r="AH213" s="499">
        <v>0</v>
      </c>
      <c r="AI213" s="499">
        <v>0</v>
      </c>
      <c r="AJ213" s="499">
        <v>0</v>
      </c>
      <c r="AK213" s="499">
        <v>0</v>
      </c>
      <c r="AL213" s="499">
        <f t="shared" si="487"/>
        <v>0</v>
      </c>
      <c r="AM213" s="499">
        <f t="shared" si="488"/>
        <v>0</v>
      </c>
      <c r="AN213" s="500">
        <f t="shared" si="489"/>
        <v>0</v>
      </c>
      <c r="AO213" s="497">
        <f t="shared" ref="AO213:AO218" si="500">I213+AF213</f>
        <v>6155036</v>
      </c>
      <c r="AP213" s="498">
        <f t="shared" ref="AP213:AP218" si="501">J213+U213</f>
        <v>4489751</v>
      </c>
      <c r="AQ213" s="498">
        <f t="shared" ref="AQ213:AQ218" si="502">Y213</f>
        <v>8000</v>
      </c>
      <c r="AR213" s="498">
        <f t="shared" ref="AR213:AS218" si="503">K213+AA213</f>
        <v>1520240</v>
      </c>
      <c r="AS213" s="498">
        <f t="shared" si="503"/>
        <v>89795</v>
      </c>
      <c r="AT213" s="498">
        <f t="shared" ref="AT213:AT218" si="504">M213+AE213</f>
        <v>47250</v>
      </c>
      <c r="AU213" s="499">
        <f t="shared" ref="AU213:AU218" si="505">N213+AN213</f>
        <v>10.043699999999999</v>
      </c>
      <c r="AV213" s="499">
        <f t="shared" ref="AV213:AW218" si="506">O213+AL213</f>
        <v>8</v>
      </c>
      <c r="AW213" s="500">
        <f t="shared" si="506"/>
        <v>2.0436999999999999</v>
      </c>
    </row>
    <row r="214" spans="1:49" s="569" customFormat="1" ht="12.75" customHeight="1" x14ac:dyDescent="0.2">
      <c r="A214" s="531">
        <v>38</v>
      </c>
      <c r="B214" s="532">
        <v>4460</v>
      </c>
      <c r="C214" s="532">
        <v>600074579</v>
      </c>
      <c r="D214" s="532">
        <v>48283011</v>
      </c>
      <c r="E214" s="530" t="s">
        <v>223</v>
      </c>
      <c r="F214" s="532">
        <v>3113</v>
      </c>
      <c r="G214" s="533" t="s">
        <v>320</v>
      </c>
      <c r="H214" s="534" t="s">
        <v>283</v>
      </c>
      <c r="I214" s="575">
        <f t="shared" si="494"/>
        <v>25658012</v>
      </c>
      <c r="J214" s="496">
        <v>18426651</v>
      </c>
      <c r="K214" s="131">
        <f t="shared" si="495"/>
        <v>6228208</v>
      </c>
      <c r="L214" s="131">
        <f t="shared" si="496"/>
        <v>368533</v>
      </c>
      <c r="M214" s="496">
        <v>634620</v>
      </c>
      <c r="N214" s="576">
        <f t="shared" si="497"/>
        <v>35.189599999999999</v>
      </c>
      <c r="O214" s="577">
        <v>26.352</v>
      </c>
      <c r="P214" s="607">
        <v>8.8376000000000001</v>
      </c>
      <c r="Q214" s="579">
        <f t="shared" si="498"/>
        <v>-20000</v>
      </c>
      <c r="R214" s="498">
        <v>0</v>
      </c>
      <c r="S214" s="498">
        <v>0</v>
      </c>
      <c r="T214" s="498">
        <v>0</v>
      </c>
      <c r="U214" s="498">
        <f t="shared" si="481"/>
        <v>-20000</v>
      </c>
      <c r="V214" s="498">
        <v>20000</v>
      </c>
      <c r="W214" s="498">
        <v>54816</v>
      </c>
      <c r="X214" s="498">
        <v>0</v>
      </c>
      <c r="Y214" s="498">
        <f t="shared" si="482"/>
        <v>74816</v>
      </c>
      <c r="Z214" s="498">
        <f t="shared" si="483"/>
        <v>54816</v>
      </c>
      <c r="AA214" s="131">
        <f t="shared" si="499"/>
        <v>18528</v>
      </c>
      <c r="AB214" s="131">
        <f t="shared" si="484"/>
        <v>-400</v>
      </c>
      <c r="AC214" s="498">
        <v>0</v>
      </c>
      <c r="AD214" s="498">
        <v>0</v>
      </c>
      <c r="AE214" s="498">
        <f t="shared" si="485"/>
        <v>0</v>
      </c>
      <c r="AF214" s="498">
        <f t="shared" si="486"/>
        <v>72944</v>
      </c>
      <c r="AG214" s="499">
        <v>0</v>
      </c>
      <c r="AH214" s="499">
        <v>0</v>
      </c>
      <c r="AI214" s="499">
        <v>0</v>
      </c>
      <c r="AJ214" s="499">
        <v>0</v>
      </c>
      <c r="AK214" s="499">
        <v>0</v>
      </c>
      <c r="AL214" s="499">
        <f t="shared" si="487"/>
        <v>0</v>
      </c>
      <c r="AM214" s="499">
        <f t="shared" si="488"/>
        <v>0</v>
      </c>
      <c r="AN214" s="500">
        <f t="shared" si="489"/>
        <v>0</v>
      </c>
      <c r="AO214" s="497">
        <f t="shared" si="500"/>
        <v>25730956</v>
      </c>
      <c r="AP214" s="498">
        <f t="shared" si="501"/>
        <v>18406651</v>
      </c>
      <c r="AQ214" s="498">
        <f t="shared" si="502"/>
        <v>74816</v>
      </c>
      <c r="AR214" s="498">
        <f t="shared" si="503"/>
        <v>6246736</v>
      </c>
      <c r="AS214" s="498">
        <f t="shared" si="503"/>
        <v>368133</v>
      </c>
      <c r="AT214" s="498">
        <f t="shared" si="504"/>
        <v>634620</v>
      </c>
      <c r="AU214" s="499">
        <f t="shared" si="505"/>
        <v>35.189599999999999</v>
      </c>
      <c r="AV214" s="499">
        <f t="shared" si="506"/>
        <v>26.352</v>
      </c>
      <c r="AW214" s="500">
        <f t="shared" si="506"/>
        <v>8.8376000000000001</v>
      </c>
    </row>
    <row r="215" spans="1:49" s="569" customFormat="1" ht="12.75" customHeight="1" x14ac:dyDescent="0.2">
      <c r="A215" s="531">
        <v>38</v>
      </c>
      <c r="B215" s="532">
        <v>4460</v>
      </c>
      <c r="C215" s="532">
        <v>600074579</v>
      </c>
      <c r="D215" s="532">
        <v>48283011</v>
      </c>
      <c r="E215" s="530" t="s">
        <v>223</v>
      </c>
      <c r="F215" s="532">
        <v>3113</v>
      </c>
      <c r="G215" s="533" t="s">
        <v>318</v>
      </c>
      <c r="H215" s="534" t="s">
        <v>284</v>
      </c>
      <c r="I215" s="575">
        <f t="shared" si="494"/>
        <v>0</v>
      </c>
      <c r="J215" s="496">
        <v>0</v>
      </c>
      <c r="K215" s="131">
        <f t="shared" si="495"/>
        <v>0</v>
      </c>
      <c r="L215" s="131">
        <f t="shared" si="496"/>
        <v>0</v>
      </c>
      <c r="M215" s="496">
        <v>0</v>
      </c>
      <c r="N215" s="576">
        <f t="shared" si="497"/>
        <v>0</v>
      </c>
      <c r="O215" s="577">
        <v>0</v>
      </c>
      <c r="P215" s="607">
        <v>0</v>
      </c>
      <c r="Q215" s="579">
        <f t="shared" si="498"/>
        <v>0</v>
      </c>
      <c r="R215" s="496">
        <f>567786+79393</f>
        <v>647179</v>
      </c>
      <c r="S215" s="498">
        <v>0</v>
      </c>
      <c r="T215" s="498">
        <v>0</v>
      </c>
      <c r="U215" s="498">
        <f t="shared" si="481"/>
        <v>647179</v>
      </c>
      <c r="V215" s="498">
        <v>0</v>
      </c>
      <c r="W215" s="498">
        <v>0</v>
      </c>
      <c r="X215" s="498">
        <v>0</v>
      </c>
      <c r="Y215" s="498">
        <f t="shared" si="482"/>
        <v>0</v>
      </c>
      <c r="Z215" s="498">
        <f t="shared" si="483"/>
        <v>647179</v>
      </c>
      <c r="AA215" s="131">
        <f t="shared" si="499"/>
        <v>218747</v>
      </c>
      <c r="AB215" s="131">
        <f t="shared" si="484"/>
        <v>12944</v>
      </c>
      <c r="AC215" s="498">
        <v>4250</v>
      </c>
      <c r="AD215" s="498">
        <v>0</v>
      </c>
      <c r="AE215" s="498">
        <f t="shared" si="485"/>
        <v>4250</v>
      </c>
      <c r="AF215" s="498">
        <f t="shared" si="486"/>
        <v>883120</v>
      </c>
      <c r="AG215" s="499">
        <v>0</v>
      </c>
      <c r="AH215" s="499">
        <v>0</v>
      </c>
      <c r="AI215" s="499">
        <f>1.64+0.23</f>
        <v>1.8699999999999999</v>
      </c>
      <c r="AJ215" s="499">
        <v>0</v>
      </c>
      <c r="AK215" s="499">
        <v>0</v>
      </c>
      <c r="AL215" s="499">
        <f t="shared" si="487"/>
        <v>1.8699999999999999</v>
      </c>
      <c r="AM215" s="499">
        <f t="shared" si="488"/>
        <v>0</v>
      </c>
      <c r="AN215" s="500">
        <f t="shared" si="489"/>
        <v>1.8699999999999999</v>
      </c>
      <c r="AO215" s="497">
        <f t="shared" si="500"/>
        <v>883120</v>
      </c>
      <c r="AP215" s="498">
        <f t="shared" si="501"/>
        <v>647179</v>
      </c>
      <c r="AQ215" s="498">
        <f t="shared" si="502"/>
        <v>0</v>
      </c>
      <c r="AR215" s="498">
        <f t="shared" si="503"/>
        <v>218747</v>
      </c>
      <c r="AS215" s="498">
        <f t="shared" si="503"/>
        <v>12944</v>
      </c>
      <c r="AT215" s="498">
        <f t="shared" si="504"/>
        <v>4250</v>
      </c>
      <c r="AU215" s="499">
        <f t="shared" si="505"/>
        <v>1.8699999999999999</v>
      </c>
      <c r="AV215" s="499">
        <f t="shared" si="506"/>
        <v>1.8699999999999999</v>
      </c>
      <c r="AW215" s="500">
        <f t="shared" si="506"/>
        <v>0</v>
      </c>
    </row>
    <row r="216" spans="1:49" s="569" customFormat="1" ht="12.75" customHeight="1" x14ac:dyDescent="0.2">
      <c r="A216" s="531">
        <v>38</v>
      </c>
      <c r="B216" s="532">
        <v>4460</v>
      </c>
      <c r="C216" s="532">
        <v>600074579</v>
      </c>
      <c r="D216" s="532">
        <v>48283011</v>
      </c>
      <c r="E216" s="530" t="s">
        <v>223</v>
      </c>
      <c r="F216" s="532">
        <v>3141</v>
      </c>
      <c r="G216" s="533" t="s">
        <v>321</v>
      </c>
      <c r="H216" s="534" t="s">
        <v>284</v>
      </c>
      <c r="I216" s="575">
        <f t="shared" si="494"/>
        <v>3219852</v>
      </c>
      <c r="J216" s="496">
        <v>2350499</v>
      </c>
      <c r="K216" s="131">
        <f>ROUND((J216)*33.8%,0)</f>
        <v>794469</v>
      </c>
      <c r="L216" s="131">
        <f>ROUND(J216*2%,0)</f>
        <v>47010</v>
      </c>
      <c r="M216" s="496">
        <v>27874</v>
      </c>
      <c r="N216" s="576">
        <f t="shared" si="497"/>
        <v>8</v>
      </c>
      <c r="O216" s="577">
        <v>0</v>
      </c>
      <c r="P216" s="607">
        <v>8</v>
      </c>
      <c r="Q216" s="579">
        <f t="shared" si="498"/>
        <v>0</v>
      </c>
      <c r="R216" s="498">
        <v>0</v>
      </c>
      <c r="S216" s="498">
        <v>0</v>
      </c>
      <c r="T216" s="498">
        <v>0</v>
      </c>
      <c r="U216" s="498">
        <f t="shared" si="481"/>
        <v>0</v>
      </c>
      <c r="V216" s="498">
        <v>0</v>
      </c>
      <c r="W216" s="498">
        <v>0</v>
      </c>
      <c r="X216" s="498">
        <v>0</v>
      </c>
      <c r="Y216" s="498">
        <f t="shared" si="482"/>
        <v>0</v>
      </c>
      <c r="Z216" s="498">
        <f t="shared" si="483"/>
        <v>0</v>
      </c>
      <c r="AA216" s="131">
        <f t="shared" si="499"/>
        <v>0</v>
      </c>
      <c r="AB216" s="131">
        <f t="shared" si="484"/>
        <v>0</v>
      </c>
      <c r="AC216" s="498">
        <v>0</v>
      </c>
      <c r="AD216" s="498">
        <v>0</v>
      </c>
      <c r="AE216" s="498">
        <f t="shared" si="485"/>
        <v>0</v>
      </c>
      <c r="AF216" s="498">
        <f t="shared" si="486"/>
        <v>0</v>
      </c>
      <c r="AG216" s="499">
        <v>0</v>
      </c>
      <c r="AH216" s="499">
        <v>0</v>
      </c>
      <c r="AI216" s="499">
        <v>0</v>
      </c>
      <c r="AJ216" s="499">
        <v>0</v>
      </c>
      <c r="AK216" s="499">
        <v>0</v>
      </c>
      <c r="AL216" s="499">
        <f t="shared" si="487"/>
        <v>0</v>
      </c>
      <c r="AM216" s="499">
        <f t="shared" si="488"/>
        <v>0</v>
      </c>
      <c r="AN216" s="500">
        <f t="shared" si="489"/>
        <v>0</v>
      </c>
      <c r="AO216" s="497">
        <f t="shared" si="500"/>
        <v>3219852</v>
      </c>
      <c r="AP216" s="498">
        <f t="shared" si="501"/>
        <v>2350499</v>
      </c>
      <c r="AQ216" s="498">
        <f t="shared" si="502"/>
        <v>0</v>
      </c>
      <c r="AR216" s="498">
        <f t="shared" si="503"/>
        <v>794469</v>
      </c>
      <c r="AS216" s="498">
        <f t="shared" si="503"/>
        <v>47010</v>
      </c>
      <c r="AT216" s="498">
        <f t="shared" si="504"/>
        <v>27874</v>
      </c>
      <c r="AU216" s="499">
        <f t="shared" si="505"/>
        <v>8</v>
      </c>
      <c r="AV216" s="499">
        <f t="shared" si="506"/>
        <v>0</v>
      </c>
      <c r="AW216" s="500">
        <f t="shared" si="506"/>
        <v>8</v>
      </c>
    </row>
    <row r="217" spans="1:49" s="569" customFormat="1" ht="12.75" customHeight="1" x14ac:dyDescent="0.2">
      <c r="A217" s="531">
        <v>38</v>
      </c>
      <c r="B217" s="532">
        <v>4460</v>
      </c>
      <c r="C217" s="532">
        <v>600074579</v>
      </c>
      <c r="D217" s="532">
        <v>48283011</v>
      </c>
      <c r="E217" s="530" t="s">
        <v>223</v>
      </c>
      <c r="F217" s="532">
        <v>3143</v>
      </c>
      <c r="G217" s="533" t="s">
        <v>635</v>
      </c>
      <c r="H217" s="574" t="s">
        <v>283</v>
      </c>
      <c r="I217" s="575">
        <f t="shared" si="494"/>
        <v>2140573</v>
      </c>
      <c r="J217" s="496">
        <v>1576269</v>
      </c>
      <c r="K217" s="131">
        <f t="shared" ref="K217:K218" si="507">ROUND((J217)*33.8%,0)</f>
        <v>532779</v>
      </c>
      <c r="L217" s="131">
        <f t="shared" ref="L217:L218" si="508">ROUND(J217*2%,0)</f>
        <v>31525</v>
      </c>
      <c r="M217" s="496">
        <v>0</v>
      </c>
      <c r="N217" s="576">
        <f t="shared" si="497"/>
        <v>3.3159999999999998</v>
      </c>
      <c r="O217" s="577">
        <v>3.3159999999999998</v>
      </c>
      <c r="P217" s="607">
        <v>0</v>
      </c>
      <c r="Q217" s="579">
        <f t="shared" si="498"/>
        <v>0</v>
      </c>
      <c r="R217" s="498">
        <v>0</v>
      </c>
      <c r="S217" s="498">
        <v>0</v>
      </c>
      <c r="T217" s="498">
        <v>0</v>
      </c>
      <c r="U217" s="498">
        <f t="shared" si="481"/>
        <v>0</v>
      </c>
      <c r="V217" s="498">
        <v>0</v>
      </c>
      <c r="W217" s="498">
        <v>0</v>
      </c>
      <c r="X217" s="498">
        <v>0</v>
      </c>
      <c r="Y217" s="498">
        <f t="shared" si="482"/>
        <v>0</v>
      </c>
      <c r="Z217" s="498">
        <f t="shared" si="483"/>
        <v>0</v>
      </c>
      <c r="AA217" s="131">
        <f t="shared" si="499"/>
        <v>0</v>
      </c>
      <c r="AB217" s="131">
        <f t="shared" si="484"/>
        <v>0</v>
      </c>
      <c r="AC217" s="498">
        <v>0</v>
      </c>
      <c r="AD217" s="498">
        <v>0</v>
      </c>
      <c r="AE217" s="498">
        <f t="shared" si="485"/>
        <v>0</v>
      </c>
      <c r="AF217" s="498">
        <f t="shared" si="486"/>
        <v>0</v>
      </c>
      <c r="AG217" s="499">
        <v>0</v>
      </c>
      <c r="AH217" s="499">
        <v>0</v>
      </c>
      <c r="AI217" s="499">
        <v>0</v>
      </c>
      <c r="AJ217" s="499">
        <v>0</v>
      </c>
      <c r="AK217" s="499">
        <v>0</v>
      </c>
      <c r="AL217" s="499">
        <f t="shared" si="487"/>
        <v>0</v>
      </c>
      <c r="AM217" s="499">
        <f t="shared" si="488"/>
        <v>0</v>
      </c>
      <c r="AN217" s="500">
        <f t="shared" si="489"/>
        <v>0</v>
      </c>
      <c r="AO217" s="497">
        <f t="shared" si="500"/>
        <v>2140573</v>
      </c>
      <c r="AP217" s="498">
        <f t="shared" si="501"/>
        <v>1576269</v>
      </c>
      <c r="AQ217" s="498">
        <f t="shared" si="502"/>
        <v>0</v>
      </c>
      <c r="AR217" s="498">
        <f t="shared" si="503"/>
        <v>532779</v>
      </c>
      <c r="AS217" s="498">
        <f t="shared" si="503"/>
        <v>31525</v>
      </c>
      <c r="AT217" s="498">
        <f t="shared" si="504"/>
        <v>0</v>
      </c>
      <c r="AU217" s="499">
        <f t="shared" si="505"/>
        <v>3.3159999999999998</v>
      </c>
      <c r="AV217" s="499">
        <f t="shared" si="506"/>
        <v>3.3159999999999998</v>
      </c>
      <c r="AW217" s="500">
        <f t="shared" si="506"/>
        <v>0</v>
      </c>
    </row>
    <row r="218" spans="1:49" s="569" customFormat="1" ht="12.75" customHeight="1" x14ac:dyDescent="0.2">
      <c r="A218" s="531">
        <v>38</v>
      </c>
      <c r="B218" s="532">
        <v>4460</v>
      </c>
      <c r="C218" s="532">
        <v>600074579</v>
      </c>
      <c r="D218" s="532">
        <v>48283011</v>
      </c>
      <c r="E218" s="530" t="s">
        <v>223</v>
      </c>
      <c r="F218" s="532">
        <v>3143</v>
      </c>
      <c r="G218" s="533" t="s">
        <v>636</v>
      </c>
      <c r="H218" s="574" t="s">
        <v>284</v>
      </c>
      <c r="I218" s="575">
        <f>SUM(J218:M218)</f>
        <v>66710</v>
      </c>
      <c r="J218" s="496">
        <v>47025</v>
      </c>
      <c r="K218" s="131">
        <f t="shared" si="507"/>
        <v>15894</v>
      </c>
      <c r="L218" s="131">
        <f t="shared" si="508"/>
        <v>941</v>
      </c>
      <c r="M218" s="496">
        <v>2850</v>
      </c>
      <c r="N218" s="576">
        <f t="shared" si="497"/>
        <v>0.2</v>
      </c>
      <c r="O218" s="577">
        <v>0</v>
      </c>
      <c r="P218" s="607">
        <v>0.2</v>
      </c>
      <c r="Q218" s="579">
        <f t="shared" si="498"/>
        <v>0</v>
      </c>
      <c r="R218" s="498">
        <v>0</v>
      </c>
      <c r="S218" s="498">
        <v>0</v>
      </c>
      <c r="T218" s="498">
        <v>0</v>
      </c>
      <c r="U218" s="498">
        <f t="shared" si="481"/>
        <v>0</v>
      </c>
      <c r="V218" s="498">
        <v>0</v>
      </c>
      <c r="W218" s="498">
        <v>0</v>
      </c>
      <c r="X218" s="498">
        <v>0</v>
      </c>
      <c r="Y218" s="498">
        <f t="shared" si="482"/>
        <v>0</v>
      </c>
      <c r="Z218" s="498">
        <f t="shared" si="483"/>
        <v>0</v>
      </c>
      <c r="AA218" s="131">
        <f t="shared" si="499"/>
        <v>0</v>
      </c>
      <c r="AB218" s="131">
        <f t="shared" si="484"/>
        <v>0</v>
      </c>
      <c r="AC218" s="498">
        <v>0</v>
      </c>
      <c r="AD218" s="498">
        <v>0</v>
      </c>
      <c r="AE218" s="498">
        <f t="shared" si="485"/>
        <v>0</v>
      </c>
      <c r="AF218" s="498">
        <f t="shared" si="486"/>
        <v>0</v>
      </c>
      <c r="AG218" s="499">
        <v>0</v>
      </c>
      <c r="AH218" s="499">
        <v>0</v>
      </c>
      <c r="AI218" s="499">
        <v>0</v>
      </c>
      <c r="AJ218" s="499">
        <v>0</v>
      </c>
      <c r="AK218" s="499">
        <v>0</v>
      </c>
      <c r="AL218" s="499">
        <f t="shared" si="487"/>
        <v>0</v>
      </c>
      <c r="AM218" s="499">
        <f t="shared" si="488"/>
        <v>0</v>
      </c>
      <c r="AN218" s="500">
        <f t="shared" si="489"/>
        <v>0</v>
      </c>
      <c r="AO218" s="497">
        <f t="shared" si="500"/>
        <v>66710</v>
      </c>
      <c r="AP218" s="498">
        <f t="shared" si="501"/>
        <v>47025</v>
      </c>
      <c r="AQ218" s="498">
        <f t="shared" si="502"/>
        <v>0</v>
      </c>
      <c r="AR218" s="498">
        <f t="shared" si="503"/>
        <v>15894</v>
      </c>
      <c r="AS218" s="498">
        <f t="shared" si="503"/>
        <v>941</v>
      </c>
      <c r="AT218" s="498">
        <f t="shared" si="504"/>
        <v>2850</v>
      </c>
      <c r="AU218" s="499">
        <f t="shared" si="505"/>
        <v>0.2</v>
      </c>
      <c r="AV218" s="499">
        <f t="shared" si="506"/>
        <v>0</v>
      </c>
      <c r="AW218" s="500">
        <f t="shared" si="506"/>
        <v>0.2</v>
      </c>
    </row>
    <row r="219" spans="1:49" s="569" customFormat="1" ht="12.75" customHeight="1" x14ac:dyDescent="0.2">
      <c r="A219" s="302">
        <v>38</v>
      </c>
      <c r="B219" s="32">
        <v>4460</v>
      </c>
      <c r="C219" s="32">
        <v>600074579</v>
      </c>
      <c r="D219" s="32">
        <v>48283011</v>
      </c>
      <c r="E219" s="311" t="s">
        <v>224</v>
      </c>
      <c r="F219" s="32"/>
      <c r="G219" s="301"/>
      <c r="H219" s="454"/>
      <c r="I219" s="5">
        <f t="shared" ref="I219:AW219" si="509">SUM(I213:I218)</f>
        <v>37240343</v>
      </c>
      <c r="J219" s="8">
        <f t="shared" si="509"/>
        <v>26898195</v>
      </c>
      <c r="K219" s="8">
        <f t="shared" si="509"/>
        <v>9091590</v>
      </c>
      <c r="L219" s="8">
        <f t="shared" si="509"/>
        <v>537964</v>
      </c>
      <c r="M219" s="8">
        <f t="shared" si="509"/>
        <v>712594</v>
      </c>
      <c r="N219" s="9">
        <f t="shared" si="509"/>
        <v>56.749300000000005</v>
      </c>
      <c r="O219" s="9">
        <f t="shared" si="509"/>
        <v>37.668000000000006</v>
      </c>
      <c r="P219" s="39">
        <f t="shared" si="509"/>
        <v>19.081299999999999</v>
      </c>
      <c r="Q219" s="5">
        <f t="shared" si="509"/>
        <v>-28000</v>
      </c>
      <c r="R219" s="8">
        <f t="shared" si="509"/>
        <v>647179</v>
      </c>
      <c r="S219" s="8">
        <f t="shared" si="509"/>
        <v>0</v>
      </c>
      <c r="T219" s="8">
        <f t="shared" si="509"/>
        <v>0</v>
      </c>
      <c r="U219" s="8">
        <f t="shared" si="509"/>
        <v>619179</v>
      </c>
      <c r="V219" s="8">
        <f t="shared" si="509"/>
        <v>28000</v>
      </c>
      <c r="W219" s="8">
        <f t="shared" si="509"/>
        <v>54816</v>
      </c>
      <c r="X219" s="8">
        <f t="shared" si="509"/>
        <v>0</v>
      </c>
      <c r="Y219" s="8">
        <f t="shared" si="509"/>
        <v>82816</v>
      </c>
      <c r="Z219" s="8">
        <f t="shared" si="509"/>
        <v>701995</v>
      </c>
      <c r="AA219" s="8">
        <f t="shared" si="509"/>
        <v>237275</v>
      </c>
      <c r="AB219" s="8">
        <f t="shared" si="509"/>
        <v>12384</v>
      </c>
      <c r="AC219" s="8">
        <f t="shared" si="509"/>
        <v>4250</v>
      </c>
      <c r="AD219" s="8">
        <f t="shared" si="509"/>
        <v>0</v>
      </c>
      <c r="AE219" s="8">
        <f t="shared" si="509"/>
        <v>4250</v>
      </c>
      <c r="AF219" s="8">
        <f t="shared" si="509"/>
        <v>955904</v>
      </c>
      <c r="AG219" s="9">
        <f t="shared" si="509"/>
        <v>0</v>
      </c>
      <c r="AH219" s="9">
        <f t="shared" si="509"/>
        <v>0</v>
      </c>
      <c r="AI219" s="9">
        <f t="shared" si="509"/>
        <v>1.8699999999999999</v>
      </c>
      <c r="AJ219" s="9">
        <f t="shared" si="509"/>
        <v>0</v>
      </c>
      <c r="AK219" s="9">
        <f t="shared" si="509"/>
        <v>0</v>
      </c>
      <c r="AL219" s="9">
        <f t="shared" si="509"/>
        <v>1.8699999999999999</v>
      </c>
      <c r="AM219" s="9">
        <f t="shared" si="509"/>
        <v>0</v>
      </c>
      <c r="AN219" s="92">
        <f t="shared" si="509"/>
        <v>1.8699999999999999</v>
      </c>
      <c r="AO219" s="295">
        <f t="shared" si="509"/>
        <v>38196247</v>
      </c>
      <c r="AP219" s="8">
        <f t="shared" si="509"/>
        <v>27517374</v>
      </c>
      <c r="AQ219" s="8">
        <f t="shared" si="509"/>
        <v>82816</v>
      </c>
      <c r="AR219" s="8">
        <f t="shared" si="509"/>
        <v>9328865</v>
      </c>
      <c r="AS219" s="8">
        <f t="shared" si="509"/>
        <v>550348</v>
      </c>
      <c r="AT219" s="8">
        <f t="shared" si="509"/>
        <v>716844</v>
      </c>
      <c r="AU219" s="9">
        <f t="shared" si="509"/>
        <v>58.619300000000003</v>
      </c>
      <c r="AV219" s="9">
        <f t="shared" si="509"/>
        <v>39.538000000000004</v>
      </c>
      <c r="AW219" s="92">
        <f t="shared" si="509"/>
        <v>19.081299999999999</v>
      </c>
    </row>
    <row r="220" spans="1:49" s="569" customFormat="1" ht="12.75" customHeight="1" x14ac:dyDescent="0.2">
      <c r="A220" s="531">
        <v>39</v>
      </c>
      <c r="B220" s="532">
        <v>4472</v>
      </c>
      <c r="C220" s="532">
        <v>600075095</v>
      </c>
      <c r="D220" s="532">
        <v>48282561</v>
      </c>
      <c r="E220" s="530" t="s">
        <v>225</v>
      </c>
      <c r="F220" s="532">
        <v>3231</v>
      </c>
      <c r="G220" s="533" t="s">
        <v>322</v>
      </c>
      <c r="H220" s="534" t="s">
        <v>283</v>
      </c>
      <c r="I220" s="575">
        <f t="shared" ref="I220" si="510">SUM(J220:M220)</f>
        <v>9756119</v>
      </c>
      <c r="J220" s="496">
        <v>7159274</v>
      </c>
      <c r="K220" s="131">
        <f>ROUND((J220)*33.8%,0)</f>
        <v>2419835</v>
      </c>
      <c r="L220" s="131">
        <f>ROUND(J220*2%,0)</f>
        <v>143185</v>
      </c>
      <c r="M220" s="496">
        <v>33825</v>
      </c>
      <c r="N220" s="576">
        <f t="shared" ref="N220" si="511">SUM(O220:P220)</f>
        <v>13.8726</v>
      </c>
      <c r="O220" s="577">
        <v>12.3096</v>
      </c>
      <c r="P220" s="607">
        <v>1.5629999999999999</v>
      </c>
      <c r="Q220" s="579">
        <f>V220*-1</f>
        <v>-32000</v>
      </c>
      <c r="R220" s="498">
        <v>0</v>
      </c>
      <c r="S220" s="498">
        <v>0</v>
      </c>
      <c r="T220" s="498">
        <v>0</v>
      </c>
      <c r="U220" s="498">
        <f t="shared" si="481"/>
        <v>-32000</v>
      </c>
      <c r="V220" s="498">
        <v>32000</v>
      </c>
      <c r="W220" s="498">
        <v>0</v>
      </c>
      <c r="X220" s="498">
        <v>0</v>
      </c>
      <c r="Y220" s="498">
        <f t="shared" si="482"/>
        <v>32000</v>
      </c>
      <c r="Z220" s="498">
        <f t="shared" si="483"/>
        <v>0</v>
      </c>
      <c r="AA220" s="131">
        <f>ROUND((U220+V220+W220)*33.8%,0)</f>
        <v>0</v>
      </c>
      <c r="AB220" s="131">
        <f t="shared" si="484"/>
        <v>-640</v>
      </c>
      <c r="AC220" s="498">
        <v>0</v>
      </c>
      <c r="AD220" s="498">
        <v>0</v>
      </c>
      <c r="AE220" s="498">
        <f t="shared" si="485"/>
        <v>0</v>
      </c>
      <c r="AF220" s="498">
        <f t="shared" si="486"/>
        <v>-640</v>
      </c>
      <c r="AG220" s="499">
        <v>-0.02</v>
      </c>
      <c r="AH220" s="499">
        <v>-0.09</v>
      </c>
      <c r="AI220" s="499">
        <v>0</v>
      </c>
      <c r="AJ220" s="499">
        <v>0</v>
      </c>
      <c r="AK220" s="499">
        <v>0</v>
      </c>
      <c r="AL220" s="499">
        <f t="shared" si="487"/>
        <v>-0.02</v>
      </c>
      <c r="AM220" s="499">
        <f t="shared" si="488"/>
        <v>-0.09</v>
      </c>
      <c r="AN220" s="500">
        <f t="shared" si="489"/>
        <v>-0.11</v>
      </c>
      <c r="AO220" s="497">
        <f>I220+AF220</f>
        <v>9755479</v>
      </c>
      <c r="AP220" s="498">
        <f>J220+U220</f>
        <v>7127274</v>
      </c>
      <c r="AQ220" s="498">
        <f>Y220</f>
        <v>32000</v>
      </c>
      <c r="AR220" s="498">
        <f>K220+AA220</f>
        <v>2419835</v>
      </c>
      <c r="AS220" s="498">
        <f>L220+AB220</f>
        <v>142545</v>
      </c>
      <c r="AT220" s="498">
        <f>M220+AE220</f>
        <v>33825</v>
      </c>
      <c r="AU220" s="499">
        <f>N220+AN220</f>
        <v>13.762600000000001</v>
      </c>
      <c r="AV220" s="499">
        <f>O220+AL220</f>
        <v>12.2896</v>
      </c>
      <c r="AW220" s="500">
        <f>P220+AM220</f>
        <v>1.4729999999999999</v>
      </c>
    </row>
    <row r="221" spans="1:49" s="569" customFormat="1" ht="12.75" customHeight="1" x14ac:dyDescent="0.2">
      <c r="A221" s="302">
        <v>39</v>
      </c>
      <c r="B221" s="32">
        <v>4472</v>
      </c>
      <c r="C221" s="32">
        <v>600075095</v>
      </c>
      <c r="D221" s="32">
        <v>48282561</v>
      </c>
      <c r="E221" s="311" t="s">
        <v>226</v>
      </c>
      <c r="F221" s="32"/>
      <c r="G221" s="301"/>
      <c r="H221" s="454"/>
      <c r="I221" s="5">
        <f t="shared" ref="I221:AW221" si="512">SUM(I220)</f>
        <v>9756119</v>
      </c>
      <c r="J221" s="8">
        <f t="shared" si="512"/>
        <v>7159274</v>
      </c>
      <c r="K221" s="8">
        <f t="shared" si="512"/>
        <v>2419835</v>
      </c>
      <c r="L221" s="8">
        <f t="shared" si="512"/>
        <v>143185</v>
      </c>
      <c r="M221" s="8">
        <f t="shared" si="512"/>
        <v>33825</v>
      </c>
      <c r="N221" s="9">
        <f t="shared" si="512"/>
        <v>13.8726</v>
      </c>
      <c r="O221" s="9">
        <f t="shared" si="512"/>
        <v>12.3096</v>
      </c>
      <c r="P221" s="39">
        <f t="shared" si="512"/>
        <v>1.5629999999999999</v>
      </c>
      <c r="Q221" s="5">
        <f t="shared" si="512"/>
        <v>-32000</v>
      </c>
      <c r="R221" s="8">
        <f t="shared" si="512"/>
        <v>0</v>
      </c>
      <c r="S221" s="8">
        <f t="shared" si="512"/>
        <v>0</v>
      </c>
      <c r="T221" s="8">
        <f t="shared" si="512"/>
        <v>0</v>
      </c>
      <c r="U221" s="8">
        <f t="shared" si="512"/>
        <v>-32000</v>
      </c>
      <c r="V221" s="8">
        <f t="shared" si="512"/>
        <v>32000</v>
      </c>
      <c r="W221" s="8">
        <f t="shared" si="512"/>
        <v>0</v>
      </c>
      <c r="X221" s="8">
        <f t="shared" si="512"/>
        <v>0</v>
      </c>
      <c r="Y221" s="8">
        <f t="shared" si="512"/>
        <v>32000</v>
      </c>
      <c r="Z221" s="8">
        <f t="shared" si="512"/>
        <v>0</v>
      </c>
      <c r="AA221" s="8">
        <f t="shared" si="512"/>
        <v>0</v>
      </c>
      <c r="AB221" s="8">
        <f t="shared" si="512"/>
        <v>-640</v>
      </c>
      <c r="AC221" s="8">
        <f t="shared" si="512"/>
        <v>0</v>
      </c>
      <c r="AD221" s="8">
        <f t="shared" si="512"/>
        <v>0</v>
      </c>
      <c r="AE221" s="8">
        <f t="shared" si="512"/>
        <v>0</v>
      </c>
      <c r="AF221" s="8">
        <f t="shared" si="512"/>
        <v>-640</v>
      </c>
      <c r="AG221" s="9">
        <f t="shared" si="512"/>
        <v>-0.02</v>
      </c>
      <c r="AH221" s="9">
        <f t="shared" si="512"/>
        <v>-0.09</v>
      </c>
      <c r="AI221" s="9">
        <f t="shared" si="512"/>
        <v>0</v>
      </c>
      <c r="AJ221" s="9">
        <f t="shared" si="512"/>
        <v>0</v>
      </c>
      <c r="AK221" s="9">
        <f t="shared" si="512"/>
        <v>0</v>
      </c>
      <c r="AL221" s="9">
        <f t="shared" si="512"/>
        <v>-0.02</v>
      </c>
      <c r="AM221" s="9">
        <f t="shared" si="512"/>
        <v>-0.09</v>
      </c>
      <c r="AN221" s="92">
        <f t="shared" si="512"/>
        <v>-0.11</v>
      </c>
      <c r="AO221" s="295">
        <f t="shared" si="512"/>
        <v>9755479</v>
      </c>
      <c r="AP221" s="8">
        <f t="shared" si="512"/>
        <v>7127274</v>
      </c>
      <c r="AQ221" s="8">
        <f t="shared" si="512"/>
        <v>32000</v>
      </c>
      <c r="AR221" s="8">
        <f t="shared" si="512"/>
        <v>2419835</v>
      </c>
      <c r="AS221" s="8">
        <f t="shared" si="512"/>
        <v>142545</v>
      </c>
      <c r="AT221" s="8">
        <f t="shared" si="512"/>
        <v>33825</v>
      </c>
      <c r="AU221" s="9">
        <f t="shared" si="512"/>
        <v>13.762600000000001</v>
      </c>
      <c r="AV221" s="9">
        <f t="shared" si="512"/>
        <v>12.2896</v>
      </c>
      <c r="AW221" s="92">
        <f t="shared" si="512"/>
        <v>1.4729999999999999</v>
      </c>
    </row>
    <row r="222" spans="1:49" s="569" customFormat="1" ht="12.75" customHeight="1" x14ac:dyDescent="0.2">
      <c r="A222" s="531">
        <v>40</v>
      </c>
      <c r="B222" s="532">
        <v>4418</v>
      </c>
      <c r="C222" s="532">
        <v>600074048</v>
      </c>
      <c r="D222" s="532">
        <v>72742411</v>
      </c>
      <c r="E222" s="530" t="s">
        <v>227</v>
      </c>
      <c r="F222" s="532">
        <v>3111</v>
      </c>
      <c r="G222" s="533" t="s">
        <v>317</v>
      </c>
      <c r="H222" s="534" t="s">
        <v>283</v>
      </c>
      <c r="I222" s="575">
        <f t="shared" ref="I222" si="513">SUM(J222:M222)</f>
        <v>2025278</v>
      </c>
      <c r="J222" s="496">
        <v>1484741</v>
      </c>
      <c r="K222" s="131">
        <f t="shared" ref="K222:K223" si="514">ROUND((J222)*33.8%,0)</f>
        <v>501842</v>
      </c>
      <c r="L222" s="131">
        <f t="shared" ref="L222:L223" si="515">ROUND(J222*2%,0)</f>
        <v>29695</v>
      </c>
      <c r="M222" s="496">
        <v>9000</v>
      </c>
      <c r="N222" s="576">
        <f t="shared" ref="N222:N224" si="516">SUM(O222:P222)</f>
        <v>3.1557999999999997</v>
      </c>
      <c r="O222" s="577">
        <v>2.3708999999999998</v>
      </c>
      <c r="P222" s="607">
        <v>0.78489999999999993</v>
      </c>
      <c r="Q222" s="579">
        <f t="shared" ref="Q222:Q224" si="517">V222*-1</f>
        <v>-38400</v>
      </c>
      <c r="R222" s="498">
        <v>0</v>
      </c>
      <c r="S222" s="498">
        <v>0</v>
      </c>
      <c r="T222" s="498">
        <v>0</v>
      </c>
      <c r="U222" s="498">
        <f t="shared" si="481"/>
        <v>-38400</v>
      </c>
      <c r="V222" s="498">
        <v>38400</v>
      </c>
      <c r="W222" s="498">
        <v>0</v>
      </c>
      <c r="X222" s="498">
        <v>0</v>
      </c>
      <c r="Y222" s="498">
        <f t="shared" si="482"/>
        <v>38400</v>
      </c>
      <c r="Z222" s="498">
        <f t="shared" si="483"/>
        <v>0</v>
      </c>
      <c r="AA222" s="131">
        <f t="shared" ref="AA222:AA224" si="518">ROUND((U222+V222+W222)*33.8%,0)</f>
        <v>0</v>
      </c>
      <c r="AB222" s="131">
        <f t="shared" si="484"/>
        <v>-768</v>
      </c>
      <c r="AC222" s="498">
        <v>0</v>
      </c>
      <c r="AD222" s="498">
        <v>0</v>
      </c>
      <c r="AE222" s="498">
        <f t="shared" si="485"/>
        <v>0</v>
      </c>
      <c r="AF222" s="498">
        <f t="shared" si="486"/>
        <v>-768</v>
      </c>
      <c r="AG222" s="499">
        <v>0</v>
      </c>
      <c r="AH222" s="499">
        <v>-0.15</v>
      </c>
      <c r="AI222" s="499">
        <v>0</v>
      </c>
      <c r="AJ222" s="499">
        <v>0</v>
      </c>
      <c r="AK222" s="499">
        <v>0</v>
      </c>
      <c r="AL222" s="499">
        <f t="shared" si="487"/>
        <v>0</v>
      </c>
      <c r="AM222" s="499">
        <f t="shared" si="488"/>
        <v>-0.15</v>
      </c>
      <c r="AN222" s="500">
        <f t="shared" si="489"/>
        <v>-0.15</v>
      </c>
      <c r="AO222" s="497">
        <f>I222+AF222</f>
        <v>2024510</v>
      </c>
      <c r="AP222" s="498">
        <f>J222+U222</f>
        <v>1446341</v>
      </c>
      <c r="AQ222" s="498">
        <f t="shared" ref="AQ222:AQ224" si="519">Y222</f>
        <v>38400</v>
      </c>
      <c r="AR222" s="498">
        <f t="shared" ref="AR222:AS224" si="520">K222+AA222</f>
        <v>501842</v>
      </c>
      <c r="AS222" s="498">
        <f t="shared" si="520"/>
        <v>28927</v>
      </c>
      <c r="AT222" s="498">
        <f>M222+AE222</f>
        <v>9000</v>
      </c>
      <c r="AU222" s="499">
        <f>N222+AN222</f>
        <v>3.0057999999999998</v>
      </c>
      <c r="AV222" s="499">
        <f t="shared" ref="AV222:AW224" si="521">O222+AL222</f>
        <v>2.3708999999999998</v>
      </c>
      <c r="AW222" s="500">
        <f t="shared" si="521"/>
        <v>0.63489999999999991</v>
      </c>
    </row>
    <row r="223" spans="1:49" s="569" customFormat="1" ht="12.75" customHeight="1" x14ac:dyDescent="0.2">
      <c r="A223" s="531">
        <v>40</v>
      </c>
      <c r="B223" s="532">
        <v>4418</v>
      </c>
      <c r="C223" s="532">
        <v>600074048</v>
      </c>
      <c r="D223" s="532">
        <v>72742411</v>
      </c>
      <c r="E223" s="530" t="s">
        <v>227</v>
      </c>
      <c r="F223" s="532">
        <v>3111</v>
      </c>
      <c r="G223" s="533" t="s">
        <v>318</v>
      </c>
      <c r="H223" s="534" t="s">
        <v>284</v>
      </c>
      <c r="I223" s="575">
        <f>SUM(J223:M223)</f>
        <v>0</v>
      </c>
      <c r="J223" s="496">
        <v>0</v>
      </c>
      <c r="K223" s="131">
        <f t="shared" si="514"/>
        <v>0</v>
      </c>
      <c r="L223" s="131">
        <f t="shared" si="515"/>
        <v>0</v>
      </c>
      <c r="M223" s="496">
        <v>0</v>
      </c>
      <c r="N223" s="576">
        <f t="shared" si="516"/>
        <v>0</v>
      </c>
      <c r="O223" s="577">
        <v>0</v>
      </c>
      <c r="P223" s="607">
        <v>0</v>
      </c>
      <c r="Q223" s="579">
        <f t="shared" si="517"/>
        <v>0</v>
      </c>
      <c r="R223" s="496">
        <v>173222</v>
      </c>
      <c r="S223" s="498">
        <v>0</v>
      </c>
      <c r="T223" s="498">
        <v>0</v>
      </c>
      <c r="U223" s="498">
        <f t="shared" si="481"/>
        <v>173222</v>
      </c>
      <c r="V223" s="498">
        <v>0</v>
      </c>
      <c r="W223" s="498">
        <v>0</v>
      </c>
      <c r="X223" s="498">
        <v>0</v>
      </c>
      <c r="Y223" s="498">
        <f t="shared" si="482"/>
        <v>0</v>
      </c>
      <c r="Z223" s="498">
        <f t="shared" si="483"/>
        <v>173222</v>
      </c>
      <c r="AA223" s="131">
        <f t="shared" si="518"/>
        <v>58549</v>
      </c>
      <c r="AB223" s="131">
        <f t="shared" si="484"/>
        <v>3464</v>
      </c>
      <c r="AC223" s="498">
        <v>0</v>
      </c>
      <c r="AD223" s="498">
        <v>0</v>
      </c>
      <c r="AE223" s="498">
        <f t="shared" si="485"/>
        <v>0</v>
      </c>
      <c r="AF223" s="498">
        <f t="shared" si="486"/>
        <v>235235</v>
      </c>
      <c r="AG223" s="499">
        <v>0</v>
      </c>
      <c r="AH223" s="499">
        <v>0</v>
      </c>
      <c r="AI223" s="499">
        <v>0.5</v>
      </c>
      <c r="AJ223" s="499">
        <v>0</v>
      </c>
      <c r="AK223" s="499">
        <v>0</v>
      </c>
      <c r="AL223" s="499">
        <f t="shared" si="487"/>
        <v>0.5</v>
      </c>
      <c r="AM223" s="499">
        <f t="shared" si="488"/>
        <v>0</v>
      </c>
      <c r="AN223" s="500">
        <f t="shared" si="489"/>
        <v>0.5</v>
      </c>
      <c r="AO223" s="497">
        <f>I223+AF223</f>
        <v>235235</v>
      </c>
      <c r="AP223" s="498">
        <f>J223+U223</f>
        <v>173222</v>
      </c>
      <c r="AQ223" s="498">
        <f t="shared" si="519"/>
        <v>0</v>
      </c>
      <c r="AR223" s="498">
        <f t="shared" si="520"/>
        <v>58549</v>
      </c>
      <c r="AS223" s="498">
        <f t="shared" si="520"/>
        <v>3464</v>
      </c>
      <c r="AT223" s="498">
        <f>M223+AE223</f>
        <v>0</v>
      </c>
      <c r="AU223" s="499">
        <f>N223+AN223</f>
        <v>0.5</v>
      </c>
      <c r="AV223" s="499">
        <f t="shared" si="521"/>
        <v>0.5</v>
      </c>
      <c r="AW223" s="500">
        <f t="shared" si="521"/>
        <v>0</v>
      </c>
    </row>
    <row r="224" spans="1:49" s="569" customFormat="1" ht="12.75" customHeight="1" x14ac:dyDescent="0.2">
      <c r="A224" s="531">
        <v>40</v>
      </c>
      <c r="B224" s="532">
        <v>4418</v>
      </c>
      <c r="C224" s="532">
        <v>600074048</v>
      </c>
      <c r="D224" s="532">
        <v>72742411</v>
      </c>
      <c r="E224" s="524" t="s">
        <v>227</v>
      </c>
      <c r="F224" s="532">
        <v>3141</v>
      </c>
      <c r="G224" s="533" t="s">
        <v>321</v>
      </c>
      <c r="H224" s="534" t="s">
        <v>284</v>
      </c>
      <c r="I224" s="575">
        <f>SUM(J224:M224)</f>
        <v>325106</v>
      </c>
      <c r="J224" s="496">
        <v>238546</v>
      </c>
      <c r="K224" s="131">
        <f>ROUND((J224)*33.8%,0)</f>
        <v>80629</v>
      </c>
      <c r="L224" s="131">
        <f>ROUND(J224*2%,0)</f>
        <v>4771</v>
      </c>
      <c r="M224" s="496">
        <v>1160</v>
      </c>
      <c r="N224" s="576">
        <f t="shared" si="516"/>
        <v>0.81</v>
      </c>
      <c r="O224" s="577">
        <v>0</v>
      </c>
      <c r="P224" s="607">
        <v>0.81</v>
      </c>
      <c r="Q224" s="579">
        <f t="shared" si="517"/>
        <v>-5600</v>
      </c>
      <c r="R224" s="498">
        <v>0</v>
      </c>
      <c r="S224" s="498">
        <v>0</v>
      </c>
      <c r="T224" s="498">
        <v>0</v>
      </c>
      <c r="U224" s="498">
        <f t="shared" si="481"/>
        <v>-5600</v>
      </c>
      <c r="V224" s="498">
        <v>5600</v>
      </c>
      <c r="W224" s="498">
        <v>0</v>
      </c>
      <c r="X224" s="498">
        <v>0</v>
      </c>
      <c r="Y224" s="498">
        <f t="shared" si="482"/>
        <v>5600</v>
      </c>
      <c r="Z224" s="498">
        <f t="shared" si="483"/>
        <v>0</v>
      </c>
      <c r="AA224" s="131">
        <f t="shared" si="518"/>
        <v>0</v>
      </c>
      <c r="AB224" s="131">
        <f t="shared" si="484"/>
        <v>-112</v>
      </c>
      <c r="AC224" s="498">
        <v>0</v>
      </c>
      <c r="AD224" s="498">
        <v>0</v>
      </c>
      <c r="AE224" s="498">
        <f t="shared" si="485"/>
        <v>0</v>
      </c>
      <c r="AF224" s="498">
        <f t="shared" si="486"/>
        <v>-112</v>
      </c>
      <c r="AG224" s="499">
        <v>0</v>
      </c>
      <c r="AH224" s="499">
        <v>0</v>
      </c>
      <c r="AI224" s="499">
        <v>0</v>
      </c>
      <c r="AJ224" s="499">
        <v>0</v>
      </c>
      <c r="AK224" s="499">
        <v>0</v>
      </c>
      <c r="AL224" s="499">
        <f t="shared" si="487"/>
        <v>0</v>
      </c>
      <c r="AM224" s="499">
        <f t="shared" si="488"/>
        <v>0</v>
      </c>
      <c r="AN224" s="500">
        <f t="shared" si="489"/>
        <v>0</v>
      </c>
      <c r="AO224" s="497">
        <f>I224+AF224</f>
        <v>324994</v>
      </c>
      <c r="AP224" s="498">
        <f>J224+U224</f>
        <v>232946</v>
      </c>
      <c r="AQ224" s="498">
        <f t="shared" si="519"/>
        <v>5600</v>
      </c>
      <c r="AR224" s="498">
        <f t="shared" si="520"/>
        <v>80629</v>
      </c>
      <c r="AS224" s="498">
        <f t="shared" si="520"/>
        <v>4659</v>
      </c>
      <c r="AT224" s="498">
        <f>M224+AE224</f>
        <v>1160</v>
      </c>
      <c r="AU224" s="499">
        <f>N224+AN224</f>
        <v>0.81</v>
      </c>
      <c r="AV224" s="499">
        <f t="shared" si="521"/>
        <v>0</v>
      </c>
      <c r="AW224" s="500">
        <f t="shared" si="521"/>
        <v>0.81</v>
      </c>
    </row>
    <row r="225" spans="1:49" s="569" customFormat="1" ht="12.75" customHeight="1" x14ac:dyDescent="0.2">
      <c r="A225" s="302">
        <v>40</v>
      </c>
      <c r="B225" s="32">
        <v>4418</v>
      </c>
      <c r="C225" s="32">
        <v>600074048</v>
      </c>
      <c r="D225" s="32">
        <v>72742411</v>
      </c>
      <c r="E225" s="311" t="s">
        <v>228</v>
      </c>
      <c r="F225" s="32"/>
      <c r="G225" s="301"/>
      <c r="H225" s="454"/>
      <c r="I225" s="5">
        <f t="shared" ref="I225:P225" si="522">SUM(I222:I224)</f>
        <v>2350384</v>
      </c>
      <c r="J225" s="8">
        <f t="shared" si="522"/>
        <v>1723287</v>
      </c>
      <c r="K225" s="8">
        <f t="shared" si="522"/>
        <v>582471</v>
      </c>
      <c r="L225" s="8">
        <f t="shared" si="522"/>
        <v>34466</v>
      </c>
      <c r="M225" s="8">
        <f t="shared" si="522"/>
        <v>10160</v>
      </c>
      <c r="N225" s="9">
        <f t="shared" si="522"/>
        <v>3.9657999999999998</v>
      </c>
      <c r="O225" s="9">
        <f t="shared" si="522"/>
        <v>2.3708999999999998</v>
      </c>
      <c r="P225" s="39">
        <f t="shared" si="522"/>
        <v>1.5949</v>
      </c>
      <c r="Q225" s="5">
        <f t="shared" ref="Q225:AW225" si="523">SUM(Q222:Q224)</f>
        <v>-44000</v>
      </c>
      <c r="R225" s="8">
        <f t="shared" si="523"/>
        <v>173222</v>
      </c>
      <c r="S225" s="8">
        <f t="shared" si="523"/>
        <v>0</v>
      </c>
      <c r="T225" s="8">
        <f t="shared" si="523"/>
        <v>0</v>
      </c>
      <c r="U225" s="8">
        <f t="shared" si="523"/>
        <v>129222</v>
      </c>
      <c r="V225" s="8">
        <f t="shared" si="523"/>
        <v>44000</v>
      </c>
      <c r="W225" s="8">
        <f t="shared" si="523"/>
        <v>0</v>
      </c>
      <c r="X225" s="8">
        <f t="shared" si="523"/>
        <v>0</v>
      </c>
      <c r="Y225" s="8">
        <f t="shared" si="523"/>
        <v>44000</v>
      </c>
      <c r="Z225" s="8">
        <f t="shared" si="523"/>
        <v>173222</v>
      </c>
      <c r="AA225" s="8">
        <f t="shared" si="523"/>
        <v>58549</v>
      </c>
      <c r="AB225" s="8">
        <f t="shared" si="523"/>
        <v>2584</v>
      </c>
      <c r="AC225" s="8">
        <f t="shared" si="523"/>
        <v>0</v>
      </c>
      <c r="AD225" s="8">
        <f t="shared" si="523"/>
        <v>0</v>
      </c>
      <c r="AE225" s="8">
        <f t="shared" si="523"/>
        <v>0</v>
      </c>
      <c r="AF225" s="8">
        <f t="shared" si="523"/>
        <v>234355</v>
      </c>
      <c r="AG225" s="9">
        <f t="shared" si="523"/>
        <v>0</v>
      </c>
      <c r="AH225" s="9">
        <f t="shared" si="523"/>
        <v>-0.15</v>
      </c>
      <c r="AI225" s="9">
        <f t="shared" si="523"/>
        <v>0.5</v>
      </c>
      <c r="AJ225" s="9">
        <f t="shared" si="523"/>
        <v>0</v>
      </c>
      <c r="AK225" s="9">
        <f t="shared" si="523"/>
        <v>0</v>
      </c>
      <c r="AL225" s="9">
        <f t="shared" si="523"/>
        <v>0.5</v>
      </c>
      <c r="AM225" s="9">
        <f t="shared" si="523"/>
        <v>-0.15</v>
      </c>
      <c r="AN225" s="92">
        <f t="shared" si="523"/>
        <v>0.35</v>
      </c>
      <c r="AO225" s="295">
        <f t="shared" si="523"/>
        <v>2584739</v>
      </c>
      <c r="AP225" s="8">
        <f t="shared" si="523"/>
        <v>1852509</v>
      </c>
      <c r="AQ225" s="8">
        <f t="shared" si="523"/>
        <v>44000</v>
      </c>
      <c r="AR225" s="8">
        <f t="shared" si="523"/>
        <v>641020</v>
      </c>
      <c r="AS225" s="8">
        <f t="shared" si="523"/>
        <v>37050</v>
      </c>
      <c r="AT225" s="8">
        <f t="shared" si="523"/>
        <v>10160</v>
      </c>
      <c r="AU225" s="9">
        <f t="shared" si="523"/>
        <v>4.3157999999999994</v>
      </c>
      <c r="AV225" s="9">
        <f t="shared" si="523"/>
        <v>2.8708999999999998</v>
      </c>
      <c r="AW225" s="92">
        <f t="shared" si="523"/>
        <v>1.4449000000000001</v>
      </c>
    </row>
    <row r="226" spans="1:49" s="569" customFormat="1" ht="12.75" customHeight="1" x14ac:dyDescent="0.2">
      <c r="A226" s="531">
        <v>41</v>
      </c>
      <c r="B226" s="532">
        <v>4432</v>
      </c>
      <c r="C226" s="532">
        <v>600074625</v>
      </c>
      <c r="D226" s="532">
        <v>70695903</v>
      </c>
      <c r="E226" s="530" t="s">
        <v>229</v>
      </c>
      <c r="F226" s="532">
        <v>3111</v>
      </c>
      <c r="G226" s="533" t="s">
        <v>317</v>
      </c>
      <c r="H226" s="534" t="s">
        <v>283</v>
      </c>
      <c r="I226" s="575">
        <f t="shared" ref="I226:I230" si="524">SUM(J226:M226)</f>
        <v>1582263</v>
      </c>
      <c r="J226" s="496">
        <v>1157189</v>
      </c>
      <c r="K226" s="131">
        <f t="shared" ref="K226:K228" si="525">ROUND((J226)*33.8%,0)</f>
        <v>391130</v>
      </c>
      <c r="L226" s="131">
        <f t="shared" ref="L226:L228" si="526">ROUND(J226*2%,0)</f>
        <v>23144</v>
      </c>
      <c r="M226" s="496">
        <v>10800</v>
      </c>
      <c r="N226" s="576">
        <f t="shared" ref="N226:N231" si="527">SUM(O226:P226)</f>
        <v>2.6075999999999997</v>
      </c>
      <c r="O226" s="577">
        <v>2.0966999999999998</v>
      </c>
      <c r="P226" s="607">
        <v>0.51090000000000002</v>
      </c>
      <c r="Q226" s="579">
        <f t="shared" ref="Q226:Q231" si="528">V226*-1</f>
        <v>0</v>
      </c>
      <c r="R226" s="498">
        <v>0</v>
      </c>
      <c r="S226" s="498">
        <v>0</v>
      </c>
      <c r="T226" s="498">
        <v>0</v>
      </c>
      <c r="U226" s="498">
        <f t="shared" si="481"/>
        <v>0</v>
      </c>
      <c r="V226" s="498">
        <v>0</v>
      </c>
      <c r="W226" s="498">
        <v>0</v>
      </c>
      <c r="X226" s="498">
        <v>0</v>
      </c>
      <c r="Y226" s="498">
        <f t="shared" si="482"/>
        <v>0</v>
      </c>
      <c r="Z226" s="498">
        <f t="shared" si="483"/>
        <v>0</v>
      </c>
      <c r="AA226" s="131">
        <f t="shared" ref="AA226:AA231" si="529">ROUND((U226+V226+W226)*33.8%,0)</f>
        <v>0</v>
      </c>
      <c r="AB226" s="131">
        <f t="shared" si="484"/>
        <v>0</v>
      </c>
      <c r="AC226" s="498">
        <v>0</v>
      </c>
      <c r="AD226" s="498">
        <v>0</v>
      </c>
      <c r="AE226" s="498">
        <f t="shared" si="485"/>
        <v>0</v>
      </c>
      <c r="AF226" s="498">
        <f t="shared" si="486"/>
        <v>0</v>
      </c>
      <c r="AG226" s="499">
        <v>0</v>
      </c>
      <c r="AH226" s="499">
        <v>0</v>
      </c>
      <c r="AI226" s="499">
        <v>0</v>
      </c>
      <c r="AJ226" s="499">
        <v>0</v>
      </c>
      <c r="AK226" s="499">
        <v>0</v>
      </c>
      <c r="AL226" s="499">
        <f t="shared" si="487"/>
        <v>0</v>
      </c>
      <c r="AM226" s="499">
        <f t="shared" si="488"/>
        <v>0</v>
      </c>
      <c r="AN226" s="500">
        <f t="shared" si="489"/>
        <v>0</v>
      </c>
      <c r="AO226" s="497">
        <f t="shared" ref="AO226:AO231" si="530">I226+AF226</f>
        <v>1582263</v>
      </c>
      <c r="AP226" s="498">
        <f t="shared" ref="AP226:AP231" si="531">J226+U226</f>
        <v>1157189</v>
      </c>
      <c r="AQ226" s="498">
        <f t="shared" ref="AQ226:AQ231" si="532">Y226</f>
        <v>0</v>
      </c>
      <c r="AR226" s="498">
        <f t="shared" ref="AR226:AS231" si="533">K226+AA226</f>
        <v>391130</v>
      </c>
      <c r="AS226" s="498">
        <f t="shared" si="533"/>
        <v>23144</v>
      </c>
      <c r="AT226" s="498">
        <f t="shared" ref="AT226:AT231" si="534">M226+AE226</f>
        <v>10800</v>
      </c>
      <c r="AU226" s="499">
        <f t="shared" ref="AU226:AU231" si="535">N226+AN226</f>
        <v>2.6075999999999997</v>
      </c>
      <c r="AV226" s="499">
        <f t="shared" ref="AV226:AW231" si="536">O226+AL226</f>
        <v>2.0966999999999998</v>
      </c>
      <c r="AW226" s="500">
        <f t="shared" si="536"/>
        <v>0.51090000000000002</v>
      </c>
    </row>
    <row r="227" spans="1:49" s="569" customFormat="1" ht="12.75" customHeight="1" x14ac:dyDescent="0.2">
      <c r="A227" s="531">
        <v>41</v>
      </c>
      <c r="B227" s="532">
        <v>4432</v>
      </c>
      <c r="C227" s="532">
        <v>600074625</v>
      </c>
      <c r="D227" s="532">
        <v>70695903</v>
      </c>
      <c r="E227" s="530" t="s">
        <v>229</v>
      </c>
      <c r="F227" s="532">
        <v>3117</v>
      </c>
      <c r="G227" s="533" t="s">
        <v>320</v>
      </c>
      <c r="H227" s="534" t="s">
        <v>283</v>
      </c>
      <c r="I227" s="575">
        <f t="shared" si="524"/>
        <v>2955272</v>
      </c>
      <c r="J227" s="496">
        <v>2137159</v>
      </c>
      <c r="K227" s="131">
        <f t="shared" si="525"/>
        <v>722360</v>
      </c>
      <c r="L227" s="131">
        <f t="shared" si="526"/>
        <v>42743</v>
      </c>
      <c r="M227" s="496">
        <v>53010</v>
      </c>
      <c r="N227" s="576">
        <f t="shared" si="527"/>
        <v>4.2004000000000001</v>
      </c>
      <c r="O227" s="577">
        <v>3</v>
      </c>
      <c r="P227" s="607">
        <v>1.2004000000000001</v>
      </c>
      <c r="Q227" s="579">
        <f t="shared" si="528"/>
        <v>0</v>
      </c>
      <c r="R227" s="498">
        <v>0</v>
      </c>
      <c r="S227" s="498">
        <v>0</v>
      </c>
      <c r="T227" s="498">
        <v>0</v>
      </c>
      <c r="U227" s="498">
        <f t="shared" si="481"/>
        <v>0</v>
      </c>
      <c r="V227" s="498">
        <v>0</v>
      </c>
      <c r="W227" s="498">
        <v>0</v>
      </c>
      <c r="X227" s="498">
        <v>0</v>
      </c>
      <c r="Y227" s="498">
        <f t="shared" si="482"/>
        <v>0</v>
      </c>
      <c r="Z227" s="498">
        <f t="shared" si="483"/>
        <v>0</v>
      </c>
      <c r="AA227" s="131">
        <f t="shared" si="529"/>
        <v>0</v>
      </c>
      <c r="AB227" s="131">
        <f t="shared" si="484"/>
        <v>0</v>
      </c>
      <c r="AC227" s="498">
        <v>0</v>
      </c>
      <c r="AD227" s="498">
        <v>0</v>
      </c>
      <c r="AE227" s="498">
        <f t="shared" si="485"/>
        <v>0</v>
      </c>
      <c r="AF227" s="498">
        <f t="shared" si="486"/>
        <v>0</v>
      </c>
      <c r="AG227" s="499">
        <v>0</v>
      </c>
      <c r="AH227" s="499">
        <v>0</v>
      </c>
      <c r="AI227" s="499">
        <v>0</v>
      </c>
      <c r="AJ227" s="499">
        <v>0</v>
      </c>
      <c r="AK227" s="499">
        <v>0</v>
      </c>
      <c r="AL227" s="499">
        <f t="shared" si="487"/>
        <v>0</v>
      </c>
      <c r="AM227" s="499">
        <f t="shared" si="488"/>
        <v>0</v>
      </c>
      <c r="AN227" s="500">
        <f t="shared" si="489"/>
        <v>0</v>
      </c>
      <c r="AO227" s="497">
        <f t="shared" si="530"/>
        <v>2955272</v>
      </c>
      <c r="AP227" s="498">
        <f t="shared" si="531"/>
        <v>2137159</v>
      </c>
      <c r="AQ227" s="498">
        <f t="shared" si="532"/>
        <v>0</v>
      </c>
      <c r="AR227" s="498">
        <f t="shared" si="533"/>
        <v>722360</v>
      </c>
      <c r="AS227" s="498">
        <f t="shared" si="533"/>
        <v>42743</v>
      </c>
      <c r="AT227" s="498">
        <f t="shared" si="534"/>
        <v>53010</v>
      </c>
      <c r="AU227" s="499">
        <f t="shared" si="535"/>
        <v>4.2004000000000001</v>
      </c>
      <c r="AV227" s="499">
        <f t="shared" si="536"/>
        <v>3</v>
      </c>
      <c r="AW227" s="500">
        <f t="shared" si="536"/>
        <v>1.2004000000000001</v>
      </c>
    </row>
    <row r="228" spans="1:49" s="569" customFormat="1" ht="12.75" customHeight="1" x14ac:dyDescent="0.2">
      <c r="A228" s="531">
        <v>41</v>
      </c>
      <c r="B228" s="532">
        <v>4432</v>
      </c>
      <c r="C228" s="532">
        <v>600074625</v>
      </c>
      <c r="D228" s="532">
        <v>70695903</v>
      </c>
      <c r="E228" s="530" t="s">
        <v>229</v>
      </c>
      <c r="F228" s="532">
        <v>3117</v>
      </c>
      <c r="G228" s="533" t="s">
        <v>318</v>
      </c>
      <c r="H228" s="534" t="s">
        <v>284</v>
      </c>
      <c r="I228" s="575">
        <f t="shared" si="524"/>
        <v>0</v>
      </c>
      <c r="J228" s="496">
        <v>0</v>
      </c>
      <c r="K228" s="131">
        <f t="shared" si="525"/>
        <v>0</v>
      </c>
      <c r="L228" s="131">
        <f t="shared" si="526"/>
        <v>0</v>
      </c>
      <c r="M228" s="496">
        <v>0</v>
      </c>
      <c r="N228" s="576">
        <f t="shared" si="527"/>
        <v>0</v>
      </c>
      <c r="O228" s="577">
        <v>0</v>
      </c>
      <c r="P228" s="607">
        <v>0</v>
      </c>
      <c r="Q228" s="579">
        <f t="shared" si="528"/>
        <v>0</v>
      </c>
      <c r="R228" s="496">
        <v>1260674</v>
      </c>
      <c r="S228" s="498">
        <v>0</v>
      </c>
      <c r="T228" s="498">
        <v>0</v>
      </c>
      <c r="U228" s="498">
        <f t="shared" si="481"/>
        <v>1260674</v>
      </c>
      <c r="V228" s="498">
        <v>0</v>
      </c>
      <c r="W228" s="498">
        <v>0</v>
      </c>
      <c r="X228" s="498">
        <v>0</v>
      </c>
      <c r="Y228" s="498">
        <f t="shared" si="482"/>
        <v>0</v>
      </c>
      <c r="Z228" s="498">
        <f t="shared" si="483"/>
        <v>1260674</v>
      </c>
      <c r="AA228" s="131">
        <f t="shared" si="529"/>
        <v>426108</v>
      </c>
      <c r="AB228" s="131">
        <f t="shared" si="484"/>
        <v>25213</v>
      </c>
      <c r="AC228" s="498">
        <v>3000</v>
      </c>
      <c r="AD228" s="498">
        <v>0</v>
      </c>
      <c r="AE228" s="498">
        <f t="shared" si="485"/>
        <v>3000</v>
      </c>
      <c r="AF228" s="498">
        <f t="shared" si="486"/>
        <v>1714995</v>
      </c>
      <c r="AG228" s="499">
        <v>0</v>
      </c>
      <c r="AH228" s="499">
        <v>0</v>
      </c>
      <c r="AI228" s="499">
        <v>3.64</v>
      </c>
      <c r="AJ228" s="499">
        <v>0</v>
      </c>
      <c r="AK228" s="499">
        <v>0</v>
      </c>
      <c r="AL228" s="499">
        <f t="shared" si="487"/>
        <v>3.64</v>
      </c>
      <c r="AM228" s="499">
        <f t="shared" si="488"/>
        <v>0</v>
      </c>
      <c r="AN228" s="500">
        <f t="shared" si="489"/>
        <v>3.64</v>
      </c>
      <c r="AO228" s="497">
        <f t="shared" si="530"/>
        <v>1714995</v>
      </c>
      <c r="AP228" s="498">
        <f t="shared" si="531"/>
        <v>1260674</v>
      </c>
      <c r="AQ228" s="498">
        <f t="shared" si="532"/>
        <v>0</v>
      </c>
      <c r="AR228" s="498">
        <f t="shared" si="533"/>
        <v>426108</v>
      </c>
      <c r="AS228" s="498">
        <f t="shared" si="533"/>
        <v>25213</v>
      </c>
      <c r="AT228" s="498">
        <f t="shared" si="534"/>
        <v>3000</v>
      </c>
      <c r="AU228" s="499">
        <f t="shared" si="535"/>
        <v>3.64</v>
      </c>
      <c r="AV228" s="499">
        <f t="shared" si="536"/>
        <v>3.64</v>
      </c>
      <c r="AW228" s="500">
        <f t="shared" si="536"/>
        <v>0</v>
      </c>
    </row>
    <row r="229" spans="1:49" s="569" customFormat="1" ht="12.75" customHeight="1" x14ac:dyDescent="0.2">
      <c r="A229" s="531">
        <v>41</v>
      </c>
      <c r="B229" s="532">
        <v>4432</v>
      </c>
      <c r="C229" s="532">
        <v>600074625</v>
      </c>
      <c r="D229" s="532">
        <v>70695903</v>
      </c>
      <c r="E229" s="530" t="s">
        <v>229</v>
      </c>
      <c r="F229" s="532">
        <v>3141</v>
      </c>
      <c r="G229" s="533" t="s">
        <v>321</v>
      </c>
      <c r="H229" s="534" t="s">
        <v>284</v>
      </c>
      <c r="I229" s="575">
        <f t="shared" si="524"/>
        <v>653249</v>
      </c>
      <c r="J229" s="496">
        <v>478945</v>
      </c>
      <c r="K229" s="131">
        <f>ROUND((J229)*33.8%,0)</f>
        <v>161883</v>
      </c>
      <c r="L229" s="131">
        <f>ROUND(J229*2%,0)</f>
        <v>9579</v>
      </c>
      <c r="M229" s="496">
        <v>2842</v>
      </c>
      <c r="N229" s="576">
        <f t="shared" si="527"/>
        <v>1.63</v>
      </c>
      <c r="O229" s="577">
        <v>0</v>
      </c>
      <c r="P229" s="607">
        <v>1.63</v>
      </c>
      <c r="Q229" s="579">
        <f t="shared" si="528"/>
        <v>0</v>
      </c>
      <c r="R229" s="498">
        <v>0</v>
      </c>
      <c r="S229" s="498">
        <v>0</v>
      </c>
      <c r="T229" s="498">
        <v>0</v>
      </c>
      <c r="U229" s="498">
        <f t="shared" si="481"/>
        <v>0</v>
      </c>
      <c r="V229" s="498">
        <v>0</v>
      </c>
      <c r="W229" s="498">
        <v>0</v>
      </c>
      <c r="X229" s="498">
        <v>0</v>
      </c>
      <c r="Y229" s="498">
        <f t="shared" si="482"/>
        <v>0</v>
      </c>
      <c r="Z229" s="498">
        <f t="shared" si="483"/>
        <v>0</v>
      </c>
      <c r="AA229" s="131">
        <f t="shared" si="529"/>
        <v>0</v>
      </c>
      <c r="AB229" s="131">
        <f t="shared" si="484"/>
        <v>0</v>
      </c>
      <c r="AC229" s="498">
        <v>0</v>
      </c>
      <c r="AD229" s="498">
        <v>0</v>
      </c>
      <c r="AE229" s="498">
        <f t="shared" si="485"/>
        <v>0</v>
      </c>
      <c r="AF229" s="498">
        <f t="shared" si="486"/>
        <v>0</v>
      </c>
      <c r="AG229" s="499">
        <v>0</v>
      </c>
      <c r="AH229" s="499">
        <v>0</v>
      </c>
      <c r="AI229" s="499">
        <v>0</v>
      </c>
      <c r="AJ229" s="499">
        <v>0</v>
      </c>
      <c r="AK229" s="499">
        <v>0</v>
      </c>
      <c r="AL229" s="499">
        <f t="shared" si="487"/>
        <v>0</v>
      </c>
      <c r="AM229" s="499">
        <f t="shared" si="488"/>
        <v>0</v>
      </c>
      <c r="AN229" s="500">
        <f t="shared" si="489"/>
        <v>0</v>
      </c>
      <c r="AO229" s="497">
        <f t="shared" si="530"/>
        <v>653249</v>
      </c>
      <c r="AP229" s="498">
        <f t="shared" si="531"/>
        <v>478945</v>
      </c>
      <c r="AQ229" s="498">
        <f t="shared" si="532"/>
        <v>0</v>
      </c>
      <c r="AR229" s="498">
        <f t="shared" si="533"/>
        <v>161883</v>
      </c>
      <c r="AS229" s="498">
        <f t="shared" si="533"/>
        <v>9579</v>
      </c>
      <c r="AT229" s="498">
        <f t="shared" si="534"/>
        <v>2842</v>
      </c>
      <c r="AU229" s="499">
        <f t="shared" si="535"/>
        <v>1.63</v>
      </c>
      <c r="AV229" s="499">
        <f t="shared" si="536"/>
        <v>0</v>
      </c>
      <c r="AW229" s="500">
        <f t="shared" si="536"/>
        <v>1.63</v>
      </c>
    </row>
    <row r="230" spans="1:49" s="569" customFormat="1" ht="12.75" customHeight="1" x14ac:dyDescent="0.2">
      <c r="A230" s="531">
        <v>41</v>
      </c>
      <c r="B230" s="532">
        <v>4432</v>
      </c>
      <c r="C230" s="532">
        <v>600074625</v>
      </c>
      <c r="D230" s="532">
        <v>70695903</v>
      </c>
      <c r="E230" s="530" t="s">
        <v>229</v>
      </c>
      <c r="F230" s="532">
        <v>3143</v>
      </c>
      <c r="G230" s="533" t="s">
        <v>635</v>
      </c>
      <c r="H230" s="574" t="s">
        <v>283</v>
      </c>
      <c r="I230" s="575">
        <f t="shared" si="524"/>
        <v>668862</v>
      </c>
      <c r="J230" s="496">
        <v>492535</v>
      </c>
      <c r="K230" s="131">
        <v>166476</v>
      </c>
      <c r="L230" s="131">
        <f t="shared" ref="L230:L231" si="537">ROUND(J230*2%,0)</f>
        <v>9851</v>
      </c>
      <c r="M230" s="496"/>
      <c r="N230" s="576">
        <f t="shared" si="527"/>
        <v>1.1608000000000001</v>
      </c>
      <c r="O230" s="577">
        <v>1.1608000000000001</v>
      </c>
      <c r="P230" s="607">
        <v>0</v>
      </c>
      <c r="Q230" s="579">
        <f t="shared" si="528"/>
        <v>0</v>
      </c>
      <c r="R230" s="498">
        <v>0</v>
      </c>
      <c r="S230" s="498">
        <v>0</v>
      </c>
      <c r="T230" s="498">
        <v>0</v>
      </c>
      <c r="U230" s="498">
        <f t="shared" si="481"/>
        <v>0</v>
      </c>
      <c r="V230" s="498">
        <v>0</v>
      </c>
      <c r="W230" s="498">
        <v>0</v>
      </c>
      <c r="X230" s="498">
        <v>0</v>
      </c>
      <c r="Y230" s="498">
        <f t="shared" si="482"/>
        <v>0</v>
      </c>
      <c r="Z230" s="498">
        <f t="shared" si="483"/>
        <v>0</v>
      </c>
      <c r="AA230" s="131">
        <f t="shared" si="529"/>
        <v>0</v>
      </c>
      <c r="AB230" s="131">
        <f t="shared" si="484"/>
        <v>0</v>
      </c>
      <c r="AC230" s="498">
        <v>0</v>
      </c>
      <c r="AD230" s="498">
        <v>0</v>
      </c>
      <c r="AE230" s="498">
        <f t="shared" si="485"/>
        <v>0</v>
      </c>
      <c r="AF230" s="498">
        <f t="shared" si="486"/>
        <v>0</v>
      </c>
      <c r="AG230" s="499">
        <v>0</v>
      </c>
      <c r="AH230" s="499">
        <v>0</v>
      </c>
      <c r="AI230" s="499">
        <v>0</v>
      </c>
      <c r="AJ230" s="499">
        <v>0</v>
      </c>
      <c r="AK230" s="499">
        <v>0</v>
      </c>
      <c r="AL230" s="499">
        <f t="shared" si="487"/>
        <v>0</v>
      </c>
      <c r="AM230" s="499">
        <f t="shared" si="488"/>
        <v>0</v>
      </c>
      <c r="AN230" s="500">
        <f t="shared" si="489"/>
        <v>0</v>
      </c>
      <c r="AO230" s="497">
        <f t="shared" si="530"/>
        <v>668862</v>
      </c>
      <c r="AP230" s="498">
        <f t="shared" si="531"/>
        <v>492535</v>
      </c>
      <c r="AQ230" s="498">
        <f t="shared" si="532"/>
        <v>0</v>
      </c>
      <c r="AR230" s="498">
        <f t="shared" si="533"/>
        <v>166476</v>
      </c>
      <c r="AS230" s="498">
        <f t="shared" si="533"/>
        <v>9851</v>
      </c>
      <c r="AT230" s="498">
        <f t="shared" si="534"/>
        <v>0</v>
      </c>
      <c r="AU230" s="499">
        <f t="shared" si="535"/>
        <v>1.1608000000000001</v>
      </c>
      <c r="AV230" s="499">
        <f t="shared" si="536"/>
        <v>1.1608000000000001</v>
      </c>
      <c r="AW230" s="500">
        <f t="shared" si="536"/>
        <v>0</v>
      </c>
    </row>
    <row r="231" spans="1:49" s="569" customFormat="1" ht="12.75" customHeight="1" x14ac:dyDescent="0.2">
      <c r="A231" s="531">
        <v>41</v>
      </c>
      <c r="B231" s="532">
        <v>4432</v>
      </c>
      <c r="C231" s="532">
        <v>600074625</v>
      </c>
      <c r="D231" s="532">
        <v>70695903</v>
      </c>
      <c r="E231" s="530" t="s">
        <v>229</v>
      </c>
      <c r="F231" s="532">
        <v>3143</v>
      </c>
      <c r="G231" s="533" t="s">
        <v>636</v>
      </c>
      <c r="H231" s="574" t="s">
        <v>284</v>
      </c>
      <c r="I231" s="575">
        <f>SUM(J231:M231)</f>
        <v>12640</v>
      </c>
      <c r="J231" s="496">
        <v>8910</v>
      </c>
      <c r="K231" s="131">
        <f t="shared" ref="K231" si="538">ROUND((J231)*33.8%,0)</f>
        <v>3012</v>
      </c>
      <c r="L231" s="131">
        <f t="shared" si="537"/>
        <v>178</v>
      </c>
      <c r="M231" s="496">
        <v>540</v>
      </c>
      <c r="N231" s="576">
        <f t="shared" si="527"/>
        <v>0.04</v>
      </c>
      <c r="O231" s="577">
        <v>0</v>
      </c>
      <c r="P231" s="607">
        <v>0.04</v>
      </c>
      <c r="Q231" s="579">
        <f t="shared" si="528"/>
        <v>0</v>
      </c>
      <c r="R231" s="498">
        <v>0</v>
      </c>
      <c r="S231" s="498">
        <v>0</v>
      </c>
      <c r="T231" s="498">
        <v>0</v>
      </c>
      <c r="U231" s="498">
        <f t="shared" si="481"/>
        <v>0</v>
      </c>
      <c r="V231" s="498">
        <v>0</v>
      </c>
      <c r="W231" s="498">
        <v>0</v>
      </c>
      <c r="X231" s="498">
        <v>0</v>
      </c>
      <c r="Y231" s="498">
        <f t="shared" si="482"/>
        <v>0</v>
      </c>
      <c r="Z231" s="498">
        <f t="shared" si="483"/>
        <v>0</v>
      </c>
      <c r="AA231" s="131">
        <f t="shared" si="529"/>
        <v>0</v>
      </c>
      <c r="AB231" s="131">
        <f t="shared" si="484"/>
        <v>0</v>
      </c>
      <c r="AC231" s="498">
        <v>0</v>
      </c>
      <c r="AD231" s="498">
        <v>0</v>
      </c>
      <c r="AE231" s="498">
        <f t="shared" si="485"/>
        <v>0</v>
      </c>
      <c r="AF231" s="498">
        <f t="shared" si="486"/>
        <v>0</v>
      </c>
      <c r="AG231" s="499">
        <v>0</v>
      </c>
      <c r="AH231" s="499">
        <v>0</v>
      </c>
      <c r="AI231" s="499">
        <v>0</v>
      </c>
      <c r="AJ231" s="499">
        <v>0</v>
      </c>
      <c r="AK231" s="499">
        <v>0</v>
      </c>
      <c r="AL231" s="499">
        <f t="shared" si="487"/>
        <v>0</v>
      </c>
      <c r="AM231" s="499">
        <f t="shared" si="488"/>
        <v>0</v>
      </c>
      <c r="AN231" s="500">
        <f t="shared" si="489"/>
        <v>0</v>
      </c>
      <c r="AO231" s="497">
        <f t="shared" si="530"/>
        <v>12640</v>
      </c>
      <c r="AP231" s="498">
        <f t="shared" si="531"/>
        <v>8910</v>
      </c>
      <c r="AQ231" s="498">
        <f t="shared" si="532"/>
        <v>0</v>
      </c>
      <c r="AR231" s="498">
        <f t="shared" si="533"/>
        <v>3012</v>
      </c>
      <c r="AS231" s="498">
        <f t="shared" si="533"/>
        <v>178</v>
      </c>
      <c r="AT231" s="498">
        <f t="shared" si="534"/>
        <v>540</v>
      </c>
      <c r="AU231" s="499">
        <f t="shared" si="535"/>
        <v>0.04</v>
      </c>
      <c r="AV231" s="499">
        <f t="shared" si="536"/>
        <v>0</v>
      </c>
      <c r="AW231" s="500">
        <f t="shared" si="536"/>
        <v>0.04</v>
      </c>
    </row>
    <row r="232" spans="1:49" s="569" customFormat="1" ht="12.75" customHeight="1" x14ac:dyDescent="0.2">
      <c r="A232" s="302">
        <v>41</v>
      </c>
      <c r="B232" s="32">
        <v>4432</v>
      </c>
      <c r="C232" s="32">
        <v>600074625</v>
      </c>
      <c r="D232" s="32">
        <v>70695903</v>
      </c>
      <c r="E232" s="311" t="s">
        <v>230</v>
      </c>
      <c r="F232" s="32"/>
      <c r="G232" s="301"/>
      <c r="H232" s="454"/>
      <c r="I232" s="5">
        <f t="shared" ref="I232:P232" si="539">SUM(I226:I231)</f>
        <v>5872286</v>
      </c>
      <c r="J232" s="8">
        <f t="shared" si="539"/>
        <v>4274738</v>
      </c>
      <c r="K232" s="8">
        <f t="shared" si="539"/>
        <v>1444861</v>
      </c>
      <c r="L232" s="8">
        <f t="shared" si="539"/>
        <v>85495</v>
      </c>
      <c r="M232" s="8">
        <f t="shared" si="539"/>
        <v>67192</v>
      </c>
      <c r="N232" s="9">
        <f t="shared" si="539"/>
        <v>9.638799999999998</v>
      </c>
      <c r="O232" s="9">
        <f t="shared" si="539"/>
        <v>6.2575000000000003</v>
      </c>
      <c r="P232" s="39">
        <f t="shared" si="539"/>
        <v>3.3813</v>
      </c>
      <c r="Q232" s="5">
        <f t="shared" ref="Q232:AW232" si="540">SUM(Q226:Q231)</f>
        <v>0</v>
      </c>
      <c r="R232" s="8">
        <f t="shared" si="540"/>
        <v>1260674</v>
      </c>
      <c r="S232" s="8">
        <f t="shared" si="540"/>
        <v>0</v>
      </c>
      <c r="T232" s="8">
        <f t="shared" si="540"/>
        <v>0</v>
      </c>
      <c r="U232" s="8">
        <f t="shared" si="540"/>
        <v>1260674</v>
      </c>
      <c r="V232" s="8">
        <f t="shared" si="540"/>
        <v>0</v>
      </c>
      <c r="W232" s="8">
        <f t="shared" si="540"/>
        <v>0</v>
      </c>
      <c r="X232" s="8">
        <f t="shared" si="540"/>
        <v>0</v>
      </c>
      <c r="Y232" s="8">
        <f t="shared" si="540"/>
        <v>0</v>
      </c>
      <c r="Z232" s="8">
        <f t="shared" si="540"/>
        <v>1260674</v>
      </c>
      <c r="AA232" s="8">
        <f t="shared" si="540"/>
        <v>426108</v>
      </c>
      <c r="AB232" s="8">
        <f t="shared" si="540"/>
        <v>25213</v>
      </c>
      <c r="AC232" s="8">
        <f t="shared" si="540"/>
        <v>3000</v>
      </c>
      <c r="AD232" s="8">
        <f t="shared" si="540"/>
        <v>0</v>
      </c>
      <c r="AE232" s="8">
        <f t="shared" si="540"/>
        <v>3000</v>
      </c>
      <c r="AF232" s="8">
        <f t="shared" si="540"/>
        <v>1714995</v>
      </c>
      <c r="AG232" s="9">
        <f t="shared" si="540"/>
        <v>0</v>
      </c>
      <c r="AH232" s="9">
        <f t="shared" si="540"/>
        <v>0</v>
      </c>
      <c r="AI232" s="9">
        <f t="shared" si="540"/>
        <v>3.64</v>
      </c>
      <c r="AJ232" s="9">
        <f t="shared" si="540"/>
        <v>0</v>
      </c>
      <c r="AK232" s="9">
        <f t="shared" si="540"/>
        <v>0</v>
      </c>
      <c r="AL232" s="9">
        <f t="shared" si="540"/>
        <v>3.64</v>
      </c>
      <c r="AM232" s="9">
        <f t="shared" si="540"/>
        <v>0</v>
      </c>
      <c r="AN232" s="92">
        <f t="shared" si="540"/>
        <v>3.64</v>
      </c>
      <c r="AO232" s="295">
        <f t="shared" si="540"/>
        <v>7587281</v>
      </c>
      <c r="AP232" s="8">
        <f t="shared" si="540"/>
        <v>5535412</v>
      </c>
      <c r="AQ232" s="8">
        <f t="shared" si="540"/>
        <v>0</v>
      </c>
      <c r="AR232" s="8">
        <f t="shared" si="540"/>
        <v>1870969</v>
      </c>
      <c r="AS232" s="8">
        <f t="shared" si="540"/>
        <v>110708</v>
      </c>
      <c r="AT232" s="8">
        <f t="shared" si="540"/>
        <v>70192</v>
      </c>
      <c r="AU232" s="9">
        <f t="shared" si="540"/>
        <v>13.278799999999999</v>
      </c>
      <c r="AV232" s="9">
        <f t="shared" si="540"/>
        <v>9.8975000000000009</v>
      </c>
      <c r="AW232" s="92">
        <f t="shared" si="540"/>
        <v>3.3813</v>
      </c>
    </row>
    <row r="233" spans="1:49" s="569" customFormat="1" ht="12.75" customHeight="1" x14ac:dyDescent="0.2">
      <c r="A233" s="531">
        <v>42</v>
      </c>
      <c r="B233" s="532">
        <v>4459</v>
      </c>
      <c r="C233" s="532">
        <v>650037171</v>
      </c>
      <c r="D233" s="532">
        <v>72742356</v>
      </c>
      <c r="E233" s="530" t="s">
        <v>231</v>
      </c>
      <c r="F233" s="532">
        <v>3111</v>
      </c>
      <c r="G233" s="533" t="s">
        <v>317</v>
      </c>
      <c r="H233" s="534" t="s">
        <v>283</v>
      </c>
      <c r="I233" s="575">
        <f t="shared" ref="I233:I237" si="541">SUM(J233:M233)</f>
        <v>2850181</v>
      </c>
      <c r="J233" s="496">
        <v>2084227</v>
      </c>
      <c r="K233" s="131">
        <f t="shared" ref="K233:K235" si="542">ROUND((J233)*33.8%,0)</f>
        <v>704469</v>
      </c>
      <c r="L233" s="131">
        <f t="shared" ref="L233:L235" si="543">ROUND(J233*2%,0)</f>
        <v>41685</v>
      </c>
      <c r="M233" s="496">
        <v>19800</v>
      </c>
      <c r="N233" s="576">
        <f t="shared" ref="N233:N238" si="544">SUM(O233:P233)</f>
        <v>4.9733999999999998</v>
      </c>
      <c r="O233" s="577">
        <v>3.9516</v>
      </c>
      <c r="P233" s="607">
        <v>1.0218</v>
      </c>
      <c r="Q233" s="579">
        <f t="shared" ref="Q233:Q238" si="545">V233*-1</f>
        <v>0</v>
      </c>
      <c r="R233" s="498">
        <v>0</v>
      </c>
      <c r="S233" s="498">
        <v>0</v>
      </c>
      <c r="T233" s="498">
        <v>0</v>
      </c>
      <c r="U233" s="498">
        <f t="shared" si="481"/>
        <v>0</v>
      </c>
      <c r="V233" s="498">
        <v>0</v>
      </c>
      <c r="W233" s="498">
        <v>0</v>
      </c>
      <c r="X233" s="498">
        <v>0</v>
      </c>
      <c r="Y233" s="498">
        <f t="shared" si="482"/>
        <v>0</v>
      </c>
      <c r="Z233" s="498">
        <f t="shared" si="483"/>
        <v>0</v>
      </c>
      <c r="AA233" s="131">
        <f t="shared" ref="AA233:AA238" si="546">ROUND((U233+V233+W233)*33.8%,0)</f>
        <v>0</v>
      </c>
      <c r="AB233" s="131">
        <f t="shared" si="484"/>
        <v>0</v>
      </c>
      <c r="AC233" s="498">
        <v>0</v>
      </c>
      <c r="AD233" s="498">
        <v>0</v>
      </c>
      <c r="AE233" s="498">
        <f t="shared" si="485"/>
        <v>0</v>
      </c>
      <c r="AF233" s="498">
        <f t="shared" si="486"/>
        <v>0</v>
      </c>
      <c r="AG233" s="499">
        <v>0</v>
      </c>
      <c r="AH233" s="499">
        <v>0</v>
      </c>
      <c r="AI233" s="499">
        <v>0</v>
      </c>
      <c r="AJ233" s="499">
        <v>0</v>
      </c>
      <c r="AK233" s="499">
        <v>0</v>
      </c>
      <c r="AL233" s="499">
        <f t="shared" si="487"/>
        <v>0</v>
      </c>
      <c r="AM233" s="499">
        <f t="shared" si="488"/>
        <v>0</v>
      </c>
      <c r="AN233" s="500">
        <f t="shared" si="489"/>
        <v>0</v>
      </c>
      <c r="AO233" s="497">
        <f t="shared" ref="AO233:AO238" si="547">I233+AF233</f>
        <v>2850181</v>
      </c>
      <c r="AP233" s="498">
        <f t="shared" ref="AP233:AP238" si="548">J233+U233</f>
        <v>2084227</v>
      </c>
      <c r="AQ233" s="498">
        <f t="shared" ref="AQ233:AQ238" si="549">Y233</f>
        <v>0</v>
      </c>
      <c r="AR233" s="498">
        <f t="shared" ref="AR233:AS238" si="550">K233+AA233</f>
        <v>704469</v>
      </c>
      <c r="AS233" s="498">
        <f t="shared" si="550"/>
        <v>41685</v>
      </c>
      <c r="AT233" s="498">
        <f t="shared" ref="AT233:AT238" si="551">M233+AE233</f>
        <v>19800</v>
      </c>
      <c r="AU233" s="499">
        <f t="shared" ref="AU233:AU238" si="552">N233+AN233</f>
        <v>4.9733999999999998</v>
      </c>
      <c r="AV233" s="499">
        <f t="shared" ref="AV233:AW238" si="553">O233+AL233</f>
        <v>3.9516</v>
      </c>
      <c r="AW233" s="500">
        <f t="shared" si="553"/>
        <v>1.0218</v>
      </c>
    </row>
    <row r="234" spans="1:49" s="569" customFormat="1" ht="12.75" customHeight="1" x14ac:dyDescent="0.2">
      <c r="A234" s="531">
        <v>42</v>
      </c>
      <c r="B234" s="532">
        <v>4459</v>
      </c>
      <c r="C234" s="532">
        <v>650037171</v>
      </c>
      <c r="D234" s="532">
        <v>72742356</v>
      </c>
      <c r="E234" s="530" t="s">
        <v>231</v>
      </c>
      <c r="F234" s="532">
        <v>3113</v>
      </c>
      <c r="G234" s="533" t="s">
        <v>320</v>
      </c>
      <c r="H234" s="534" t="s">
        <v>283</v>
      </c>
      <c r="I234" s="575">
        <f t="shared" si="541"/>
        <v>9739973</v>
      </c>
      <c r="J234" s="496">
        <v>7000731</v>
      </c>
      <c r="K234" s="131">
        <f t="shared" si="542"/>
        <v>2366247</v>
      </c>
      <c r="L234" s="131">
        <f t="shared" si="543"/>
        <v>140015</v>
      </c>
      <c r="M234" s="496">
        <v>232980</v>
      </c>
      <c r="N234" s="576">
        <f t="shared" si="544"/>
        <v>15.085999999999999</v>
      </c>
      <c r="O234" s="577">
        <v>9.9545999999999992</v>
      </c>
      <c r="P234" s="607">
        <v>5.1314000000000002</v>
      </c>
      <c r="Q234" s="579">
        <f t="shared" si="545"/>
        <v>-16000</v>
      </c>
      <c r="R234" s="498">
        <v>0</v>
      </c>
      <c r="S234" s="498">
        <v>0</v>
      </c>
      <c r="T234" s="498">
        <v>0</v>
      </c>
      <c r="U234" s="498">
        <f t="shared" si="481"/>
        <v>-16000</v>
      </c>
      <c r="V234" s="498">
        <v>16000</v>
      </c>
      <c r="W234" s="498">
        <v>0</v>
      </c>
      <c r="X234" s="498">
        <v>0</v>
      </c>
      <c r="Y234" s="498">
        <f t="shared" si="482"/>
        <v>16000</v>
      </c>
      <c r="Z234" s="498">
        <f t="shared" si="483"/>
        <v>0</v>
      </c>
      <c r="AA234" s="131">
        <f t="shared" si="546"/>
        <v>0</v>
      </c>
      <c r="AB234" s="131">
        <f t="shared" si="484"/>
        <v>-320</v>
      </c>
      <c r="AC234" s="498">
        <v>0</v>
      </c>
      <c r="AD234" s="498">
        <v>0</v>
      </c>
      <c r="AE234" s="498">
        <f t="shared" si="485"/>
        <v>0</v>
      </c>
      <c r="AF234" s="498">
        <f t="shared" si="486"/>
        <v>-320</v>
      </c>
      <c r="AG234" s="499">
        <v>-0.03</v>
      </c>
      <c r="AH234" s="499">
        <v>0</v>
      </c>
      <c r="AI234" s="499">
        <v>0</v>
      </c>
      <c r="AJ234" s="499">
        <v>0</v>
      </c>
      <c r="AK234" s="499">
        <v>0</v>
      </c>
      <c r="AL234" s="499">
        <f t="shared" si="487"/>
        <v>-0.03</v>
      </c>
      <c r="AM234" s="499">
        <f t="shared" si="488"/>
        <v>0</v>
      </c>
      <c r="AN234" s="500">
        <f t="shared" si="489"/>
        <v>-0.03</v>
      </c>
      <c r="AO234" s="497">
        <f t="shared" si="547"/>
        <v>9739653</v>
      </c>
      <c r="AP234" s="498">
        <f t="shared" si="548"/>
        <v>6984731</v>
      </c>
      <c r="AQ234" s="498">
        <f t="shared" si="549"/>
        <v>16000</v>
      </c>
      <c r="AR234" s="498">
        <f t="shared" si="550"/>
        <v>2366247</v>
      </c>
      <c r="AS234" s="498">
        <f t="shared" si="550"/>
        <v>139695</v>
      </c>
      <c r="AT234" s="498">
        <f t="shared" si="551"/>
        <v>232980</v>
      </c>
      <c r="AU234" s="499">
        <f t="shared" si="552"/>
        <v>15.055999999999999</v>
      </c>
      <c r="AV234" s="499">
        <f t="shared" si="553"/>
        <v>9.9245999999999999</v>
      </c>
      <c r="AW234" s="500">
        <f t="shared" si="553"/>
        <v>5.1314000000000002</v>
      </c>
    </row>
    <row r="235" spans="1:49" s="569" customFormat="1" ht="12.75" customHeight="1" x14ac:dyDescent="0.2">
      <c r="A235" s="531">
        <v>42</v>
      </c>
      <c r="B235" s="532">
        <v>4459</v>
      </c>
      <c r="C235" s="532">
        <v>650037171</v>
      </c>
      <c r="D235" s="532">
        <v>72742356</v>
      </c>
      <c r="E235" s="530" t="s">
        <v>231</v>
      </c>
      <c r="F235" s="532">
        <v>3113</v>
      </c>
      <c r="G235" s="533" t="s">
        <v>318</v>
      </c>
      <c r="H235" s="534" t="s">
        <v>284</v>
      </c>
      <c r="I235" s="575">
        <f t="shared" si="541"/>
        <v>0</v>
      </c>
      <c r="J235" s="496">
        <v>0</v>
      </c>
      <c r="K235" s="131">
        <f t="shared" si="542"/>
        <v>0</v>
      </c>
      <c r="L235" s="131">
        <f t="shared" si="543"/>
        <v>0</v>
      </c>
      <c r="M235" s="496">
        <v>0</v>
      </c>
      <c r="N235" s="576">
        <f t="shared" si="544"/>
        <v>0</v>
      </c>
      <c r="O235" s="577">
        <v>0</v>
      </c>
      <c r="P235" s="607">
        <v>0</v>
      </c>
      <c r="Q235" s="579">
        <f t="shared" si="545"/>
        <v>0</v>
      </c>
      <c r="R235" s="496">
        <v>2321293</v>
      </c>
      <c r="S235" s="498">
        <v>0</v>
      </c>
      <c r="T235" s="498">
        <v>0</v>
      </c>
      <c r="U235" s="498">
        <f t="shared" si="481"/>
        <v>2321293</v>
      </c>
      <c r="V235" s="498">
        <v>0</v>
      </c>
      <c r="W235" s="498">
        <v>0</v>
      </c>
      <c r="X235" s="498">
        <v>0</v>
      </c>
      <c r="Y235" s="498">
        <f t="shared" si="482"/>
        <v>0</v>
      </c>
      <c r="Z235" s="498">
        <f t="shared" si="483"/>
        <v>2321293</v>
      </c>
      <c r="AA235" s="131">
        <f t="shared" si="546"/>
        <v>784597</v>
      </c>
      <c r="AB235" s="131">
        <f t="shared" si="484"/>
        <v>46426</v>
      </c>
      <c r="AC235" s="498">
        <v>0</v>
      </c>
      <c r="AD235" s="498">
        <v>0</v>
      </c>
      <c r="AE235" s="498">
        <f t="shared" si="485"/>
        <v>0</v>
      </c>
      <c r="AF235" s="498">
        <f t="shared" si="486"/>
        <v>3152316</v>
      </c>
      <c r="AG235" s="499">
        <v>0</v>
      </c>
      <c r="AH235" s="499">
        <v>0</v>
      </c>
      <c r="AI235" s="499">
        <v>6.65</v>
      </c>
      <c r="AJ235" s="499">
        <v>0</v>
      </c>
      <c r="AK235" s="499">
        <v>0</v>
      </c>
      <c r="AL235" s="499">
        <f t="shared" si="487"/>
        <v>6.65</v>
      </c>
      <c r="AM235" s="499">
        <f t="shared" si="488"/>
        <v>0</v>
      </c>
      <c r="AN235" s="500">
        <f t="shared" si="489"/>
        <v>6.65</v>
      </c>
      <c r="AO235" s="497">
        <f t="shared" si="547"/>
        <v>3152316</v>
      </c>
      <c r="AP235" s="498">
        <f t="shared" si="548"/>
        <v>2321293</v>
      </c>
      <c r="AQ235" s="498">
        <f t="shared" si="549"/>
        <v>0</v>
      </c>
      <c r="AR235" s="498">
        <f t="shared" si="550"/>
        <v>784597</v>
      </c>
      <c r="AS235" s="498">
        <f t="shared" si="550"/>
        <v>46426</v>
      </c>
      <c r="AT235" s="498">
        <f t="shared" si="551"/>
        <v>0</v>
      </c>
      <c r="AU235" s="499">
        <f t="shared" si="552"/>
        <v>6.65</v>
      </c>
      <c r="AV235" s="499">
        <f t="shared" si="553"/>
        <v>6.65</v>
      </c>
      <c r="AW235" s="500">
        <f t="shared" si="553"/>
        <v>0</v>
      </c>
    </row>
    <row r="236" spans="1:49" s="569" customFormat="1" ht="12.75" customHeight="1" x14ac:dyDescent="0.2">
      <c r="A236" s="531">
        <v>42</v>
      </c>
      <c r="B236" s="532">
        <v>4459</v>
      </c>
      <c r="C236" s="532">
        <v>650037171</v>
      </c>
      <c r="D236" s="532">
        <v>72742356</v>
      </c>
      <c r="E236" s="524" t="s">
        <v>231</v>
      </c>
      <c r="F236" s="532">
        <v>3141</v>
      </c>
      <c r="G236" s="533" t="s">
        <v>321</v>
      </c>
      <c r="H236" s="534" t="s">
        <v>284</v>
      </c>
      <c r="I236" s="575">
        <f t="shared" si="541"/>
        <v>1384731</v>
      </c>
      <c r="J236" s="496">
        <v>1014294</v>
      </c>
      <c r="K236" s="131">
        <f>ROUND((J236)*33.8%,0)</f>
        <v>342831</v>
      </c>
      <c r="L236" s="131">
        <f>ROUND(J236*2%,0)</f>
        <v>20286</v>
      </c>
      <c r="M236" s="496">
        <v>7320</v>
      </c>
      <c r="N236" s="576">
        <f t="shared" si="544"/>
        <v>3.45</v>
      </c>
      <c r="O236" s="577">
        <v>0</v>
      </c>
      <c r="P236" s="607">
        <v>3.45</v>
      </c>
      <c r="Q236" s="579">
        <f t="shared" si="545"/>
        <v>0</v>
      </c>
      <c r="R236" s="498">
        <v>0</v>
      </c>
      <c r="S236" s="498">
        <v>0</v>
      </c>
      <c r="T236" s="498">
        <v>0</v>
      </c>
      <c r="U236" s="498">
        <f t="shared" si="481"/>
        <v>0</v>
      </c>
      <c r="V236" s="498">
        <v>0</v>
      </c>
      <c r="W236" s="498">
        <v>0</v>
      </c>
      <c r="X236" s="498">
        <v>0</v>
      </c>
      <c r="Y236" s="498">
        <f t="shared" si="482"/>
        <v>0</v>
      </c>
      <c r="Z236" s="498">
        <f t="shared" si="483"/>
        <v>0</v>
      </c>
      <c r="AA236" s="131">
        <f t="shared" si="546"/>
        <v>0</v>
      </c>
      <c r="AB236" s="131">
        <f t="shared" si="484"/>
        <v>0</v>
      </c>
      <c r="AC236" s="498">
        <v>0</v>
      </c>
      <c r="AD236" s="498">
        <v>0</v>
      </c>
      <c r="AE236" s="498">
        <f t="shared" si="485"/>
        <v>0</v>
      </c>
      <c r="AF236" s="498">
        <f t="shared" si="486"/>
        <v>0</v>
      </c>
      <c r="AG236" s="499">
        <v>0</v>
      </c>
      <c r="AH236" s="499">
        <v>0</v>
      </c>
      <c r="AI236" s="499">
        <v>0</v>
      </c>
      <c r="AJ236" s="499">
        <v>0</v>
      </c>
      <c r="AK236" s="499">
        <v>0</v>
      </c>
      <c r="AL236" s="499">
        <f t="shared" si="487"/>
        <v>0</v>
      </c>
      <c r="AM236" s="499">
        <f t="shared" si="488"/>
        <v>0</v>
      </c>
      <c r="AN236" s="500">
        <f t="shared" si="489"/>
        <v>0</v>
      </c>
      <c r="AO236" s="497">
        <f t="shared" si="547"/>
        <v>1384731</v>
      </c>
      <c r="AP236" s="498">
        <f t="shared" si="548"/>
        <v>1014294</v>
      </c>
      <c r="AQ236" s="498">
        <f t="shared" si="549"/>
        <v>0</v>
      </c>
      <c r="AR236" s="498">
        <f t="shared" si="550"/>
        <v>342831</v>
      </c>
      <c r="AS236" s="498">
        <f t="shared" si="550"/>
        <v>20286</v>
      </c>
      <c r="AT236" s="498">
        <f t="shared" si="551"/>
        <v>7320</v>
      </c>
      <c r="AU236" s="499">
        <f t="shared" si="552"/>
        <v>3.45</v>
      </c>
      <c r="AV236" s="499">
        <f t="shared" si="553"/>
        <v>0</v>
      </c>
      <c r="AW236" s="500">
        <f t="shared" si="553"/>
        <v>3.45</v>
      </c>
    </row>
    <row r="237" spans="1:49" s="569" customFormat="1" ht="12.75" customHeight="1" x14ac:dyDescent="0.2">
      <c r="A237" s="531">
        <v>42</v>
      </c>
      <c r="B237" s="532">
        <v>4459</v>
      </c>
      <c r="C237" s="532">
        <v>650037171</v>
      </c>
      <c r="D237" s="532">
        <v>72742356</v>
      </c>
      <c r="E237" s="530" t="s">
        <v>231</v>
      </c>
      <c r="F237" s="532">
        <v>3143</v>
      </c>
      <c r="G237" s="533" t="s">
        <v>635</v>
      </c>
      <c r="H237" s="574" t="s">
        <v>283</v>
      </c>
      <c r="I237" s="575">
        <f t="shared" si="541"/>
        <v>1168824</v>
      </c>
      <c r="J237" s="496">
        <v>860696</v>
      </c>
      <c r="K237" s="131">
        <f t="shared" ref="K237:K238" si="554">ROUND((J237)*33.8%,0)</f>
        <v>290915</v>
      </c>
      <c r="L237" s="131">
        <v>17213</v>
      </c>
      <c r="M237" s="496"/>
      <c r="N237" s="576">
        <f t="shared" si="544"/>
        <v>2.0211999999999999</v>
      </c>
      <c r="O237" s="577">
        <v>2.0211999999999999</v>
      </c>
      <c r="P237" s="607">
        <v>0</v>
      </c>
      <c r="Q237" s="579">
        <f t="shared" si="545"/>
        <v>0</v>
      </c>
      <c r="R237" s="498">
        <v>0</v>
      </c>
      <c r="S237" s="498">
        <v>0</v>
      </c>
      <c r="T237" s="498">
        <v>0</v>
      </c>
      <c r="U237" s="498">
        <f t="shared" si="481"/>
        <v>0</v>
      </c>
      <c r="V237" s="498">
        <v>0</v>
      </c>
      <c r="W237" s="498">
        <v>0</v>
      </c>
      <c r="X237" s="498">
        <v>0</v>
      </c>
      <c r="Y237" s="498">
        <f t="shared" si="482"/>
        <v>0</v>
      </c>
      <c r="Z237" s="498">
        <f t="shared" si="483"/>
        <v>0</v>
      </c>
      <c r="AA237" s="131">
        <f t="shared" si="546"/>
        <v>0</v>
      </c>
      <c r="AB237" s="131">
        <f t="shared" si="484"/>
        <v>0</v>
      </c>
      <c r="AC237" s="498">
        <v>0</v>
      </c>
      <c r="AD237" s="498">
        <v>0</v>
      </c>
      <c r="AE237" s="498">
        <f t="shared" si="485"/>
        <v>0</v>
      </c>
      <c r="AF237" s="498">
        <f t="shared" si="486"/>
        <v>0</v>
      </c>
      <c r="AG237" s="499">
        <v>0</v>
      </c>
      <c r="AH237" s="499">
        <v>0</v>
      </c>
      <c r="AI237" s="499">
        <v>0</v>
      </c>
      <c r="AJ237" s="499">
        <v>0</v>
      </c>
      <c r="AK237" s="499">
        <v>0</v>
      </c>
      <c r="AL237" s="499">
        <f t="shared" si="487"/>
        <v>0</v>
      </c>
      <c r="AM237" s="499">
        <f t="shared" si="488"/>
        <v>0</v>
      </c>
      <c r="AN237" s="500">
        <f t="shared" si="489"/>
        <v>0</v>
      </c>
      <c r="AO237" s="497">
        <f t="shared" si="547"/>
        <v>1168824</v>
      </c>
      <c r="AP237" s="498">
        <f t="shared" si="548"/>
        <v>860696</v>
      </c>
      <c r="AQ237" s="498">
        <f t="shared" si="549"/>
        <v>0</v>
      </c>
      <c r="AR237" s="498">
        <f t="shared" si="550"/>
        <v>290915</v>
      </c>
      <c r="AS237" s="498">
        <f t="shared" si="550"/>
        <v>17213</v>
      </c>
      <c r="AT237" s="498">
        <f t="shared" si="551"/>
        <v>0</v>
      </c>
      <c r="AU237" s="499">
        <f t="shared" si="552"/>
        <v>2.0211999999999999</v>
      </c>
      <c r="AV237" s="499">
        <f t="shared" si="553"/>
        <v>2.0211999999999999</v>
      </c>
      <c r="AW237" s="500">
        <f t="shared" si="553"/>
        <v>0</v>
      </c>
    </row>
    <row r="238" spans="1:49" s="569" customFormat="1" ht="12.75" customHeight="1" x14ac:dyDescent="0.2">
      <c r="A238" s="531">
        <v>42</v>
      </c>
      <c r="B238" s="532">
        <v>4459</v>
      </c>
      <c r="C238" s="532">
        <v>650037171</v>
      </c>
      <c r="D238" s="532">
        <v>72742356</v>
      </c>
      <c r="E238" s="530" t="s">
        <v>231</v>
      </c>
      <c r="F238" s="532">
        <v>3143</v>
      </c>
      <c r="G238" s="533" t="s">
        <v>636</v>
      </c>
      <c r="H238" s="574" t="s">
        <v>284</v>
      </c>
      <c r="I238" s="575">
        <f>SUM(J238:M238)</f>
        <v>24578</v>
      </c>
      <c r="J238" s="496">
        <v>17325</v>
      </c>
      <c r="K238" s="131">
        <f t="shared" si="554"/>
        <v>5856</v>
      </c>
      <c r="L238" s="131">
        <f t="shared" ref="L238" si="555">ROUND(J238*2%,0)</f>
        <v>347</v>
      </c>
      <c r="M238" s="496">
        <v>1050</v>
      </c>
      <c r="N238" s="576">
        <f t="shared" si="544"/>
        <v>7.0000000000000007E-2</v>
      </c>
      <c r="O238" s="577">
        <v>0</v>
      </c>
      <c r="P238" s="607">
        <v>7.0000000000000007E-2</v>
      </c>
      <c r="Q238" s="579">
        <f t="shared" si="545"/>
        <v>0</v>
      </c>
      <c r="R238" s="498">
        <v>0</v>
      </c>
      <c r="S238" s="498">
        <v>0</v>
      </c>
      <c r="T238" s="498">
        <v>0</v>
      </c>
      <c r="U238" s="498">
        <f t="shared" si="481"/>
        <v>0</v>
      </c>
      <c r="V238" s="498">
        <v>0</v>
      </c>
      <c r="W238" s="498">
        <v>0</v>
      </c>
      <c r="X238" s="498">
        <v>0</v>
      </c>
      <c r="Y238" s="498">
        <f t="shared" si="482"/>
        <v>0</v>
      </c>
      <c r="Z238" s="498">
        <f t="shared" si="483"/>
        <v>0</v>
      </c>
      <c r="AA238" s="131">
        <f t="shared" si="546"/>
        <v>0</v>
      </c>
      <c r="AB238" s="131">
        <f t="shared" si="484"/>
        <v>0</v>
      </c>
      <c r="AC238" s="498">
        <v>0</v>
      </c>
      <c r="AD238" s="498">
        <v>0</v>
      </c>
      <c r="AE238" s="498">
        <f t="shared" si="485"/>
        <v>0</v>
      </c>
      <c r="AF238" s="498">
        <f t="shared" si="486"/>
        <v>0</v>
      </c>
      <c r="AG238" s="499">
        <v>0</v>
      </c>
      <c r="AH238" s="499">
        <v>0</v>
      </c>
      <c r="AI238" s="499">
        <v>0</v>
      </c>
      <c r="AJ238" s="499">
        <v>0</v>
      </c>
      <c r="AK238" s="499">
        <v>0</v>
      </c>
      <c r="AL238" s="499">
        <f t="shared" si="487"/>
        <v>0</v>
      </c>
      <c r="AM238" s="499">
        <f t="shared" si="488"/>
        <v>0</v>
      </c>
      <c r="AN238" s="500">
        <f t="shared" si="489"/>
        <v>0</v>
      </c>
      <c r="AO238" s="497">
        <f t="shared" si="547"/>
        <v>24578</v>
      </c>
      <c r="AP238" s="498">
        <f t="shared" si="548"/>
        <v>17325</v>
      </c>
      <c r="AQ238" s="498">
        <f t="shared" si="549"/>
        <v>0</v>
      </c>
      <c r="AR238" s="498">
        <f t="shared" si="550"/>
        <v>5856</v>
      </c>
      <c r="AS238" s="498">
        <f t="shared" si="550"/>
        <v>347</v>
      </c>
      <c r="AT238" s="498">
        <f t="shared" si="551"/>
        <v>1050</v>
      </c>
      <c r="AU238" s="499">
        <f t="shared" si="552"/>
        <v>7.0000000000000007E-2</v>
      </c>
      <c r="AV238" s="499">
        <f t="shared" si="553"/>
        <v>0</v>
      </c>
      <c r="AW238" s="500">
        <f t="shared" si="553"/>
        <v>7.0000000000000007E-2</v>
      </c>
    </row>
    <row r="239" spans="1:49" s="569" customFormat="1" ht="12.75" customHeight="1" x14ac:dyDescent="0.2">
      <c r="A239" s="302">
        <v>42</v>
      </c>
      <c r="B239" s="32">
        <v>4459</v>
      </c>
      <c r="C239" s="32">
        <v>650037171</v>
      </c>
      <c r="D239" s="32">
        <v>72742356</v>
      </c>
      <c r="E239" s="311" t="s">
        <v>232</v>
      </c>
      <c r="F239" s="32"/>
      <c r="G239" s="301"/>
      <c r="H239" s="454"/>
      <c r="I239" s="5">
        <f t="shared" ref="I239:P239" si="556">SUM(I233:I238)</f>
        <v>15168287</v>
      </c>
      <c r="J239" s="8">
        <f t="shared" si="556"/>
        <v>10977273</v>
      </c>
      <c r="K239" s="8">
        <f t="shared" si="556"/>
        <v>3710318</v>
      </c>
      <c r="L239" s="8">
        <f t="shared" si="556"/>
        <v>219546</v>
      </c>
      <c r="M239" s="8">
        <f t="shared" si="556"/>
        <v>261150</v>
      </c>
      <c r="N239" s="9">
        <f t="shared" si="556"/>
        <v>25.600599999999996</v>
      </c>
      <c r="O239" s="9">
        <f t="shared" si="556"/>
        <v>15.927399999999999</v>
      </c>
      <c r="P239" s="39">
        <f t="shared" si="556"/>
        <v>9.6732000000000014</v>
      </c>
      <c r="Q239" s="5">
        <f t="shared" ref="Q239:AW239" si="557">SUM(Q233:Q238)</f>
        <v>-16000</v>
      </c>
      <c r="R239" s="8">
        <f t="shared" si="557"/>
        <v>2321293</v>
      </c>
      <c r="S239" s="8">
        <f t="shared" si="557"/>
        <v>0</v>
      </c>
      <c r="T239" s="8">
        <f t="shared" si="557"/>
        <v>0</v>
      </c>
      <c r="U239" s="8">
        <f t="shared" si="557"/>
        <v>2305293</v>
      </c>
      <c r="V239" s="8">
        <f t="shared" si="557"/>
        <v>16000</v>
      </c>
      <c r="W239" s="8">
        <f t="shared" si="557"/>
        <v>0</v>
      </c>
      <c r="X239" s="8">
        <f t="shared" si="557"/>
        <v>0</v>
      </c>
      <c r="Y239" s="8">
        <f t="shared" si="557"/>
        <v>16000</v>
      </c>
      <c r="Z239" s="8">
        <f t="shared" si="557"/>
        <v>2321293</v>
      </c>
      <c r="AA239" s="8">
        <f t="shared" si="557"/>
        <v>784597</v>
      </c>
      <c r="AB239" s="8">
        <f t="shared" si="557"/>
        <v>46106</v>
      </c>
      <c r="AC239" s="8">
        <f t="shared" si="557"/>
        <v>0</v>
      </c>
      <c r="AD239" s="8">
        <f t="shared" si="557"/>
        <v>0</v>
      </c>
      <c r="AE239" s="8">
        <f t="shared" si="557"/>
        <v>0</v>
      </c>
      <c r="AF239" s="8">
        <f t="shared" si="557"/>
        <v>3151996</v>
      </c>
      <c r="AG239" s="9">
        <f t="shared" si="557"/>
        <v>-0.03</v>
      </c>
      <c r="AH239" s="9">
        <f t="shared" si="557"/>
        <v>0</v>
      </c>
      <c r="AI239" s="9">
        <f t="shared" si="557"/>
        <v>6.65</v>
      </c>
      <c r="AJ239" s="9">
        <f t="shared" si="557"/>
        <v>0</v>
      </c>
      <c r="AK239" s="9">
        <f t="shared" si="557"/>
        <v>0</v>
      </c>
      <c r="AL239" s="9">
        <f t="shared" si="557"/>
        <v>6.62</v>
      </c>
      <c r="AM239" s="9">
        <f t="shared" si="557"/>
        <v>0</v>
      </c>
      <c r="AN239" s="92">
        <f t="shared" si="557"/>
        <v>6.62</v>
      </c>
      <c r="AO239" s="295">
        <f t="shared" si="557"/>
        <v>18320283</v>
      </c>
      <c r="AP239" s="8">
        <f t="shared" si="557"/>
        <v>13282566</v>
      </c>
      <c r="AQ239" s="8">
        <f t="shared" si="557"/>
        <v>16000</v>
      </c>
      <c r="AR239" s="8">
        <f t="shared" si="557"/>
        <v>4494915</v>
      </c>
      <c r="AS239" s="8">
        <f t="shared" si="557"/>
        <v>265652</v>
      </c>
      <c r="AT239" s="8">
        <f t="shared" si="557"/>
        <v>261150</v>
      </c>
      <c r="AU239" s="9">
        <f t="shared" si="557"/>
        <v>32.220599999999997</v>
      </c>
      <c r="AV239" s="9">
        <f t="shared" si="557"/>
        <v>22.547400000000003</v>
      </c>
      <c r="AW239" s="92">
        <f t="shared" si="557"/>
        <v>9.6732000000000014</v>
      </c>
    </row>
    <row r="240" spans="1:49" s="569" customFormat="1" ht="12.75" customHeight="1" x14ac:dyDescent="0.2">
      <c r="A240" s="531">
        <v>43</v>
      </c>
      <c r="B240" s="532">
        <v>4424</v>
      </c>
      <c r="C240" s="532">
        <v>600074170</v>
      </c>
      <c r="D240" s="532">
        <v>72741562</v>
      </c>
      <c r="E240" s="530" t="s">
        <v>233</v>
      </c>
      <c r="F240" s="532">
        <v>3111</v>
      </c>
      <c r="G240" s="533" t="s">
        <v>317</v>
      </c>
      <c r="H240" s="534" t="s">
        <v>283</v>
      </c>
      <c r="I240" s="575">
        <f t="shared" ref="I240:I242" si="558">SUM(J240:M240)</f>
        <v>3228217</v>
      </c>
      <c r="J240" s="496">
        <v>2363599</v>
      </c>
      <c r="K240" s="131">
        <f t="shared" ref="K240:K241" si="559">ROUND((J240)*33.8%,0)</f>
        <v>798896</v>
      </c>
      <c r="L240" s="131">
        <f t="shared" ref="L240:L241" si="560">ROUND(J240*2%,0)</f>
        <v>47272</v>
      </c>
      <c r="M240" s="496">
        <v>18450</v>
      </c>
      <c r="N240" s="576">
        <f t="shared" ref="N240:N242" si="561">SUM(O240:P240)</f>
        <v>5.3898000000000001</v>
      </c>
      <c r="O240" s="577">
        <v>4</v>
      </c>
      <c r="P240" s="607">
        <v>1.3897999999999999</v>
      </c>
      <c r="Q240" s="579">
        <f t="shared" ref="Q240:Q242" si="562">V240*-1</f>
        <v>0</v>
      </c>
      <c r="R240" s="498">
        <v>0</v>
      </c>
      <c r="S240" s="498">
        <v>0</v>
      </c>
      <c r="T240" s="498">
        <v>0</v>
      </c>
      <c r="U240" s="498">
        <f t="shared" si="481"/>
        <v>0</v>
      </c>
      <c r="V240" s="498">
        <v>0</v>
      </c>
      <c r="W240" s="498">
        <v>0</v>
      </c>
      <c r="X240" s="498">
        <v>0</v>
      </c>
      <c r="Y240" s="498">
        <f t="shared" si="482"/>
        <v>0</v>
      </c>
      <c r="Z240" s="498">
        <f t="shared" si="483"/>
        <v>0</v>
      </c>
      <c r="AA240" s="131">
        <f t="shared" ref="AA240:AA242" si="563">ROUND((U240+V240+W240)*33.8%,0)</f>
        <v>0</v>
      </c>
      <c r="AB240" s="131">
        <f t="shared" si="484"/>
        <v>0</v>
      </c>
      <c r="AC240" s="498">
        <v>0</v>
      </c>
      <c r="AD240" s="498">
        <v>0</v>
      </c>
      <c r="AE240" s="498">
        <f t="shared" si="485"/>
        <v>0</v>
      </c>
      <c r="AF240" s="498">
        <f t="shared" si="486"/>
        <v>0</v>
      </c>
      <c r="AG240" s="499">
        <v>0</v>
      </c>
      <c r="AH240" s="499">
        <v>0</v>
      </c>
      <c r="AI240" s="499">
        <v>0</v>
      </c>
      <c r="AJ240" s="499">
        <v>0</v>
      </c>
      <c r="AK240" s="499">
        <v>0</v>
      </c>
      <c r="AL240" s="499">
        <f t="shared" si="487"/>
        <v>0</v>
      </c>
      <c r="AM240" s="499">
        <f t="shared" si="488"/>
        <v>0</v>
      </c>
      <c r="AN240" s="500">
        <f t="shared" si="489"/>
        <v>0</v>
      </c>
      <c r="AO240" s="497">
        <f>I240+AF240</f>
        <v>3228217</v>
      </c>
      <c r="AP240" s="498">
        <f>J240+U240</f>
        <v>2363599</v>
      </c>
      <c r="AQ240" s="498">
        <f t="shared" ref="AQ240:AQ242" si="564">Y240</f>
        <v>0</v>
      </c>
      <c r="AR240" s="498">
        <f t="shared" ref="AR240:AS242" si="565">K240+AA240</f>
        <v>798896</v>
      </c>
      <c r="AS240" s="498">
        <f t="shared" si="565"/>
        <v>47272</v>
      </c>
      <c r="AT240" s="498">
        <f>M240+AE240</f>
        <v>18450</v>
      </c>
      <c r="AU240" s="499">
        <f>N240+AN240</f>
        <v>5.3898000000000001</v>
      </c>
      <c r="AV240" s="499">
        <f t="shared" ref="AV240:AW242" si="566">O240+AL240</f>
        <v>4</v>
      </c>
      <c r="AW240" s="500">
        <f t="shared" si="566"/>
        <v>1.3897999999999999</v>
      </c>
    </row>
    <row r="241" spans="1:49" s="569" customFormat="1" ht="12.75" customHeight="1" x14ac:dyDescent="0.2">
      <c r="A241" s="531">
        <v>43</v>
      </c>
      <c r="B241" s="532">
        <v>4424</v>
      </c>
      <c r="C241" s="532">
        <v>600074170</v>
      </c>
      <c r="D241" s="532">
        <v>72741562</v>
      </c>
      <c r="E241" s="530" t="s">
        <v>233</v>
      </c>
      <c r="F241" s="532">
        <v>3111</v>
      </c>
      <c r="G241" s="533" t="s">
        <v>318</v>
      </c>
      <c r="H241" s="534" t="s">
        <v>284</v>
      </c>
      <c r="I241" s="575">
        <f t="shared" si="558"/>
        <v>0</v>
      </c>
      <c r="J241" s="496">
        <v>0</v>
      </c>
      <c r="K241" s="131">
        <f t="shared" si="559"/>
        <v>0</v>
      </c>
      <c r="L241" s="131">
        <f t="shared" si="560"/>
        <v>0</v>
      </c>
      <c r="M241" s="496">
        <v>0</v>
      </c>
      <c r="N241" s="576">
        <f t="shared" si="561"/>
        <v>0</v>
      </c>
      <c r="O241" s="577">
        <v>0</v>
      </c>
      <c r="P241" s="607">
        <v>0</v>
      </c>
      <c r="Q241" s="579"/>
      <c r="R241" s="496">
        <v>346443</v>
      </c>
      <c r="S241" s="498">
        <v>0</v>
      </c>
      <c r="T241" s="498">
        <v>0</v>
      </c>
      <c r="U241" s="498">
        <f t="shared" si="481"/>
        <v>346443</v>
      </c>
      <c r="V241" s="498">
        <v>0</v>
      </c>
      <c r="W241" s="498">
        <v>0</v>
      </c>
      <c r="X241" s="498">
        <v>0</v>
      </c>
      <c r="Y241" s="498">
        <f t="shared" ref="Y241" si="567">SUM(V241:X241)</f>
        <v>0</v>
      </c>
      <c r="Z241" s="498">
        <f t="shared" si="483"/>
        <v>346443</v>
      </c>
      <c r="AA241" s="131">
        <f t="shared" si="563"/>
        <v>117098</v>
      </c>
      <c r="AB241" s="131">
        <f t="shared" si="484"/>
        <v>6929</v>
      </c>
      <c r="AC241" s="498">
        <v>0</v>
      </c>
      <c r="AD241" s="498">
        <v>0</v>
      </c>
      <c r="AE241" s="498">
        <f t="shared" si="485"/>
        <v>0</v>
      </c>
      <c r="AF241" s="498">
        <f t="shared" si="486"/>
        <v>470470</v>
      </c>
      <c r="AG241" s="499">
        <v>0</v>
      </c>
      <c r="AH241" s="499">
        <v>0</v>
      </c>
      <c r="AI241" s="499">
        <v>1</v>
      </c>
      <c r="AJ241" s="499">
        <v>0</v>
      </c>
      <c r="AK241" s="499">
        <v>0</v>
      </c>
      <c r="AL241" s="499">
        <f t="shared" si="487"/>
        <v>1</v>
      </c>
      <c r="AM241" s="499">
        <f t="shared" si="488"/>
        <v>0</v>
      </c>
      <c r="AN241" s="500">
        <f t="shared" si="489"/>
        <v>1</v>
      </c>
      <c r="AO241" s="497">
        <f>I241+AF241</f>
        <v>470470</v>
      </c>
      <c r="AP241" s="498">
        <f>J241+U241</f>
        <v>346443</v>
      </c>
      <c r="AQ241" s="498">
        <f t="shared" si="564"/>
        <v>0</v>
      </c>
      <c r="AR241" s="498">
        <f t="shared" si="565"/>
        <v>117098</v>
      </c>
      <c r="AS241" s="498">
        <f t="shared" si="565"/>
        <v>6929</v>
      </c>
      <c r="AT241" s="498">
        <f>M241+AE241</f>
        <v>0</v>
      </c>
      <c r="AU241" s="499">
        <f>N241+AN241</f>
        <v>1</v>
      </c>
      <c r="AV241" s="499">
        <f t="shared" si="566"/>
        <v>1</v>
      </c>
      <c r="AW241" s="500">
        <f t="shared" si="566"/>
        <v>0</v>
      </c>
    </row>
    <row r="242" spans="1:49" s="569" customFormat="1" ht="12.75" customHeight="1" x14ac:dyDescent="0.2">
      <c r="A242" s="531">
        <v>43</v>
      </c>
      <c r="B242" s="532">
        <v>4424</v>
      </c>
      <c r="C242" s="532">
        <v>600074170</v>
      </c>
      <c r="D242" s="532">
        <v>72741562</v>
      </c>
      <c r="E242" s="530" t="s">
        <v>233</v>
      </c>
      <c r="F242" s="532">
        <v>3141</v>
      </c>
      <c r="G242" s="533" t="s">
        <v>321</v>
      </c>
      <c r="H242" s="534" t="s">
        <v>284</v>
      </c>
      <c r="I242" s="575">
        <f t="shared" si="558"/>
        <v>992601</v>
      </c>
      <c r="J242" s="496">
        <v>727341</v>
      </c>
      <c r="K242" s="131">
        <f>ROUND((J242)*33.8%,0)</f>
        <v>245841</v>
      </c>
      <c r="L242" s="131">
        <f>ROUND(J242*2%,0)</f>
        <v>14547</v>
      </c>
      <c r="M242" s="496">
        <v>4872</v>
      </c>
      <c r="N242" s="576">
        <f t="shared" si="561"/>
        <v>2.4700000000000002</v>
      </c>
      <c r="O242" s="577">
        <v>0</v>
      </c>
      <c r="P242" s="607">
        <v>2.4700000000000002</v>
      </c>
      <c r="Q242" s="579">
        <f t="shared" si="562"/>
        <v>0</v>
      </c>
      <c r="R242" s="498">
        <v>0</v>
      </c>
      <c r="S242" s="498">
        <v>0</v>
      </c>
      <c r="T242" s="498">
        <v>0</v>
      </c>
      <c r="U242" s="498">
        <f t="shared" si="481"/>
        <v>0</v>
      </c>
      <c r="V242" s="498">
        <v>0</v>
      </c>
      <c r="W242" s="498">
        <v>0</v>
      </c>
      <c r="X242" s="498">
        <v>0</v>
      </c>
      <c r="Y242" s="498">
        <f t="shared" si="482"/>
        <v>0</v>
      </c>
      <c r="Z242" s="498">
        <f t="shared" si="483"/>
        <v>0</v>
      </c>
      <c r="AA242" s="131">
        <f t="shared" si="563"/>
        <v>0</v>
      </c>
      <c r="AB242" s="131">
        <f t="shared" si="484"/>
        <v>0</v>
      </c>
      <c r="AC242" s="498">
        <v>0</v>
      </c>
      <c r="AD242" s="498">
        <v>0</v>
      </c>
      <c r="AE242" s="498">
        <f t="shared" si="485"/>
        <v>0</v>
      </c>
      <c r="AF242" s="498">
        <f t="shared" si="486"/>
        <v>0</v>
      </c>
      <c r="AG242" s="499">
        <v>0</v>
      </c>
      <c r="AH242" s="499">
        <v>0</v>
      </c>
      <c r="AI242" s="499">
        <v>0</v>
      </c>
      <c r="AJ242" s="499">
        <v>0</v>
      </c>
      <c r="AK242" s="499">
        <v>0</v>
      </c>
      <c r="AL242" s="499">
        <f t="shared" si="487"/>
        <v>0</v>
      </c>
      <c r="AM242" s="499">
        <f t="shared" si="488"/>
        <v>0</v>
      </c>
      <c r="AN242" s="500">
        <f t="shared" si="489"/>
        <v>0</v>
      </c>
      <c r="AO242" s="497">
        <f>I242+AF242</f>
        <v>992601</v>
      </c>
      <c r="AP242" s="498">
        <f>J242+U242</f>
        <v>727341</v>
      </c>
      <c r="AQ242" s="498">
        <f t="shared" si="564"/>
        <v>0</v>
      </c>
      <c r="AR242" s="498">
        <f t="shared" si="565"/>
        <v>245841</v>
      </c>
      <c r="AS242" s="498">
        <f t="shared" si="565"/>
        <v>14547</v>
      </c>
      <c r="AT242" s="498">
        <f>M242+AE242</f>
        <v>4872</v>
      </c>
      <c r="AU242" s="499">
        <f>N242+AN242</f>
        <v>2.4700000000000002</v>
      </c>
      <c r="AV242" s="499">
        <f t="shared" si="566"/>
        <v>0</v>
      </c>
      <c r="AW242" s="500">
        <f t="shared" si="566"/>
        <v>2.4700000000000002</v>
      </c>
    </row>
    <row r="243" spans="1:49" s="569" customFormat="1" ht="12.75" customHeight="1" x14ac:dyDescent="0.2">
      <c r="A243" s="302">
        <v>43</v>
      </c>
      <c r="B243" s="32">
        <v>4424</v>
      </c>
      <c r="C243" s="32">
        <v>600074170</v>
      </c>
      <c r="D243" s="32">
        <v>72741562</v>
      </c>
      <c r="E243" s="311" t="s">
        <v>234</v>
      </c>
      <c r="F243" s="32"/>
      <c r="G243" s="301"/>
      <c r="H243" s="454"/>
      <c r="I243" s="5">
        <f t="shared" ref="I243:P243" si="568">SUM(I240:I242)</f>
        <v>4220818</v>
      </c>
      <c r="J243" s="8">
        <f t="shared" si="568"/>
        <v>3090940</v>
      </c>
      <c r="K243" s="8">
        <f t="shared" si="568"/>
        <v>1044737</v>
      </c>
      <c r="L243" s="8">
        <f t="shared" si="568"/>
        <v>61819</v>
      </c>
      <c r="M243" s="8">
        <f t="shared" si="568"/>
        <v>23322</v>
      </c>
      <c r="N243" s="9">
        <f t="shared" si="568"/>
        <v>7.8597999999999999</v>
      </c>
      <c r="O243" s="9">
        <f t="shared" si="568"/>
        <v>4</v>
      </c>
      <c r="P243" s="39">
        <f t="shared" si="568"/>
        <v>3.8597999999999999</v>
      </c>
      <c r="Q243" s="5">
        <f t="shared" ref="Q243:AW243" si="569">SUM(Q240:Q242)</f>
        <v>0</v>
      </c>
      <c r="R243" s="8">
        <f t="shared" si="569"/>
        <v>346443</v>
      </c>
      <c r="S243" s="8">
        <f t="shared" si="569"/>
        <v>0</v>
      </c>
      <c r="T243" s="8">
        <f t="shared" si="569"/>
        <v>0</v>
      </c>
      <c r="U243" s="8">
        <f t="shared" si="569"/>
        <v>346443</v>
      </c>
      <c r="V243" s="8">
        <f t="shared" si="569"/>
        <v>0</v>
      </c>
      <c r="W243" s="8">
        <f t="shared" si="569"/>
        <v>0</v>
      </c>
      <c r="X243" s="8">
        <f t="shared" si="569"/>
        <v>0</v>
      </c>
      <c r="Y243" s="8">
        <f t="shared" si="569"/>
        <v>0</v>
      </c>
      <c r="Z243" s="8">
        <f t="shared" si="569"/>
        <v>346443</v>
      </c>
      <c r="AA243" s="8">
        <f t="shared" si="569"/>
        <v>117098</v>
      </c>
      <c r="AB243" s="8">
        <f t="shared" si="569"/>
        <v>6929</v>
      </c>
      <c r="AC243" s="8">
        <f t="shared" si="569"/>
        <v>0</v>
      </c>
      <c r="AD243" s="8">
        <f t="shared" si="569"/>
        <v>0</v>
      </c>
      <c r="AE243" s="8">
        <f t="shared" si="569"/>
        <v>0</v>
      </c>
      <c r="AF243" s="8">
        <f t="shared" si="569"/>
        <v>470470</v>
      </c>
      <c r="AG243" s="9">
        <f t="shared" si="569"/>
        <v>0</v>
      </c>
      <c r="AH243" s="9">
        <f t="shared" si="569"/>
        <v>0</v>
      </c>
      <c r="AI243" s="9">
        <f t="shared" si="569"/>
        <v>1</v>
      </c>
      <c r="AJ243" s="9">
        <f t="shared" si="569"/>
        <v>0</v>
      </c>
      <c r="AK243" s="9">
        <f t="shared" si="569"/>
        <v>0</v>
      </c>
      <c r="AL243" s="9">
        <f t="shared" si="569"/>
        <v>1</v>
      </c>
      <c r="AM243" s="9">
        <f t="shared" si="569"/>
        <v>0</v>
      </c>
      <c r="AN243" s="92">
        <f t="shared" si="569"/>
        <v>1</v>
      </c>
      <c r="AO243" s="295">
        <f t="shared" si="569"/>
        <v>4691288</v>
      </c>
      <c r="AP243" s="8">
        <f t="shared" si="569"/>
        <v>3437383</v>
      </c>
      <c r="AQ243" s="8">
        <f t="shared" si="569"/>
        <v>0</v>
      </c>
      <c r="AR243" s="8">
        <f t="shared" si="569"/>
        <v>1161835</v>
      </c>
      <c r="AS243" s="8">
        <f t="shared" si="569"/>
        <v>68748</v>
      </c>
      <c r="AT243" s="8">
        <f t="shared" si="569"/>
        <v>23322</v>
      </c>
      <c r="AU243" s="9">
        <f t="shared" si="569"/>
        <v>8.8597999999999999</v>
      </c>
      <c r="AV243" s="9">
        <f t="shared" si="569"/>
        <v>5</v>
      </c>
      <c r="AW243" s="92">
        <f t="shared" si="569"/>
        <v>3.8597999999999999</v>
      </c>
    </row>
    <row r="244" spans="1:49" s="569" customFormat="1" ht="12.75" customHeight="1" x14ac:dyDescent="0.2">
      <c r="A244" s="531">
        <v>44</v>
      </c>
      <c r="B244" s="532">
        <v>4489</v>
      </c>
      <c r="C244" s="532">
        <v>600075036</v>
      </c>
      <c r="D244" s="532">
        <v>72742607</v>
      </c>
      <c r="E244" s="530" t="s">
        <v>235</v>
      </c>
      <c r="F244" s="532">
        <v>3111</v>
      </c>
      <c r="G244" s="533" t="s">
        <v>317</v>
      </c>
      <c r="H244" s="534" t="s">
        <v>283</v>
      </c>
      <c r="I244" s="575">
        <f t="shared" ref="I244:I248" si="570">SUM(J244:M244)</f>
        <v>3010140</v>
      </c>
      <c r="J244" s="496">
        <v>2200692</v>
      </c>
      <c r="K244" s="131">
        <f t="shared" ref="K244:K246" si="571">ROUND((J244)*33.8%,0)</f>
        <v>743834</v>
      </c>
      <c r="L244" s="131">
        <f t="shared" ref="L244:L246" si="572">ROUND(J244*2%,0)</f>
        <v>44014</v>
      </c>
      <c r="M244" s="496">
        <v>21600</v>
      </c>
      <c r="N244" s="576">
        <f t="shared" ref="N244:N249" si="573">SUM(O244:P244)</f>
        <v>5.0217999999999998</v>
      </c>
      <c r="O244" s="577">
        <v>4</v>
      </c>
      <c r="P244" s="607">
        <v>1.0218</v>
      </c>
      <c r="Q244" s="579">
        <f t="shared" ref="Q244:Q249" si="574">V244*-1</f>
        <v>-12000</v>
      </c>
      <c r="R244" s="498">
        <v>0</v>
      </c>
      <c r="S244" s="498">
        <v>0</v>
      </c>
      <c r="T244" s="498">
        <v>0</v>
      </c>
      <c r="U244" s="498">
        <f t="shared" si="481"/>
        <v>-12000</v>
      </c>
      <c r="V244" s="498">
        <v>12000</v>
      </c>
      <c r="W244" s="498">
        <v>0</v>
      </c>
      <c r="X244" s="498">
        <v>0</v>
      </c>
      <c r="Y244" s="498">
        <f t="shared" si="482"/>
        <v>12000</v>
      </c>
      <c r="Z244" s="498">
        <f t="shared" si="483"/>
        <v>0</v>
      </c>
      <c r="AA244" s="131">
        <f t="shared" ref="AA244:AA249" si="575">ROUND((U244+V244+W244)*33.8%,0)</f>
        <v>0</v>
      </c>
      <c r="AB244" s="131">
        <f t="shared" si="484"/>
        <v>-240</v>
      </c>
      <c r="AC244" s="498">
        <v>0</v>
      </c>
      <c r="AD244" s="498">
        <v>0</v>
      </c>
      <c r="AE244" s="498">
        <f t="shared" si="485"/>
        <v>0</v>
      </c>
      <c r="AF244" s="498">
        <f t="shared" si="486"/>
        <v>-240</v>
      </c>
      <c r="AG244" s="499">
        <v>0</v>
      </c>
      <c r="AH244" s="499">
        <v>0</v>
      </c>
      <c r="AI244" s="499">
        <v>0</v>
      </c>
      <c r="AJ244" s="499">
        <v>0</v>
      </c>
      <c r="AK244" s="499">
        <v>0</v>
      </c>
      <c r="AL244" s="499">
        <f t="shared" si="487"/>
        <v>0</v>
      </c>
      <c r="AM244" s="499">
        <f t="shared" si="488"/>
        <v>0</v>
      </c>
      <c r="AN244" s="500">
        <f t="shared" si="489"/>
        <v>0</v>
      </c>
      <c r="AO244" s="497">
        <f t="shared" ref="AO244:AO249" si="576">I244+AF244</f>
        <v>3009900</v>
      </c>
      <c r="AP244" s="498">
        <f t="shared" ref="AP244:AP249" si="577">J244+U244</f>
        <v>2188692</v>
      </c>
      <c r="AQ244" s="498">
        <f t="shared" ref="AQ244:AQ249" si="578">Y244</f>
        <v>12000</v>
      </c>
      <c r="AR244" s="498">
        <f t="shared" ref="AR244:AS249" si="579">K244+AA244</f>
        <v>743834</v>
      </c>
      <c r="AS244" s="498">
        <f t="shared" si="579"/>
        <v>43774</v>
      </c>
      <c r="AT244" s="498">
        <f t="shared" ref="AT244:AT249" si="580">M244+AE244</f>
        <v>21600</v>
      </c>
      <c r="AU244" s="499">
        <f t="shared" ref="AU244:AU249" si="581">N244+AN244</f>
        <v>5.0217999999999998</v>
      </c>
      <c r="AV244" s="499">
        <f t="shared" ref="AV244:AW249" si="582">O244+AL244</f>
        <v>4</v>
      </c>
      <c r="AW244" s="500">
        <f t="shared" si="582"/>
        <v>1.0218</v>
      </c>
    </row>
    <row r="245" spans="1:49" s="569" customFormat="1" ht="12.75" customHeight="1" x14ac:dyDescent="0.2">
      <c r="A245" s="531">
        <v>44</v>
      </c>
      <c r="B245" s="532">
        <v>4489</v>
      </c>
      <c r="C245" s="532">
        <v>600075036</v>
      </c>
      <c r="D245" s="532">
        <v>72742607</v>
      </c>
      <c r="E245" s="530" t="s">
        <v>235</v>
      </c>
      <c r="F245" s="532">
        <v>3117</v>
      </c>
      <c r="G245" s="533" t="s">
        <v>320</v>
      </c>
      <c r="H245" s="534" t="s">
        <v>283</v>
      </c>
      <c r="I245" s="575">
        <f t="shared" si="570"/>
        <v>3859787</v>
      </c>
      <c r="J245" s="496">
        <v>2795668</v>
      </c>
      <c r="K245" s="131">
        <f t="shared" si="571"/>
        <v>944936</v>
      </c>
      <c r="L245" s="131">
        <f t="shared" si="572"/>
        <v>55913</v>
      </c>
      <c r="M245" s="496">
        <v>63270</v>
      </c>
      <c r="N245" s="576">
        <f t="shared" si="573"/>
        <v>5.7837999999999994</v>
      </c>
      <c r="O245" s="577">
        <v>4.1681999999999997</v>
      </c>
      <c r="P245" s="607">
        <v>1.6155999999999999</v>
      </c>
      <c r="Q245" s="579">
        <f t="shared" si="574"/>
        <v>0</v>
      </c>
      <c r="R245" s="498">
        <v>0</v>
      </c>
      <c r="S245" s="498">
        <v>0</v>
      </c>
      <c r="T245" s="498">
        <v>0</v>
      </c>
      <c r="U245" s="498">
        <f t="shared" si="481"/>
        <v>0</v>
      </c>
      <c r="V245" s="498">
        <v>0</v>
      </c>
      <c r="W245" s="498">
        <v>0</v>
      </c>
      <c r="X245" s="498">
        <v>0</v>
      </c>
      <c r="Y245" s="498">
        <f t="shared" si="482"/>
        <v>0</v>
      </c>
      <c r="Z245" s="498">
        <f t="shared" si="483"/>
        <v>0</v>
      </c>
      <c r="AA245" s="131">
        <f t="shared" si="575"/>
        <v>0</v>
      </c>
      <c r="AB245" s="131">
        <f t="shared" si="484"/>
        <v>0</v>
      </c>
      <c r="AC245" s="498">
        <v>0</v>
      </c>
      <c r="AD245" s="498">
        <v>0</v>
      </c>
      <c r="AE245" s="498">
        <f t="shared" si="485"/>
        <v>0</v>
      </c>
      <c r="AF245" s="498">
        <f t="shared" si="486"/>
        <v>0</v>
      </c>
      <c r="AG245" s="499">
        <v>0</v>
      </c>
      <c r="AH245" s="499">
        <v>0</v>
      </c>
      <c r="AI245" s="499">
        <v>0</v>
      </c>
      <c r="AJ245" s="499">
        <v>0</v>
      </c>
      <c r="AK245" s="499">
        <v>0</v>
      </c>
      <c r="AL245" s="499">
        <f t="shared" si="487"/>
        <v>0</v>
      </c>
      <c r="AM245" s="499">
        <f t="shared" si="488"/>
        <v>0</v>
      </c>
      <c r="AN245" s="500">
        <f t="shared" si="489"/>
        <v>0</v>
      </c>
      <c r="AO245" s="497">
        <f t="shared" si="576"/>
        <v>3859787</v>
      </c>
      <c r="AP245" s="498">
        <f t="shared" si="577"/>
        <v>2795668</v>
      </c>
      <c r="AQ245" s="498">
        <f t="shared" si="578"/>
        <v>0</v>
      </c>
      <c r="AR245" s="498">
        <f t="shared" si="579"/>
        <v>944936</v>
      </c>
      <c r="AS245" s="498">
        <f t="shared" si="579"/>
        <v>55913</v>
      </c>
      <c r="AT245" s="498">
        <f t="shared" si="580"/>
        <v>63270</v>
      </c>
      <c r="AU245" s="499">
        <f t="shared" si="581"/>
        <v>5.7837999999999994</v>
      </c>
      <c r="AV245" s="499">
        <f t="shared" si="582"/>
        <v>4.1681999999999997</v>
      </c>
      <c r="AW245" s="500">
        <f t="shared" si="582"/>
        <v>1.6155999999999999</v>
      </c>
    </row>
    <row r="246" spans="1:49" s="569" customFormat="1" ht="12.75" customHeight="1" x14ac:dyDescent="0.2">
      <c r="A246" s="531">
        <v>44</v>
      </c>
      <c r="B246" s="532">
        <v>4489</v>
      </c>
      <c r="C246" s="532">
        <v>600075036</v>
      </c>
      <c r="D246" s="532">
        <v>72742607</v>
      </c>
      <c r="E246" s="530" t="s">
        <v>235</v>
      </c>
      <c r="F246" s="532">
        <v>3117</v>
      </c>
      <c r="G246" s="533" t="s">
        <v>318</v>
      </c>
      <c r="H246" s="534" t="s">
        <v>284</v>
      </c>
      <c r="I246" s="575">
        <f t="shared" si="570"/>
        <v>0</v>
      </c>
      <c r="J246" s="496">
        <v>0</v>
      </c>
      <c r="K246" s="131">
        <f t="shared" si="571"/>
        <v>0</v>
      </c>
      <c r="L246" s="131">
        <f t="shared" si="572"/>
        <v>0</v>
      </c>
      <c r="M246" s="496">
        <v>0</v>
      </c>
      <c r="N246" s="576">
        <f t="shared" si="573"/>
        <v>0</v>
      </c>
      <c r="O246" s="577">
        <v>0</v>
      </c>
      <c r="P246" s="607">
        <v>0</v>
      </c>
      <c r="Q246" s="579">
        <f t="shared" si="574"/>
        <v>0</v>
      </c>
      <c r="R246" s="496">
        <v>1048960</v>
      </c>
      <c r="S246" s="498">
        <v>0</v>
      </c>
      <c r="T246" s="498">
        <v>0</v>
      </c>
      <c r="U246" s="498">
        <f t="shared" si="481"/>
        <v>1048960</v>
      </c>
      <c r="V246" s="498">
        <v>0</v>
      </c>
      <c r="W246" s="498">
        <v>0</v>
      </c>
      <c r="X246" s="498">
        <v>0</v>
      </c>
      <c r="Y246" s="498">
        <f t="shared" si="482"/>
        <v>0</v>
      </c>
      <c r="Z246" s="498">
        <f t="shared" si="483"/>
        <v>1048960</v>
      </c>
      <c r="AA246" s="131">
        <f t="shared" si="575"/>
        <v>354548</v>
      </c>
      <c r="AB246" s="131">
        <f t="shared" si="484"/>
        <v>20979</v>
      </c>
      <c r="AC246" s="498">
        <v>0</v>
      </c>
      <c r="AD246" s="498">
        <v>0</v>
      </c>
      <c r="AE246" s="498">
        <f t="shared" si="485"/>
        <v>0</v>
      </c>
      <c r="AF246" s="498">
        <f t="shared" si="486"/>
        <v>1424487</v>
      </c>
      <c r="AG246" s="499">
        <v>0</v>
      </c>
      <c r="AH246" s="499">
        <v>0</v>
      </c>
      <c r="AI246" s="499">
        <v>3.03</v>
      </c>
      <c r="AJ246" s="499">
        <v>0</v>
      </c>
      <c r="AK246" s="499">
        <v>0</v>
      </c>
      <c r="AL246" s="499">
        <f t="shared" si="487"/>
        <v>3.03</v>
      </c>
      <c r="AM246" s="499">
        <f t="shared" si="488"/>
        <v>0</v>
      </c>
      <c r="AN246" s="500">
        <f t="shared" si="489"/>
        <v>3.03</v>
      </c>
      <c r="AO246" s="497">
        <f t="shared" si="576"/>
        <v>1424487</v>
      </c>
      <c r="AP246" s="498">
        <f t="shared" si="577"/>
        <v>1048960</v>
      </c>
      <c r="AQ246" s="498">
        <f t="shared" si="578"/>
        <v>0</v>
      </c>
      <c r="AR246" s="498">
        <f t="shared" si="579"/>
        <v>354548</v>
      </c>
      <c r="AS246" s="498">
        <f t="shared" si="579"/>
        <v>20979</v>
      </c>
      <c r="AT246" s="498">
        <f t="shared" si="580"/>
        <v>0</v>
      </c>
      <c r="AU246" s="499">
        <f t="shared" si="581"/>
        <v>3.03</v>
      </c>
      <c r="AV246" s="499">
        <f t="shared" si="582"/>
        <v>3.03</v>
      </c>
      <c r="AW246" s="500">
        <f t="shared" si="582"/>
        <v>0</v>
      </c>
    </row>
    <row r="247" spans="1:49" s="569" customFormat="1" ht="12.75" customHeight="1" x14ac:dyDescent="0.2">
      <c r="A247" s="531">
        <v>44</v>
      </c>
      <c r="B247" s="532">
        <v>4489</v>
      </c>
      <c r="C247" s="532">
        <v>600075036</v>
      </c>
      <c r="D247" s="532">
        <v>72742607</v>
      </c>
      <c r="E247" s="530" t="s">
        <v>235</v>
      </c>
      <c r="F247" s="532">
        <v>3141</v>
      </c>
      <c r="G247" s="533" t="s">
        <v>321</v>
      </c>
      <c r="H247" s="534" t="s">
        <v>284</v>
      </c>
      <c r="I247" s="575">
        <f t="shared" si="570"/>
        <v>1012567</v>
      </c>
      <c r="J247" s="496">
        <v>742001</v>
      </c>
      <c r="K247" s="131">
        <f>ROUND((J247)*33.8%,0)</f>
        <v>250796</v>
      </c>
      <c r="L247" s="131">
        <f>ROUND(J247*2%,0)</f>
        <v>14840</v>
      </c>
      <c r="M247" s="496">
        <v>4930</v>
      </c>
      <c r="N247" s="576">
        <f t="shared" si="573"/>
        <v>2.52</v>
      </c>
      <c r="O247" s="577">
        <v>0</v>
      </c>
      <c r="P247" s="607">
        <v>2.52</v>
      </c>
      <c r="Q247" s="579">
        <f t="shared" si="574"/>
        <v>-16000</v>
      </c>
      <c r="R247" s="498">
        <v>0</v>
      </c>
      <c r="S247" s="498">
        <v>0</v>
      </c>
      <c r="T247" s="498">
        <v>0</v>
      </c>
      <c r="U247" s="498">
        <f t="shared" si="481"/>
        <v>-16000</v>
      </c>
      <c r="V247" s="498">
        <v>16000</v>
      </c>
      <c r="W247" s="498">
        <v>0</v>
      </c>
      <c r="X247" s="498">
        <v>0</v>
      </c>
      <c r="Y247" s="498">
        <f t="shared" si="482"/>
        <v>16000</v>
      </c>
      <c r="Z247" s="498">
        <f t="shared" si="483"/>
        <v>0</v>
      </c>
      <c r="AA247" s="131">
        <f t="shared" si="575"/>
        <v>0</v>
      </c>
      <c r="AB247" s="131">
        <f t="shared" si="484"/>
        <v>-320</v>
      </c>
      <c r="AC247" s="498">
        <v>0</v>
      </c>
      <c r="AD247" s="498">
        <v>0</v>
      </c>
      <c r="AE247" s="498">
        <f t="shared" si="485"/>
        <v>0</v>
      </c>
      <c r="AF247" s="498">
        <f t="shared" si="486"/>
        <v>-320</v>
      </c>
      <c r="AG247" s="499">
        <v>0</v>
      </c>
      <c r="AH247" s="499">
        <v>0</v>
      </c>
      <c r="AI247" s="499">
        <v>0</v>
      </c>
      <c r="AJ247" s="499">
        <v>0</v>
      </c>
      <c r="AK247" s="499">
        <v>0</v>
      </c>
      <c r="AL247" s="499">
        <f t="shared" si="487"/>
        <v>0</v>
      </c>
      <c r="AM247" s="499">
        <f t="shared" si="488"/>
        <v>0</v>
      </c>
      <c r="AN247" s="500">
        <f t="shared" si="489"/>
        <v>0</v>
      </c>
      <c r="AO247" s="497">
        <f t="shared" si="576"/>
        <v>1012247</v>
      </c>
      <c r="AP247" s="498">
        <f t="shared" si="577"/>
        <v>726001</v>
      </c>
      <c r="AQ247" s="498">
        <f t="shared" si="578"/>
        <v>16000</v>
      </c>
      <c r="AR247" s="498">
        <f t="shared" si="579"/>
        <v>250796</v>
      </c>
      <c r="AS247" s="498">
        <f t="shared" si="579"/>
        <v>14520</v>
      </c>
      <c r="AT247" s="498">
        <f t="shared" si="580"/>
        <v>4930</v>
      </c>
      <c r="AU247" s="499">
        <f t="shared" si="581"/>
        <v>2.52</v>
      </c>
      <c r="AV247" s="499">
        <f t="shared" si="582"/>
        <v>0</v>
      </c>
      <c r="AW247" s="500">
        <f t="shared" si="582"/>
        <v>2.52</v>
      </c>
    </row>
    <row r="248" spans="1:49" s="569" customFormat="1" ht="12.75" customHeight="1" x14ac:dyDescent="0.2">
      <c r="A248" s="531">
        <v>44</v>
      </c>
      <c r="B248" s="532">
        <v>4489</v>
      </c>
      <c r="C248" s="532">
        <v>600075036</v>
      </c>
      <c r="D248" s="532">
        <v>72742607</v>
      </c>
      <c r="E248" s="530" t="s">
        <v>235</v>
      </c>
      <c r="F248" s="532">
        <v>3143</v>
      </c>
      <c r="G248" s="533" t="s">
        <v>635</v>
      </c>
      <c r="H248" s="574" t="s">
        <v>283</v>
      </c>
      <c r="I248" s="575">
        <f t="shared" si="570"/>
        <v>672756</v>
      </c>
      <c r="J248" s="496">
        <v>495402</v>
      </c>
      <c r="K248" s="131">
        <f t="shared" ref="K248:K249" si="583">ROUND((J248)*33.8%,0)</f>
        <v>167446</v>
      </c>
      <c r="L248" s="131">
        <f t="shared" ref="L248:L249" si="584">ROUND(J248*2%,0)</f>
        <v>9908</v>
      </c>
      <c r="M248" s="496"/>
      <c r="N248" s="576">
        <f t="shared" si="573"/>
        <v>1</v>
      </c>
      <c r="O248" s="577">
        <v>1</v>
      </c>
      <c r="P248" s="607">
        <v>0</v>
      </c>
      <c r="Q248" s="579">
        <f t="shared" si="574"/>
        <v>-8000</v>
      </c>
      <c r="R248" s="498">
        <v>0</v>
      </c>
      <c r="S248" s="498">
        <v>0</v>
      </c>
      <c r="T248" s="498">
        <v>0</v>
      </c>
      <c r="U248" s="498">
        <f t="shared" si="481"/>
        <v>-8000</v>
      </c>
      <c r="V248" s="498">
        <v>8000</v>
      </c>
      <c r="W248" s="498">
        <v>0</v>
      </c>
      <c r="X248" s="498">
        <v>0</v>
      </c>
      <c r="Y248" s="498">
        <f t="shared" si="482"/>
        <v>8000</v>
      </c>
      <c r="Z248" s="498">
        <f t="shared" si="483"/>
        <v>0</v>
      </c>
      <c r="AA248" s="131">
        <f t="shared" si="575"/>
        <v>0</v>
      </c>
      <c r="AB248" s="131">
        <f t="shared" si="484"/>
        <v>-160</v>
      </c>
      <c r="AC248" s="498">
        <v>0</v>
      </c>
      <c r="AD248" s="498">
        <v>0</v>
      </c>
      <c r="AE248" s="498">
        <f t="shared" si="485"/>
        <v>0</v>
      </c>
      <c r="AF248" s="498">
        <f t="shared" si="486"/>
        <v>-160</v>
      </c>
      <c r="AG248" s="499">
        <v>0</v>
      </c>
      <c r="AH248" s="499">
        <v>0</v>
      </c>
      <c r="AI248" s="499">
        <v>0</v>
      </c>
      <c r="AJ248" s="499">
        <v>0</v>
      </c>
      <c r="AK248" s="499">
        <v>0</v>
      </c>
      <c r="AL248" s="499">
        <f t="shared" si="487"/>
        <v>0</v>
      </c>
      <c r="AM248" s="499">
        <f t="shared" si="488"/>
        <v>0</v>
      </c>
      <c r="AN248" s="500">
        <f t="shared" si="489"/>
        <v>0</v>
      </c>
      <c r="AO248" s="497">
        <f t="shared" si="576"/>
        <v>672596</v>
      </c>
      <c r="AP248" s="498">
        <f t="shared" si="577"/>
        <v>487402</v>
      </c>
      <c r="AQ248" s="498">
        <f t="shared" si="578"/>
        <v>8000</v>
      </c>
      <c r="AR248" s="498">
        <f t="shared" si="579"/>
        <v>167446</v>
      </c>
      <c r="AS248" s="498">
        <f t="shared" si="579"/>
        <v>9748</v>
      </c>
      <c r="AT248" s="498">
        <f t="shared" si="580"/>
        <v>0</v>
      </c>
      <c r="AU248" s="499">
        <f t="shared" si="581"/>
        <v>1</v>
      </c>
      <c r="AV248" s="499">
        <f t="shared" si="582"/>
        <v>1</v>
      </c>
      <c r="AW248" s="500">
        <f t="shared" si="582"/>
        <v>0</v>
      </c>
    </row>
    <row r="249" spans="1:49" s="569" customFormat="1" ht="12.75" customHeight="1" x14ac:dyDescent="0.2">
      <c r="A249" s="531">
        <v>44</v>
      </c>
      <c r="B249" s="532">
        <v>4489</v>
      </c>
      <c r="C249" s="532">
        <v>600075036</v>
      </c>
      <c r="D249" s="532">
        <v>72742607</v>
      </c>
      <c r="E249" s="530" t="s">
        <v>235</v>
      </c>
      <c r="F249" s="532">
        <v>3143</v>
      </c>
      <c r="G249" s="533" t="s">
        <v>636</v>
      </c>
      <c r="H249" s="574" t="s">
        <v>284</v>
      </c>
      <c r="I249" s="575">
        <f>SUM(J249:M249)</f>
        <v>16853</v>
      </c>
      <c r="J249" s="496">
        <v>11880</v>
      </c>
      <c r="K249" s="131">
        <f t="shared" si="583"/>
        <v>4015</v>
      </c>
      <c r="L249" s="131">
        <f t="shared" si="584"/>
        <v>238</v>
      </c>
      <c r="M249" s="496">
        <v>720</v>
      </c>
      <c r="N249" s="576">
        <f t="shared" si="573"/>
        <v>0.05</v>
      </c>
      <c r="O249" s="577">
        <v>0</v>
      </c>
      <c r="P249" s="607">
        <v>0.05</v>
      </c>
      <c r="Q249" s="579">
        <f t="shared" si="574"/>
        <v>0</v>
      </c>
      <c r="R249" s="498">
        <v>0</v>
      </c>
      <c r="S249" s="498">
        <v>0</v>
      </c>
      <c r="T249" s="498">
        <v>0</v>
      </c>
      <c r="U249" s="498">
        <f t="shared" si="481"/>
        <v>0</v>
      </c>
      <c r="V249" s="498">
        <v>0</v>
      </c>
      <c r="W249" s="498">
        <v>0</v>
      </c>
      <c r="X249" s="498">
        <v>0</v>
      </c>
      <c r="Y249" s="498">
        <f t="shared" si="482"/>
        <v>0</v>
      </c>
      <c r="Z249" s="498">
        <f t="shared" si="483"/>
        <v>0</v>
      </c>
      <c r="AA249" s="131">
        <f t="shared" si="575"/>
        <v>0</v>
      </c>
      <c r="AB249" s="131">
        <f t="shared" si="484"/>
        <v>0</v>
      </c>
      <c r="AC249" s="498">
        <v>0</v>
      </c>
      <c r="AD249" s="498">
        <v>0</v>
      </c>
      <c r="AE249" s="498">
        <f t="shared" si="485"/>
        <v>0</v>
      </c>
      <c r="AF249" s="498">
        <f t="shared" si="486"/>
        <v>0</v>
      </c>
      <c r="AG249" s="499">
        <v>0</v>
      </c>
      <c r="AH249" s="499">
        <v>0</v>
      </c>
      <c r="AI249" s="499">
        <v>0</v>
      </c>
      <c r="AJ249" s="499">
        <v>0</v>
      </c>
      <c r="AK249" s="499">
        <v>0</v>
      </c>
      <c r="AL249" s="499">
        <f t="shared" si="487"/>
        <v>0</v>
      </c>
      <c r="AM249" s="499">
        <f t="shared" si="488"/>
        <v>0</v>
      </c>
      <c r="AN249" s="500">
        <f t="shared" si="489"/>
        <v>0</v>
      </c>
      <c r="AO249" s="497">
        <f t="shared" si="576"/>
        <v>16853</v>
      </c>
      <c r="AP249" s="498">
        <f t="shared" si="577"/>
        <v>11880</v>
      </c>
      <c r="AQ249" s="498">
        <f t="shared" si="578"/>
        <v>0</v>
      </c>
      <c r="AR249" s="498">
        <f t="shared" si="579"/>
        <v>4015</v>
      </c>
      <c r="AS249" s="498">
        <f t="shared" si="579"/>
        <v>238</v>
      </c>
      <c r="AT249" s="498">
        <f t="shared" si="580"/>
        <v>720</v>
      </c>
      <c r="AU249" s="499">
        <f t="shared" si="581"/>
        <v>0.05</v>
      </c>
      <c r="AV249" s="499">
        <f t="shared" si="582"/>
        <v>0</v>
      </c>
      <c r="AW249" s="500">
        <f t="shared" si="582"/>
        <v>0.05</v>
      </c>
    </row>
    <row r="250" spans="1:49" s="569" customFormat="1" ht="12.75" customHeight="1" x14ac:dyDescent="0.2">
      <c r="A250" s="302">
        <v>44</v>
      </c>
      <c r="B250" s="32">
        <v>4489</v>
      </c>
      <c r="C250" s="32">
        <v>600075036</v>
      </c>
      <c r="D250" s="32">
        <v>72742607</v>
      </c>
      <c r="E250" s="311" t="s">
        <v>236</v>
      </c>
      <c r="F250" s="32"/>
      <c r="G250" s="301"/>
      <c r="H250" s="454"/>
      <c r="I250" s="5">
        <f t="shared" ref="I250:AW250" si="585">SUM(I244:I249)</f>
        <v>8572103</v>
      </c>
      <c r="J250" s="8">
        <f t="shared" si="585"/>
        <v>6245643</v>
      </c>
      <c r="K250" s="8">
        <f t="shared" si="585"/>
        <v>2111027</v>
      </c>
      <c r="L250" s="8">
        <f t="shared" si="585"/>
        <v>124913</v>
      </c>
      <c r="M250" s="8">
        <f t="shared" si="585"/>
        <v>90520</v>
      </c>
      <c r="N250" s="9">
        <f t="shared" si="585"/>
        <v>14.375599999999999</v>
      </c>
      <c r="O250" s="9">
        <f t="shared" si="585"/>
        <v>9.1681999999999988</v>
      </c>
      <c r="P250" s="39">
        <f t="shared" si="585"/>
        <v>5.2073999999999998</v>
      </c>
      <c r="Q250" s="5">
        <f t="shared" si="585"/>
        <v>-36000</v>
      </c>
      <c r="R250" s="8">
        <f t="shared" si="585"/>
        <v>1048960</v>
      </c>
      <c r="S250" s="8">
        <f t="shared" si="585"/>
        <v>0</v>
      </c>
      <c r="T250" s="8">
        <f t="shared" si="585"/>
        <v>0</v>
      </c>
      <c r="U250" s="8">
        <f t="shared" si="585"/>
        <v>1012960</v>
      </c>
      <c r="V250" s="8">
        <f t="shared" si="585"/>
        <v>36000</v>
      </c>
      <c r="W250" s="8">
        <f t="shared" si="585"/>
        <v>0</v>
      </c>
      <c r="X250" s="8">
        <f t="shared" si="585"/>
        <v>0</v>
      </c>
      <c r="Y250" s="8">
        <f t="shared" si="585"/>
        <v>36000</v>
      </c>
      <c r="Z250" s="8">
        <f t="shared" si="585"/>
        <v>1048960</v>
      </c>
      <c r="AA250" s="8">
        <f t="shared" si="585"/>
        <v>354548</v>
      </c>
      <c r="AB250" s="8">
        <f t="shared" si="585"/>
        <v>20259</v>
      </c>
      <c r="AC250" s="8">
        <f t="shared" si="585"/>
        <v>0</v>
      </c>
      <c r="AD250" s="8">
        <f t="shared" si="585"/>
        <v>0</v>
      </c>
      <c r="AE250" s="8">
        <f t="shared" si="585"/>
        <v>0</v>
      </c>
      <c r="AF250" s="8">
        <f t="shared" si="585"/>
        <v>1423767</v>
      </c>
      <c r="AG250" s="9">
        <f t="shared" si="585"/>
        <v>0</v>
      </c>
      <c r="AH250" s="9">
        <f t="shared" si="585"/>
        <v>0</v>
      </c>
      <c r="AI250" s="9">
        <f t="shared" si="585"/>
        <v>3.03</v>
      </c>
      <c r="AJ250" s="9">
        <f t="shared" si="585"/>
        <v>0</v>
      </c>
      <c r="AK250" s="9">
        <f t="shared" si="585"/>
        <v>0</v>
      </c>
      <c r="AL250" s="9">
        <f t="shared" si="585"/>
        <v>3.03</v>
      </c>
      <c r="AM250" s="9">
        <f t="shared" si="585"/>
        <v>0</v>
      </c>
      <c r="AN250" s="92">
        <f t="shared" si="585"/>
        <v>3.03</v>
      </c>
      <c r="AO250" s="295">
        <f t="shared" si="585"/>
        <v>9995870</v>
      </c>
      <c r="AP250" s="8">
        <f t="shared" si="585"/>
        <v>7258603</v>
      </c>
      <c r="AQ250" s="8">
        <f t="shared" si="585"/>
        <v>36000</v>
      </c>
      <c r="AR250" s="8">
        <f t="shared" si="585"/>
        <v>2465575</v>
      </c>
      <c r="AS250" s="8">
        <f t="shared" si="585"/>
        <v>145172</v>
      </c>
      <c r="AT250" s="8">
        <f t="shared" si="585"/>
        <v>90520</v>
      </c>
      <c r="AU250" s="9">
        <f t="shared" si="585"/>
        <v>17.4056</v>
      </c>
      <c r="AV250" s="9">
        <f t="shared" si="585"/>
        <v>12.198199999999998</v>
      </c>
      <c r="AW250" s="92">
        <f t="shared" si="585"/>
        <v>5.2073999999999998</v>
      </c>
    </row>
    <row r="251" spans="1:49" s="569" customFormat="1" ht="12.75" customHeight="1" x14ac:dyDescent="0.2">
      <c r="A251" s="531">
        <v>45</v>
      </c>
      <c r="B251" s="532">
        <v>4426</v>
      </c>
      <c r="C251" s="532">
        <v>600074129</v>
      </c>
      <c r="D251" s="532">
        <v>72742160</v>
      </c>
      <c r="E251" s="530" t="s">
        <v>237</v>
      </c>
      <c r="F251" s="532">
        <v>3111</v>
      </c>
      <c r="G251" s="533" t="s">
        <v>317</v>
      </c>
      <c r="H251" s="534" t="s">
        <v>283</v>
      </c>
      <c r="I251" s="575">
        <f t="shared" ref="I251" si="586">SUM(J251:M251)</f>
        <v>3297908</v>
      </c>
      <c r="J251" s="496">
        <v>2416906</v>
      </c>
      <c r="K251" s="131">
        <f t="shared" ref="K251" si="587">ROUND((J251)*33.8%,0)</f>
        <v>816914</v>
      </c>
      <c r="L251" s="131">
        <f t="shared" ref="L251" si="588">ROUND(J251*2%,0)</f>
        <v>48338</v>
      </c>
      <c r="M251" s="496">
        <v>15750</v>
      </c>
      <c r="N251" s="576">
        <f t="shared" ref="N251:N252" si="589">SUM(O251:P251)</f>
        <v>5.6478000000000002</v>
      </c>
      <c r="O251" s="577">
        <v>4.258</v>
      </c>
      <c r="P251" s="607">
        <v>1.3897999999999999</v>
      </c>
      <c r="Q251" s="579">
        <f t="shared" ref="Q251:Q252" si="590">V251*-1</f>
        <v>0</v>
      </c>
      <c r="R251" s="498">
        <v>0</v>
      </c>
      <c r="S251" s="498">
        <v>0</v>
      </c>
      <c r="T251" s="498">
        <v>0</v>
      </c>
      <c r="U251" s="498">
        <f t="shared" si="481"/>
        <v>0</v>
      </c>
      <c r="V251" s="498">
        <v>0</v>
      </c>
      <c r="W251" s="498">
        <v>0</v>
      </c>
      <c r="X251" s="498">
        <v>0</v>
      </c>
      <c r="Y251" s="498">
        <f t="shared" si="482"/>
        <v>0</v>
      </c>
      <c r="Z251" s="498">
        <f t="shared" si="483"/>
        <v>0</v>
      </c>
      <c r="AA251" s="131">
        <f t="shared" ref="AA251:AA252" si="591">ROUND((U251+V251+W251)*33.8%,0)</f>
        <v>0</v>
      </c>
      <c r="AB251" s="131">
        <f t="shared" si="484"/>
        <v>0</v>
      </c>
      <c r="AC251" s="498">
        <v>0</v>
      </c>
      <c r="AD251" s="498">
        <v>0</v>
      </c>
      <c r="AE251" s="498">
        <f t="shared" si="485"/>
        <v>0</v>
      </c>
      <c r="AF251" s="498">
        <f t="shared" si="486"/>
        <v>0</v>
      </c>
      <c r="AG251" s="499">
        <v>0</v>
      </c>
      <c r="AH251" s="499">
        <v>0</v>
      </c>
      <c r="AI251" s="499">
        <v>0</v>
      </c>
      <c r="AJ251" s="499">
        <v>0</v>
      </c>
      <c r="AK251" s="499">
        <v>0</v>
      </c>
      <c r="AL251" s="499">
        <f t="shared" si="487"/>
        <v>0</v>
      </c>
      <c r="AM251" s="499">
        <f t="shared" si="488"/>
        <v>0</v>
      </c>
      <c r="AN251" s="500">
        <f t="shared" si="489"/>
        <v>0</v>
      </c>
      <c r="AO251" s="497">
        <f>I251+AF251</f>
        <v>3297908</v>
      </c>
      <c r="AP251" s="498">
        <f>J251+U251</f>
        <v>2416906</v>
      </c>
      <c r="AQ251" s="498">
        <f t="shared" ref="AQ251:AQ252" si="592">Y251</f>
        <v>0</v>
      </c>
      <c r="AR251" s="498">
        <f>K251+AA251</f>
        <v>816914</v>
      </c>
      <c r="AS251" s="498">
        <f>L251+AB251</f>
        <v>48338</v>
      </c>
      <c r="AT251" s="498">
        <f>M251+AE251</f>
        <v>15750</v>
      </c>
      <c r="AU251" s="499">
        <f>N251+AN251</f>
        <v>5.6478000000000002</v>
      </c>
      <c r="AV251" s="499">
        <f>O251+AL251</f>
        <v>4.258</v>
      </c>
      <c r="AW251" s="500">
        <f>P251+AM251</f>
        <v>1.3897999999999999</v>
      </c>
    </row>
    <row r="252" spans="1:49" s="569" customFormat="1" ht="12.75" customHeight="1" x14ac:dyDescent="0.2">
      <c r="A252" s="531">
        <v>45</v>
      </c>
      <c r="B252" s="532">
        <v>4426</v>
      </c>
      <c r="C252" s="532">
        <v>600074129</v>
      </c>
      <c r="D252" s="532">
        <v>72742160</v>
      </c>
      <c r="E252" s="530" t="s">
        <v>237</v>
      </c>
      <c r="F252" s="532">
        <v>3141</v>
      </c>
      <c r="G252" s="533" t="s">
        <v>321</v>
      </c>
      <c r="H252" s="534" t="s">
        <v>284</v>
      </c>
      <c r="I252" s="575">
        <f>SUM(J252:M252)</f>
        <v>496286</v>
      </c>
      <c r="J252" s="496">
        <v>363959</v>
      </c>
      <c r="K252" s="131">
        <f>ROUND((J252)*33.8%,0)</f>
        <v>123018</v>
      </c>
      <c r="L252" s="131">
        <f>ROUND(J252*2%,0)</f>
        <v>7279</v>
      </c>
      <c r="M252" s="496">
        <v>2030</v>
      </c>
      <c r="N252" s="576">
        <f t="shared" si="589"/>
        <v>1.24</v>
      </c>
      <c r="O252" s="577">
        <v>0</v>
      </c>
      <c r="P252" s="607">
        <v>1.24</v>
      </c>
      <c r="Q252" s="579">
        <f t="shared" si="590"/>
        <v>0</v>
      </c>
      <c r="R252" s="498">
        <v>0</v>
      </c>
      <c r="S252" s="498">
        <v>0</v>
      </c>
      <c r="T252" s="498">
        <v>0</v>
      </c>
      <c r="U252" s="498">
        <f t="shared" si="481"/>
        <v>0</v>
      </c>
      <c r="V252" s="498">
        <v>0</v>
      </c>
      <c r="W252" s="498">
        <v>0</v>
      </c>
      <c r="X252" s="498">
        <v>0</v>
      </c>
      <c r="Y252" s="498">
        <f t="shared" si="482"/>
        <v>0</v>
      </c>
      <c r="Z252" s="498">
        <f t="shared" si="483"/>
        <v>0</v>
      </c>
      <c r="AA252" s="131">
        <f t="shared" si="591"/>
        <v>0</v>
      </c>
      <c r="AB252" s="131">
        <f t="shared" si="484"/>
        <v>0</v>
      </c>
      <c r="AC252" s="498">
        <v>0</v>
      </c>
      <c r="AD252" s="498">
        <v>0</v>
      </c>
      <c r="AE252" s="498">
        <f t="shared" si="485"/>
        <v>0</v>
      </c>
      <c r="AF252" s="498">
        <f t="shared" si="486"/>
        <v>0</v>
      </c>
      <c r="AG252" s="499">
        <v>0</v>
      </c>
      <c r="AH252" s="499">
        <v>0</v>
      </c>
      <c r="AI252" s="499">
        <v>0</v>
      </c>
      <c r="AJ252" s="499">
        <v>0</v>
      </c>
      <c r="AK252" s="499">
        <v>0</v>
      </c>
      <c r="AL252" s="499">
        <f t="shared" si="487"/>
        <v>0</v>
      </c>
      <c r="AM252" s="499">
        <f t="shared" si="488"/>
        <v>0</v>
      </c>
      <c r="AN252" s="500">
        <f t="shared" si="489"/>
        <v>0</v>
      </c>
      <c r="AO252" s="497">
        <f>I252+AF252</f>
        <v>496286</v>
      </c>
      <c r="AP252" s="498">
        <f>J252+U252</f>
        <v>363959</v>
      </c>
      <c r="AQ252" s="498">
        <f t="shared" si="592"/>
        <v>0</v>
      </c>
      <c r="AR252" s="498">
        <f>K252+AA252</f>
        <v>123018</v>
      </c>
      <c r="AS252" s="498">
        <f>L252+AB252</f>
        <v>7279</v>
      </c>
      <c r="AT252" s="498">
        <f>M252+AE252</f>
        <v>2030</v>
      </c>
      <c r="AU252" s="499">
        <f>N252+AN252</f>
        <v>1.24</v>
      </c>
      <c r="AV252" s="499">
        <f>O252+AL252</f>
        <v>0</v>
      </c>
      <c r="AW252" s="500">
        <f>P252+AM252</f>
        <v>1.24</v>
      </c>
    </row>
    <row r="253" spans="1:49" s="569" customFormat="1" ht="12.75" customHeight="1" x14ac:dyDescent="0.2">
      <c r="A253" s="302">
        <v>45</v>
      </c>
      <c r="B253" s="32">
        <v>4426</v>
      </c>
      <c r="C253" s="32">
        <v>600074129</v>
      </c>
      <c r="D253" s="32">
        <v>72742160</v>
      </c>
      <c r="E253" s="311" t="s">
        <v>238</v>
      </c>
      <c r="F253" s="32"/>
      <c r="G253" s="301"/>
      <c r="H253" s="454"/>
      <c r="I253" s="6">
        <f t="shared" ref="I253:P253" si="593">SUM(I251:I252)</f>
        <v>3794194</v>
      </c>
      <c r="J253" s="10">
        <f t="shared" si="593"/>
        <v>2780865</v>
      </c>
      <c r="K253" s="10">
        <f t="shared" si="593"/>
        <v>939932</v>
      </c>
      <c r="L253" s="10">
        <f t="shared" si="593"/>
        <v>55617</v>
      </c>
      <c r="M253" s="10">
        <f t="shared" si="593"/>
        <v>17780</v>
      </c>
      <c r="N253" s="11">
        <f t="shared" si="593"/>
        <v>6.8878000000000004</v>
      </c>
      <c r="O253" s="11">
        <f t="shared" si="593"/>
        <v>4.258</v>
      </c>
      <c r="P253" s="38">
        <f t="shared" si="593"/>
        <v>2.6297999999999999</v>
      </c>
      <c r="Q253" s="6">
        <f t="shared" ref="Q253:AW253" si="594">SUM(Q251:Q252)</f>
        <v>0</v>
      </c>
      <c r="R253" s="10">
        <f t="shared" si="594"/>
        <v>0</v>
      </c>
      <c r="S253" s="10">
        <f t="shared" si="594"/>
        <v>0</v>
      </c>
      <c r="T253" s="10">
        <f t="shared" si="594"/>
        <v>0</v>
      </c>
      <c r="U253" s="10">
        <f t="shared" si="594"/>
        <v>0</v>
      </c>
      <c r="V253" s="10">
        <f t="shared" si="594"/>
        <v>0</v>
      </c>
      <c r="W253" s="10">
        <f t="shared" si="594"/>
        <v>0</v>
      </c>
      <c r="X253" s="10">
        <f t="shared" si="594"/>
        <v>0</v>
      </c>
      <c r="Y253" s="10">
        <f t="shared" si="594"/>
        <v>0</v>
      </c>
      <c r="Z253" s="10">
        <f t="shared" si="594"/>
        <v>0</v>
      </c>
      <c r="AA253" s="10">
        <f t="shared" si="594"/>
        <v>0</v>
      </c>
      <c r="AB253" s="10">
        <f t="shared" si="594"/>
        <v>0</v>
      </c>
      <c r="AC253" s="10">
        <f t="shared" si="594"/>
        <v>0</v>
      </c>
      <c r="AD253" s="10">
        <f t="shared" si="594"/>
        <v>0</v>
      </c>
      <c r="AE253" s="10">
        <f t="shared" si="594"/>
        <v>0</v>
      </c>
      <c r="AF253" s="10">
        <f t="shared" si="594"/>
        <v>0</v>
      </c>
      <c r="AG253" s="11">
        <f t="shared" si="594"/>
        <v>0</v>
      </c>
      <c r="AH253" s="11">
        <f t="shared" si="594"/>
        <v>0</v>
      </c>
      <c r="AI253" s="11">
        <f t="shared" si="594"/>
        <v>0</v>
      </c>
      <c r="AJ253" s="11">
        <f t="shared" si="594"/>
        <v>0</v>
      </c>
      <c r="AK253" s="11">
        <f t="shared" si="594"/>
        <v>0</v>
      </c>
      <c r="AL253" s="11">
        <f t="shared" si="594"/>
        <v>0</v>
      </c>
      <c r="AM253" s="11">
        <f t="shared" si="594"/>
        <v>0</v>
      </c>
      <c r="AN253" s="93">
        <f t="shared" si="594"/>
        <v>0</v>
      </c>
      <c r="AO253" s="296">
        <f t="shared" si="594"/>
        <v>3794194</v>
      </c>
      <c r="AP253" s="10">
        <f t="shared" si="594"/>
        <v>2780865</v>
      </c>
      <c r="AQ253" s="10">
        <f t="shared" si="594"/>
        <v>0</v>
      </c>
      <c r="AR253" s="10">
        <f t="shared" si="594"/>
        <v>939932</v>
      </c>
      <c r="AS253" s="10">
        <f t="shared" si="594"/>
        <v>55617</v>
      </c>
      <c r="AT253" s="10">
        <f t="shared" si="594"/>
        <v>17780</v>
      </c>
      <c r="AU253" s="11">
        <f t="shared" si="594"/>
        <v>6.8878000000000004</v>
      </c>
      <c r="AV253" s="11">
        <f t="shared" si="594"/>
        <v>4.258</v>
      </c>
      <c r="AW253" s="93">
        <f t="shared" si="594"/>
        <v>2.6297999999999999</v>
      </c>
    </row>
    <row r="254" spans="1:49" s="569" customFormat="1" ht="12.75" customHeight="1" x14ac:dyDescent="0.2">
      <c r="A254" s="531">
        <v>46</v>
      </c>
      <c r="B254" s="532">
        <v>4461</v>
      </c>
      <c r="C254" s="532">
        <v>600074765</v>
      </c>
      <c r="D254" s="532">
        <v>46750088</v>
      </c>
      <c r="E254" s="530" t="s">
        <v>239</v>
      </c>
      <c r="F254" s="532">
        <v>3111</v>
      </c>
      <c r="G254" s="533" t="s">
        <v>317</v>
      </c>
      <c r="H254" s="534" t="s">
        <v>283</v>
      </c>
      <c r="I254" s="575">
        <f t="shared" ref="I254:I258" si="595">SUM(J254:M254)</f>
        <v>8989194</v>
      </c>
      <c r="J254" s="496">
        <v>6572381</v>
      </c>
      <c r="K254" s="131">
        <f t="shared" ref="K254:K256" si="596">ROUND((J254)*33.8%,0)</f>
        <v>2221465</v>
      </c>
      <c r="L254" s="131">
        <f t="shared" ref="L254:L256" si="597">ROUND(J254*2%,0)</f>
        <v>131448</v>
      </c>
      <c r="M254" s="496">
        <v>63900</v>
      </c>
      <c r="N254" s="576">
        <f t="shared" ref="N254:N259" si="598">SUM(O254:P254)</f>
        <v>14.739000000000001</v>
      </c>
      <c r="O254" s="577">
        <v>11.673500000000001</v>
      </c>
      <c r="P254" s="607">
        <v>3.0655000000000001</v>
      </c>
      <c r="Q254" s="579">
        <f t="shared" ref="Q254:Q259" si="599">V254*-1</f>
        <v>0</v>
      </c>
      <c r="R254" s="498">
        <v>0</v>
      </c>
      <c r="S254" s="498">
        <v>0</v>
      </c>
      <c r="T254" s="498">
        <v>0</v>
      </c>
      <c r="U254" s="498">
        <f t="shared" si="481"/>
        <v>0</v>
      </c>
      <c r="V254" s="498">
        <v>0</v>
      </c>
      <c r="W254" s="498">
        <v>0</v>
      </c>
      <c r="X254" s="498">
        <v>0</v>
      </c>
      <c r="Y254" s="498">
        <f t="shared" si="482"/>
        <v>0</v>
      </c>
      <c r="Z254" s="498">
        <f t="shared" si="483"/>
        <v>0</v>
      </c>
      <c r="AA254" s="131">
        <f t="shared" ref="AA254:AA259" si="600">ROUND((U254+V254+W254)*33.8%,0)</f>
        <v>0</v>
      </c>
      <c r="AB254" s="131">
        <f t="shared" si="484"/>
        <v>0</v>
      </c>
      <c r="AC254" s="498">
        <v>0</v>
      </c>
      <c r="AD254" s="498">
        <v>0</v>
      </c>
      <c r="AE254" s="498">
        <f t="shared" si="485"/>
        <v>0</v>
      </c>
      <c r="AF254" s="498">
        <f t="shared" si="486"/>
        <v>0</v>
      </c>
      <c r="AG254" s="499">
        <v>0</v>
      </c>
      <c r="AH254" s="499">
        <v>0</v>
      </c>
      <c r="AI254" s="499">
        <v>0</v>
      </c>
      <c r="AJ254" s="499">
        <v>0</v>
      </c>
      <c r="AK254" s="499">
        <v>0</v>
      </c>
      <c r="AL254" s="499">
        <f t="shared" si="487"/>
        <v>0</v>
      </c>
      <c r="AM254" s="499">
        <f t="shared" si="488"/>
        <v>0</v>
      </c>
      <c r="AN254" s="500">
        <f t="shared" si="489"/>
        <v>0</v>
      </c>
      <c r="AO254" s="497">
        <f t="shared" ref="AO254:AO259" si="601">I254+AF254</f>
        <v>8989194</v>
      </c>
      <c r="AP254" s="498">
        <f t="shared" ref="AP254:AP259" si="602">J254+U254</f>
        <v>6572381</v>
      </c>
      <c r="AQ254" s="498">
        <f t="shared" ref="AQ254:AQ259" si="603">Y254</f>
        <v>0</v>
      </c>
      <c r="AR254" s="498">
        <f t="shared" ref="AR254:AS259" si="604">K254+AA254</f>
        <v>2221465</v>
      </c>
      <c r="AS254" s="498">
        <f t="shared" si="604"/>
        <v>131448</v>
      </c>
      <c r="AT254" s="498">
        <f t="shared" ref="AT254:AT259" si="605">M254+AE254</f>
        <v>63900</v>
      </c>
      <c r="AU254" s="499">
        <f t="shared" ref="AU254:AU259" si="606">N254+AN254</f>
        <v>14.739000000000001</v>
      </c>
      <c r="AV254" s="499">
        <f t="shared" ref="AV254:AW259" si="607">O254+AL254</f>
        <v>11.673500000000001</v>
      </c>
      <c r="AW254" s="500">
        <f t="shared" si="607"/>
        <v>3.0655000000000001</v>
      </c>
    </row>
    <row r="255" spans="1:49" s="569" customFormat="1" ht="12.75" customHeight="1" x14ac:dyDescent="0.2">
      <c r="A255" s="531">
        <v>46</v>
      </c>
      <c r="B255" s="532">
        <v>4461</v>
      </c>
      <c r="C255" s="532">
        <v>600074765</v>
      </c>
      <c r="D255" s="532">
        <v>46750088</v>
      </c>
      <c r="E255" s="530" t="s">
        <v>239</v>
      </c>
      <c r="F255" s="532">
        <v>3113</v>
      </c>
      <c r="G255" s="533" t="s">
        <v>320</v>
      </c>
      <c r="H255" s="534" t="s">
        <v>283</v>
      </c>
      <c r="I255" s="575">
        <f t="shared" si="595"/>
        <v>24380553</v>
      </c>
      <c r="J255" s="496">
        <v>17536644</v>
      </c>
      <c r="K255" s="131">
        <f t="shared" si="596"/>
        <v>5927386</v>
      </c>
      <c r="L255" s="131">
        <f t="shared" si="597"/>
        <v>350733</v>
      </c>
      <c r="M255" s="496">
        <v>565790</v>
      </c>
      <c r="N255" s="576">
        <f t="shared" si="598"/>
        <v>33.478499999999997</v>
      </c>
      <c r="O255" s="577">
        <v>25.2727</v>
      </c>
      <c r="P255" s="607">
        <v>8.2058</v>
      </c>
      <c r="Q255" s="579">
        <f t="shared" si="599"/>
        <v>-163200</v>
      </c>
      <c r="R255" s="498">
        <v>0</v>
      </c>
      <c r="S255" s="498">
        <v>0</v>
      </c>
      <c r="T255" s="498">
        <v>0</v>
      </c>
      <c r="U255" s="498">
        <f t="shared" si="481"/>
        <v>-163200</v>
      </c>
      <c r="V255" s="498">
        <v>163200</v>
      </c>
      <c r="W255" s="498">
        <v>0</v>
      </c>
      <c r="X255" s="498">
        <v>0</v>
      </c>
      <c r="Y255" s="498">
        <f t="shared" si="482"/>
        <v>163200</v>
      </c>
      <c r="Z255" s="498">
        <f t="shared" si="483"/>
        <v>0</v>
      </c>
      <c r="AA255" s="131">
        <f t="shared" si="600"/>
        <v>0</v>
      </c>
      <c r="AB255" s="131">
        <f t="shared" si="484"/>
        <v>-3264</v>
      </c>
      <c r="AC255" s="498">
        <v>0</v>
      </c>
      <c r="AD255" s="498">
        <v>0</v>
      </c>
      <c r="AE255" s="498">
        <f t="shared" si="485"/>
        <v>0</v>
      </c>
      <c r="AF255" s="498">
        <f t="shared" si="486"/>
        <v>-3264</v>
      </c>
      <c r="AG255" s="499">
        <v>0</v>
      </c>
      <c r="AH255" s="499">
        <v>-0.83</v>
      </c>
      <c r="AI255" s="499">
        <v>0</v>
      </c>
      <c r="AJ255" s="499">
        <v>0</v>
      </c>
      <c r="AK255" s="499">
        <v>0</v>
      </c>
      <c r="AL255" s="499">
        <f t="shared" si="487"/>
        <v>0</v>
      </c>
      <c r="AM255" s="499">
        <f t="shared" si="488"/>
        <v>-0.83</v>
      </c>
      <c r="AN255" s="500">
        <f t="shared" si="489"/>
        <v>-0.83</v>
      </c>
      <c r="AO255" s="497">
        <f t="shared" si="601"/>
        <v>24377289</v>
      </c>
      <c r="AP255" s="498">
        <f t="shared" si="602"/>
        <v>17373444</v>
      </c>
      <c r="AQ255" s="498">
        <f t="shared" si="603"/>
        <v>163200</v>
      </c>
      <c r="AR255" s="498">
        <f t="shared" si="604"/>
        <v>5927386</v>
      </c>
      <c r="AS255" s="498">
        <f t="shared" si="604"/>
        <v>347469</v>
      </c>
      <c r="AT255" s="498">
        <f t="shared" si="605"/>
        <v>565790</v>
      </c>
      <c r="AU255" s="499">
        <f t="shared" si="606"/>
        <v>32.648499999999999</v>
      </c>
      <c r="AV255" s="499">
        <f t="shared" si="607"/>
        <v>25.2727</v>
      </c>
      <c r="AW255" s="500">
        <f t="shared" si="607"/>
        <v>7.3757999999999999</v>
      </c>
    </row>
    <row r="256" spans="1:49" s="569" customFormat="1" ht="12.75" customHeight="1" x14ac:dyDescent="0.2">
      <c r="A256" s="531">
        <v>46</v>
      </c>
      <c r="B256" s="532">
        <v>4461</v>
      </c>
      <c r="C256" s="532">
        <v>600074765</v>
      </c>
      <c r="D256" s="532">
        <v>46750088</v>
      </c>
      <c r="E256" s="530" t="s">
        <v>239</v>
      </c>
      <c r="F256" s="532">
        <v>3113</v>
      </c>
      <c r="G256" s="533" t="s">
        <v>318</v>
      </c>
      <c r="H256" s="534" t="s">
        <v>284</v>
      </c>
      <c r="I256" s="575">
        <f t="shared" si="595"/>
        <v>0</v>
      </c>
      <c r="J256" s="496">
        <v>0</v>
      </c>
      <c r="K256" s="131">
        <f t="shared" si="596"/>
        <v>0</v>
      </c>
      <c r="L256" s="131">
        <f t="shared" si="597"/>
        <v>0</v>
      </c>
      <c r="M256" s="496">
        <v>0</v>
      </c>
      <c r="N256" s="576">
        <f t="shared" si="598"/>
        <v>0</v>
      </c>
      <c r="O256" s="577">
        <v>0</v>
      </c>
      <c r="P256" s="607">
        <v>0</v>
      </c>
      <c r="Q256" s="579">
        <f t="shared" si="599"/>
        <v>0</v>
      </c>
      <c r="R256" s="496">
        <f>1212553+129917</f>
        <v>1342470</v>
      </c>
      <c r="S256" s="498">
        <v>0</v>
      </c>
      <c r="T256" s="498">
        <v>0</v>
      </c>
      <c r="U256" s="498">
        <f t="shared" si="481"/>
        <v>1342470</v>
      </c>
      <c r="V256" s="498">
        <v>0</v>
      </c>
      <c r="W256" s="498">
        <v>0</v>
      </c>
      <c r="X256" s="498">
        <v>0</v>
      </c>
      <c r="Y256" s="498">
        <f t="shared" si="482"/>
        <v>0</v>
      </c>
      <c r="Z256" s="498">
        <f t="shared" si="483"/>
        <v>1342470</v>
      </c>
      <c r="AA256" s="131">
        <f t="shared" si="600"/>
        <v>453755</v>
      </c>
      <c r="AB256" s="131">
        <f t="shared" si="484"/>
        <v>26849</v>
      </c>
      <c r="AC256" s="498">
        <v>2750</v>
      </c>
      <c r="AD256" s="498">
        <v>0</v>
      </c>
      <c r="AE256" s="498">
        <f t="shared" si="485"/>
        <v>2750</v>
      </c>
      <c r="AF256" s="498">
        <f t="shared" si="486"/>
        <v>1825824</v>
      </c>
      <c r="AG256" s="499">
        <v>0</v>
      </c>
      <c r="AH256" s="499">
        <v>0</v>
      </c>
      <c r="AI256" s="499">
        <f>3.5+0.38</f>
        <v>3.88</v>
      </c>
      <c r="AJ256" s="499">
        <v>0</v>
      </c>
      <c r="AK256" s="499">
        <v>0</v>
      </c>
      <c r="AL256" s="499">
        <f t="shared" si="487"/>
        <v>3.88</v>
      </c>
      <c r="AM256" s="499">
        <f t="shared" si="488"/>
        <v>0</v>
      </c>
      <c r="AN256" s="500">
        <f t="shared" si="489"/>
        <v>3.88</v>
      </c>
      <c r="AO256" s="497">
        <f t="shared" si="601"/>
        <v>1825824</v>
      </c>
      <c r="AP256" s="498">
        <f t="shared" si="602"/>
        <v>1342470</v>
      </c>
      <c r="AQ256" s="498">
        <f t="shared" si="603"/>
        <v>0</v>
      </c>
      <c r="AR256" s="498">
        <f t="shared" si="604"/>
        <v>453755</v>
      </c>
      <c r="AS256" s="498">
        <f t="shared" si="604"/>
        <v>26849</v>
      </c>
      <c r="AT256" s="498">
        <f t="shared" si="605"/>
        <v>2750</v>
      </c>
      <c r="AU256" s="499">
        <f t="shared" si="606"/>
        <v>3.88</v>
      </c>
      <c r="AV256" s="499">
        <f t="shared" si="607"/>
        <v>3.88</v>
      </c>
      <c r="AW256" s="500">
        <f t="shared" si="607"/>
        <v>0</v>
      </c>
    </row>
    <row r="257" spans="1:49" s="569" customFormat="1" ht="12.75" customHeight="1" x14ac:dyDescent="0.2">
      <c r="A257" s="531">
        <v>46</v>
      </c>
      <c r="B257" s="532">
        <v>4461</v>
      </c>
      <c r="C257" s="532">
        <v>600074765</v>
      </c>
      <c r="D257" s="532">
        <v>46750088</v>
      </c>
      <c r="E257" s="524" t="s">
        <v>239</v>
      </c>
      <c r="F257" s="532">
        <v>3141</v>
      </c>
      <c r="G257" s="533" t="s">
        <v>321</v>
      </c>
      <c r="H257" s="534" t="s">
        <v>284</v>
      </c>
      <c r="I257" s="575">
        <f t="shared" si="595"/>
        <v>2999414</v>
      </c>
      <c r="J257" s="496">
        <v>2190331</v>
      </c>
      <c r="K257" s="131">
        <f>ROUND((J257)*33.8%,0)</f>
        <v>740332</v>
      </c>
      <c r="L257" s="131">
        <f>ROUND(J257*2%,0)</f>
        <v>43807</v>
      </c>
      <c r="M257" s="496">
        <v>24944</v>
      </c>
      <c r="N257" s="576">
        <f t="shared" si="598"/>
        <v>7.45</v>
      </c>
      <c r="O257" s="577">
        <v>0</v>
      </c>
      <c r="P257" s="607">
        <v>7.45</v>
      </c>
      <c r="Q257" s="579">
        <f t="shared" si="599"/>
        <v>-16000</v>
      </c>
      <c r="R257" s="498">
        <v>0</v>
      </c>
      <c r="S257" s="498">
        <v>0</v>
      </c>
      <c r="T257" s="498">
        <v>0</v>
      </c>
      <c r="U257" s="498">
        <f t="shared" si="481"/>
        <v>-16000</v>
      </c>
      <c r="V257" s="498">
        <v>16000</v>
      </c>
      <c r="W257" s="498">
        <v>0</v>
      </c>
      <c r="X257" s="498">
        <v>0</v>
      </c>
      <c r="Y257" s="498">
        <f t="shared" si="482"/>
        <v>16000</v>
      </c>
      <c r="Z257" s="498">
        <f t="shared" si="483"/>
        <v>0</v>
      </c>
      <c r="AA257" s="131">
        <f t="shared" si="600"/>
        <v>0</v>
      </c>
      <c r="AB257" s="131">
        <f t="shared" si="484"/>
        <v>-320</v>
      </c>
      <c r="AC257" s="498">
        <v>0</v>
      </c>
      <c r="AD257" s="498">
        <v>0</v>
      </c>
      <c r="AE257" s="498">
        <f t="shared" si="485"/>
        <v>0</v>
      </c>
      <c r="AF257" s="498">
        <f t="shared" si="486"/>
        <v>-320</v>
      </c>
      <c r="AG257" s="499">
        <v>0</v>
      </c>
      <c r="AH257" s="499">
        <v>0</v>
      </c>
      <c r="AI257" s="499">
        <v>0</v>
      </c>
      <c r="AJ257" s="499">
        <v>0</v>
      </c>
      <c r="AK257" s="499">
        <v>0</v>
      </c>
      <c r="AL257" s="499">
        <f t="shared" si="487"/>
        <v>0</v>
      </c>
      <c r="AM257" s="499">
        <f t="shared" si="488"/>
        <v>0</v>
      </c>
      <c r="AN257" s="500">
        <f t="shared" si="489"/>
        <v>0</v>
      </c>
      <c r="AO257" s="497">
        <f t="shared" si="601"/>
        <v>2999094</v>
      </c>
      <c r="AP257" s="498">
        <f t="shared" si="602"/>
        <v>2174331</v>
      </c>
      <c r="AQ257" s="498">
        <f t="shared" si="603"/>
        <v>16000</v>
      </c>
      <c r="AR257" s="498">
        <f t="shared" si="604"/>
        <v>740332</v>
      </c>
      <c r="AS257" s="498">
        <f t="shared" si="604"/>
        <v>43487</v>
      </c>
      <c r="AT257" s="498">
        <f t="shared" si="605"/>
        <v>24944</v>
      </c>
      <c r="AU257" s="499">
        <f t="shared" si="606"/>
        <v>7.45</v>
      </c>
      <c r="AV257" s="499">
        <f t="shared" si="607"/>
        <v>0</v>
      </c>
      <c r="AW257" s="500">
        <f t="shared" si="607"/>
        <v>7.45</v>
      </c>
    </row>
    <row r="258" spans="1:49" s="569" customFormat="1" ht="12.75" customHeight="1" x14ac:dyDescent="0.2">
      <c r="A258" s="531">
        <v>46</v>
      </c>
      <c r="B258" s="532">
        <v>4461</v>
      </c>
      <c r="C258" s="532">
        <v>600074765</v>
      </c>
      <c r="D258" s="532">
        <v>46750088</v>
      </c>
      <c r="E258" s="530" t="s">
        <v>239</v>
      </c>
      <c r="F258" s="532">
        <v>3143</v>
      </c>
      <c r="G258" s="533" t="s">
        <v>635</v>
      </c>
      <c r="H258" s="574" t="s">
        <v>283</v>
      </c>
      <c r="I258" s="575">
        <f t="shared" si="595"/>
        <v>1929675</v>
      </c>
      <c r="J258" s="496">
        <v>1420969</v>
      </c>
      <c r="K258" s="131">
        <v>480287</v>
      </c>
      <c r="L258" s="131">
        <f t="shared" ref="L258:L259" si="608">ROUND(J258*2%,0)</f>
        <v>28419</v>
      </c>
      <c r="M258" s="496"/>
      <c r="N258" s="576">
        <f t="shared" si="598"/>
        <v>3.2321</v>
      </c>
      <c r="O258" s="577">
        <v>3.2321</v>
      </c>
      <c r="P258" s="607">
        <v>0</v>
      </c>
      <c r="Q258" s="579">
        <f t="shared" si="599"/>
        <v>-20800</v>
      </c>
      <c r="R258" s="498">
        <v>0</v>
      </c>
      <c r="S258" s="498">
        <v>0</v>
      </c>
      <c r="T258" s="498">
        <v>0</v>
      </c>
      <c r="U258" s="498">
        <f t="shared" si="481"/>
        <v>-20800</v>
      </c>
      <c r="V258" s="498">
        <v>20800</v>
      </c>
      <c r="W258" s="498">
        <v>0</v>
      </c>
      <c r="X258" s="498">
        <v>0</v>
      </c>
      <c r="Y258" s="498">
        <f t="shared" si="482"/>
        <v>20800</v>
      </c>
      <c r="Z258" s="498">
        <f t="shared" si="483"/>
        <v>0</v>
      </c>
      <c r="AA258" s="131">
        <f t="shared" si="600"/>
        <v>0</v>
      </c>
      <c r="AB258" s="131">
        <f t="shared" si="484"/>
        <v>-416</v>
      </c>
      <c r="AC258" s="498">
        <v>0</v>
      </c>
      <c r="AD258" s="498">
        <v>0</v>
      </c>
      <c r="AE258" s="498">
        <f t="shared" si="485"/>
        <v>0</v>
      </c>
      <c r="AF258" s="498">
        <f t="shared" si="486"/>
        <v>-416</v>
      </c>
      <c r="AG258" s="499">
        <v>0</v>
      </c>
      <c r="AH258" s="499">
        <v>0</v>
      </c>
      <c r="AI258" s="499">
        <v>0</v>
      </c>
      <c r="AJ258" s="499">
        <v>0</v>
      </c>
      <c r="AK258" s="499">
        <v>0</v>
      </c>
      <c r="AL258" s="499">
        <f t="shared" si="487"/>
        <v>0</v>
      </c>
      <c r="AM258" s="499">
        <f t="shared" si="488"/>
        <v>0</v>
      </c>
      <c r="AN258" s="500">
        <f t="shared" si="489"/>
        <v>0</v>
      </c>
      <c r="AO258" s="497">
        <f t="shared" si="601"/>
        <v>1929259</v>
      </c>
      <c r="AP258" s="498">
        <f t="shared" si="602"/>
        <v>1400169</v>
      </c>
      <c r="AQ258" s="498">
        <f t="shared" si="603"/>
        <v>20800</v>
      </c>
      <c r="AR258" s="498">
        <f t="shared" si="604"/>
        <v>480287</v>
      </c>
      <c r="AS258" s="498">
        <f t="shared" si="604"/>
        <v>28003</v>
      </c>
      <c r="AT258" s="498">
        <f t="shared" si="605"/>
        <v>0</v>
      </c>
      <c r="AU258" s="499">
        <f t="shared" si="606"/>
        <v>3.2321</v>
      </c>
      <c r="AV258" s="499">
        <f t="shared" si="607"/>
        <v>3.2321</v>
      </c>
      <c r="AW258" s="500">
        <f t="shared" si="607"/>
        <v>0</v>
      </c>
    </row>
    <row r="259" spans="1:49" s="569" customFormat="1" ht="12.75" customHeight="1" x14ac:dyDescent="0.2">
      <c r="A259" s="531">
        <v>46</v>
      </c>
      <c r="B259" s="532">
        <v>4461</v>
      </c>
      <c r="C259" s="532">
        <v>600074765</v>
      </c>
      <c r="D259" s="532">
        <v>46750088</v>
      </c>
      <c r="E259" s="530" t="s">
        <v>239</v>
      </c>
      <c r="F259" s="532">
        <v>3143</v>
      </c>
      <c r="G259" s="533" t="s">
        <v>636</v>
      </c>
      <c r="H259" s="574" t="s">
        <v>284</v>
      </c>
      <c r="I259" s="575">
        <f>SUM(J259:M259)</f>
        <v>73030</v>
      </c>
      <c r="J259" s="496">
        <v>51480</v>
      </c>
      <c r="K259" s="131">
        <f t="shared" ref="K259" si="609">ROUND((J259)*33.8%,0)</f>
        <v>17400</v>
      </c>
      <c r="L259" s="131">
        <f t="shared" si="608"/>
        <v>1030</v>
      </c>
      <c r="M259" s="496">
        <v>3120</v>
      </c>
      <c r="N259" s="576">
        <f t="shared" si="598"/>
        <v>0.22</v>
      </c>
      <c r="O259" s="577">
        <v>0</v>
      </c>
      <c r="P259" s="607">
        <v>0.22</v>
      </c>
      <c r="Q259" s="579">
        <f t="shared" si="599"/>
        <v>0</v>
      </c>
      <c r="R259" s="498">
        <v>0</v>
      </c>
      <c r="S259" s="498">
        <v>0</v>
      </c>
      <c r="T259" s="498">
        <v>0</v>
      </c>
      <c r="U259" s="498">
        <f t="shared" si="481"/>
        <v>0</v>
      </c>
      <c r="V259" s="498">
        <v>0</v>
      </c>
      <c r="W259" s="498">
        <v>0</v>
      </c>
      <c r="X259" s="498">
        <v>0</v>
      </c>
      <c r="Y259" s="498">
        <f t="shared" si="482"/>
        <v>0</v>
      </c>
      <c r="Z259" s="498">
        <f t="shared" si="483"/>
        <v>0</v>
      </c>
      <c r="AA259" s="131">
        <f t="shared" si="600"/>
        <v>0</v>
      </c>
      <c r="AB259" s="131">
        <f t="shared" si="484"/>
        <v>0</v>
      </c>
      <c r="AC259" s="498">
        <v>0</v>
      </c>
      <c r="AD259" s="498">
        <v>0</v>
      </c>
      <c r="AE259" s="498">
        <f t="shared" si="485"/>
        <v>0</v>
      </c>
      <c r="AF259" s="498">
        <f t="shared" si="486"/>
        <v>0</v>
      </c>
      <c r="AG259" s="499">
        <v>0</v>
      </c>
      <c r="AH259" s="499">
        <v>0</v>
      </c>
      <c r="AI259" s="499">
        <v>0</v>
      </c>
      <c r="AJ259" s="499">
        <v>0</v>
      </c>
      <c r="AK259" s="499">
        <v>0</v>
      </c>
      <c r="AL259" s="499">
        <f t="shared" si="487"/>
        <v>0</v>
      </c>
      <c r="AM259" s="499">
        <f t="shared" si="488"/>
        <v>0</v>
      </c>
      <c r="AN259" s="500">
        <f t="shared" si="489"/>
        <v>0</v>
      </c>
      <c r="AO259" s="497">
        <f t="shared" si="601"/>
        <v>73030</v>
      </c>
      <c r="AP259" s="498">
        <f t="shared" si="602"/>
        <v>51480</v>
      </c>
      <c r="AQ259" s="498">
        <f t="shared" si="603"/>
        <v>0</v>
      </c>
      <c r="AR259" s="498">
        <f t="shared" si="604"/>
        <v>17400</v>
      </c>
      <c r="AS259" s="498">
        <f t="shared" si="604"/>
        <v>1030</v>
      </c>
      <c r="AT259" s="498">
        <f t="shared" si="605"/>
        <v>3120</v>
      </c>
      <c r="AU259" s="499">
        <f t="shared" si="606"/>
        <v>0.22</v>
      </c>
      <c r="AV259" s="499">
        <f t="shared" si="607"/>
        <v>0</v>
      </c>
      <c r="AW259" s="500">
        <f t="shared" si="607"/>
        <v>0.22</v>
      </c>
    </row>
    <row r="260" spans="1:49" s="569" customFormat="1" ht="12.75" customHeight="1" x14ac:dyDescent="0.2">
      <c r="A260" s="302">
        <v>46</v>
      </c>
      <c r="B260" s="32">
        <v>4461</v>
      </c>
      <c r="C260" s="32">
        <v>600074765</v>
      </c>
      <c r="D260" s="32">
        <v>46750088</v>
      </c>
      <c r="E260" s="311" t="s">
        <v>240</v>
      </c>
      <c r="F260" s="32"/>
      <c r="G260" s="301"/>
      <c r="H260" s="454"/>
      <c r="I260" s="5">
        <f t="shared" ref="I260:P260" si="610">SUM(I254:I259)</f>
        <v>38371866</v>
      </c>
      <c r="J260" s="8">
        <f t="shared" si="610"/>
        <v>27771805</v>
      </c>
      <c r="K260" s="8">
        <f t="shared" si="610"/>
        <v>9386870</v>
      </c>
      <c r="L260" s="8">
        <f t="shared" si="610"/>
        <v>555437</v>
      </c>
      <c r="M260" s="8">
        <f t="shared" si="610"/>
        <v>657754</v>
      </c>
      <c r="N260" s="9">
        <f t="shared" si="610"/>
        <v>59.119600000000005</v>
      </c>
      <c r="O260" s="9">
        <f t="shared" si="610"/>
        <v>40.178300000000007</v>
      </c>
      <c r="P260" s="39">
        <f t="shared" si="610"/>
        <v>18.941299999999998</v>
      </c>
      <c r="Q260" s="5">
        <f t="shared" ref="Q260:AW260" si="611">SUM(Q254:Q259)</f>
        <v>-200000</v>
      </c>
      <c r="R260" s="8">
        <f t="shared" si="611"/>
        <v>1342470</v>
      </c>
      <c r="S260" s="8">
        <f t="shared" si="611"/>
        <v>0</v>
      </c>
      <c r="T260" s="8">
        <f t="shared" si="611"/>
        <v>0</v>
      </c>
      <c r="U260" s="8">
        <f t="shared" si="611"/>
        <v>1142470</v>
      </c>
      <c r="V260" s="8">
        <f t="shared" si="611"/>
        <v>200000</v>
      </c>
      <c r="W260" s="8">
        <f t="shared" si="611"/>
        <v>0</v>
      </c>
      <c r="X260" s="8">
        <f t="shared" si="611"/>
        <v>0</v>
      </c>
      <c r="Y260" s="8">
        <f t="shared" si="611"/>
        <v>200000</v>
      </c>
      <c r="Z260" s="8">
        <f t="shared" si="611"/>
        <v>1342470</v>
      </c>
      <c r="AA260" s="8">
        <f t="shared" si="611"/>
        <v>453755</v>
      </c>
      <c r="AB260" s="8">
        <f t="shared" si="611"/>
        <v>22849</v>
      </c>
      <c r="AC260" s="8">
        <f t="shared" si="611"/>
        <v>2750</v>
      </c>
      <c r="AD260" s="8">
        <f t="shared" si="611"/>
        <v>0</v>
      </c>
      <c r="AE260" s="8">
        <f t="shared" si="611"/>
        <v>2750</v>
      </c>
      <c r="AF260" s="8">
        <f t="shared" si="611"/>
        <v>1821824</v>
      </c>
      <c r="AG260" s="9">
        <f t="shared" si="611"/>
        <v>0</v>
      </c>
      <c r="AH260" s="9">
        <f t="shared" si="611"/>
        <v>-0.83</v>
      </c>
      <c r="AI260" s="9">
        <f t="shared" si="611"/>
        <v>3.88</v>
      </c>
      <c r="AJ260" s="9">
        <f t="shared" si="611"/>
        <v>0</v>
      </c>
      <c r="AK260" s="9">
        <f t="shared" si="611"/>
        <v>0</v>
      </c>
      <c r="AL260" s="9">
        <f t="shared" si="611"/>
        <v>3.88</v>
      </c>
      <c r="AM260" s="9">
        <f t="shared" si="611"/>
        <v>-0.83</v>
      </c>
      <c r="AN260" s="92">
        <f t="shared" si="611"/>
        <v>3.05</v>
      </c>
      <c r="AO260" s="295">
        <f t="shared" si="611"/>
        <v>40193690</v>
      </c>
      <c r="AP260" s="8">
        <f t="shared" si="611"/>
        <v>28914275</v>
      </c>
      <c r="AQ260" s="8">
        <f t="shared" si="611"/>
        <v>200000</v>
      </c>
      <c r="AR260" s="8">
        <f t="shared" si="611"/>
        <v>9840625</v>
      </c>
      <c r="AS260" s="8">
        <f t="shared" si="611"/>
        <v>578286</v>
      </c>
      <c r="AT260" s="8">
        <f t="shared" si="611"/>
        <v>660504</v>
      </c>
      <c r="AU260" s="9">
        <f t="shared" si="611"/>
        <v>62.16960000000001</v>
      </c>
      <c r="AV260" s="9">
        <f t="shared" si="611"/>
        <v>44.05830000000001</v>
      </c>
      <c r="AW260" s="92">
        <f t="shared" si="611"/>
        <v>18.1113</v>
      </c>
    </row>
    <row r="261" spans="1:49" s="569" customFormat="1" ht="12.75" customHeight="1" x14ac:dyDescent="0.2">
      <c r="A261" s="531">
        <v>47</v>
      </c>
      <c r="B261" s="532">
        <v>4427</v>
      </c>
      <c r="C261" s="532">
        <v>600074188</v>
      </c>
      <c r="D261" s="532">
        <v>70982678</v>
      </c>
      <c r="E261" s="530" t="s">
        <v>241</v>
      </c>
      <c r="F261" s="532">
        <v>3111</v>
      </c>
      <c r="G261" s="533" t="s">
        <v>317</v>
      </c>
      <c r="H261" s="534" t="s">
        <v>283</v>
      </c>
      <c r="I261" s="575">
        <f t="shared" ref="I261" si="612">SUM(J261:M261)</f>
        <v>3034938</v>
      </c>
      <c r="J261" s="496">
        <v>2225580</v>
      </c>
      <c r="K261" s="131">
        <f t="shared" ref="K261" si="613">ROUND((J261)*33.8%,0)</f>
        <v>752246</v>
      </c>
      <c r="L261" s="131">
        <f t="shared" ref="L261" si="614">ROUND(J261*2%,0)</f>
        <v>44512</v>
      </c>
      <c r="M261" s="496">
        <v>12600</v>
      </c>
      <c r="N261" s="576">
        <f t="shared" ref="N261:N262" si="615">SUM(O261:P261)</f>
        <v>5.3898000000000001</v>
      </c>
      <c r="O261" s="577">
        <v>4</v>
      </c>
      <c r="P261" s="607">
        <v>1.3897999999999999</v>
      </c>
      <c r="Q261" s="579">
        <f t="shared" ref="Q261:Q262" si="616">V261*-1</f>
        <v>-24000</v>
      </c>
      <c r="R261" s="498">
        <v>0</v>
      </c>
      <c r="S261" s="498">
        <v>0</v>
      </c>
      <c r="T261" s="498">
        <v>0</v>
      </c>
      <c r="U261" s="498">
        <f t="shared" si="481"/>
        <v>-24000</v>
      </c>
      <c r="V261" s="498">
        <v>24000</v>
      </c>
      <c r="W261" s="498">
        <v>0</v>
      </c>
      <c r="X261" s="498">
        <v>0</v>
      </c>
      <c r="Y261" s="498">
        <f t="shared" si="482"/>
        <v>24000</v>
      </c>
      <c r="Z261" s="498">
        <f t="shared" si="483"/>
        <v>0</v>
      </c>
      <c r="AA261" s="131">
        <f t="shared" ref="AA261:AA262" si="617">ROUND((U261+V261+W261)*33.8%,0)</f>
        <v>0</v>
      </c>
      <c r="AB261" s="131">
        <f t="shared" si="484"/>
        <v>-480</v>
      </c>
      <c r="AC261" s="498">
        <v>0</v>
      </c>
      <c r="AD261" s="498">
        <v>0</v>
      </c>
      <c r="AE261" s="498">
        <f t="shared" si="485"/>
        <v>0</v>
      </c>
      <c r="AF261" s="498">
        <f t="shared" si="486"/>
        <v>-480</v>
      </c>
      <c r="AG261" s="499">
        <v>0</v>
      </c>
      <c r="AH261" s="499">
        <v>-0.13</v>
      </c>
      <c r="AI261" s="499">
        <v>0</v>
      </c>
      <c r="AJ261" s="499">
        <v>0</v>
      </c>
      <c r="AK261" s="499">
        <v>0</v>
      </c>
      <c r="AL261" s="499">
        <f t="shared" si="487"/>
        <v>0</v>
      </c>
      <c r="AM261" s="499">
        <f t="shared" si="488"/>
        <v>-0.13</v>
      </c>
      <c r="AN261" s="500">
        <f t="shared" si="489"/>
        <v>-0.13</v>
      </c>
      <c r="AO261" s="497">
        <f>I261+AF261</f>
        <v>3034458</v>
      </c>
      <c r="AP261" s="498">
        <f>J261+U261</f>
        <v>2201580</v>
      </c>
      <c r="AQ261" s="498">
        <f t="shared" ref="AQ261:AQ262" si="618">Y261</f>
        <v>24000</v>
      </c>
      <c r="AR261" s="498">
        <f>K261+AA261</f>
        <v>752246</v>
      </c>
      <c r="AS261" s="498">
        <f>L261+AB261</f>
        <v>44032</v>
      </c>
      <c r="AT261" s="498">
        <f>M261+AE261</f>
        <v>12600</v>
      </c>
      <c r="AU261" s="499">
        <f>N261+AN261</f>
        <v>5.2598000000000003</v>
      </c>
      <c r="AV261" s="499">
        <f>O261+AL261</f>
        <v>4</v>
      </c>
      <c r="AW261" s="500">
        <f>P261+AM261</f>
        <v>1.2597999999999998</v>
      </c>
    </row>
    <row r="262" spans="1:49" s="569" customFormat="1" ht="12.75" customHeight="1" x14ac:dyDescent="0.2">
      <c r="A262" s="531">
        <v>47</v>
      </c>
      <c r="B262" s="532">
        <v>4427</v>
      </c>
      <c r="C262" s="532">
        <v>600074188</v>
      </c>
      <c r="D262" s="532">
        <v>70982678</v>
      </c>
      <c r="E262" s="530" t="s">
        <v>241</v>
      </c>
      <c r="F262" s="532">
        <v>3141</v>
      </c>
      <c r="G262" s="533" t="s">
        <v>321</v>
      </c>
      <c r="H262" s="534" t="s">
        <v>284</v>
      </c>
      <c r="I262" s="575">
        <f>SUM(J262:M262)</f>
        <v>432538</v>
      </c>
      <c r="J262" s="496">
        <v>317273</v>
      </c>
      <c r="K262" s="131">
        <f>ROUND((J262)*33.8%,0)</f>
        <v>107238</v>
      </c>
      <c r="L262" s="131">
        <f>ROUND(J262*2%,0)</f>
        <v>6345</v>
      </c>
      <c r="M262" s="496">
        <v>1682</v>
      </c>
      <c r="N262" s="576">
        <f t="shared" si="615"/>
        <v>1.08</v>
      </c>
      <c r="O262" s="577">
        <v>0</v>
      </c>
      <c r="P262" s="607">
        <v>1.08</v>
      </c>
      <c r="Q262" s="579">
        <f t="shared" si="616"/>
        <v>0</v>
      </c>
      <c r="R262" s="498">
        <v>0</v>
      </c>
      <c r="S262" s="498">
        <v>0</v>
      </c>
      <c r="T262" s="498">
        <v>0</v>
      </c>
      <c r="U262" s="498">
        <f t="shared" si="481"/>
        <v>0</v>
      </c>
      <c r="V262" s="498">
        <v>0</v>
      </c>
      <c r="W262" s="498">
        <v>0</v>
      </c>
      <c r="X262" s="498">
        <v>0</v>
      </c>
      <c r="Y262" s="498">
        <f t="shared" si="482"/>
        <v>0</v>
      </c>
      <c r="Z262" s="498">
        <f t="shared" si="483"/>
        <v>0</v>
      </c>
      <c r="AA262" s="131">
        <f t="shared" si="617"/>
        <v>0</v>
      </c>
      <c r="AB262" s="131">
        <f t="shared" si="484"/>
        <v>0</v>
      </c>
      <c r="AC262" s="498">
        <v>0</v>
      </c>
      <c r="AD262" s="498">
        <v>0</v>
      </c>
      <c r="AE262" s="498">
        <f t="shared" si="485"/>
        <v>0</v>
      </c>
      <c r="AF262" s="498">
        <f t="shared" si="486"/>
        <v>0</v>
      </c>
      <c r="AG262" s="499">
        <v>0</v>
      </c>
      <c r="AH262" s="499">
        <v>0</v>
      </c>
      <c r="AI262" s="499">
        <v>0</v>
      </c>
      <c r="AJ262" s="499">
        <v>0</v>
      </c>
      <c r="AK262" s="499">
        <v>0</v>
      </c>
      <c r="AL262" s="499">
        <f t="shared" si="487"/>
        <v>0</v>
      </c>
      <c r="AM262" s="499">
        <f t="shared" si="488"/>
        <v>0</v>
      </c>
      <c r="AN262" s="500">
        <f t="shared" si="489"/>
        <v>0</v>
      </c>
      <c r="AO262" s="497">
        <f>I262+AF262</f>
        <v>432538</v>
      </c>
      <c r="AP262" s="498">
        <f>J262+U262</f>
        <v>317273</v>
      </c>
      <c r="AQ262" s="498">
        <f t="shared" si="618"/>
        <v>0</v>
      </c>
      <c r="AR262" s="498">
        <f>K262+AA262</f>
        <v>107238</v>
      </c>
      <c r="AS262" s="498">
        <f>L262+AB262</f>
        <v>6345</v>
      </c>
      <c r="AT262" s="498">
        <f>M262+AE262</f>
        <v>1682</v>
      </c>
      <c r="AU262" s="499">
        <f>N262+AN262</f>
        <v>1.08</v>
      </c>
      <c r="AV262" s="499">
        <f>O262+AL262</f>
        <v>0</v>
      </c>
      <c r="AW262" s="500">
        <f>P262+AM262</f>
        <v>1.08</v>
      </c>
    </row>
    <row r="263" spans="1:49" s="569" customFormat="1" ht="12.75" customHeight="1" x14ac:dyDescent="0.2">
      <c r="A263" s="302">
        <v>47</v>
      </c>
      <c r="B263" s="32">
        <v>4427</v>
      </c>
      <c r="C263" s="32">
        <v>600074188</v>
      </c>
      <c r="D263" s="32">
        <v>70982678</v>
      </c>
      <c r="E263" s="311" t="s">
        <v>242</v>
      </c>
      <c r="F263" s="32"/>
      <c r="G263" s="301"/>
      <c r="H263" s="454"/>
      <c r="I263" s="5">
        <f t="shared" ref="I263:P263" si="619">SUM(I261:I262)</f>
        <v>3467476</v>
      </c>
      <c r="J263" s="8">
        <f t="shared" si="619"/>
        <v>2542853</v>
      </c>
      <c r="K263" s="8">
        <f t="shared" si="619"/>
        <v>859484</v>
      </c>
      <c r="L263" s="8">
        <f t="shared" si="619"/>
        <v>50857</v>
      </c>
      <c r="M263" s="8">
        <f t="shared" si="619"/>
        <v>14282</v>
      </c>
      <c r="N263" s="9">
        <f t="shared" si="619"/>
        <v>6.4698000000000002</v>
      </c>
      <c r="O263" s="9">
        <f t="shared" si="619"/>
        <v>4</v>
      </c>
      <c r="P263" s="39">
        <f t="shared" si="619"/>
        <v>2.4698000000000002</v>
      </c>
      <c r="Q263" s="5">
        <f t="shared" ref="Q263:AW263" si="620">SUM(Q261:Q262)</f>
        <v>-24000</v>
      </c>
      <c r="R263" s="8">
        <f t="shared" si="620"/>
        <v>0</v>
      </c>
      <c r="S263" s="8">
        <f t="shared" si="620"/>
        <v>0</v>
      </c>
      <c r="T263" s="8">
        <f t="shared" si="620"/>
        <v>0</v>
      </c>
      <c r="U263" s="8">
        <f t="shared" si="620"/>
        <v>-24000</v>
      </c>
      <c r="V263" s="8">
        <f t="shared" si="620"/>
        <v>24000</v>
      </c>
      <c r="W263" s="8">
        <f t="shared" si="620"/>
        <v>0</v>
      </c>
      <c r="X263" s="8">
        <f t="shared" si="620"/>
        <v>0</v>
      </c>
      <c r="Y263" s="8">
        <f t="shared" si="620"/>
        <v>24000</v>
      </c>
      <c r="Z263" s="8">
        <f t="shared" si="620"/>
        <v>0</v>
      </c>
      <c r="AA263" s="8">
        <f t="shared" si="620"/>
        <v>0</v>
      </c>
      <c r="AB263" s="8">
        <f t="shared" si="620"/>
        <v>-480</v>
      </c>
      <c r="AC263" s="8">
        <f t="shared" si="620"/>
        <v>0</v>
      </c>
      <c r="AD263" s="8">
        <f t="shared" si="620"/>
        <v>0</v>
      </c>
      <c r="AE263" s="8">
        <f t="shared" si="620"/>
        <v>0</v>
      </c>
      <c r="AF263" s="8">
        <f t="shared" si="620"/>
        <v>-480</v>
      </c>
      <c r="AG263" s="9">
        <f t="shared" si="620"/>
        <v>0</v>
      </c>
      <c r="AH263" s="9">
        <f t="shared" si="620"/>
        <v>-0.13</v>
      </c>
      <c r="AI263" s="9">
        <f t="shared" si="620"/>
        <v>0</v>
      </c>
      <c r="AJ263" s="9">
        <f t="shared" si="620"/>
        <v>0</v>
      </c>
      <c r="AK263" s="9">
        <f t="shared" si="620"/>
        <v>0</v>
      </c>
      <c r="AL263" s="9">
        <f t="shared" si="620"/>
        <v>0</v>
      </c>
      <c r="AM263" s="9">
        <f t="shared" si="620"/>
        <v>-0.13</v>
      </c>
      <c r="AN263" s="92">
        <f t="shared" si="620"/>
        <v>-0.13</v>
      </c>
      <c r="AO263" s="295">
        <f t="shared" si="620"/>
        <v>3466996</v>
      </c>
      <c r="AP263" s="8">
        <f t="shared" si="620"/>
        <v>2518853</v>
      </c>
      <c r="AQ263" s="8">
        <f t="shared" si="620"/>
        <v>24000</v>
      </c>
      <c r="AR263" s="8">
        <f t="shared" si="620"/>
        <v>859484</v>
      </c>
      <c r="AS263" s="8">
        <f t="shared" si="620"/>
        <v>50377</v>
      </c>
      <c r="AT263" s="8">
        <f t="shared" si="620"/>
        <v>14282</v>
      </c>
      <c r="AU263" s="9">
        <f t="shared" si="620"/>
        <v>6.3398000000000003</v>
      </c>
      <c r="AV263" s="9">
        <f t="shared" si="620"/>
        <v>4</v>
      </c>
      <c r="AW263" s="92">
        <f t="shared" si="620"/>
        <v>2.3397999999999999</v>
      </c>
    </row>
    <row r="264" spans="1:49" s="569" customFormat="1" ht="12.75" customHeight="1" x14ac:dyDescent="0.2">
      <c r="A264" s="531">
        <v>48</v>
      </c>
      <c r="B264" s="532">
        <v>4462</v>
      </c>
      <c r="C264" s="532">
        <v>600074676</v>
      </c>
      <c r="D264" s="532">
        <v>70982660</v>
      </c>
      <c r="E264" s="530" t="s">
        <v>244</v>
      </c>
      <c r="F264" s="532">
        <v>3117</v>
      </c>
      <c r="G264" s="533" t="s">
        <v>320</v>
      </c>
      <c r="H264" s="534" t="s">
        <v>283</v>
      </c>
      <c r="I264" s="575">
        <f t="shared" ref="I264:I267" si="621">SUM(J264:M264)</f>
        <v>1384153</v>
      </c>
      <c r="J264" s="496">
        <v>1007925</v>
      </c>
      <c r="K264" s="131">
        <f t="shared" ref="K264:K265" si="622">ROUND((J264)*33.8%,0)</f>
        <v>340679</v>
      </c>
      <c r="L264" s="131">
        <f t="shared" ref="L264:L265" si="623">ROUND(J264*2%,0)</f>
        <v>20159</v>
      </c>
      <c r="M264" s="496">
        <v>15390</v>
      </c>
      <c r="N264" s="576">
        <f t="shared" ref="N264:N268" si="624">SUM(O264:P264)</f>
        <v>2.0246</v>
      </c>
      <c r="O264" s="577">
        <v>1.4117999999999999</v>
      </c>
      <c r="P264" s="607">
        <v>0.61280000000000001</v>
      </c>
      <c r="Q264" s="579">
        <f t="shared" ref="Q264:Q268" si="625">V264*-1</f>
        <v>0</v>
      </c>
      <c r="R264" s="498">
        <v>0</v>
      </c>
      <c r="S264" s="498">
        <v>0</v>
      </c>
      <c r="T264" s="498">
        <v>0</v>
      </c>
      <c r="U264" s="498">
        <f t="shared" si="481"/>
        <v>0</v>
      </c>
      <c r="V264" s="498">
        <v>0</v>
      </c>
      <c r="W264" s="498">
        <v>0</v>
      </c>
      <c r="X264" s="498">
        <v>0</v>
      </c>
      <c r="Y264" s="498">
        <f t="shared" si="482"/>
        <v>0</v>
      </c>
      <c r="Z264" s="498">
        <f t="shared" si="483"/>
        <v>0</v>
      </c>
      <c r="AA264" s="131">
        <f t="shared" ref="AA264:AA268" si="626">ROUND((U264+V264+W264)*33.8%,0)</f>
        <v>0</v>
      </c>
      <c r="AB264" s="131">
        <f t="shared" si="484"/>
        <v>0</v>
      </c>
      <c r="AC264" s="498">
        <v>0</v>
      </c>
      <c r="AD264" s="498">
        <v>0</v>
      </c>
      <c r="AE264" s="498">
        <f t="shared" si="485"/>
        <v>0</v>
      </c>
      <c r="AF264" s="498">
        <f t="shared" si="486"/>
        <v>0</v>
      </c>
      <c r="AG264" s="499">
        <v>0</v>
      </c>
      <c r="AH264" s="499">
        <v>0</v>
      </c>
      <c r="AI264" s="499">
        <v>0</v>
      </c>
      <c r="AJ264" s="499">
        <v>0</v>
      </c>
      <c r="AK264" s="499">
        <v>0</v>
      </c>
      <c r="AL264" s="499">
        <f t="shared" si="487"/>
        <v>0</v>
      </c>
      <c r="AM264" s="499">
        <f t="shared" si="488"/>
        <v>0</v>
      </c>
      <c r="AN264" s="500">
        <f t="shared" si="489"/>
        <v>0</v>
      </c>
      <c r="AO264" s="497">
        <f>I264+AF264</f>
        <v>1384153</v>
      </c>
      <c r="AP264" s="498">
        <f>J264+U264</f>
        <v>1007925</v>
      </c>
      <c r="AQ264" s="498">
        <f t="shared" ref="AQ264:AQ268" si="627">Y264</f>
        <v>0</v>
      </c>
      <c r="AR264" s="498">
        <f t="shared" ref="AR264:AS268" si="628">K264+AA264</f>
        <v>340679</v>
      </c>
      <c r="AS264" s="498">
        <f t="shared" si="628"/>
        <v>20159</v>
      </c>
      <c r="AT264" s="498">
        <f>M264+AE264</f>
        <v>15390</v>
      </c>
      <c r="AU264" s="499">
        <f>N264+AN264</f>
        <v>2.0246</v>
      </c>
      <c r="AV264" s="499">
        <f t="shared" ref="AV264:AW268" si="629">O264+AL264</f>
        <v>1.4117999999999999</v>
      </c>
      <c r="AW264" s="500">
        <f t="shared" si="629"/>
        <v>0.61280000000000001</v>
      </c>
    </row>
    <row r="265" spans="1:49" s="569" customFormat="1" ht="12.75" customHeight="1" x14ac:dyDescent="0.2">
      <c r="A265" s="531">
        <v>48</v>
      </c>
      <c r="B265" s="532">
        <v>4462</v>
      </c>
      <c r="C265" s="532">
        <v>600074676</v>
      </c>
      <c r="D265" s="532">
        <v>70982660</v>
      </c>
      <c r="E265" s="530" t="s">
        <v>244</v>
      </c>
      <c r="F265" s="532">
        <v>3117</v>
      </c>
      <c r="G265" s="533" t="s">
        <v>318</v>
      </c>
      <c r="H265" s="534" t="s">
        <v>284</v>
      </c>
      <c r="I265" s="575">
        <f t="shared" si="621"/>
        <v>0</v>
      </c>
      <c r="J265" s="496">
        <v>0</v>
      </c>
      <c r="K265" s="131">
        <f t="shared" si="622"/>
        <v>0</v>
      </c>
      <c r="L265" s="131">
        <f t="shared" si="623"/>
        <v>0</v>
      </c>
      <c r="M265" s="496">
        <v>0</v>
      </c>
      <c r="N265" s="576">
        <f t="shared" si="624"/>
        <v>0</v>
      </c>
      <c r="O265" s="577">
        <v>0</v>
      </c>
      <c r="P265" s="607">
        <v>0</v>
      </c>
      <c r="Q265" s="579">
        <f t="shared" si="625"/>
        <v>0</v>
      </c>
      <c r="R265" s="496">
        <v>259833</v>
      </c>
      <c r="S265" s="498">
        <v>0</v>
      </c>
      <c r="T265" s="498">
        <v>0</v>
      </c>
      <c r="U265" s="498">
        <f t="shared" si="481"/>
        <v>259833</v>
      </c>
      <c r="V265" s="498">
        <v>0</v>
      </c>
      <c r="W265" s="498">
        <v>0</v>
      </c>
      <c r="X265" s="498">
        <v>0</v>
      </c>
      <c r="Y265" s="498">
        <f t="shared" si="482"/>
        <v>0</v>
      </c>
      <c r="Z265" s="498">
        <f t="shared" si="483"/>
        <v>259833</v>
      </c>
      <c r="AA265" s="131">
        <f t="shared" si="626"/>
        <v>87824</v>
      </c>
      <c r="AB265" s="131">
        <f t="shared" si="484"/>
        <v>5197</v>
      </c>
      <c r="AC265" s="498">
        <v>0</v>
      </c>
      <c r="AD265" s="498">
        <v>0</v>
      </c>
      <c r="AE265" s="498">
        <f t="shared" si="485"/>
        <v>0</v>
      </c>
      <c r="AF265" s="498">
        <f t="shared" si="486"/>
        <v>352854</v>
      </c>
      <c r="AG265" s="499">
        <v>0</v>
      </c>
      <c r="AH265" s="499">
        <v>0</v>
      </c>
      <c r="AI265" s="499">
        <v>0.75</v>
      </c>
      <c r="AJ265" s="499">
        <v>0</v>
      </c>
      <c r="AK265" s="499">
        <v>0</v>
      </c>
      <c r="AL265" s="499">
        <f t="shared" si="487"/>
        <v>0.75</v>
      </c>
      <c r="AM265" s="499">
        <f t="shared" si="488"/>
        <v>0</v>
      </c>
      <c r="AN265" s="500">
        <f t="shared" si="489"/>
        <v>0.75</v>
      </c>
      <c r="AO265" s="497">
        <f>I265+AF265</f>
        <v>352854</v>
      </c>
      <c r="AP265" s="498">
        <f>J265+U265</f>
        <v>259833</v>
      </c>
      <c r="AQ265" s="498">
        <f t="shared" si="627"/>
        <v>0</v>
      </c>
      <c r="AR265" s="498">
        <f t="shared" si="628"/>
        <v>87824</v>
      </c>
      <c r="AS265" s="498">
        <f t="shared" si="628"/>
        <v>5197</v>
      </c>
      <c r="AT265" s="498">
        <f>M265+AE265</f>
        <v>0</v>
      </c>
      <c r="AU265" s="499">
        <f>N265+AN265</f>
        <v>0.75</v>
      </c>
      <c r="AV265" s="499">
        <f t="shared" si="629"/>
        <v>0.75</v>
      </c>
      <c r="AW265" s="500">
        <f t="shared" si="629"/>
        <v>0</v>
      </c>
    </row>
    <row r="266" spans="1:49" s="569" customFormat="1" ht="12.75" customHeight="1" x14ac:dyDescent="0.2">
      <c r="A266" s="531">
        <v>48</v>
      </c>
      <c r="B266" s="532">
        <v>4462</v>
      </c>
      <c r="C266" s="532">
        <v>600074676</v>
      </c>
      <c r="D266" s="532">
        <v>70982660</v>
      </c>
      <c r="E266" s="530" t="s">
        <v>243</v>
      </c>
      <c r="F266" s="532">
        <v>3141</v>
      </c>
      <c r="G266" s="533" t="s">
        <v>321</v>
      </c>
      <c r="H266" s="534" t="s">
        <v>284</v>
      </c>
      <c r="I266" s="575">
        <f t="shared" si="621"/>
        <v>60472</v>
      </c>
      <c r="J266" s="496">
        <v>44278</v>
      </c>
      <c r="K266" s="131">
        <f>ROUND((J266)*33.8%,0)</f>
        <v>14966</v>
      </c>
      <c r="L266" s="131">
        <f>ROUND(J266*2%,0)</f>
        <v>886</v>
      </c>
      <c r="M266" s="496">
        <v>342</v>
      </c>
      <c r="N266" s="576">
        <f t="shared" si="624"/>
        <v>0.2</v>
      </c>
      <c r="O266" s="577">
        <v>0</v>
      </c>
      <c r="P266" s="607">
        <v>0.2</v>
      </c>
      <c r="Q266" s="579">
        <f t="shared" si="625"/>
        <v>0</v>
      </c>
      <c r="R266" s="498">
        <v>0</v>
      </c>
      <c r="S266" s="498">
        <v>0</v>
      </c>
      <c r="T266" s="498">
        <v>0</v>
      </c>
      <c r="U266" s="498">
        <f t="shared" si="481"/>
        <v>0</v>
      </c>
      <c r="V266" s="498">
        <v>0</v>
      </c>
      <c r="W266" s="498">
        <v>0</v>
      </c>
      <c r="X266" s="498">
        <v>0</v>
      </c>
      <c r="Y266" s="498">
        <f t="shared" si="482"/>
        <v>0</v>
      </c>
      <c r="Z266" s="498">
        <f t="shared" si="483"/>
        <v>0</v>
      </c>
      <c r="AA266" s="131">
        <f t="shared" si="626"/>
        <v>0</v>
      </c>
      <c r="AB266" s="131">
        <f t="shared" si="484"/>
        <v>0</v>
      </c>
      <c r="AC266" s="498">
        <v>0</v>
      </c>
      <c r="AD266" s="498">
        <v>0</v>
      </c>
      <c r="AE266" s="498">
        <f t="shared" si="485"/>
        <v>0</v>
      </c>
      <c r="AF266" s="498">
        <f t="shared" si="486"/>
        <v>0</v>
      </c>
      <c r="AG266" s="499">
        <v>0</v>
      </c>
      <c r="AH266" s="499">
        <v>0</v>
      </c>
      <c r="AI266" s="499">
        <v>0</v>
      </c>
      <c r="AJ266" s="499">
        <v>0</v>
      </c>
      <c r="AK266" s="499">
        <v>0</v>
      </c>
      <c r="AL266" s="499">
        <f t="shared" si="487"/>
        <v>0</v>
      </c>
      <c r="AM266" s="499">
        <f t="shared" si="488"/>
        <v>0</v>
      </c>
      <c r="AN266" s="500">
        <f t="shared" si="489"/>
        <v>0</v>
      </c>
      <c r="AO266" s="497">
        <f>I266+AF266</f>
        <v>60472</v>
      </c>
      <c r="AP266" s="498">
        <f>J266+U266</f>
        <v>44278</v>
      </c>
      <c r="AQ266" s="498">
        <f t="shared" si="627"/>
        <v>0</v>
      </c>
      <c r="AR266" s="498">
        <f t="shared" si="628"/>
        <v>14966</v>
      </c>
      <c r="AS266" s="498">
        <f t="shared" si="628"/>
        <v>886</v>
      </c>
      <c r="AT266" s="498">
        <f>M266+AE266</f>
        <v>342</v>
      </c>
      <c r="AU266" s="499">
        <f>N266+AN266</f>
        <v>0.2</v>
      </c>
      <c r="AV266" s="499">
        <f t="shared" si="629"/>
        <v>0</v>
      </c>
      <c r="AW266" s="500">
        <f t="shared" si="629"/>
        <v>0.2</v>
      </c>
    </row>
    <row r="267" spans="1:49" s="569" customFormat="1" ht="12.75" customHeight="1" x14ac:dyDescent="0.2">
      <c r="A267" s="531">
        <v>48</v>
      </c>
      <c r="B267" s="532">
        <v>4462</v>
      </c>
      <c r="C267" s="532">
        <v>600074676</v>
      </c>
      <c r="D267" s="532">
        <v>70982660</v>
      </c>
      <c r="E267" s="524" t="s">
        <v>243</v>
      </c>
      <c r="F267" s="532">
        <v>3143</v>
      </c>
      <c r="G267" s="533" t="s">
        <v>635</v>
      </c>
      <c r="H267" s="574" t="s">
        <v>283</v>
      </c>
      <c r="I267" s="575">
        <f t="shared" si="621"/>
        <v>561675</v>
      </c>
      <c r="J267" s="496">
        <v>413605</v>
      </c>
      <c r="K267" s="131">
        <f t="shared" ref="K267:K268" si="630">ROUND((J267)*33.8%,0)</f>
        <v>139798</v>
      </c>
      <c r="L267" s="131">
        <f t="shared" ref="L267:L268" si="631">ROUND(J267*2%,0)</f>
        <v>8272</v>
      </c>
      <c r="M267" s="496"/>
      <c r="N267" s="576">
        <f t="shared" si="624"/>
        <v>0.98209999999999997</v>
      </c>
      <c r="O267" s="577">
        <v>0.98209999999999997</v>
      </c>
      <c r="P267" s="607">
        <v>0</v>
      </c>
      <c r="Q267" s="579">
        <f t="shared" si="625"/>
        <v>0</v>
      </c>
      <c r="R267" s="498">
        <v>0</v>
      </c>
      <c r="S267" s="498">
        <v>0</v>
      </c>
      <c r="T267" s="498">
        <v>0</v>
      </c>
      <c r="U267" s="498">
        <f t="shared" si="481"/>
        <v>0</v>
      </c>
      <c r="V267" s="498">
        <v>0</v>
      </c>
      <c r="W267" s="498">
        <v>0</v>
      </c>
      <c r="X267" s="498">
        <v>0</v>
      </c>
      <c r="Y267" s="498">
        <f t="shared" si="482"/>
        <v>0</v>
      </c>
      <c r="Z267" s="498">
        <f t="shared" si="483"/>
        <v>0</v>
      </c>
      <c r="AA267" s="131">
        <f t="shared" si="626"/>
        <v>0</v>
      </c>
      <c r="AB267" s="131">
        <f t="shared" si="484"/>
        <v>0</v>
      </c>
      <c r="AC267" s="498">
        <v>0</v>
      </c>
      <c r="AD267" s="498">
        <v>0</v>
      </c>
      <c r="AE267" s="498">
        <f t="shared" si="485"/>
        <v>0</v>
      </c>
      <c r="AF267" s="498">
        <f t="shared" si="486"/>
        <v>0</v>
      </c>
      <c r="AG267" s="499">
        <v>0</v>
      </c>
      <c r="AH267" s="499">
        <v>0</v>
      </c>
      <c r="AI267" s="499">
        <v>0</v>
      </c>
      <c r="AJ267" s="499">
        <v>0</v>
      </c>
      <c r="AK267" s="499">
        <v>0</v>
      </c>
      <c r="AL267" s="499">
        <f t="shared" si="487"/>
        <v>0</v>
      </c>
      <c r="AM267" s="499">
        <f t="shared" si="488"/>
        <v>0</v>
      </c>
      <c r="AN267" s="500">
        <f t="shared" si="489"/>
        <v>0</v>
      </c>
      <c r="AO267" s="497">
        <f>I267+AF267</f>
        <v>561675</v>
      </c>
      <c r="AP267" s="498">
        <f>J267+U267</f>
        <v>413605</v>
      </c>
      <c r="AQ267" s="498">
        <f t="shared" si="627"/>
        <v>0</v>
      </c>
      <c r="AR267" s="498">
        <f t="shared" si="628"/>
        <v>139798</v>
      </c>
      <c r="AS267" s="498">
        <f t="shared" si="628"/>
        <v>8272</v>
      </c>
      <c r="AT267" s="498">
        <f>M267+AE267</f>
        <v>0</v>
      </c>
      <c r="AU267" s="499">
        <f>N267+AN267</f>
        <v>0.98209999999999997</v>
      </c>
      <c r="AV267" s="499">
        <f t="shared" si="629"/>
        <v>0.98209999999999997</v>
      </c>
      <c r="AW267" s="500">
        <f t="shared" si="629"/>
        <v>0</v>
      </c>
    </row>
    <row r="268" spans="1:49" s="569" customFormat="1" ht="12.75" customHeight="1" x14ac:dyDescent="0.2">
      <c r="A268" s="531">
        <v>48</v>
      </c>
      <c r="B268" s="532">
        <v>4462</v>
      </c>
      <c r="C268" s="532">
        <v>600074676</v>
      </c>
      <c r="D268" s="532">
        <v>70982660</v>
      </c>
      <c r="E268" s="524" t="s">
        <v>243</v>
      </c>
      <c r="F268" s="532">
        <v>3143</v>
      </c>
      <c r="G268" s="533" t="s">
        <v>636</v>
      </c>
      <c r="H268" s="574" t="s">
        <v>284</v>
      </c>
      <c r="I268" s="575">
        <f>SUM(J268:M268)</f>
        <v>6320</v>
      </c>
      <c r="J268" s="496">
        <v>4455</v>
      </c>
      <c r="K268" s="131">
        <f t="shared" si="630"/>
        <v>1506</v>
      </c>
      <c r="L268" s="131">
        <f t="shared" si="631"/>
        <v>89</v>
      </c>
      <c r="M268" s="496">
        <v>270</v>
      </c>
      <c r="N268" s="576">
        <f t="shared" si="624"/>
        <v>0.02</v>
      </c>
      <c r="O268" s="577">
        <v>0</v>
      </c>
      <c r="P268" s="607">
        <v>0.02</v>
      </c>
      <c r="Q268" s="579">
        <f t="shared" si="625"/>
        <v>0</v>
      </c>
      <c r="R268" s="498">
        <v>0</v>
      </c>
      <c r="S268" s="498">
        <v>0</v>
      </c>
      <c r="T268" s="498">
        <v>0</v>
      </c>
      <c r="U268" s="498">
        <f t="shared" si="481"/>
        <v>0</v>
      </c>
      <c r="V268" s="498">
        <v>0</v>
      </c>
      <c r="W268" s="498">
        <v>0</v>
      </c>
      <c r="X268" s="498">
        <v>0</v>
      </c>
      <c r="Y268" s="498">
        <f t="shared" si="482"/>
        <v>0</v>
      </c>
      <c r="Z268" s="498">
        <f t="shared" si="483"/>
        <v>0</v>
      </c>
      <c r="AA268" s="131">
        <f t="shared" si="626"/>
        <v>0</v>
      </c>
      <c r="AB268" s="131">
        <f t="shared" si="484"/>
        <v>0</v>
      </c>
      <c r="AC268" s="498">
        <v>0</v>
      </c>
      <c r="AD268" s="498">
        <v>0</v>
      </c>
      <c r="AE268" s="498">
        <f t="shared" si="485"/>
        <v>0</v>
      </c>
      <c r="AF268" s="498">
        <f t="shared" si="486"/>
        <v>0</v>
      </c>
      <c r="AG268" s="499">
        <v>0</v>
      </c>
      <c r="AH268" s="499">
        <v>0</v>
      </c>
      <c r="AI268" s="499">
        <v>0</v>
      </c>
      <c r="AJ268" s="499">
        <v>0</v>
      </c>
      <c r="AK268" s="499">
        <v>0</v>
      </c>
      <c r="AL268" s="499">
        <f t="shared" si="487"/>
        <v>0</v>
      </c>
      <c r="AM268" s="499">
        <f t="shared" si="488"/>
        <v>0</v>
      </c>
      <c r="AN268" s="500">
        <f t="shared" si="489"/>
        <v>0</v>
      </c>
      <c r="AO268" s="497">
        <f>I268+AF268</f>
        <v>6320</v>
      </c>
      <c r="AP268" s="498">
        <f>J268+U268</f>
        <v>4455</v>
      </c>
      <c r="AQ268" s="498">
        <f t="shared" si="627"/>
        <v>0</v>
      </c>
      <c r="AR268" s="498">
        <f t="shared" si="628"/>
        <v>1506</v>
      </c>
      <c r="AS268" s="498">
        <f t="shared" si="628"/>
        <v>89</v>
      </c>
      <c r="AT268" s="498">
        <f>M268+AE268</f>
        <v>270</v>
      </c>
      <c r="AU268" s="499">
        <f>N268+AN268</f>
        <v>0.02</v>
      </c>
      <c r="AV268" s="499">
        <f t="shared" si="629"/>
        <v>0</v>
      </c>
      <c r="AW268" s="500">
        <f t="shared" si="629"/>
        <v>0.02</v>
      </c>
    </row>
    <row r="269" spans="1:49" s="569" customFormat="1" ht="12.75" customHeight="1" x14ac:dyDescent="0.2">
      <c r="A269" s="302">
        <v>48</v>
      </c>
      <c r="B269" s="32">
        <v>4462</v>
      </c>
      <c r="C269" s="32">
        <v>600074676</v>
      </c>
      <c r="D269" s="32">
        <v>70982660</v>
      </c>
      <c r="E269" s="311" t="s">
        <v>245</v>
      </c>
      <c r="F269" s="32"/>
      <c r="G269" s="301"/>
      <c r="H269" s="454"/>
      <c r="I269" s="5">
        <f t="shared" ref="I269:AW269" si="632">SUM(I264:I268)</f>
        <v>2012620</v>
      </c>
      <c r="J269" s="8">
        <f t="shared" si="632"/>
        <v>1470263</v>
      </c>
      <c r="K269" s="8">
        <f t="shared" si="632"/>
        <v>496949</v>
      </c>
      <c r="L269" s="8">
        <f t="shared" si="632"/>
        <v>29406</v>
      </c>
      <c r="M269" s="8">
        <f t="shared" si="632"/>
        <v>16002</v>
      </c>
      <c r="N269" s="9">
        <f t="shared" si="632"/>
        <v>3.2267000000000001</v>
      </c>
      <c r="O269" s="9">
        <f t="shared" si="632"/>
        <v>2.3938999999999999</v>
      </c>
      <c r="P269" s="39">
        <f t="shared" si="632"/>
        <v>0.83279999999999998</v>
      </c>
      <c r="Q269" s="5">
        <f t="shared" si="632"/>
        <v>0</v>
      </c>
      <c r="R269" s="8">
        <f t="shared" si="632"/>
        <v>259833</v>
      </c>
      <c r="S269" s="8">
        <f t="shared" si="632"/>
        <v>0</v>
      </c>
      <c r="T269" s="8">
        <f t="shared" si="632"/>
        <v>0</v>
      </c>
      <c r="U269" s="8">
        <f t="shared" si="632"/>
        <v>259833</v>
      </c>
      <c r="V269" s="8">
        <f t="shared" si="632"/>
        <v>0</v>
      </c>
      <c r="W269" s="8">
        <f t="shared" si="632"/>
        <v>0</v>
      </c>
      <c r="X269" s="8">
        <f t="shared" si="632"/>
        <v>0</v>
      </c>
      <c r="Y269" s="8">
        <f t="shared" si="632"/>
        <v>0</v>
      </c>
      <c r="Z269" s="8">
        <f t="shared" si="632"/>
        <v>259833</v>
      </c>
      <c r="AA269" s="8">
        <f t="shared" si="632"/>
        <v>87824</v>
      </c>
      <c r="AB269" s="8">
        <f t="shared" si="632"/>
        <v>5197</v>
      </c>
      <c r="AC269" s="8">
        <f t="shared" si="632"/>
        <v>0</v>
      </c>
      <c r="AD269" s="8">
        <f t="shared" si="632"/>
        <v>0</v>
      </c>
      <c r="AE269" s="8">
        <f t="shared" si="632"/>
        <v>0</v>
      </c>
      <c r="AF269" s="8">
        <f t="shared" si="632"/>
        <v>352854</v>
      </c>
      <c r="AG269" s="9">
        <f t="shared" si="632"/>
        <v>0</v>
      </c>
      <c r="AH269" s="9">
        <f t="shared" si="632"/>
        <v>0</v>
      </c>
      <c r="AI269" s="9">
        <f t="shared" si="632"/>
        <v>0.75</v>
      </c>
      <c r="AJ269" s="9">
        <f t="shared" si="632"/>
        <v>0</v>
      </c>
      <c r="AK269" s="9">
        <f t="shared" si="632"/>
        <v>0</v>
      </c>
      <c r="AL269" s="9">
        <f t="shared" si="632"/>
        <v>0.75</v>
      </c>
      <c r="AM269" s="9">
        <f t="shared" si="632"/>
        <v>0</v>
      </c>
      <c r="AN269" s="92">
        <f t="shared" si="632"/>
        <v>0.75</v>
      </c>
      <c r="AO269" s="295">
        <f t="shared" si="632"/>
        <v>2365474</v>
      </c>
      <c r="AP269" s="8">
        <f t="shared" si="632"/>
        <v>1730096</v>
      </c>
      <c r="AQ269" s="8">
        <f t="shared" si="632"/>
        <v>0</v>
      </c>
      <c r="AR269" s="8">
        <f t="shared" si="632"/>
        <v>584773</v>
      </c>
      <c r="AS269" s="8">
        <f t="shared" si="632"/>
        <v>34603</v>
      </c>
      <c r="AT269" s="8">
        <f t="shared" si="632"/>
        <v>16002</v>
      </c>
      <c r="AU269" s="9">
        <f t="shared" si="632"/>
        <v>3.9767000000000001</v>
      </c>
      <c r="AV269" s="9">
        <f t="shared" si="632"/>
        <v>3.1438999999999999</v>
      </c>
      <c r="AW269" s="92">
        <f t="shared" si="632"/>
        <v>0.83279999999999998</v>
      </c>
    </row>
    <row r="270" spans="1:49" s="569" customFormat="1" ht="12.75" customHeight="1" x14ac:dyDescent="0.2">
      <c r="A270" s="531">
        <v>49</v>
      </c>
      <c r="B270" s="532">
        <v>4490</v>
      </c>
      <c r="C270" s="532">
        <v>600074692</v>
      </c>
      <c r="D270" s="532">
        <v>72745088</v>
      </c>
      <c r="E270" s="530" t="s">
        <v>246</v>
      </c>
      <c r="F270" s="532">
        <v>3111</v>
      </c>
      <c r="G270" s="533" t="s">
        <v>317</v>
      </c>
      <c r="H270" s="534" t="s">
        <v>283</v>
      </c>
      <c r="I270" s="575">
        <f t="shared" ref="I270:I274" si="633">SUM(J270:M270)</f>
        <v>1222073</v>
      </c>
      <c r="J270" s="496">
        <v>894605</v>
      </c>
      <c r="K270" s="131">
        <f t="shared" ref="K270:K272" si="634">ROUND((J270)*33.8%,0)</f>
        <v>302376</v>
      </c>
      <c r="L270" s="131">
        <f t="shared" ref="L270:L272" si="635">ROUND(J270*2%,0)</f>
        <v>17892</v>
      </c>
      <c r="M270" s="496">
        <v>7200</v>
      </c>
      <c r="N270" s="576">
        <f t="shared" ref="N270:N275" si="636">SUM(O270:P270)</f>
        <v>2.2673999999999999</v>
      </c>
      <c r="O270" s="577">
        <v>1.8065</v>
      </c>
      <c r="P270" s="607">
        <v>0.46089999999999998</v>
      </c>
      <c r="Q270" s="579">
        <f t="shared" ref="Q270:Q275" si="637">V270*-1</f>
        <v>0</v>
      </c>
      <c r="R270" s="498">
        <v>0</v>
      </c>
      <c r="S270" s="498">
        <v>0</v>
      </c>
      <c r="T270" s="498">
        <v>0</v>
      </c>
      <c r="U270" s="498">
        <f t="shared" si="481"/>
        <v>0</v>
      </c>
      <c r="V270" s="498">
        <v>0</v>
      </c>
      <c r="W270" s="498">
        <v>0</v>
      </c>
      <c r="X270" s="498">
        <v>0</v>
      </c>
      <c r="Y270" s="498">
        <f t="shared" si="482"/>
        <v>0</v>
      </c>
      <c r="Z270" s="498">
        <f t="shared" si="483"/>
        <v>0</v>
      </c>
      <c r="AA270" s="131">
        <f t="shared" ref="AA270:AA275" si="638">ROUND((U270+V270+W270)*33.8%,0)</f>
        <v>0</v>
      </c>
      <c r="AB270" s="131">
        <f t="shared" si="484"/>
        <v>0</v>
      </c>
      <c r="AC270" s="498">
        <v>0</v>
      </c>
      <c r="AD270" s="498">
        <v>0</v>
      </c>
      <c r="AE270" s="498">
        <f t="shared" si="485"/>
        <v>0</v>
      </c>
      <c r="AF270" s="498">
        <f t="shared" si="486"/>
        <v>0</v>
      </c>
      <c r="AG270" s="499">
        <v>0</v>
      </c>
      <c r="AH270" s="499">
        <v>0</v>
      </c>
      <c r="AI270" s="499">
        <v>0</v>
      </c>
      <c r="AJ270" s="499">
        <v>0</v>
      </c>
      <c r="AK270" s="499">
        <v>0</v>
      </c>
      <c r="AL270" s="499">
        <f t="shared" si="487"/>
        <v>0</v>
      </c>
      <c r="AM270" s="499">
        <f t="shared" si="488"/>
        <v>0</v>
      </c>
      <c r="AN270" s="500">
        <f t="shared" si="489"/>
        <v>0</v>
      </c>
      <c r="AO270" s="497">
        <f t="shared" ref="AO270:AO275" si="639">I270+AF270</f>
        <v>1222073</v>
      </c>
      <c r="AP270" s="498">
        <f t="shared" ref="AP270:AP275" si="640">J270+U270</f>
        <v>894605</v>
      </c>
      <c r="AQ270" s="498">
        <f t="shared" ref="AQ270:AQ275" si="641">Y270</f>
        <v>0</v>
      </c>
      <c r="AR270" s="498">
        <f t="shared" ref="AR270:AS275" si="642">K270+AA270</f>
        <v>302376</v>
      </c>
      <c r="AS270" s="498">
        <f t="shared" si="642"/>
        <v>17892</v>
      </c>
      <c r="AT270" s="498">
        <f t="shared" ref="AT270:AT275" si="643">M270+AE270</f>
        <v>7200</v>
      </c>
      <c r="AU270" s="499">
        <f t="shared" ref="AU270:AU275" si="644">N270+AN270</f>
        <v>2.2673999999999999</v>
      </c>
      <c r="AV270" s="499">
        <f t="shared" ref="AV270:AW275" si="645">O270+AL270</f>
        <v>1.8065</v>
      </c>
      <c r="AW270" s="500">
        <f t="shared" si="645"/>
        <v>0.46089999999999998</v>
      </c>
    </row>
    <row r="271" spans="1:49" s="569" customFormat="1" ht="12.75" customHeight="1" x14ac:dyDescent="0.2">
      <c r="A271" s="531">
        <v>49</v>
      </c>
      <c r="B271" s="532">
        <v>4490</v>
      </c>
      <c r="C271" s="532">
        <v>600074692</v>
      </c>
      <c r="D271" s="532">
        <v>72745088</v>
      </c>
      <c r="E271" s="530" t="s">
        <v>246</v>
      </c>
      <c r="F271" s="532">
        <v>3117</v>
      </c>
      <c r="G271" s="533" t="s">
        <v>320</v>
      </c>
      <c r="H271" s="534" t="s">
        <v>283</v>
      </c>
      <c r="I271" s="575">
        <f t="shared" si="633"/>
        <v>2401997</v>
      </c>
      <c r="J271" s="496">
        <v>1747369</v>
      </c>
      <c r="K271" s="131">
        <f t="shared" si="634"/>
        <v>590611</v>
      </c>
      <c r="L271" s="131">
        <f t="shared" si="635"/>
        <v>34947</v>
      </c>
      <c r="M271" s="496">
        <v>29070</v>
      </c>
      <c r="N271" s="576">
        <f t="shared" si="636"/>
        <v>3.5859999999999999</v>
      </c>
      <c r="O271" s="577">
        <v>2.5508999999999999</v>
      </c>
      <c r="P271" s="607">
        <v>1.0350999999999999</v>
      </c>
      <c r="Q271" s="579">
        <f t="shared" si="637"/>
        <v>-4000</v>
      </c>
      <c r="R271" s="498">
        <v>0</v>
      </c>
      <c r="S271" s="498">
        <v>0</v>
      </c>
      <c r="T271" s="498">
        <v>0</v>
      </c>
      <c r="U271" s="498">
        <f t="shared" ref="U271:U298" si="646">SUM(Q271:T271)</f>
        <v>-4000</v>
      </c>
      <c r="V271" s="498">
        <v>4000</v>
      </c>
      <c r="W271" s="498">
        <v>0</v>
      </c>
      <c r="X271" s="498">
        <v>0</v>
      </c>
      <c r="Y271" s="498">
        <f t="shared" si="482"/>
        <v>4000</v>
      </c>
      <c r="Z271" s="498">
        <f t="shared" si="483"/>
        <v>0</v>
      </c>
      <c r="AA271" s="131">
        <f t="shared" si="638"/>
        <v>0</v>
      </c>
      <c r="AB271" s="131">
        <f t="shared" si="484"/>
        <v>-80</v>
      </c>
      <c r="AC271" s="498">
        <v>0</v>
      </c>
      <c r="AD271" s="498">
        <v>0</v>
      </c>
      <c r="AE271" s="498">
        <f t="shared" si="485"/>
        <v>0</v>
      </c>
      <c r="AF271" s="498">
        <f t="shared" si="486"/>
        <v>-80</v>
      </c>
      <c r="AG271" s="499">
        <v>0</v>
      </c>
      <c r="AH271" s="499">
        <v>0</v>
      </c>
      <c r="AI271" s="499">
        <v>0</v>
      </c>
      <c r="AJ271" s="499">
        <v>0</v>
      </c>
      <c r="AK271" s="499">
        <v>0</v>
      </c>
      <c r="AL271" s="499">
        <f t="shared" si="487"/>
        <v>0</v>
      </c>
      <c r="AM271" s="499">
        <f t="shared" si="488"/>
        <v>0</v>
      </c>
      <c r="AN271" s="500">
        <f t="shared" si="489"/>
        <v>0</v>
      </c>
      <c r="AO271" s="497">
        <f t="shared" si="639"/>
        <v>2401917</v>
      </c>
      <c r="AP271" s="498">
        <f t="shared" si="640"/>
        <v>1743369</v>
      </c>
      <c r="AQ271" s="498">
        <f t="shared" si="641"/>
        <v>4000</v>
      </c>
      <c r="AR271" s="498">
        <f t="shared" si="642"/>
        <v>590611</v>
      </c>
      <c r="AS271" s="498">
        <f t="shared" si="642"/>
        <v>34867</v>
      </c>
      <c r="AT271" s="498">
        <f t="shared" si="643"/>
        <v>29070</v>
      </c>
      <c r="AU271" s="499">
        <f t="shared" si="644"/>
        <v>3.5859999999999999</v>
      </c>
      <c r="AV271" s="499">
        <f t="shared" si="645"/>
        <v>2.5508999999999999</v>
      </c>
      <c r="AW271" s="500">
        <f t="shared" si="645"/>
        <v>1.0350999999999999</v>
      </c>
    </row>
    <row r="272" spans="1:49" s="569" customFormat="1" ht="12.75" customHeight="1" x14ac:dyDescent="0.2">
      <c r="A272" s="531">
        <v>49</v>
      </c>
      <c r="B272" s="532">
        <v>4490</v>
      </c>
      <c r="C272" s="532">
        <v>600074692</v>
      </c>
      <c r="D272" s="532">
        <v>72745088</v>
      </c>
      <c r="E272" s="530" t="s">
        <v>246</v>
      </c>
      <c r="F272" s="532">
        <v>3117</v>
      </c>
      <c r="G272" s="533" t="s">
        <v>318</v>
      </c>
      <c r="H272" s="534" t="s">
        <v>284</v>
      </c>
      <c r="I272" s="575">
        <f t="shared" si="633"/>
        <v>0</v>
      </c>
      <c r="J272" s="496">
        <v>0</v>
      </c>
      <c r="K272" s="131">
        <f t="shared" si="634"/>
        <v>0</v>
      </c>
      <c r="L272" s="131">
        <f t="shared" si="635"/>
        <v>0</v>
      </c>
      <c r="M272" s="496">
        <v>0</v>
      </c>
      <c r="N272" s="576">
        <f t="shared" si="636"/>
        <v>0</v>
      </c>
      <c r="O272" s="577">
        <v>0</v>
      </c>
      <c r="P272" s="607">
        <v>0</v>
      </c>
      <c r="Q272" s="579">
        <f t="shared" si="637"/>
        <v>0</v>
      </c>
      <c r="R272" s="498">
        <v>0</v>
      </c>
      <c r="S272" s="498">
        <v>0</v>
      </c>
      <c r="T272" s="498">
        <v>0</v>
      </c>
      <c r="U272" s="498">
        <f t="shared" si="646"/>
        <v>0</v>
      </c>
      <c r="V272" s="498">
        <v>0</v>
      </c>
      <c r="W272" s="498">
        <v>0</v>
      </c>
      <c r="X272" s="498">
        <v>0</v>
      </c>
      <c r="Y272" s="498">
        <f t="shared" ref="Y272:Y298" si="647">SUM(V272:X272)</f>
        <v>0</v>
      </c>
      <c r="Z272" s="498">
        <f t="shared" ref="Z272:Z298" si="648">U272+Y272</f>
        <v>0</v>
      </c>
      <c r="AA272" s="131">
        <f t="shared" si="638"/>
        <v>0</v>
      </c>
      <c r="AB272" s="131">
        <f t="shared" ref="AB272:AB298" si="649">ROUND(U272*2%,0)</f>
        <v>0</v>
      </c>
      <c r="AC272" s="498">
        <v>0</v>
      </c>
      <c r="AD272" s="498">
        <v>0</v>
      </c>
      <c r="AE272" s="498">
        <f t="shared" ref="AE272:AE298" si="650">SUM(AC272:AD272)</f>
        <v>0</v>
      </c>
      <c r="AF272" s="498">
        <f t="shared" ref="AF272:AF298" si="651">Z272+AA272+AB272+AE272</f>
        <v>0</v>
      </c>
      <c r="AG272" s="499">
        <v>0</v>
      </c>
      <c r="AH272" s="499">
        <v>0</v>
      </c>
      <c r="AI272" s="499">
        <v>0</v>
      </c>
      <c r="AJ272" s="499">
        <v>0</v>
      </c>
      <c r="AK272" s="499">
        <v>0</v>
      </c>
      <c r="AL272" s="499">
        <f t="shared" ref="AL272:AL298" si="652">AG272+AI272+AJ272</f>
        <v>0</v>
      </c>
      <c r="AM272" s="499">
        <f t="shared" ref="AM272:AM298" si="653">AH272+AK272</f>
        <v>0</v>
      </c>
      <c r="AN272" s="500">
        <f t="shared" ref="AN272:AN298" si="654">SUM(AL272:AM272)</f>
        <v>0</v>
      </c>
      <c r="AO272" s="497">
        <f t="shared" si="639"/>
        <v>0</v>
      </c>
      <c r="AP272" s="498">
        <f t="shared" si="640"/>
        <v>0</v>
      </c>
      <c r="AQ272" s="498">
        <f t="shared" si="641"/>
        <v>0</v>
      </c>
      <c r="AR272" s="498">
        <f t="shared" si="642"/>
        <v>0</v>
      </c>
      <c r="AS272" s="498">
        <f t="shared" si="642"/>
        <v>0</v>
      </c>
      <c r="AT272" s="498">
        <f t="shared" si="643"/>
        <v>0</v>
      </c>
      <c r="AU272" s="499">
        <f t="shared" si="644"/>
        <v>0</v>
      </c>
      <c r="AV272" s="499">
        <f t="shared" si="645"/>
        <v>0</v>
      </c>
      <c r="AW272" s="500">
        <f t="shared" si="645"/>
        <v>0</v>
      </c>
    </row>
    <row r="273" spans="1:49" s="569" customFormat="1" ht="12.75" customHeight="1" x14ac:dyDescent="0.2">
      <c r="A273" s="531">
        <v>49</v>
      </c>
      <c r="B273" s="532">
        <v>4490</v>
      </c>
      <c r="C273" s="532">
        <v>600074692</v>
      </c>
      <c r="D273" s="532">
        <v>72745088</v>
      </c>
      <c r="E273" s="530" t="s">
        <v>246</v>
      </c>
      <c r="F273" s="532">
        <v>3141</v>
      </c>
      <c r="G273" s="533" t="s">
        <v>321</v>
      </c>
      <c r="H273" s="534" t="s">
        <v>284</v>
      </c>
      <c r="I273" s="575">
        <f t="shared" si="633"/>
        <v>462115</v>
      </c>
      <c r="J273" s="496">
        <v>338881</v>
      </c>
      <c r="K273" s="131">
        <f>ROUND((J273)*33.8%,0)</f>
        <v>114542</v>
      </c>
      <c r="L273" s="131">
        <f>ROUND(J273*2%,0)</f>
        <v>6778</v>
      </c>
      <c r="M273" s="496">
        <v>1914</v>
      </c>
      <c r="N273" s="576">
        <f t="shared" si="636"/>
        <v>1.1499999999999999</v>
      </c>
      <c r="O273" s="577">
        <v>0</v>
      </c>
      <c r="P273" s="607">
        <v>1.1499999999999999</v>
      </c>
      <c r="Q273" s="579">
        <f t="shared" si="637"/>
        <v>-4000</v>
      </c>
      <c r="R273" s="498">
        <v>0</v>
      </c>
      <c r="S273" s="498">
        <v>0</v>
      </c>
      <c r="T273" s="498">
        <v>0</v>
      </c>
      <c r="U273" s="498">
        <f t="shared" si="646"/>
        <v>-4000</v>
      </c>
      <c r="V273" s="498">
        <v>4000</v>
      </c>
      <c r="W273" s="498">
        <v>0</v>
      </c>
      <c r="X273" s="498">
        <v>0</v>
      </c>
      <c r="Y273" s="498">
        <f t="shared" si="647"/>
        <v>4000</v>
      </c>
      <c r="Z273" s="498">
        <f t="shared" si="648"/>
        <v>0</v>
      </c>
      <c r="AA273" s="131">
        <f t="shared" si="638"/>
        <v>0</v>
      </c>
      <c r="AB273" s="131">
        <f t="shared" si="649"/>
        <v>-80</v>
      </c>
      <c r="AC273" s="498">
        <v>0</v>
      </c>
      <c r="AD273" s="498">
        <v>0</v>
      </c>
      <c r="AE273" s="498">
        <f t="shared" si="650"/>
        <v>0</v>
      </c>
      <c r="AF273" s="498">
        <f t="shared" si="651"/>
        <v>-80</v>
      </c>
      <c r="AG273" s="499">
        <v>0</v>
      </c>
      <c r="AH273" s="499">
        <v>0</v>
      </c>
      <c r="AI273" s="499">
        <v>0</v>
      </c>
      <c r="AJ273" s="499">
        <v>0</v>
      </c>
      <c r="AK273" s="499">
        <v>0</v>
      </c>
      <c r="AL273" s="499">
        <f t="shared" si="652"/>
        <v>0</v>
      </c>
      <c r="AM273" s="499">
        <f t="shared" si="653"/>
        <v>0</v>
      </c>
      <c r="AN273" s="500">
        <f t="shared" si="654"/>
        <v>0</v>
      </c>
      <c r="AO273" s="497">
        <f t="shared" si="639"/>
        <v>462035</v>
      </c>
      <c r="AP273" s="498">
        <f t="shared" si="640"/>
        <v>334881</v>
      </c>
      <c r="AQ273" s="498">
        <f t="shared" si="641"/>
        <v>4000</v>
      </c>
      <c r="AR273" s="498">
        <f t="shared" si="642"/>
        <v>114542</v>
      </c>
      <c r="AS273" s="498">
        <f t="shared" si="642"/>
        <v>6698</v>
      </c>
      <c r="AT273" s="498">
        <f t="shared" si="643"/>
        <v>1914</v>
      </c>
      <c r="AU273" s="499">
        <f t="shared" si="644"/>
        <v>1.1499999999999999</v>
      </c>
      <c r="AV273" s="499">
        <f t="shared" si="645"/>
        <v>0</v>
      </c>
      <c r="AW273" s="500">
        <f t="shared" si="645"/>
        <v>1.1499999999999999</v>
      </c>
    </row>
    <row r="274" spans="1:49" s="569" customFormat="1" ht="12.75" customHeight="1" x14ac:dyDescent="0.2">
      <c r="A274" s="531">
        <v>49</v>
      </c>
      <c r="B274" s="532">
        <v>4490</v>
      </c>
      <c r="C274" s="532">
        <v>600074692</v>
      </c>
      <c r="D274" s="532">
        <v>72745088</v>
      </c>
      <c r="E274" s="530" t="s">
        <v>246</v>
      </c>
      <c r="F274" s="532">
        <v>3143</v>
      </c>
      <c r="G274" s="533" t="s">
        <v>635</v>
      </c>
      <c r="H274" s="574" t="s">
        <v>283</v>
      </c>
      <c r="I274" s="575">
        <f t="shared" si="633"/>
        <v>639478</v>
      </c>
      <c r="J274" s="496">
        <v>470897</v>
      </c>
      <c r="K274" s="131">
        <f t="shared" ref="K274:K275" si="655">ROUND((J274)*33.8%,0)</f>
        <v>159163</v>
      </c>
      <c r="L274" s="131">
        <f t="shared" ref="L274:L275" si="656">ROUND(J274*2%,0)</f>
        <v>9418</v>
      </c>
      <c r="M274" s="496"/>
      <c r="N274" s="576">
        <f t="shared" si="636"/>
        <v>1</v>
      </c>
      <c r="O274" s="577">
        <v>1</v>
      </c>
      <c r="P274" s="607">
        <v>0</v>
      </c>
      <c r="Q274" s="579">
        <f t="shared" si="637"/>
        <v>0</v>
      </c>
      <c r="R274" s="498">
        <v>0</v>
      </c>
      <c r="S274" s="498">
        <v>0</v>
      </c>
      <c r="T274" s="498">
        <v>0</v>
      </c>
      <c r="U274" s="498">
        <f t="shared" si="646"/>
        <v>0</v>
      </c>
      <c r="V274" s="498">
        <v>0</v>
      </c>
      <c r="W274" s="498">
        <v>0</v>
      </c>
      <c r="X274" s="498">
        <v>0</v>
      </c>
      <c r="Y274" s="498">
        <f t="shared" si="647"/>
        <v>0</v>
      </c>
      <c r="Z274" s="498">
        <f t="shared" si="648"/>
        <v>0</v>
      </c>
      <c r="AA274" s="131">
        <f t="shared" si="638"/>
        <v>0</v>
      </c>
      <c r="AB274" s="131">
        <f t="shared" si="649"/>
        <v>0</v>
      </c>
      <c r="AC274" s="498">
        <v>0</v>
      </c>
      <c r="AD274" s="498">
        <v>0</v>
      </c>
      <c r="AE274" s="498">
        <f t="shared" si="650"/>
        <v>0</v>
      </c>
      <c r="AF274" s="498">
        <f t="shared" si="651"/>
        <v>0</v>
      </c>
      <c r="AG274" s="499">
        <v>0</v>
      </c>
      <c r="AH274" s="499">
        <v>0</v>
      </c>
      <c r="AI274" s="499">
        <v>0</v>
      </c>
      <c r="AJ274" s="499">
        <v>0</v>
      </c>
      <c r="AK274" s="499">
        <v>0</v>
      </c>
      <c r="AL274" s="499">
        <f t="shared" si="652"/>
        <v>0</v>
      </c>
      <c r="AM274" s="499">
        <f t="shared" si="653"/>
        <v>0</v>
      </c>
      <c r="AN274" s="500">
        <f t="shared" si="654"/>
        <v>0</v>
      </c>
      <c r="AO274" s="497">
        <f t="shared" si="639"/>
        <v>639478</v>
      </c>
      <c r="AP274" s="498">
        <f t="shared" si="640"/>
        <v>470897</v>
      </c>
      <c r="AQ274" s="498">
        <f t="shared" si="641"/>
        <v>0</v>
      </c>
      <c r="AR274" s="498">
        <f t="shared" si="642"/>
        <v>159163</v>
      </c>
      <c r="AS274" s="498">
        <f t="shared" si="642"/>
        <v>9418</v>
      </c>
      <c r="AT274" s="498">
        <f t="shared" si="643"/>
        <v>0</v>
      </c>
      <c r="AU274" s="499">
        <f t="shared" si="644"/>
        <v>1</v>
      </c>
      <c r="AV274" s="499">
        <f t="shared" si="645"/>
        <v>1</v>
      </c>
      <c r="AW274" s="500">
        <f t="shared" si="645"/>
        <v>0</v>
      </c>
    </row>
    <row r="275" spans="1:49" s="569" customFormat="1" ht="12.75" customHeight="1" x14ac:dyDescent="0.2">
      <c r="A275" s="531">
        <v>49</v>
      </c>
      <c r="B275" s="532">
        <v>4490</v>
      </c>
      <c r="C275" s="532">
        <v>600074692</v>
      </c>
      <c r="D275" s="532">
        <v>72745088</v>
      </c>
      <c r="E275" s="530" t="s">
        <v>246</v>
      </c>
      <c r="F275" s="532">
        <v>3143</v>
      </c>
      <c r="G275" s="533" t="s">
        <v>636</v>
      </c>
      <c r="H275" s="574" t="s">
        <v>284</v>
      </c>
      <c r="I275" s="575">
        <f>SUM(J275:M275)</f>
        <v>11937</v>
      </c>
      <c r="J275" s="496">
        <v>8415</v>
      </c>
      <c r="K275" s="131">
        <f t="shared" si="655"/>
        <v>2844</v>
      </c>
      <c r="L275" s="131">
        <f t="shared" si="656"/>
        <v>168</v>
      </c>
      <c r="M275" s="496">
        <v>510</v>
      </c>
      <c r="N275" s="576">
        <f t="shared" si="636"/>
        <v>0.04</v>
      </c>
      <c r="O275" s="577">
        <v>0</v>
      </c>
      <c r="P275" s="607">
        <v>0.04</v>
      </c>
      <c r="Q275" s="579">
        <f t="shared" si="637"/>
        <v>0</v>
      </c>
      <c r="R275" s="498">
        <v>0</v>
      </c>
      <c r="S275" s="498">
        <v>0</v>
      </c>
      <c r="T275" s="498">
        <v>0</v>
      </c>
      <c r="U275" s="498">
        <f t="shared" si="646"/>
        <v>0</v>
      </c>
      <c r="V275" s="498">
        <v>0</v>
      </c>
      <c r="W275" s="498">
        <v>0</v>
      </c>
      <c r="X275" s="498">
        <v>0</v>
      </c>
      <c r="Y275" s="498">
        <f t="shared" si="647"/>
        <v>0</v>
      </c>
      <c r="Z275" s="498">
        <f t="shared" si="648"/>
        <v>0</v>
      </c>
      <c r="AA275" s="131">
        <f t="shared" si="638"/>
        <v>0</v>
      </c>
      <c r="AB275" s="131">
        <f t="shared" si="649"/>
        <v>0</v>
      </c>
      <c r="AC275" s="498">
        <v>0</v>
      </c>
      <c r="AD275" s="498">
        <v>0</v>
      </c>
      <c r="AE275" s="498">
        <f t="shared" si="650"/>
        <v>0</v>
      </c>
      <c r="AF275" s="498">
        <f t="shared" si="651"/>
        <v>0</v>
      </c>
      <c r="AG275" s="499">
        <v>0</v>
      </c>
      <c r="AH275" s="499">
        <v>0</v>
      </c>
      <c r="AI275" s="499">
        <v>0</v>
      </c>
      <c r="AJ275" s="499">
        <v>0</v>
      </c>
      <c r="AK275" s="499">
        <v>0</v>
      </c>
      <c r="AL275" s="499">
        <f t="shared" si="652"/>
        <v>0</v>
      </c>
      <c r="AM275" s="499">
        <f t="shared" si="653"/>
        <v>0</v>
      </c>
      <c r="AN275" s="500">
        <f t="shared" si="654"/>
        <v>0</v>
      </c>
      <c r="AO275" s="497">
        <f t="shared" si="639"/>
        <v>11937</v>
      </c>
      <c r="AP275" s="498">
        <f t="shared" si="640"/>
        <v>8415</v>
      </c>
      <c r="AQ275" s="498">
        <f t="shared" si="641"/>
        <v>0</v>
      </c>
      <c r="AR275" s="498">
        <f t="shared" si="642"/>
        <v>2844</v>
      </c>
      <c r="AS275" s="498">
        <f t="shared" si="642"/>
        <v>168</v>
      </c>
      <c r="AT275" s="498">
        <f t="shared" si="643"/>
        <v>510</v>
      </c>
      <c r="AU275" s="499">
        <f t="shared" si="644"/>
        <v>0.04</v>
      </c>
      <c r="AV275" s="499">
        <f t="shared" si="645"/>
        <v>0</v>
      </c>
      <c r="AW275" s="500">
        <f t="shared" si="645"/>
        <v>0.04</v>
      </c>
    </row>
    <row r="276" spans="1:49" s="569" customFormat="1" ht="12.75" customHeight="1" x14ac:dyDescent="0.2">
      <c r="A276" s="302">
        <v>49</v>
      </c>
      <c r="B276" s="32">
        <v>4490</v>
      </c>
      <c r="C276" s="32">
        <v>600074692</v>
      </c>
      <c r="D276" s="32">
        <v>72745088</v>
      </c>
      <c r="E276" s="311" t="s">
        <v>247</v>
      </c>
      <c r="F276" s="32"/>
      <c r="G276" s="301"/>
      <c r="H276" s="454"/>
      <c r="I276" s="6">
        <f t="shared" ref="I276:AW276" si="657">SUM(I270:I275)</f>
        <v>4737600</v>
      </c>
      <c r="J276" s="10">
        <f t="shared" si="657"/>
        <v>3460167</v>
      </c>
      <c r="K276" s="10">
        <f t="shared" si="657"/>
        <v>1169536</v>
      </c>
      <c r="L276" s="10">
        <f t="shared" si="657"/>
        <v>69203</v>
      </c>
      <c r="M276" s="10">
        <f t="shared" si="657"/>
        <v>38694</v>
      </c>
      <c r="N276" s="11">
        <f t="shared" si="657"/>
        <v>8.0433999999999983</v>
      </c>
      <c r="O276" s="11">
        <f t="shared" si="657"/>
        <v>5.3574000000000002</v>
      </c>
      <c r="P276" s="38">
        <f t="shared" si="657"/>
        <v>2.6859999999999999</v>
      </c>
      <c r="Q276" s="6">
        <f t="shared" si="657"/>
        <v>-8000</v>
      </c>
      <c r="R276" s="10">
        <f t="shared" si="657"/>
        <v>0</v>
      </c>
      <c r="S276" s="10">
        <f t="shared" si="657"/>
        <v>0</v>
      </c>
      <c r="T276" s="10">
        <f t="shared" si="657"/>
        <v>0</v>
      </c>
      <c r="U276" s="10">
        <f t="shared" si="657"/>
        <v>-8000</v>
      </c>
      <c r="V276" s="10">
        <f t="shared" si="657"/>
        <v>8000</v>
      </c>
      <c r="W276" s="10">
        <f t="shared" si="657"/>
        <v>0</v>
      </c>
      <c r="X276" s="10">
        <f t="shared" si="657"/>
        <v>0</v>
      </c>
      <c r="Y276" s="10">
        <f t="shared" si="657"/>
        <v>8000</v>
      </c>
      <c r="Z276" s="10">
        <f t="shared" si="657"/>
        <v>0</v>
      </c>
      <c r="AA276" s="10">
        <f t="shared" si="657"/>
        <v>0</v>
      </c>
      <c r="AB276" s="10">
        <f t="shared" si="657"/>
        <v>-160</v>
      </c>
      <c r="AC276" s="10">
        <f t="shared" si="657"/>
        <v>0</v>
      </c>
      <c r="AD276" s="10">
        <f t="shared" si="657"/>
        <v>0</v>
      </c>
      <c r="AE276" s="10">
        <f t="shared" si="657"/>
        <v>0</v>
      </c>
      <c r="AF276" s="10">
        <f t="shared" si="657"/>
        <v>-160</v>
      </c>
      <c r="AG276" s="11">
        <f t="shared" si="657"/>
        <v>0</v>
      </c>
      <c r="AH276" s="11">
        <f t="shared" si="657"/>
        <v>0</v>
      </c>
      <c r="AI276" s="11">
        <f t="shared" si="657"/>
        <v>0</v>
      </c>
      <c r="AJ276" s="11">
        <f t="shared" si="657"/>
        <v>0</v>
      </c>
      <c r="AK276" s="11">
        <f t="shared" si="657"/>
        <v>0</v>
      </c>
      <c r="AL276" s="11">
        <f t="shared" si="657"/>
        <v>0</v>
      </c>
      <c r="AM276" s="11">
        <f t="shared" si="657"/>
        <v>0</v>
      </c>
      <c r="AN276" s="93">
        <f t="shared" si="657"/>
        <v>0</v>
      </c>
      <c r="AO276" s="296">
        <f t="shared" si="657"/>
        <v>4737440</v>
      </c>
      <c r="AP276" s="10">
        <f t="shared" si="657"/>
        <v>3452167</v>
      </c>
      <c r="AQ276" s="10">
        <f t="shared" si="657"/>
        <v>8000</v>
      </c>
      <c r="AR276" s="10">
        <f t="shared" si="657"/>
        <v>1169536</v>
      </c>
      <c r="AS276" s="10">
        <f t="shared" si="657"/>
        <v>69043</v>
      </c>
      <c r="AT276" s="10">
        <f t="shared" si="657"/>
        <v>38694</v>
      </c>
      <c r="AU276" s="11">
        <f t="shared" si="657"/>
        <v>8.0433999999999983</v>
      </c>
      <c r="AV276" s="11">
        <f t="shared" si="657"/>
        <v>5.3574000000000002</v>
      </c>
      <c r="AW276" s="93">
        <f t="shared" si="657"/>
        <v>2.6859999999999999</v>
      </c>
    </row>
    <row r="277" spans="1:49" s="569" customFormat="1" ht="12.75" customHeight="1" x14ac:dyDescent="0.2">
      <c r="A277" s="531">
        <v>50</v>
      </c>
      <c r="B277" s="532">
        <v>4491</v>
      </c>
      <c r="C277" s="532">
        <v>650050517</v>
      </c>
      <c r="D277" s="532">
        <v>72742437</v>
      </c>
      <c r="E277" s="530" t="s">
        <v>248</v>
      </c>
      <c r="F277" s="532">
        <v>3111</v>
      </c>
      <c r="G277" s="533" t="s">
        <v>317</v>
      </c>
      <c r="H277" s="534" t="s">
        <v>283</v>
      </c>
      <c r="I277" s="575">
        <f t="shared" ref="I277:I281" si="658">SUM(J277:M277)</f>
        <v>1646345</v>
      </c>
      <c r="J277" s="496">
        <v>1204046</v>
      </c>
      <c r="K277" s="131">
        <f t="shared" ref="K277:K279" si="659">ROUND((J277)*33.8%,0)</f>
        <v>406968</v>
      </c>
      <c r="L277" s="131">
        <f t="shared" ref="L277:L279" si="660">ROUND(J277*2%,0)</f>
        <v>24081</v>
      </c>
      <c r="M277" s="496">
        <v>11250</v>
      </c>
      <c r="N277" s="576">
        <f t="shared" ref="N277:N282" si="661">SUM(O277:P277)</f>
        <v>2.5108999999999999</v>
      </c>
      <c r="O277" s="577">
        <v>2</v>
      </c>
      <c r="P277" s="607">
        <v>0.51090000000000002</v>
      </c>
      <c r="Q277" s="579">
        <f t="shared" ref="Q277:Q282" si="662">V277*-1</f>
        <v>-1600</v>
      </c>
      <c r="R277" s="498">
        <v>0</v>
      </c>
      <c r="S277" s="498">
        <v>0</v>
      </c>
      <c r="T277" s="498">
        <v>0</v>
      </c>
      <c r="U277" s="498">
        <f t="shared" si="646"/>
        <v>-1600</v>
      </c>
      <c r="V277" s="498">
        <v>1600</v>
      </c>
      <c r="W277" s="498">
        <v>0</v>
      </c>
      <c r="X277" s="498">
        <v>0</v>
      </c>
      <c r="Y277" s="498">
        <f t="shared" si="647"/>
        <v>1600</v>
      </c>
      <c r="Z277" s="498">
        <f t="shared" si="648"/>
        <v>0</v>
      </c>
      <c r="AA277" s="131">
        <f t="shared" ref="AA277:AA282" si="663">ROUND((U277+V277+W277)*33.8%,0)</f>
        <v>0</v>
      </c>
      <c r="AB277" s="131">
        <f t="shared" si="649"/>
        <v>-32</v>
      </c>
      <c r="AC277" s="498">
        <v>0</v>
      </c>
      <c r="AD277" s="498">
        <v>0</v>
      </c>
      <c r="AE277" s="498">
        <f t="shared" si="650"/>
        <v>0</v>
      </c>
      <c r="AF277" s="498">
        <f t="shared" si="651"/>
        <v>-32</v>
      </c>
      <c r="AG277" s="499">
        <v>0</v>
      </c>
      <c r="AH277" s="499">
        <v>0</v>
      </c>
      <c r="AI277" s="499">
        <v>0</v>
      </c>
      <c r="AJ277" s="499">
        <v>0</v>
      </c>
      <c r="AK277" s="499">
        <v>0</v>
      </c>
      <c r="AL277" s="499">
        <f t="shared" si="652"/>
        <v>0</v>
      </c>
      <c r="AM277" s="499">
        <f t="shared" si="653"/>
        <v>0</v>
      </c>
      <c r="AN277" s="500">
        <f t="shared" si="654"/>
        <v>0</v>
      </c>
      <c r="AO277" s="497">
        <f t="shared" ref="AO277:AO282" si="664">I277+AF277</f>
        <v>1646313</v>
      </c>
      <c r="AP277" s="498">
        <f t="shared" ref="AP277:AP282" si="665">J277+U277</f>
        <v>1202446</v>
      </c>
      <c r="AQ277" s="498">
        <f t="shared" ref="AQ277:AQ282" si="666">Y277</f>
        <v>1600</v>
      </c>
      <c r="AR277" s="498">
        <f t="shared" ref="AR277:AS282" si="667">K277+AA277</f>
        <v>406968</v>
      </c>
      <c r="AS277" s="498">
        <f t="shared" si="667"/>
        <v>24049</v>
      </c>
      <c r="AT277" s="498">
        <f t="shared" ref="AT277:AT282" si="668">M277+AE277</f>
        <v>11250</v>
      </c>
      <c r="AU277" s="499">
        <f t="shared" ref="AU277:AU282" si="669">N277+AN277</f>
        <v>2.5108999999999999</v>
      </c>
      <c r="AV277" s="499">
        <f t="shared" ref="AV277:AW282" si="670">O277+AL277</f>
        <v>2</v>
      </c>
      <c r="AW277" s="500">
        <f t="shared" si="670"/>
        <v>0.51090000000000002</v>
      </c>
    </row>
    <row r="278" spans="1:49" s="569" customFormat="1" ht="12.75" customHeight="1" x14ac:dyDescent="0.2">
      <c r="A278" s="531">
        <v>50</v>
      </c>
      <c r="B278" s="532">
        <v>4491</v>
      </c>
      <c r="C278" s="532">
        <v>650050517</v>
      </c>
      <c r="D278" s="532">
        <v>72742437</v>
      </c>
      <c r="E278" s="530" t="s">
        <v>248</v>
      </c>
      <c r="F278" s="532">
        <v>3117</v>
      </c>
      <c r="G278" s="533" t="s">
        <v>320</v>
      </c>
      <c r="H278" s="534" t="s">
        <v>283</v>
      </c>
      <c r="I278" s="575">
        <f t="shared" si="658"/>
        <v>3488352</v>
      </c>
      <c r="J278" s="496">
        <v>2522152</v>
      </c>
      <c r="K278" s="131">
        <f t="shared" si="659"/>
        <v>852487</v>
      </c>
      <c r="L278" s="131">
        <f t="shared" si="660"/>
        <v>50443</v>
      </c>
      <c r="M278" s="496">
        <v>63270</v>
      </c>
      <c r="N278" s="576">
        <f t="shared" si="661"/>
        <v>4.4424999999999999</v>
      </c>
      <c r="O278" s="577">
        <v>3</v>
      </c>
      <c r="P278" s="607">
        <v>1.4425000000000001</v>
      </c>
      <c r="Q278" s="579">
        <f t="shared" si="662"/>
        <v>-3200</v>
      </c>
      <c r="R278" s="498">
        <v>0</v>
      </c>
      <c r="S278" s="498">
        <v>0</v>
      </c>
      <c r="T278" s="498">
        <v>0</v>
      </c>
      <c r="U278" s="498">
        <f t="shared" si="646"/>
        <v>-3200</v>
      </c>
      <c r="V278" s="498">
        <v>3200</v>
      </c>
      <c r="W278" s="498">
        <v>0</v>
      </c>
      <c r="X278" s="498">
        <v>0</v>
      </c>
      <c r="Y278" s="498">
        <f t="shared" si="647"/>
        <v>3200</v>
      </c>
      <c r="Z278" s="498">
        <f t="shared" si="648"/>
        <v>0</v>
      </c>
      <c r="AA278" s="131">
        <f t="shared" si="663"/>
        <v>0</v>
      </c>
      <c r="AB278" s="131">
        <f t="shared" si="649"/>
        <v>-64</v>
      </c>
      <c r="AC278" s="498">
        <v>0</v>
      </c>
      <c r="AD278" s="498">
        <v>0</v>
      </c>
      <c r="AE278" s="498">
        <f t="shared" si="650"/>
        <v>0</v>
      </c>
      <c r="AF278" s="498">
        <f t="shared" si="651"/>
        <v>-64</v>
      </c>
      <c r="AG278" s="499">
        <v>-0.01</v>
      </c>
      <c r="AH278" s="499">
        <v>0</v>
      </c>
      <c r="AI278" s="499">
        <v>0</v>
      </c>
      <c r="AJ278" s="499">
        <v>0</v>
      </c>
      <c r="AK278" s="499">
        <v>0</v>
      </c>
      <c r="AL278" s="499">
        <f t="shared" si="652"/>
        <v>-0.01</v>
      </c>
      <c r="AM278" s="499">
        <f t="shared" si="653"/>
        <v>0</v>
      </c>
      <c r="AN278" s="500">
        <f t="shared" si="654"/>
        <v>-0.01</v>
      </c>
      <c r="AO278" s="497">
        <f t="shared" si="664"/>
        <v>3488288</v>
      </c>
      <c r="AP278" s="498">
        <f t="shared" si="665"/>
        <v>2518952</v>
      </c>
      <c r="AQ278" s="498">
        <f t="shared" si="666"/>
        <v>3200</v>
      </c>
      <c r="AR278" s="498">
        <f t="shared" si="667"/>
        <v>852487</v>
      </c>
      <c r="AS278" s="498">
        <f t="shared" si="667"/>
        <v>50379</v>
      </c>
      <c r="AT278" s="498">
        <f t="shared" si="668"/>
        <v>63270</v>
      </c>
      <c r="AU278" s="499">
        <f t="shared" si="669"/>
        <v>4.4325000000000001</v>
      </c>
      <c r="AV278" s="499">
        <f t="shared" si="670"/>
        <v>2.99</v>
      </c>
      <c r="AW278" s="500">
        <f t="shared" si="670"/>
        <v>1.4425000000000001</v>
      </c>
    </row>
    <row r="279" spans="1:49" s="569" customFormat="1" ht="12.75" customHeight="1" x14ac:dyDescent="0.2">
      <c r="A279" s="531">
        <v>50</v>
      </c>
      <c r="B279" s="532">
        <v>4491</v>
      </c>
      <c r="C279" s="532">
        <v>650050517</v>
      </c>
      <c r="D279" s="532">
        <v>72742437</v>
      </c>
      <c r="E279" s="530" t="s">
        <v>248</v>
      </c>
      <c r="F279" s="532">
        <v>3117</v>
      </c>
      <c r="G279" s="533" t="s">
        <v>318</v>
      </c>
      <c r="H279" s="534" t="s">
        <v>284</v>
      </c>
      <c r="I279" s="575">
        <f t="shared" si="658"/>
        <v>0</v>
      </c>
      <c r="J279" s="496">
        <v>0</v>
      </c>
      <c r="K279" s="131">
        <f t="shared" si="659"/>
        <v>0</v>
      </c>
      <c r="L279" s="131">
        <f t="shared" si="660"/>
        <v>0</v>
      </c>
      <c r="M279" s="496">
        <v>0</v>
      </c>
      <c r="N279" s="576">
        <f t="shared" si="661"/>
        <v>0</v>
      </c>
      <c r="O279" s="577">
        <v>0</v>
      </c>
      <c r="P279" s="607">
        <v>0</v>
      </c>
      <c r="Q279" s="579">
        <f t="shared" si="662"/>
        <v>0</v>
      </c>
      <c r="R279" s="496">
        <v>346443</v>
      </c>
      <c r="S279" s="498">
        <v>0</v>
      </c>
      <c r="T279" s="498">
        <v>0</v>
      </c>
      <c r="U279" s="498">
        <f t="shared" si="646"/>
        <v>346443</v>
      </c>
      <c r="V279" s="498">
        <v>0</v>
      </c>
      <c r="W279" s="498">
        <v>0</v>
      </c>
      <c r="X279" s="498">
        <v>0</v>
      </c>
      <c r="Y279" s="498">
        <f t="shared" si="647"/>
        <v>0</v>
      </c>
      <c r="Z279" s="498">
        <f t="shared" si="648"/>
        <v>346443</v>
      </c>
      <c r="AA279" s="131">
        <f t="shared" si="663"/>
        <v>117098</v>
      </c>
      <c r="AB279" s="131">
        <f t="shared" si="649"/>
        <v>6929</v>
      </c>
      <c r="AC279" s="498">
        <v>0</v>
      </c>
      <c r="AD279" s="498">
        <v>0</v>
      </c>
      <c r="AE279" s="498">
        <f t="shared" si="650"/>
        <v>0</v>
      </c>
      <c r="AF279" s="498">
        <f t="shared" si="651"/>
        <v>470470</v>
      </c>
      <c r="AG279" s="499">
        <v>0</v>
      </c>
      <c r="AH279" s="499">
        <v>0</v>
      </c>
      <c r="AI279" s="499">
        <v>1</v>
      </c>
      <c r="AJ279" s="499">
        <v>0</v>
      </c>
      <c r="AK279" s="499">
        <v>0</v>
      </c>
      <c r="AL279" s="499">
        <f t="shared" si="652"/>
        <v>1</v>
      </c>
      <c r="AM279" s="499">
        <f t="shared" si="653"/>
        <v>0</v>
      </c>
      <c r="AN279" s="500">
        <f t="shared" si="654"/>
        <v>1</v>
      </c>
      <c r="AO279" s="497">
        <f t="shared" si="664"/>
        <v>470470</v>
      </c>
      <c r="AP279" s="498">
        <f t="shared" si="665"/>
        <v>346443</v>
      </c>
      <c r="AQ279" s="498">
        <f t="shared" si="666"/>
        <v>0</v>
      </c>
      <c r="AR279" s="498">
        <f t="shared" si="667"/>
        <v>117098</v>
      </c>
      <c r="AS279" s="498">
        <f t="shared" si="667"/>
        <v>6929</v>
      </c>
      <c r="AT279" s="498">
        <f t="shared" si="668"/>
        <v>0</v>
      </c>
      <c r="AU279" s="499">
        <f t="shared" si="669"/>
        <v>1</v>
      </c>
      <c r="AV279" s="499">
        <f t="shared" si="670"/>
        <v>1</v>
      </c>
      <c r="AW279" s="500">
        <f t="shared" si="670"/>
        <v>0</v>
      </c>
    </row>
    <row r="280" spans="1:49" s="569" customFormat="1" ht="12.75" customHeight="1" x14ac:dyDescent="0.2">
      <c r="A280" s="531">
        <v>50</v>
      </c>
      <c r="B280" s="532">
        <v>4491</v>
      </c>
      <c r="C280" s="532">
        <v>650050517</v>
      </c>
      <c r="D280" s="532">
        <v>72742437</v>
      </c>
      <c r="E280" s="530" t="s">
        <v>248</v>
      </c>
      <c r="F280" s="532">
        <v>3141</v>
      </c>
      <c r="G280" s="533" t="s">
        <v>321</v>
      </c>
      <c r="H280" s="534" t="s">
        <v>284</v>
      </c>
      <c r="I280" s="575">
        <f t="shared" si="658"/>
        <v>758435</v>
      </c>
      <c r="J280" s="496">
        <v>555192</v>
      </c>
      <c r="K280" s="131">
        <f>ROUND((J280)*33.8%,0)</f>
        <v>187655</v>
      </c>
      <c r="L280" s="131">
        <f>ROUND(J280*2%,0)</f>
        <v>11104</v>
      </c>
      <c r="M280" s="496">
        <v>4484</v>
      </c>
      <c r="N280" s="576">
        <f t="shared" si="661"/>
        <v>1.89</v>
      </c>
      <c r="O280" s="577">
        <v>0</v>
      </c>
      <c r="P280" s="607">
        <v>1.89</v>
      </c>
      <c r="Q280" s="579">
        <f t="shared" si="662"/>
        <v>0</v>
      </c>
      <c r="R280" s="498">
        <v>0</v>
      </c>
      <c r="S280" s="498">
        <v>0</v>
      </c>
      <c r="T280" s="498">
        <v>0</v>
      </c>
      <c r="U280" s="498">
        <f t="shared" si="646"/>
        <v>0</v>
      </c>
      <c r="V280" s="498">
        <v>0</v>
      </c>
      <c r="W280" s="498">
        <v>0</v>
      </c>
      <c r="X280" s="498">
        <v>0</v>
      </c>
      <c r="Y280" s="498">
        <f t="shared" si="647"/>
        <v>0</v>
      </c>
      <c r="Z280" s="498">
        <f t="shared" si="648"/>
        <v>0</v>
      </c>
      <c r="AA280" s="131">
        <f t="shared" si="663"/>
        <v>0</v>
      </c>
      <c r="AB280" s="131">
        <f t="shared" si="649"/>
        <v>0</v>
      </c>
      <c r="AC280" s="498">
        <v>0</v>
      </c>
      <c r="AD280" s="498">
        <v>0</v>
      </c>
      <c r="AE280" s="498">
        <f t="shared" si="650"/>
        <v>0</v>
      </c>
      <c r="AF280" s="498">
        <f t="shared" si="651"/>
        <v>0</v>
      </c>
      <c r="AG280" s="499">
        <v>0</v>
      </c>
      <c r="AH280" s="499">
        <v>0</v>
      </c>
      <c r="AI280" s="499">
        <v>0</v>
      </c>
      <c r="AJ280" s="499">
        <v>0</v>
      </c>
      <c r="AK280" s="499">
        <v>0</v>
      </c>
      <c r="AL280" s="499">
        <f t="shared" si="652"/>
        <v>0</v>
      </c>
      <c r="AM280" s="499">
        <f t="shared" si="653"/>
        <v>0</v>
      </c>
      <c r="AN280" s="500">
        <f t="shared" si="654"/>
        <v>0</v>
      </c>
      <c r="AO280" s="497">
        <f t="shared" si="664"/>
        <v>758435</v>
      </c>
      <c r="AP280" s="498">
        <f t="shared" si="665"/>
        <v>555192</v>
      </c>
      <c r="AQ280" s="498">
        <f t="shared" si="666"/>
        <v>0</v>
      </c>
      <c r="AR280" s="498">
        <f t="shared" si="667"/>
        <v>187655</v>
      </c>
      <c r="AS280" s="498">
        <f t="shared" si="667"/>
        <v>11104</v>
      </c>
      <c r="AT280" s="498">
        <f t="shared" si="668"/>
        <v>4484</v>
      </c>
      <c r="AU280" s="499">
        <f t="shared" si="669"/>
        <v>1.89</v>
      </c>
      <c r="AV280" s="499">
        <f t="shared" si="670"/>
        <v>0</v>
      </c>
      <c r="AW280" s="500">
        <f t="shared" si="670"/>
        <v>1.89</v>
      </c>
    </row>
    <row r="281" spans="1:49" s="569" customFormat="1" ht="12.75" customHeight="1" x14ac:dyDescent="0.2">
      <c r="A281" s="531">
        <v>50</v>
      </c>
      <c r="B281" s="532">
        <v>4491</v>
      </c>
      <c r="C281" s="532">
        <v>650050517</v>
      </c>
      <c r="D281" s="532">
        <v>72742437</v>
      </c>
      <c r="E281" s="530" t="s">
        <v>248</v>
      </c>
      <c r="F281" s="532">
        <v>3143</v>
      </c>
      <c r="G281" s="533" t="s">
        <v>635</v>
      </c>
      <c r="H281" s="574" t="s">
        <v>283</v>
      </c>
      <c r="I281" s="575">
        <f t="shared" si="658"/>
        <v>666263</v>
      </c>
      <c r="J281" s="496">
        <v>490621</v>
      </c>
      <c r="K281" s="131">
        <f t="shared" ref="K281:K282" si="671">ROUND((J281)*33.8%,0)</f>
        <v>165830</v>
      </c>
      <c r="L281" s="131">
        <f t="shared" ref="L281:L282" si="672">ROUND(J281*2%,0)</f>
        <v>9812</v>
      </c>
      <c r="M281" s="496"/>
      <c r="N281" s="576">
        <f t="shared" si="661"/>
        <v>1.0179</v>
      </c>
      <c r="O281" s="577">
        <v>1.0179</v>
      </c>
      <c r="P281" s="607">
        <v>0</v>
      </c>
      <c r="Q281" s="579">
        <f t="shared" si="662"/>
        <v>0</v>
      </c>
      <c r="R281" s="498">
        <v>0</v>
      </c>
      <c r="S281" s="498">
        <v>0</v>
      </c>
      <c r="T281" s="498">
        <v>0</v>
      </c>
      <c r="U281" s="498">
        <f t="shared" si="646"/>
        <v>0</v>
      </c>
      <c r="V281" s="498">
        <v>0</v>
      </c>
      <c r="W281" s="498">
        <v>0</v>
      </c>
      <c r="X281" s="498">
        <v>0</v>
      </c>
      <c r="Y281" s="498">
        <f t="shared" si="647"/>
        <v>0</v>
      </c>
      <c r="Z281" s="498">
        <f t="shared" si="648"/>
        <v>0</v>
      </c>
      <c r="AA281" s="131">
        <f t="shared" si="663"/>
        <v>0</v>
      </c>
      <c r="AB281" s="131">
        <f t="shared" si="649"/>
        <v>0</v>
      </c>
      <c r="AC281" s="498">
        <v>0</v>
      </c>
      <c r="AD281" s="498">
        <v>0</v>
      </c>
      <c r="AE281" s="498">
        <f t="shared" si="650"/>
        <v>0</v>
      </c>
      <c r="AF281" s="498">
        <f t="shared" si="651"/>
        <v>0</v>
      </c>
      <c r="AG281" s="499">
        <v>0</v>
      </c>
      <c r="AH281" s="499">
        <v>0</v>
      </c>
      <c r="AI281" s="499">
        <v>0</v>
      </c>
      <c r="AJ281" s="499">
        <v>0</v>
      </c>
      <c r="AK281" s="499">
        <v>0</v>
      </c>
      <c r="AL281" s="499">
        <f t="shared" si="652"/>
        <v>0</v>
      </c>
      <c r="AM281" s="499">
        <f t="shared" si="653"/>
        <v>0</v>
      </c>
      <c r="AN281" s="500">
        <f t="shared" si="654"/>
        <v>0</v>
      </c>
      <c r="AO281" s="497">
        <f t="shared" si="664"/>
        <v>666263</v>
      </c>
      <c r="AP281" s="498">
        <f t="shared" si="665"/>
        <v>490621</v>
      </c>
      <c r="AQ281" s="498">
        <f t="shared" si="666"/>
        <v>0</v>
      </c>
      <c r="AR281" s="498">
        <f t="shared" si="667"/>
        <v>165830</v>
      </c>
      <c r="AS281" s="498">
        <f t="shared" si="667"/>
        <v>9812</v>
      </c>
      <c r="AT281" s="498">
        <f t="shared" si="668"/>
        <v>0</v>
      </c>
      <c r="AU281" s="499">
        <f t="shared" si="669"/>
        <v>1.0179</v>
      </c>
      <c r="AV281" s="499">
        <f t="shared" si="670"/>
        <v>1.0179</v>
      </c>
      <c r="AW281" s="500">
        <f t="shared" si="670"/>
        <v>0</v>
      </c>
    </row>
    <row r="282" spans="1:49" s="569" customFormat="1" ht="12.75" customHeight="1" x14ac:dyDescent="0.2">
      <c r="A282" s="531">
        <v>50</v>
      </c>
      <c r="B282" s="532">
        <v>4491</v>
      </c>
      <c r="C282" s="532">
        <v>650050517</v>
      </c>
      <c r="D282" s="532">
        <v>72742437</v>
      </c>
      <c r="E282" s="530" t="s">
        <v>248</v>
      </c>
      <c r="F282" s="532">
        <v>3143</v>
      </c>
      <c r="G282" s="533" t="s">
        <v>636</v>
      </c>
      <c r="H282" s="574" t="s">
        <v>284</v>
      </c>
      <c r="I282" s="575">
        <f>SUM(J282:M282)</f>
        <v>21066</v>
      </c>
      <c r="J282" s="496">
        <v>14850</v>
      </c>
      <c r="K282" s="131">
        <f t="shared" si="671"/>
        <v>5019</v>
      </c>
      <c r="L282" s="131">
        <f t="shared" si="672"/>
        <v>297</v>
      </c>
      <c r="M282" s="496">
        <v>900</v>
      </c>
      <c r="N282" s="576">
        <f t="shared" si="661"/>
        <v>0.06</v>
      </c>
      <c r="O282" s="577">
        <v>0</v>
      </c>
      <c r="P282" s="607">
        <v>0.06</v>
      </c>
      <c r="Q282" s="579">
        <f t="shared" si="662"/>
        <v>0</v>
      </c>
      <c r="R282" s="498">
        <v>0</v>
      </c>
      <c r="S282" s="498">
        <v>0</v>
      </c>
      <c r="T282" s="498">
        <v>0</v>
      </c>
      <c r="U282" s="498">
        <f t="shared" si="646"/>
        <v>0</v>
      </c>
      <c r="V282" s="498">
        <v>0</v>
      </c>
      <c r="W282" s="498">
        <v>0</v>
      </c>
      <c r="X282" s="498">
        <v>0</v>
      </c>
      <c r="Y282" s="498">
        <f t="shared" si="647"/>
        <v>0</v>
      </c>
      <c r="Z282" s="498">
        <f t="shared" si="648"/>
        <v>0</v>
      </c>
      <c r="AA282" s="131">
        <f t="shared" si="663"/>
        <v>0</v>
      </c>
      <c r="AB282" s="131">
        <f t="shared" si="649"/>
        <v>0</v>
      </c>
      <c r="AC282" s="498">
        <v>0</v>
      </c>
      <c r="AD282" s="498">
        <v>0</v>
      </c>
      <c r="AE282" s="498">
        <f t="shared" si="650"/>
        <v>0</v>
      </c>
      <c r="AF282" s="498">
        <f t="shared" si="651"/>
        <v>0</v>
      </c>
      <c r="AG282" s="499">
        <v>0</v>
      </c>
      <c r="AH282" s="499">
        <v>0</v>
      </c>
      <c r="AI282" s="499">
        <v>0</v>
      </c>
      <c r="AJ282" s="499">
        <v>0</v>
      </c>
      <c r="AK282" s="499">
        <v>0</v>
      </c>
      <c r="AL282" s="499">
        <f t="shared" si="652"/>
        <v>0</v>
      </c>
      <c r="AM282" s="499">
        <f t="shared" si="653"/>
        <v>0</v>
      </c>
      <c r="AN282" s="500">
        <f t="shared" si="654"/>
        <v>0</v>
      </c>
      <c r="AO282" s="497">
        <f t="shared" si="664"/>
        <v>21066</v>
      </c>
      <c r="AP282" s="498">
        <f t="shared" si="665"/>
        <v>14850</v>
      </c>
      <c r="AQ282" s="498">
        <f t="shared" si="666"/>
        <v>0</v>
      </c>
      <c r="AR282" s="498">
        <f t="shared" si="667"/>
        <v>5019</v>
      </c>
      <c r="AS282" s="498">
        <f t="shared" si="667"/>
        <v>297</v>
      </c>
      <c r="AT282" s="498">
        <f t="shared" si="668"/>
        <v>900</v>
      </c>
      <c r="AU282" s="499">
        <f t="shared" si="669"/>
        <v>0.06</v>
      </c>
      <c r="AV282" s="499">
        <f t="shared" si="670"/>
        <v>0</v>
      </c>
      <c r="AW282" s="500">
        <f t="shared" si="670"/>
        <v>0.06</v>
      </c>
    </row>
    <row r="283" spans="1:49" s="569" customFormat="1" ht="12.75" customHeight="1" x14ac:dyDescent="0.2">
      <c r="A283" s="302">
        <v>50</v>
      </c>
      <c r="B283" s="32">
        <v>4491</v>
      </c>
      <c r="C283" s="32">
        <v>650050517</v>
      </c>
      <c r="D283" s="32">
        <v>72742437</v>
      </c>
      <c r="E283" s="311" t="s">
        <v>249</v>
      </c>
      <c r="F283" s="32"/>
      <c r="G283" s="301"/>
      <c r="H283" s="454"/>
      <c r="I283" s="5">
        <f t="shared" ref="I283:AW283" si="673">SUM(I277:I282)</f>
        <v>6580461</v>
      </c>
      <c r="J283" s="8">
        <f t="shared" si="673"/>
        <v>4786861</v>
      </c>
      <c r="K283" s="8">
        <f t="shared" si="673"/>
        <v>1617959</v>
      </c>
      <c r="L283" s="8">
        <f t="shared" si="673"/>
        <v>95737</v>
      </c>
      <c r="M283" s="8">
        <f t="shared" si="673"/>
        <v>79904</v>
      </c>
      <c r="N283" s="9">
        <f t="shared" si="673"/>
        <v>9.9213000000000005</v>
      </c>
      <c r="O283" s="9">
        <f t="shared" si="673"/>
        <v>6.0179</v>
      </c>
      <c r="P283" s="39">
        <f t="shared" si="673"/>
        <v>3.9034</v>
      </c>
      <c r="Q283" s="5">
        <f t="shared" si="673"/>
        <v>-4800</v>
      </c>
      <c r="R283" s="8">
        <f t="shared" si="673"/>
        <v>346443</v>
      </c>
      <c r="S283" s="8">
        <f t="shared" si="673"/>
        <v>0</v>
      </c>
      <c r="T283" s="8">
        <f t="shared" si="673"/>
        <v>0</v>
      </c>
      <c r="U283" s="8">
        <f t="shared" si="673"/>
        <v>341643</v>
      </c>
      <c r="V283" s="8">
        <f t="shared" si="673"/>
        <v>4800</v>
      </c>
      <c r="W283" s="8">
        <f t="shared" si="673"/>
        <v>0</v>
      </c>
      <c r="X283" s="8">
        <f t="shared" si="673"/>
        <v>0</v>
      </c>
      <c r="Y283" s="8">
        <f t="shared" si="673"/>
        <v>4800</v>
      </c>
      <c r="Z283" s="8">
        <f t="shared" si="673"/>
        <v>346443</v>
      </c>
      <c r="AA283" s="8">
        <f t="shared" si="673"/>
        <v>117098</v>
      </c>
      <c r="AB283" s="8">
        <f t="shared" si="673"/>
        <v>6833</v>
      </c>
      <c r="AC283" s="8">
        <f t="shared" si="673"/>
        <v>0</v>
      </c>
      <c r="AD283" s="8">
        <f t="shared" si="673"/>
        <v>0</v>
      </c>
      <c r="AE283" s="8">
        <f t="shared" si="673"/>
        <v>0</v>
      </c>
      <c r="AF283" s="8">
        <f t="shared" si="673"/>
        <v>470374</v>
      </c>
      <c r="AG283" s="9">
        <f t="shared" si="673"/>
        <v>-0.01</v>
      </c>
      <c r="AH283" s="9">
        <f t="shared" si="673"/>
        <v>0</v>
      </c>
      <c r="AI283" s="9">
        <f t="shared" si="673"/>
        <v>1</v>
      </c>
      <c r="AJ283" s="9">
        <f t="shared" si="673"/>
        <v>0</v>
      </c>
      <c r="AK283" s="9">
        <f t="shared" si="673"/>
        <v>0</v>
      </c>
      <c r="AL283" s="9">
        <f t="shared" si="673"/>
        <v>0.99</v>
      </c>
      <c r="AM283" s="9">
        <f t="shared" si="673"/>
        <v>0</v>
      </c>
      <c r="AN283" s="92">
        <f t="shared" si="673"/>
        <v>0.99</v>
      </c>
      <c r="AO283" s="295">
        <f t="shared" si="673"/>
        <v>7050835</v>
      </c>
      <c r="AP283" s="8">
        <f t="shared" si="673"/>
        <v>5128504</v>
      </c>
      <c r="AQ283" s="8">
        <f t="shared" si="673"/>
        <v>4800</v>
      </c>
      <c r="AR283" s="8">
        <f t="shared" si="673"/>
        <v>1735057</v>
      </c>
      <c r="AS283" s="8">
        <f t="shared" si="673"/>
        <v>102570</v>
      </c>
      <c r="AT283" s="8">
        <f t="shared" si="673"/>
        <v>79904</v>
      </c>
      <c r="AU283" s="9">
        <f t="shared" si="673"/>
        <v>10.911300000000002</v>
      </c>
      <c r="AV283" s="9">
        <f t="shared" si="673"/>
        <v>7.0079000000000002</v>
      </c>
      <c r="AW283" s="92">
        <f t="shared" si="673"/>
        <v>3.9034</v>
      </c>
    </row>
    <row r="284" spans="1:49" s="569" customFormat="1" ht="12.75" customHeight="1" x14ac:dyDescent="0.2">
      <c r="A284" s="531">
        <v>51</v>
      </c>
      <c r="B284" s="532">
        <v>4465</v>
      </c>
      <c r="C284" s="532">
        <v>600074757</v>
      </c>
      <c r="D284" s="532">
        <v>46750428</v>
      </c>
      <c r="E284" s="530" t="s">
        <v>250</v>
      </c>
      <c r="F284" s="532">
        <v>3111</v>
      </c>
      <c r="G284" s="533" t="s">
        <v>317</v>
      </c>
      <c r="H284" s="534" t="s">
        <v>283</v>
      </c>
      <c r="I284" s="575">
        <f t="shared" ref="I284:I288" si="674">SUM(J284:M284)</f>
        <v>5748869</v>
      </c>
      <c r="J284" s="496">
        <v>4202186</v>
      </c>
      <c r="K284" s="131">
        <f t="shared" ref="K284:K286" si="675">ROUND((J284)*33.8%,0)</f>
        <v>1420339</v>
      </c>
      <c r="L284" s="131">
        <f t="shared" ref="L284:L286" si="676">ROUND(J284*2%,0)</f>
        <v>84044</v>
      </c>
      <c r="M284" s="496">
        <v>42300</v>
      </c>
      <c r="N284" s="576">
        <f t="shared" ref="N284:N289" si="677">SUM(O284:P284)</f>
        <v>9.4468999999999994</v>
      </c>
      <c r="O284" s="577">
        <v>7.4032</v>
      </c>
      <c r="P284" s="607">
        <v>2.0436999999999999</v>
      </c>
      <c r="Q284" s="579">
        <f t="shared" ref="Q284:Q289" si="678">V284*-1</f>
        <v>-28160</v>
      </c>
      <c r="R284" s="498">
        <v>0</v>
      </c>
      <c r="S284" s="498">
        <v>0</v>
      </c>
      <c r="T284" s="498">
        <v>0</v>
      </c>
      <c r="U284" s="498">
        <f t="shared" si="646"/>
        <v>-28160</v>
      </c>
      <c r="V284" s="498">
        <v>28160</v>
      </c>
      <c r="W284" s="498">
        <v>0</v>
      </c>
      <c r="X284" s="498">
        <v>0</v>
      </c>
      <c r="Y284" s="498">
        <f t="shared" si="647"/>
        <v>28160</v>
      </c>
      <c r="Z284" s="498">
        <f t="shared" si="648"/>
        <v>0</v>
      </c>
      <c r="AA284" s="131">
        <f t="shared" ref="AA284:AA289" si="679">ROUND((U284+V284+W284)*33.8%,0)</f>
        <v>0</v>
      </c>
      <c r="AB284" s="131">
        <f t="shared" si="649"/>
        <v>-563</v>
      </c>
      <c r="AC284" s="498">
        <v>0</v>
      </c>
      <c r="AD284" s="498">
        <v>0</v>
      </c>
      <c r="AE284" s="498">
        <f t="shared" si="650"/>
        <v>0</v>
      </c>
      <c r="AF284" s="498">
        <f t="shared" si="651"/>
        <v>-563</v>
      </c>
      <c r="AG284" s="499">
        <v>-0.02</v>
      </c>
      <c r="AH284" s="499">
        <v>0</v>
      </c>
      <c r="AI284" s="499">
        <v>0</v>
      </c>
      <c r="AJ284" s="499">
        <v>0</v>
      </c>
      <c r="AK284" s="499">
        <v>0</v>
      </c>
      <c r="AL284" s="499">
        <f t="shared" si="652"/>
        <v>-0.02</v>
      </c>
      <c r="AM284" s="499">
        <f t="shared" si="653"/>
        <v>0</v>
      </c>
      <c r="AN284" s="500">
        <f t="shared" si="654"/>
        <v>-0.02</v>
      </c>
      <c r="AO284" s="497">
        <f t="shared" ref="AO284:AO289" si="680">I284+AF284</f>
        <v>5748306</v>
      </c>
      <c r="AP284" s="498">
        <f t="shared" ref="AP284:AP289" si="681">J284+U284</f>
        <v>4174026</v>
      </c>
      <c r="AQ284" s="498">
        <f t="shared" ref="AQ284:AQ289" si="682">Y284</f>
        <v>28160</v>
      </c>
      <c r="AR284" s="498">
        <f t="shared" ref="AR284:AS289" si="683">K284+AA284</f>
        <v>1420339</v>
      </c>
      <c r="AS284" s="498">
        <f t="shared" si="683"/>
        <v>83481</v>
      </c>
      <c r="AT284" s="498">
        <f t="shared" ref="AT284:AT289" si="684">M284+AE284</f>
        <v>42300</v>
      </c>
      <c r="AU284" s="499">
        <f t="shared" ref="AU284:AU289" si="685">N284+AN284</f>
        <v>9.4268999999999998</v>
      </c>
      <c r="AV284" s="499">
        <f t="shared" ref="AV284:AW289" si="686">O284+AL284</f>
        <v>7.3832000000000004</v>
      </c>
      <c r="AW284" s="500">
        <f t="shared" si="686"/>
        <v>2.0436999999999999</v>
      </c>
    </row>
    <row r="285" spans="1:49" s="569" customFormat="1" ht="12.75" customHeight="1" x14ac:dyDescent="0.2">
      <c r="A285" s="531">
        <v>51</v>
      </c>
      <c r="B285" s="532">
        <v>4465</v>
      </c>
      <c r="C285" s="532">
        <v>600074757</v>
      </c>
      <c r="D285" s="532">
        <v>46750428</v>
      </c>
      <c r="E285" s="530" t="s">
        <v>250</v>
      </c>
      <c r="F285" s="532">
        <v>3113</v>
      </c>
      <c r="G285" s="533" t="s">
        <v>320</v>
      </c>
      <c r="H285" s="534" t="s">
        <v>283</v>
      </c>
      <c r="I285" s="575">
        <f t="shared" si="674"/>
        <v>23467569</v>
      </c>
      <c r="J285" s="496">
        <v>16920110</v>
      </c>
      <c r="K285" s="131">
        <f t="shared" si="675"/>
        <v>5718997</v>
      </c>
      <c r="L285" s="131">
        <f t="shared" si="676"/>
        <v>338402</v>
      </c>
      <c r="M285" s="496">
        <v>490060</v>
      </c>
      <c r="N285" s="576">
        <f t="shared" si="677"/>
        <v>32.365499999999997</v>
      </c>
      <c r="O285" s="577">
        <v>24.2272</v>
      </c>
      <c r="P285" s="607">
        <v>8.138300000000001</v>
      </c>
      <c r="Q285" s="579">
        <f t="shared" si="678"/>
        <v>-78976</v>
      </c>
      <c r="R285" s="498">
        <v>0</v>
      </c>
      <c r="S285" s="498">
        <v>0</v>
      </c>
      <c r="T285" s="498">
        <v>0</v>
      </c>
      <c r="U285" s="498">
        <f t="shared" si="646"/>
        <v>-78976</v>
      </c>
      <c r="V285" s="498">
        <v>78976</v>
      </c>
      <c r="W285" s="498">
        <v>0</v>
      </c>
      <c r="X285" s="498">
        <v>0</v>
      </c>
      <c r="Y285" s="498">
        <f t="shared" si="647"/>
        <v>78976</v>
      </c>
      <c r="Z285" s="498">
        <f t="shared" si="648"/>
        <v>0</v>
      </c>
      <c r="AA285" s="131">
        <f t="shared" si="679"/>
        <v>0</v>
      </c>
      <c r="AB285" s="131">
        <f t="shared" si="649"/>
        <v>-1580</v>
      </c>
      <c r="AC285" s="498">
        <v>0</v>
      </c>
      <c r="AD285" s="498">
        <v>0</v>
      </c>
      <c r="AE285" s="498">
        <f t="shared" si="650"/>
        <v>0</v>
      </c>
      <c r="AF285" s="498">
        <f t="shared" si="651"/>
        <v>-1580</v>
      </c>
      <c r="AG285" s="499">
        <v>-0.1</v>
      </c>
      <c r="AH285" s="499">
        <v>0</v>
      </c>
      <c r="AI285" s="499">
        <v>0</v>
      </c>
      <c r="AJ285" s="499">
        <v>0</v>
      </c>
      <c r="AK285" s="499">
        <v>0</v>
      </c>
      <c r="AL285" s="499">
        <f t="shared" si="652"/>
        <v>-0.1</v>
      </c>
      <c r="AM285" s="499">
        <f t="shared" si="653"/>
        <v>0</v>
      </c>
      <c r="AN285" s="500">
        <f t="shared" si="654"/>
        <v>-0.1</v>
      </c>
      <c r="AO285" s="497">
        <f t="shared" si="680"/>
        <v>23465989</v>
      </c>
      <c r="AP285" s="498">
        <f t="shared" si="681"/>
        <v>16841134</v>
      </c>
      <c r="AQ285" s="498">
        <f t="shared" si="682"/>
        <v>78976</v>
      </c>
      <c r="AR285" s="498">
        <f t="shared" si="683"/>
        <v>5718997</v>
      </c>
      <c r="AS285" s="498">
        <f t="shared" si="683"/>
        <v>336822</v>
      </c>
      <c r="AT285" s="498">
        <f t="shared" si="684"/>
        <v>490060</v>
      </c>
      <c r="AU285" s="499">
        <f t="shared" si="685"/>
        <v>32.265499999999996</v>
      </c>
      <c r="AV285" s="499">
        <f t="shared" si="686"/>
        <v>24.127199999999998</v>
      </c>
      <c r="AW285" s="500">
        <f t="shared" si="686"/>
        <v>8.138300000000001</v>
      </c>
    </row>
    <row r="286" spans="1:49" s="569" customFormat="1" ht="12.75" customHeight="1" x14ac:dyDescent="0.2">
      <c r="A286" s="531">
        <v>51</v>
      </c>
      <c r="B286" s="532">
        <v>4465</v>
      </c>
      <c r="C286" s="532">
        <v>600074757</v>
      </c>
      <c r="D286" s="532">
        <v>46750428</v>
      </c>
      <c r="E286" s="530" t="s">
        <v>250</v>
      </c>
      <c r="F286" s="532">
        <v>3113</v>
      </c>
      <c r="G286" s="533" t="s">
        <v>318</v>
      </c>
      <c r="H286" s="534" t="s">
        <v>284</v>
      </c>
      <c r="I286" s="575">
        <f t="shared" si="674"/>
        <v>0</v>
      </c>
      <c r="J286" s="496">
        <v>0</v>
      </c>
      <c r="K286" s="131">
        <f t="shared" si="675"/>
        <v>0</v>
      </c>
      <c r="L286" s="131">
        <f t="shared" si="676"/>
        <v>0</v>
      </c>
      <c r="M286" s="496">
        <v>0</v>
      </c>
      <c r="N286" s="576">
        <f t="shared" si="677"/>
        <v>0</v>
      </c>
      <c r="O286" s="577">
        <v>0</v>
      </c>
      <c r="P286" s="607">
        <v>0</v>
      </c>
      <c r="Q286" s="579">
        <f t="shared" si="678"/>
        <v>0</v>
      </c>
      <c r="R286" s="496">
        <v>1841966</v>
      </c>
      <c r="S286" s="498">
        <v>0</v>
      </c>
      <c r="T286" s="498">
        <v>0</v>
      </c>
      <c r="U286" s="498">
        <f t="shared" si="646"/>
        <v>1841966</v>
      </c>
      <c r="V286" s="498">
        <v>0</v>
      </c>
      <c r="W286" s="498">
        <v>0</v>
      </c>
      <c r="X286" s="498">
        <v>0</v>
      </c>
      <c r="Y286" s="498">
        <f t="shared" si="647"/>
        <v>0</v>
      </c>
      <c r="Z286" s="498">
        <f t="shared" si="648"/>
        <v>1841966</v>
      </c>
      <c r="AA286" s="131">
        <f t="shared" si="679"/>
        <v>622585</v>
      </c>
      <c r="AB286" s="131">
        <f t="shared" si="649"/>
        <v>36839</v>
      </c>
      <c r="AC286" s="498">
        <f>3500+1000</f>
        <v>4500</v>
      </c>
      <c r="AD286" s="498">
        <v>0</v>
      </c>
      <c r="AE286" s="498">
        <f t="shared" si="650"/>
        <v>4500</v>
      </c>
      <c r="AF286" s="498">
        <f t="shared" si="651"/>
        <v>2505890</v>
      </c>
      <c r="AG286" s="499">
        <v>0</v>
      </c>
      <c r="AH286" s="499">
        <v>0</v>
      </c>
      <c r="AI286" s="499">
        <v>5.3</v>
      </c>
      <c r="AJ286" s="499">
        <v>0</v>
      </c>
      <c r="AK286" s="499">
        <v>0</v>
      </c>
      <c r="AL286" s="499">
        <f t="shared" si="652"/>
        <v>5.3</v>
      </c>
      <c r="AM286" s="499">
        <f t="shared" si="653"/>
        <v>0</v>
      </c>
      <c r="AN286" s="500">
        <f t="shared" si="654"/>
        <v>5.3</v>
      </c>
      <c r="AO286" s="497">
        <f t="shared" si="680"/>
        <v>2505890</v>
      </c>
      <c r="AP286" s="498">
        <f t="shared" si="681"/>
        <v>1841966</v>
      </c>
      <c r="AQ286" s="498">
        <f t="shared" si="682"/>
        <v>0</v>
      </c>
      <c r="AR286" s="498">
        <f t="shared" si="683"/>
        <v>622585</v>
      </c>
      <c r="AS286" s="498">
        <f t="shared" si="683"/>
        <v>36839</v>
      </c>
      <c r="AT286" s="498">
        <f t="shared" si="684"/>
        <v>4500</v>
      </c>
      <c r="AU286" s="499">
        <f t="shared" si="685"/>
        <v>5.3</v>
      </c>
      <c r="AV286" s="499">
        <f t="shared" si="686"/>
        <v>5.3</v>
      </c>
      <c r="AW286" s="500">
        <f t="shared" si="686"/>
        <v>0</v>
      </c>
    </row>
    <row r="287" spans="1:49" s="569" customFormat="1" ht="12.75" customHeight="1" x14ac:dyDescent="0.2">
      <c r="A287" s="531">
        <v>51</v>
      </c>
      <c r="B287" s="532">
        <v>4465</v>
      </c>
      <c r="C287" s="532">
        <v>600074757</v>
      </c>
      <c r="D287" s="532">
        <v>46750428</v>
      </c>
      <c r="E287" s="530" t="s">
        <v>250</v>
      </c>
      <c r="F287" s="532">
        <v>3141</v>
      </c>
      <c r="G287" s="533" t="s">
        <v>321</v>
      </c>
      <c r="H287" s="534" t="s">
        <v>284</v>
      </c>
      <c r="I287" s="575">
        <f t="shared" si="674"/>
        <v>2712835</v>
      </c>
      <c r="J287" s="496">
        <v>1983652</v>
      </c>
      <c r="K287" s="131">
        <f>ROUND((J287)*33.8%,0)</f>
        <v>670474</v>
      </c>
      <c r="L287" s="131">
        <f>ROUND(J287*2%,0)</f>
        <v>39673</v>
      </c>
      <c r="M287" s="496">
        <v>19036</v>
      </c>
      <c r="N287" s="576">
        <f t="shared" si="677"/>
        <v>6.74</v>
      </c>
      <c r="O287" s="577">
        <v>0</v>
      </c>
      <c r="P287" s="607">
        <v>6.74</v>
      </c>
      <c r="Q287" s="579">
        <f t="shared" si="678"/>
        <v>-54792</v>
      </c>
      <c r="R287" s="498">
        <v>0</v>
      </c>
      <c r="S287" s="498">
        <v>0</v>
      </c>
      <c r="T287" s="498">
        <v>0</v>
      </c>
      <c r="U287" s="498">
        <f t="shared" si="646"/>
        <v>-54792</v>
      </c>
      <c r="V287" s="498">
        <v>54792</v>
      </c>
      <c r="W287" s="498">
        <v>0</v>
      </c>
      <c r="X287" s="498">
        <v>0</v>
      </c>
      <c r="Y287" s="498">
        <f t="shared" si="647"/>
        <v>54792</v>
      </c>
      <c r="Z287" s="498">
        <f t="shared" si="648"/>
        <v>0</v>
      </c>
      <c r="AA287" s="131">
        <f t="shared" si="679"/>
        <v>0</v>
      </c>
      <c r="AB287" s="131">
        <f t="shared" si="649"/>
        <v>-1096</v>
      </c>
      <c r="AC287" s="498">
        <v>0</v>
      </c>
      <c r="AD287" s="498">
        <v>0</v>
      </c>
      <c r="AE287" s="498">
        <f t="shared" si="650"/>
        <v>0</v>
      </c>
      <c r="AF287" s="498">
        <f t="shared" si="651"/>
        <v>-1096</v>
      </c>
      <c r="AG287" s="499">
        <v>0</v>
      </c>
      <c r="AH287" s="499">
        <v>0</v>
      </c>
      <c r="AI287" s="499">
        <v>0</v>
      </c>
      <c r="AJ287" s="499">
        <v>0</v>
      </c>
      <c r="AK287" s="499">
        <v>0</v>
      </c>
      <c r="AL287" s="499">
        <f t="shared" si="652"/>
        <v>0</v>
      </c>
      <c r="AM287" s="499">
        <f t="shared" si="653"/>
        <v>0</v>
      </c>
      <c r="AN287" s="500">
        <f t="shared" si="654"/>
        <v>0</v>
      </c>
      <c r="AO287" s="497">
        <f t="shared" si="680"/>
        <v>2711739</v>
      </c>
      <c r="AP287" s="498">
        <f t="shared" si="681"/>
        <v>1928860</v>
      </c>
      <c r="AQ287" s="498">
        <f t="shared" si="682"/>
        <v>54792</v>
      </c>
      <c r="AR287" s="498">
        <f t="shared" si="683"/>
        <v>670474</v>
      </c>
      <c r="AS287" s="498">
        <f t="shared" si="683"/>
        <v>38577</v>
      </c>
      <c r="AT287" s="498">
        <f t="shared" si="684"/>
        <v>19036</v>
      </c>
      <c r="AU287" s="499">
        <f t="shared" si="685"/>
        <v>6.74</v>
      </c>
      <c r="AV287" s="499">
        <f t="shared" si="686"/>
        <v>0</v>
      </c>
      <c r="AW287" s="500">
        <f t="shared" si="686"/>
        <v>6.74</v>
      </c>
    </row>
    <row r="288" spans="1:49" s="569" customFormat="1" ht="12.75" customHeight="1" x14ac:dyDescent="0.2">
      <c r="A288" s="531">
        <v>51</v>
      </c>
      <c r="B288" s="532">
        <v>4465</v>
      </c>
      <c r="C288" s="532">
        <v>600074757</v>
      </c>
      <c r="D288" s="532">
        <v>46750428</v>
      </c>
      <c r="E288" s="530" t="s">
        <v>250</v>
      </c>
      <c r="F288" s="532">
        <v>3143</v>
      </c>
      <c r="G288" s="533" t="s">
        <v>635</v>
      </c>
      <c r="H288" s="574" t="s">
        <v>283</v>
      </c>
      <c r="I288" s="575">
        <f t="shared" si="674"/>
        <v>1608866</v>
      </c>
      <c r="J288" s="496">
        <v>1184732</v>
      </c>
      <c r="K288" s="131">
        <f t="shared" ref="K288:K289" si="687">ROUND((J288)*33.8%,0)</f>
        <v>400439</v>
      </c>
      <c r="L288" s="131">
        <f t="shared" ref="L288:L289" si="688">ROUND(J288*2%,0)</f>
        <v>23695</v>
      </c>
      <c r="M288" s="496"/>
      <c r="N288" s="576">
        <f t="shared" si="677"/>
        <v>2.6753</v>
      </c>
      <c r="O288" s="577">
        <v>2.6753</v>
      </c>
      <c r="P288" s="607">
        <v>0</v>
      </c>
      <c r="Q288" s="579">
        <f t="shared" si="678"/>
        <v>-20480</v>
      </c>
      <c r="R288" s="498">
        <v>0</v>
      </c>
      <c r="S288" s="498">
        <v>0</v>
      </c>
      <c r="T288" s="498">
        <v>0</v>
      </c>
      <c r="U288" s="498">
        <f t="shared" si="646"/>
        <v>-20480</v>
      </c>
      <c r="V288" s="498">
        <v>20480</v>
      </c>
      <c r="W288" s="498">
        <v>52000</v>
      </c>
      <c r="X288" s="498">
        <v>0</v>
      </c>
      <c r="Y288" s="498">
        <f t="shared" si="647"/>
        <v>72480</v>
      </c>
      <c r="Z288" s="498">
        <f t="shared" si="648"/>
        <v>52000</v>
      </c>
      <c r="AA288" s="131">
        <f t="shared" si="679"/>
        <v>17576</v>
      </c>
      <c r="AB288" s="131">
        <f t="shared" si="649"/>
        <v>-410</v>
      </c>
      <c r="AC288" s="498">
        <v>0</v>
      </c>
      <c r="AD288" s="498">
        <v>0</v>
      </c>
      <c r="AE288" s="498">
        <f t="shared" si="650"/>
        <v>0</v>
      </c>
      <c r="AF288" s="498">
        <f t="shared" si="651"/>
        <v>69166</v>
      </c>
      <c r="AG288" s="499">
        <v>0</v>
      </c>
      <c r="AH288" s="499">
        <v>0</v>
      </c>
      <c r="AI288" s="499">
        <v>0</v>
      </c>
      <c r="AJ288" s="499">
        <v>0</v>
      </c>
      <c r="AK288" s="499">
        <v>0</v>
      </c>
      <c r="AL288" s="499">
        <f t="shared" si="652"/>
        <v>0</v>
      </c>
      <c r="AM288" s="499">
        <f t="shared" si="653"/>
        <v>0</v>
      </c>
      <c r="AN288" s="500">
        <f t="shared" si="654"/>
        <v>0</v>
      </c>
      <c r="AO288" s="497">
        <f t="shared" si="680"/>
        <v>1678032</v>
      </c>
      <c r="AP288" s="498">
        <f t="shared" si="681"/>
        <v>1164252</v>
      </c>
      <c r="AQ288" s="498">
        <f t="shared" si="682"/>
        <v>72480</v>
      </c>
      <c r="AR288" s="498">
        <f t="shared" si="683"/>
        <v>418015</v>
      </c>
      <c r="AS288" s="498">
        <f t="shared" si="683"/>
        <v>23285</v>
      </c>
      <c r="AT288" s="498">
        <f t="shared" si="684"/>
        <v>0</v>
      </c>
      <c r="AU288" s="499">
        <f t="shared" si="685"/>
        <v>2.6753</v>
      </c>
      <c r="AV288" s="499">
        <f t="shared" si="686"/>
        <v>2.6753</v>
      </c>
      <c r="AW288" s="500">
        <f t="shared" si="686"/>
        <v>0</v>
      </c>
    </row>
    <row r="289" spans="1:51" s="569" customFormat="1" ht="12.75" customHeight="1" x14ac:dyDescent="0.2">
      <c r="A289" s="531">
        <v>51</v>
      </c>
      <c r="B289" s="532">
        <v>4465</v>
      </c>
      <c r="C289" s="532">
        <v>600074757</v>
      </c>
      <c r="D289" s="532">
        <v>46750428</v>
      </c>
      <c r="E289" s="530" t="s">
        <v>250</v>
      </c>
      <c r="F289" s="532">
        <v>3143</v>
      </c>
      <c r="G289" s="533" t="s">
        <v>636</v>
      </c>
      <c r="H289" s="574" t="s">
        <v>284</v>
      </c>
      <c r="I289" s="575">
        <f>SUM(J289:M289)</f>
        <v>63199</v>
      </c>
      <c r="J289" s="496">
        <v>44550</v>
      </c>
      <c r="K289" s="131">
        <f t="shared" si="687"/>
        <v>15058</v>
      </c>
      <c r="L289" s="131">
        <f t="shared" si="688"/>
        <v>891</v>
      </c>
      <c r="M289" s="496">
        <v>2700</v>
      </c>
      <c r="N289" s="576">
        <f t="shared" si="677"/>
        <v>0.19</v>
      </c>
      <c r="O289" s="577">
        <v>0</v>
      </c>
      <c r="P289" s="607">
        <v>0.19</v>
      </c>
      <c r="Q289" s="579">
        <f t="shared" si="678"/>
        <v>0</v>
      </c>
      <c r="R289" s="498">
        <v>0</v>
      </c>
      <c r="S289" s="498">
        <v>0</v>
      </c>
      <c r="T289" s="498">
        <v>0</v>
      </c>
      <c r="U289" s="498">
        <f t="shared" si="646"/>
        <v>0</v>
      </c>
      <c r="V289" s="498">
        <v>0</v>
      </c>
      <c r="W289" s="498">
        <v>0</v>
      </c>
      <c r="X289" s="498">
        <v>0</v>
      </c>
      <c r="Y289" s="498">
        <f t="shared" si="647"/>
        <v>0</v>
      </c>
      <c r="Z289" s="498">
        <f t="shared" si="648"/>
        <v>0</v>
      </c>
      <c r="AA289" s="131">
        <f t="shared" si="679"/>
        <v>0</v>
      </c>
      <c r="AB289" s="131">
        <f t="shared" si="649"/>
        <v>0</v>
      </c>
      <c r="AC289" s="498">
        <v>0</v>
      </c>
      <c r="AD289" s="498">
        <v>0</v>
      </c>
      <c r="AE289" s="498">
        <f t="shared" si="650"/>
        <v>0</v>
      </c>
      <c r="AF289" s="498">
        <f t="shared" si="651"/>
        <v>0</v>
      </c>
      <c r="AG289" s="499">
        <v>0</v>
      </c>
      <c r="AH289" s="499">
        <v>0</v>
      </c>
      <c r="AI289" s="499">
        <v>0</v>
      </c>
      <c r="AJ289" s="499">
        <v>0</v>
      </c>
      <c r="AK289" s="499">
        <v>0</v>
      </c>
      <c r="AL289" s="499">
        <f t="shared" si="652"/>
        <v>0</v>
      </c>
      <c r="AM289" s="499">
        <f t="shared" si="653"/>
        <v>0</v>
      </c>
      <c r="AN289" s="500">
        <f t="shared" si="654"/>
        <v>0</v>
      </c>
      <c r="AO289" s="497">
        <f t="shared" si="680"/>
        <v>63199</v>
      </c>
      <c r="AP289" s="498">
        <f t="shared" si="681"/>
        <v>44550</v>
      </c>
      <c r="AQ289" s="498">
        <f t="shared" si="682"/>
        <v>0</v>
      </c>
      <c r="AR289" s="498">
        <f t="shared" si="683"/>
        <v>15058</v>
      </c>
      <c r="AS289" s="498">
        <f t="shared" si="683"/>
        <v>891</v>
      </c>
      <c r="AT289" s="498">
        <f t="shared" si="684"/>
        <v>2700</v>
      </c>
      <c r="AU289" s="499">
        <f t="shared" si="685"/>
        <v>0.19</v>
      </c>
      <c r="AV289" s="499">
        <f t="shared" si="686"/>
        <v>0</v>
      </c>
      <c r="AW289" s="500">
        <f t="shared" si="686"/>
        <v>0.19</v>
      </c>
    </row>
    <row r="290" spans="1:51" s="569" customFormat="1" ht="12.75" customHeight="1" x14ac:dyDescent="0.2">
      <c r="A290" s="302">
        <v>51</v>
      </c>
      <c r="B290" s="32">
        <v>4465</v>
      </c>
      <c r="C290" s="32">
        <v>600074757</v>
      </c>
      <c r="D290" s="32">
        <v>46750428</v>
      </c>
      <c r="E290" s="311" t="s">
        <v>251</v>
      </c>
      <c r="F290" s="32"/>
      <c r="G290" s="301"/>
      <c r="H290" s="454"/>
      <c r="I290" s="5">
        <f t="shared" ref="I290:AW290" si="689">SUM(I284:I289)</f>
        <v>33601338</v>
      </c>
      <c r="J290" s="8">
        <f t="shared" si="689"/>
        <v>24335230</v>
      </c>
      <c r="K290" s="8">
        <f t="shared" si="689"/>
        <v>8225307</v>
      </c>
      <c r="L290" s="8">
        <f t="shared" si="689"/>
        <v>486705</v>
      </c>
      <c r="M290" s="8">
        <f t="shared" si="689"/>
        <v>554096</v>
      </c>
      <c r="N290" s="9">
        <f t="shared" si="689"/>
        <v>51.417699999999996</v>
      </c>
      <c r="O290" s="9">
        <f t="shared" si="689"/>
        <v>34.305700000000002</v>
      </c>
      <c r="P290" s="39">
        <f t="shared" si="689"/>
        <v>17.112000000000002</v>
      </c>
      <c r="Q290" s="5">
        <f t="shared" si="689"/>
        <v>-182408</v>
      </c>
      <c r="R290" s="8">
        <f t="shared" si="689"/>
        <v>1841966</v>
      </c>
      <c r="S290" s="8">
        <f t="shared" si="689"/>
        <v>0</v>
      </c>
      <c r="T290" s="8">
        <f t="shared" si="689"/>
        <v>0</v>
      </c>
      <c r="U290" s="8">
        <f t="shared" si="689"/>
        <v>1659558</v>
      </c>
      <c r="V290" s="8">
        <f t="shared" si="689"/>
        <v>182408</v>
      </c>
      <c r="W290" s="8">
        <f t="shared" si="689"/>
        <v>52000</v>
      </c>
      <c r="X290" s="8">
        <f t="shared" si="689"/>
        <v>0</v>
      </c>
      <c r="Y290" s="8">
        <f t="shared" si="689"/>
        <v>234408</v>
      </c>
      <c r="Z290" s="8">
        <f t="shared" si="689"/>
        <v>1893966</v>
      </c>
      <c r="AA290" s="8">
        <f t="shared" si="689"/>
        <v>640161</v>
      </c>
      <c r="AB290" s="8">
        <f t="shared" si="689"/>
        <v>33190</v>
      </c>
      <c r="AC290" s="8">
        <f t="shared" si="689"/>
        <v>4500</v>
      </c>
      <c r="AD290" s="8">
        <f t="shared" si="689"/>
        <v>0</v>
      </c>
      <c r="AE290" s="8">
        <f t="shared" si="689"/>
        <v>4500</v>
      </c>
      <c r="AF290" s="8">
        <f t="shared" si="689"/>
        <v>2571817</v>
      </c>
      <c r="AG290" s="9">
        <f t="shared" si="689"/>
        <v>-0.12000000000000001</v>
      </c>
      <c r="AH290" s="9">
        <f t="shared" si="689"/>
        <v>0</v>
      </c>
      <c r="AI290" s="9">
        <f t="shared" si="689"/>
        <v>5.3</v>
      </c>
      <c r="AJ290" s="9">
        <f t="shared" si="689"/>
        <v>0</v>
      </c>
      <c r="AK290" s="9">
        <f t="shared" si="689"/>
        <v>0</v>
      </c>
      <c r="AL290" s="9">
        <f t="shared" si="689"/>
        <v>5.18</v>
      </c>
      <c r="AM290" s="9">
        <f t="shared" si="689"/>
        <v>0</v>
      </c>
      <c r="AN290" s="92">
        <f t="shared" si="689"/>
        <v>5.18</v>
      </c>
      <c r="AO290" s="295">
        <f t="shared" si="689"/>
        <v>36173155</v>
      </c>
      <c r="AP290" s="8">
        <f t="shared" si="689"/>
        <v>25994788</v>
      </c>
      <c r="AQ290" s="8">
        <f t="shared" si="689"/>
        <v>234408</v>
      </c>
      <c r="AR290" s="8">
        <f t="shared" si="689"/>
        <v>8865468</v>
      </c>
      <c r="AS290" s="8">
        <f t="shared" si="689"/>
        <v>519895</v>
      </c>
      <c r="AT290" s="8">
        <f t="shared" si="689"/>
        <v>558596</v>
      </c>
      <c r="AU290" s="9">
        <f t="shared" si="689"/>
        <v>56.597699999999989</v>
      </c>
      <c r="AV290" s="9">
        <f t="shared" si="689"/>
        <v>39.485699999999994</v>
      </c>
      <c r="AW290" s="92">
        <f t="shared" si="689"/>
        <v>17.112000000000002</v>
      </c>
    </row>
    <row r="291" spans="1:51" s="569" customFormat="1" ht="12.75" customHeight="1" x14ac:dyDescent="0.2">
      <c r="A291" s="531">
        <v>52</v>
      </c>
      <c r="B291" s="532">
        <v>4466</v>
      </c>
      <c r="C291" s="532">
        <v>650039017</v>
      </c>
      <c r="D291" s="532">
        <v>70982074</v>
      </c>
      <c r="E291" s="530" t="s">
        <v>252</v>
      </c>
      <c r="F291" s="532">
        <v>3111</v>
      </c>
      <c r="G291" s="533" t="s">
        <v>317</v>
      </c>
      <c r="H291" s="534" t="s">
        <v>283</v>
      </c>
      <c r="I291" s="575">
        <f t="shared" ref="I291:I295" si="690">SUM(J291:M291)</f>
        <v>5420968</v>
      </c>
      <c r="J291" s="496">
        <v>3967024</v>
      </c>
      <c r="K291" s="131">
        <f t="shared" ref="K291:K293" si="691">ROUND((J291)*33.8%,0)</f>
        <v>1340854</v>
      </c>
      <c r="L291" s="131">
        <f t="shared" ref="L291:L293" si="692">ROUND(J291*2%,0)</f>
        <v>79340</v>
      </c>
      <c r="M291" s="496">
        <v>33750</v>
      </c>
      <c r="N291" s="576">
        <f t="shared" ref="N291:N296" si="693">SUM(O291:P291)</f>
        <v>9.7736999999999998</v>
      </c>
      <c r="O291" s="577">
        <v>7.93</v>
      </c>
      <c r="P291" s="607">
        <v>1.8436999999999999</v>
      </c>
      <c r="Q291" s="579">
        <f t="shared" ref="Q291:Q296" si="694">V291*-1</f>
        <v>-4000</v>
      </c>
      <c r="R291" s="498">
        <v>0</v>
      </c>
      <c r="S291" s="498">
        <v>0</v>
      </c>
      <c r="T291" s="498">
        <v>0</v>
      </c>
      <c r="U291" s="498">
        <f t="shared" si="646"/>
        <v>-4000</v>
      </c>
      <c r="V291" s="498">
        <v>4000</v>
      </c>
      <c r="W291" s="498">
        <v>0</v>
      </c>
      <c r="X291" s="498">
        <v>0</v>
      </c>
      <c r="Y291" s="498">
        <f t="shared" si="647"/>
        <v>4000</v>
      </c>
      <c r="Z291" s="498">
        <f t="shared" si="648"/>
        <v>0</v>
      </c>
      <c r="AA291" s="131">
        <f t="shared" ref="AA291:AA296" si="695">ROUND((U291+V291+W291)*33.8%,0)</f>
        <v>0</v>
      </c>
      <c r="AB291" s="131">
        <f t="shared" si="649"/>
        <v>-80</v>
      </c>
      <c r="AC291" s="498">
        <v>0</v>
      </c>
      <c r="AD291" s="498">
        <v>0</v>
      </c>
      <c r="AE291" s="498">
        <f t="shared" si="650"/>
        <v>0</v>
      </c>
      <c r="AF291" s="498">
        <f t="shared" si="651"/>
        <v>-80</v>
      </c>
      <c r="AG291" s="499">
        <v>0</v>
      </c>
      <c r="AH291" s="499">
        <v>0</v>
      </c>
      <c r="AI291" s="499">
        <v>0</v>
      </c>
      <c r="AJ291" s="499">
        <v>0</v>
      </c>
      <c r="AK291" s="499">
        <v>0</v>
      </c>
      <c r="AL291" s="499">
        <f t="shared" si="652"/>
        <v>0</v>
      </c>
      <c r="AM291" s="499">
        <f t="shared" si="653"/>
        <v>0</v>
      </c>
      <c r="AN291" s="500">
        <f t="shared" si="654"/>
        <v>0</v>
      </c>
      <c r="AO291" s="497">
        <f t="shared" ref="AO291:AO296" si="696">I291+AF291</f>
        <v>5420888</v>
      </c>
      <c r="AP291" s="498">
        <f t="shared" ref="AP291:AP296" si="697">J291+U291</f>
        <v>3963024</v>
      </c>
      <c r="AQ291" s="498">
        <f t="shared" ref="AQ291:AQ296" si="698">Y291</f>
        <v>4000</v>
      </c>
      <c r="AR291" s="498">
        <f t="shared" ref="AR291:AS296" si="699">K291+AA291</f>
        <v>1340854</v>
      </c>
      <c r="AS291" s="498">
        <f t="shared" si="699"/>
        <v>79260</v>
      </c>
      <c r="AT291" s="498">
        <f t="shared" ref="AT291:AT296" si="700">M291+AE291</f>
        <v>33750</v>
      </c>
      <c r="AU291" s="499">
        <f t="shared" ref="AU291:AU296" si="701">N291+AN291</f>
        <v>9.7736999999999998</v>
      </c>
      <c r="AV291" s="499">
        <f t="shared" ref="AV291:AW296" si="702">O291+AL291</f>
        <v>7.93</v>
      </c>
      <c r="AW291" s="500">
        <f t="shared" si="702"/>
        <v>1.8436999999999999</v>
      </c>
    </row>
    <row r="292" spans="1:51" s="569" customFormat="1" ht="12.75" customHeight="1" x14ac:dyDescent="0.2">
      <c r="A292" s="531">
        <v>52</v>
      </c>
      <c r="B292" s="532">
        <v>4466</v>
      </c>
      <c r="C292" s="532">
        <v>650039017</v>
      </c>
      <c r="D292" s="532">
        <v>70982074</v>
      </c>
      <c r="E292" s="524" t="s">
        <v>252</v>
      </c>
      <c r="F292" s="532">
        <v>3117</v>
      </c>
      <c r="G292" s="533" t="s">
        <v>320</v>
      </c>
      <c r="H292" s="534" t="s">
        <v>283</v>
      </c>
      <c r="I292" s="575">
        <f t="shared" si="690"/>
        <v>6559428</v>
      </c>
      <c r="J292" s="496">
        <v>4730735</v>
      </c>
      <c r="K292" s="131">
        <f t="shared" si="691"/>
        <v>1598988</v>
      </c>
      <c r="L292" s="131">
        <f t="shared" si="692"/>
        <v>94615</v>
      </c>
      <c r="M292" s="496">
        <v>135090</v>
      </c>
      <c r="N292" s="576">
        <f t="shared" si="693"/>
        <v>9.7940000000000005</v>
      </c>
      <c r="O292" s="577">
        <v>6.5453999999999999</v>
      </c>
      <c r="P292" s="607">
        <v>3.2486000000000002</v>
      </c>
      <c r="Q292" s="579">
        <f t="shared" si="694"/>
        <v>-12000</v>
      </c>
      <c r="R292" s="498">
        <v>0</v>
      </c>
      <c r="S292" s="498">
        <v>0</v>
      </c>
      <c r="T292" s="498">
        <v>0</v>
      </c>
      <c r="U292" s="498">
        <f t="shared" si="646"/>
        <v>-12000</v>
      </c>
      <c r="V292" s="498">
        <v>12000</v>
      </c>
      <c r="W292" s="498">
        <v>0</v>
      </c>
      <c r="X292" s="498">
        <v>0</v>
      </c>
      <c r="Y292" s="498">
        <f t="shared" si="647"/>
        <v>12000</v>
      </c>
      <c r="Z292" s="498">
        <f t="shared" si="648"/>
        <v>0</v>
      </c>
      <c r="AA292" s="131">
        <f t="shared" si="695"/>
        <v>0</v>
      </c>
      <c r="AB292" s="131">
        <f t="shared" si="649"/>
        <v>-240</v>
      </c>
      <c r="AC292" s="498">
        <v>0</v>
      </c>
      <c r="AD292" s="498">
        <v>0</v>
      </c>
      <c r="AE292" s="498">
        <f t="shared" si="650"/>
        <v>0</v>
      </c>
      <c r="AF292" s="498">
        <f t="shared" si="651"/>
        <v>-240</v>
      </c>
      <c r="AG292" s="499">
        <v>0</v>
      </c>
      <c r="AH292" s="499">
        <v>-0.06</v>
      </c>
      <c r="AI292" s="499">
        <v>0</v>
      </c>
      <c r="AJ292" s="499">
        <v>0</v>
      </c>
      <c r="AK292" s="499">
        <v>0</v>
      </c>
      <c r="AL292" s="499">
        <f t="shared" si="652"/>
        <v>0</v>
      </c>
      <c r="AM292" s="499">
        <f t="shared" si="653"/>
        <v>-0.06</v>
      </c>
      <c r="AN292" s="500">
        <f t="shared" si="654"/>
        <v>-0.06</v>
      </c>
      <c r="AO292" s="497">
        <f t="shared" si="696"/>
        <v>6559188</v>
      </c>
      <c r="AP292" s="498">
        <f t="shared" si="697"/>
        <v>4718735</v>
      </c>
      <c r="AQ292" s="498">
        <f t="shared" si="698"/>
        <v>12000</v>
      </c>
      <c r="AR292" s="498">
        <f t="shared" si="699"/>
        <v>1598988</v>
      </c>
      <c r="AS292" s="498">
        <f t="shared" si="699"/>
        <v>94375</v>
      </c>
      <c r="AT292" s="498">
        <f t="shared" si="700"/>
        <v>135090</v>
      </c>
      <c r="AU292" s="499">
        <f t="shared" si="701"/>
        <v>9.734</v>
      </c>
      <c r="AV292" s="499">
        <f t="shared" si="702"/>
        <v>6.5453999999999999</v>
      </c>
      <c r="AW292" s="500">
        <f t="shared" si="702"/>
        <v>3.1886000000000001</v>
      </c>
    </row>
    <row r="293" spans="1:51" s="569" customFormat="1" ht="12.75" customHeight="1" x14ac:dyDescent="0.2">
      <c r="A293" s="531">
        <v>52</v>
      </c>
      <c r="B293" s="532">
        <v>4466</v>
      </c>
      <c r="C293" s="532">
        <v>650039017</v>
      </c>
      <c r="D293" s="532">
        <v>70982074</v>
      </c>
      <c r="E293" s="524" t="s">
        <v>252</v>
      </c>
      <c r="F293" s="532">
        <v>3117</v>
      </c>
      <c r="G293" s="533" t="s">
        <v>318</v>
      </c>
      <c r="H293" s="534" t="s">
        <v>284</v>
      </c>
      <c r="I293" s="575">
        <f t="shared" si="690"/>
        <v>0</v>
      </c>
      <c r="J293" s="496">
        <v>0</v>
      </c>
      <c r="K293" s="131">
        <f t="shared" si="691"/>
        <v>0</v>
      </c>
      <c r="L293" s="131">
        <f t="shared" si="692"/>
        <v>0</v>
      </c>
      <c r="M293" s="496">
        <v>0</v>
      </c>
      <c r="N293" s="576">
        <f t="shared" si="693"/>
        <v>0</v>
      </c>
      <c r="O293" s="577">
        <v>0</v>
      </c>
      <c r="P293" s="607">
        <v>0</v>
      </c>
      <c r="Q293" s="579">
        <f t="shared" si="694"/>
        <v>0</v>
      </c>
      <c r="R293" s="496">
        <v>1212552</v>
      </c>
      <c r="S293" s="498">
        <v>0</v>
      </c>
      <c r="T293" s="498">
        <v>0</v>
      </c>
      <c r="U293" s="498">
        <f t="shared" si="646"/>
        <v>1212552</v>
      </c>
      <c r="V293" s="498">
        <v>0</v>
      </c>
      <c r="W293" s="498">
        <v>0</v>
      </c>
      <c r="X293" s="498">
        <v>0</v>
      </c>
      <c r="Y293" s="498">
        <f t="shared" si="647"/>
        <v>0</v>
      </c>
      <c r="Z293" s="498">
        <f t="shared" si="648"/>
        <v>1212552</v>
      </c>
      <c r="AA293" s="131">
        <f t="shared" si="695"/>
        <v>409843</v>
      </c>
      <c r="AB293" s="131">
        <f t="shared" si="649"/>
        <v>24251</v>
      </c>
      <c r="AC293" s="498">
        <v>0</v>
      </c>
      <c r="AD293" s="498">
        <v>0</v>
      </c>
      <c r="AE293" s="498">
        <f t="shared" si="650"/>
        <v>0</v>
      </c>
      <c r="AF293" s="498">
        <f t="shared" si="651"/>
        <v>1646646</v>
      </c>
      <c r="AG293" s="499">
        <v>0</v>
      </c>
      <c r="AH293" s="499">
        <v>0</v>
      </c>
      <c r="AI293" s="499">
        <v>3.5</v>
      </c>
      <c r="AJ293" s="499">
        <v>0</v>
      </c>
      <c r="AK293" s="499">
        <v>0</v>
      </c>
      <c r="AL293" s="499">
        <f t="shared" si="652"/>
        <v>3.5</v>
      </c>
      <c r="AM293" s="499">
        <f t="shared" si="653"/>
        <v>0</v>
      </c>
      <c r="AN293" s="500">
        <f t="shared" si="654"/>
        <v>3.5</v>
      </c>
      <c r="AO293" s="497">
        <f t="shared" si="696"/>
        <v>1646646</v>
      </c>
      <c r="AP293" s="498">
        <f t="shared" si="697"/>
        <v>1212552</v>
      </c>
      <c r="AQ293" s="498">
        <f t="shared" si="698"/>
        <v>0</v>
      </c>
      <c r="AR293" s="498">
        <f t="shared" si="699"/>
        <v>409843</v>
      </c>
      <c r="AS293" s="498">
        <f t="shared" si="699"/>
        <v>24251</v>
      </c>
      <c r="AT293" s="498">
        <f t="shared" si="700"/>
        <v>0</v>
      </c>
      <c r="AU293" s="499">
        <f t="shared" si="701"/>
        <v>3.5</v>
      </c>
      <c r="AV293" s="499">
        <f t="shared" si="702"/>
        <v>3.5</v>
      </c>
      <c r="AW293" s="500">
        <f t="shared" si="702"/>
        <v>0</v>
      </c>
    </row>
    <row r="294" spans="1:51" s="569" customFormat="1" ht="12.75" customHeight="1" x14ac:dyDescent="0.2">
      <c r="A294" s="531">
        <v>52</v>
      </c>
      <c r="B294" s="532">
        <v>4466</v>
      </c>
      <c r="C294" s="532">
        <v>650039017</v>
      </c>
      <c r="D294" s="532">
        <v>70982074</v>
      </c>
      <c r="E294" s="530" t="s">
        <v>252</v>
      </c>
      <c r="F294" s="532">
        <v>3141</v>
      </c>
      <c r="G294" s="533" t="s">
        <v>321</v>
      </c>
      <c r="H294" s="534" t="s">
        <v>284</v>
      </c>
      <c r="I294" s="575">
        <f t="shared" si="690"/>
        <v>1496822</v>
      </c>
      <c r="J294" s="496">
        <v>1095819</v>
      </c>
      <c r="K294" s="131">
        <f>ROUND((J294)*33.8%,0)</f>
        <v>370387</v>
      </c>
      <c r="L294" s="131">
        <f>ROUND(J294*2%,0)</f>
        <v>21916</v>
      </c>
      <c r="M294" s="496">
        <v>8700</v>
      </c>
      <c r="N294" s="576">
        <f t="shared" si="693"/>
        <v>3.73</v>
      </c>
      <c r="O294" s="577">
        <v>0</v>
      </c>
      <c r="P294" s="607">
        <v>3.73</v>
      </c>
      <c r="Q294" s="579">
        <f t="shared" si="694"/>
        <v>-4000</v>
      </c>
      <c r="R294" s="498">
        <v>0</v>
      </c>
      <c r="S294" s="498">
        <v>0</v>
      </c>
      <c r="T294" s="498">
        <v>0</v>
      </c>
      <c r="U294" s="498">
        <f t="shared" si="646"/>
        <v>-4000</v>
      </c>
      <c r="V294" s="498">
        <v>4000</v>
      </c>
      <c r="W294" s="498">
        <v>0</v>
      </c>
      <c r="X294" s="498">
        <v>0</v>
      </c>
      <c r="Y294" s="498">
        <f t="shared" si="647"/>
        <v>4000</v>
      </c>
      <c r="Z294" s="498">
        <f t="shared" si="648"/>
        <v>0</v>
      </c>
      <c r="AA294" s="131">
        <f t="shared" si="695"/>
        <v>0</v>
      </c>
      <c r="AB294" s="131">
        <f t="shared" si="649"/>
        <v>-80</v>
      </c>
      <c r="AC294" s="498">
        <v>0</v>
      </c>
      <c r="AD294" s="498">
        <v>0</v>
      </c>
      <c r="AE294" s="498">
        <f t="shared" si="650"/>
        <v>0</v>
      </c>
      <c r="AF294" s="498">
        <f t="shared" si="651"/>
        <v>-80</v>
      </c>
      <c r="AG294" s="499">
        <v>0</v>
      </c>
      <c r="AH294" s="499">
        <v>0</v>
      </c>
      <c r="AI294" s="499">
        <v>0</v>
      </c>
      <c r="AJ294" s="499">
        <v>0</v>
      </c>
      <c r="AK294" s="499">
        <v>0</v>
      </c>
      <c r="AL294" s="499">
        <f t="shared" si="652"/>
        <v>0</v>
      </c>
      <c r="AM294" s="499">
        <f t="shared" si="653"/>
        <v>0</v>
      </c>
      <c r="AN294" s="500">
        <f t="shared" si="654"/>
        <v>0</v>
      </c>
      <c r="AO294" s="497">
        <f t="shared" si="696"/>
        <v>1496742</v>
      </c>
      <c r="AP294" s="498">
        <f t="shared" si="697"/>
        <v>1091819</v>
      </c>
      <c r="AQ294" s="498">
        <f t="shared" si="698"/>
        <v>4000</v>
      </c>
      <c r="AR294" s="498">
        <f t="shared" si="699"/>
        <v>370387</v>
      </c>
      <c r="AS294" s="498">
        <f t="shared" si="699"/>
        <v>21836</v>
      </c>
      <c r="AT294" s="498">
        <f t="shared" si="700"/>
        <v>8700</v>
      </c>
      <c r="AU294" s="499">
        <f t="shared" si="701"/>
        <v>3.73</v>
      </c>
      <c r="AV294" s="499">
        <f t="shared" si="702"/>
        <v>0</v>
      </c>
      <c r="AW294" s="500">
        <f t="shared" si="702"/>
        <v>3.73</v>
      </c>
    </row>
    <row r="295" spans="1:51" s="569" customFormat="1" ht="12.75" customHeight="1" x14ac:dyDescent="0.2">
      <c r="A295" s="531">
        <v>52</v>
      </c>
      <c r="B295" s="532">
        <v>4466</v>
      </c>
      <c r="C295" s="532">
        <v>650039017</v>
      </c>
      <c r="D295" s="532">
        <v>70982074</v>
      </c>
      <c r="E295" s="530" t="s">
        <v>252</v>
      </c>
      <c r="F295" s="532">
        <v>3143</v>
      </c>
      <c r="G295" s="533" t="s">
        <v>635</v>
      </c>
      <c r="H295" s="574" t="s">
        <v>283</v>
      </c>
      <c r="I295" s="575">
        <f t="shared" si="690"/>
        <v>854148</v>
      </c>
      <c r="J295" s="496">
        <v>628974</v>
      </c>
      <c r="K295" s="131">
        <v>212594</v>
      </c>
      <c r="L295" s="131">
        <v>12580</v>
      </c>
      <c r="M295" s="496"/>
      <c r="N295" s="576">
        <f t="shared" si="693"/>
        <v>1.4</v>
      </c>
      <c r="O295" s="577">
        <v>1.4</v>
      </c>
      <c r="P295" s="607">
        <v>0</v>
      </c>
      <c r="Q295" s="579">
        <f t="shared" si="694"/>
        <v>-8000</v>
      </c>
      <c r="R295" s="498">
        <v>0</v>
      </c>
      <c r="S295" s="498">
        <v>0</v>
      </c>
      <c r="T295" s="498">
        <v>0</v>
      </c>
      <c r="U295" s="498">
        <f t="shared" si="646"/>
        <v>-8000</v>
      </c>
      <c r="V295" s="498">
        <v>8000</v>
      </c>
      <c r="W295" s="498">
        <v>0</v>
      </c>
      <c r="X295" s="498">
        <v>0</v>
      </c>
      <c r="Y295" s="498">
        <f t="shared" si="647"/>
        <v>8000</v>
      </c>
      <c r="Z295" s="498">
        <f t="shared" si="648"/>
        <v>0</v>
      </c>
      <c r="AA295" s="131">
        <f t="shared" si="695"/>
        <v>0</v>
      </c>
      <c r="AB295" s="131">
        <f t="shared" si="649"/>
        <v>-160</v>
      </c>
      <c r="AC295" s="498">
        <v>0</v>
      </c>
      <c r="AD295" s="498">
        <v>0</v>
      </c>
      <c r="AE295" s="498">
        <f t="shared" si="650"/>
        <v>0</v>
      </c>
      <c r="AF295" s="498">
        <f t="shared" si="651"/>
        <v>-160</v>
      </c>
      <c r="AG295" s="499">
        <v>0</v>
      </c>
      <c r="AH295" s="499">
        <v>0</v>
      </c>
      <c r="AI295" s="499">
        <v>0</v>
      </c>
      <c r="AJ295" s="499">
        <v>0</v>
      </c>
      <c r="AK295" s="499">
        <v>0</v>
      </c>
      <c r="AL295" s="499">
        <f t="shared" si="652"/>
        <v>0</v>
      </c>
      <c r="AM295" s="499">
        <f t="shared" si="653"/>
        <v>0</v>
      </c>
      <c r="AN295" s="500">
        <f t="shared" si="654"/>
        <v>0</v>
      </c>
      <c r="AO295" s="497">
        <f t="shared" si="696"/>
        <v>853988</v>
      </c>
      <c r="AP295" s="498">
        <f t="shared" si="697"/>
        <v>620974</v>
      </c>
      <c r="AQ295" s="498">
        <f t="shared" si="698"/>
        <v>8000</v>
      </c>
      <c r="AR295" s="498">
        <f t="shared" si="699"/>
        <v>212594</v>
      </c>
      <c r="AS295" s="498">
        <f t="shared" si="699"/>
        <v>12420</v>
      </c>
      <c r="AT295" s="498">
        <f t="shared" si="700"/>
        <v>0</v>
      </c>
      <c r="AU295" s="499">
        <f t="shared" si="701"/>
        <v>1.4</v>
      </c>
      <c r="AV295" s="499">
        <f t="shared" si="702"/>
        <v>1.4</v>
      </c>
      <c r="AW295" s="500">
        <f t="shared" si="702"/>
        <v>0</v>
      </c>
    </row>
    <row r="296" spans="1:51" s="569" customFormat="1" ht="12.75" customHeight="1" x14ac:dyDescent="0.2">
      <c r="A296" s="531">
        <v>52</v>
      </c>
      <c r="B296" s="532">
        <v>4466</v>
      </c>
      <c r="C296" s="532">
        <v>650039017</v>
      </c>
      <c r="D296" s="532">
        <v>70982074</v>
      </c>
      <c r="E296" s="530" t="s">
        <v>252</v>
      </c>
      <c r="F296" s="532">
        <v>3143</v>
      </c>
      <c r="G296" s="533" t="s">
        <v>636</v>
      </c>
      <c r="H296" s="574" t="s">
        <v>284</v>
      </c>
      <c r="I296" s="575">
        <f>SUM(J296:M296)</f>
        <v>35111</v>
      </c>
      <c r="J296" s="496">
        <v>24750</v>
      </c>
      <c r="K296" s="131">
        <f t="shared" ref="K296" si="703">ROUND((J296)*33.8%,0)</f>
        <v>8366</v>
      </c>
      <c r="L296" s="131">
        <f t="shared" ref="L296" si="704">ROUND(J296*2%,0)</f>
        <v>495</v>
      </c>
      <c r="M296" s="496">
        <v>1500</v>
      </c>
      <c r="N296" s="576">
        <f t="shared" si="693"/>
        <v>0.1</v>
      </c>
      <c r="O296" s="577">
        <v>0</v>
      </c>
      <c r="P296" s="607">
        <v>0.1</v>
      </c>
      <c r="Q296" s="579">
        <f t="shared" si="694"/>
        <v>0</v>
      </c>
      <c r="R296" s="498">
        <v>0</v>
      </c>
      <c r="S296" s="498">
        <v>0</v>
      </c>
      <c r="T296" s="498">
        <v>0</v>
      </c>
      <c r="U296" s="498">
        <f t="shared" si="646"/>
        <v>0</v>
      </c>
      <c r="V296" s="498">
        <v>0</v>
      </c>
      <c r="W296" s="498">
        <v>0</v>
      </c>
      <c r="X296" s="498">
        <v>0</v>
      </c>
      <c r="Y296" s="498">
        <f t="shared" si="647"/>
        <v>0</v>
      </c>
      <c r="Z296" s="498">
        <f t="shared" si="648"/>
        <v>0</v>
      </c>
      <c r="AA296" s="131">
        <f t="shared" si="695"/>
        <v>0</v>
      </c>
      <c r="AB296" s="131">
        <f t="shared" si="649"/>
        <v>0</v>
      </c>
      <c r="AC296" s="498">
        <v>0</v>
      </c>
      <c r="AD296" s="498">
        <v>0</v>
      </c>
      <c r="AE296" s="498">
        <f t="shared" si="650"/>
        <v>0</v>
      </c>
      <c r="AF296" s="498">
        <f t="shared" si="651"/>
        <v>0</v>
      </c>
      <c r="AG296" s="499">
        <v>0</v>
      </c>
      <c r="AH296" s="499">
        <v>0</v>
      </c>
      <c r="AI296" s="499">
        <v>0</v>
      </c>
      <c r="AJ296" s="499">
        <v>0</v>
      </c>
      <c r="AK296" s="499">
        <v>0</v>
      </c>
      <c r="AL296" s="499">
        <f t="shared" si="652"/>
        <v>0</v>
      </c>
      <c r="AM296" s="499">
        <f t="shared" si="653"/>
        <v>0</v>
      </c>
      <c r="AN296" s="500">
        <f t="shared" si="654"/>
        <v>0</v>
      </c>
      <c r="AO296" s="497">
        <f t="shared" si="696"/>
        <v>35111</v>
      </c>
      <c r="AP296" s="498">
        <f t="shared" si="697"/>
        <v>24750</v>
      </c>
      <c r="AQ296" s="498">
        <f t="shared" si="698"/>
        <v>0</v>
      </c>
      <c r="AR296" s="498">
        <f t="shared" si="699"/>
        <v>8366</v>
      </c>
      <c r="AS296" s="498">
        <f t="shared" si="699"/>
        <v>495</v>
      </c>
      <c r="AT296" s="498">
        <f t="shared" si="700"/>
        <v>1500</v>
      </c>
      <c r="AU296" s="499">
        <f t="shared" si="701"/>
        <v>0.1</v>
      </c>
      <c r="AV296" s="499">
        <f t="shared" si="702"/>
        <v>0</v>
      </c>
      <c r="AW296" s="500">
        <f t="shared" si="702"/>
        <v>0.1</v>
      </c>
    </row>
    <row r="297" spans="1:51" s="569" customFormat="1" ht="12.75" customHeight="1" x14ac:dyDescent="0.2">
      <c r="A297" s="302">
        <v>52</v>
      </c>
      <c r="B297" s="32">
        <v>4466</v>
      </c>
      <c r="C297" s="32">
        <v>650039017</v>
      </c>
      <c r="D297" s="32">
        <v>70982074</v>
      </c>
      <c r="E297" s="311" t="s">
        <v>253</v>
      </c>
      <c r="F297" s="32"/>
      <c r="G297" s="301"/>
      <c r="H297" s="454"/>
      <c r="I297" s="5">
        <f t="shared" ref="I297:P297" si="705">SUM(I291:I296)</f>
        <v>14366477</v>
      </c>
      <c r="J297" s="8">
        <f t="shared" si="705"/>
        <v>10447302</v>
      </c>
      <c r="K297" s="8">
        <f t="shared" si="705"/>
        <v>3531189</v>
      </c>
      <c r="L297" s="8">
        <f t="shared" si="705"/>
        <v>208946</v>
      </c>
      <c r="M297" s="8">
        <f t="shared" si="705"/>
        <v>179040</v>
      </c>
      <c r="N297" s="9">
        <f t="shared" si="705"/>
        <v>24.797700000000003</v>
      </c>
      <c r="O297" s="9">
        <f t="shared" si="705"/>
        <v>15.875400000000001</v>
      </c>
      <c r="P297" s="39">
        <f t="shared" si="705"/>
        <v>8.9222999999999999</v>
      </c>
      <c r="Q297" s="5">
        <f t="shared" ref="Q297:AW297" si="706">SUM(Q291:Q296)</f>
        <v>-28000</v>
      </c>
      <c r="R297" s="8">
        <f t="shared" si="706"/>
        <v>1212552</v>
      </c>
      <c r="S297" s="8">
        <f t="shared" si="706"/>
        <v>0</v>
      </c>
      <c r="T297" s="8">
        <f t="shared" si="706"/>
        <v>0</v>
      </c>
      <c r="U297" s="8">
        <f t="shared" si="706"/>
        <v>1184552</v>
      </c>
      <c r="V297" s="8">
        <f t="shared" si="706"/>
        <v>28000</v>
      </c>
      <c r="W297" s="8">
        <f t="shared" si="706"/>
        <v>0</v>
      </c>
      <c r="X297" s="8">
        <f t="shared" si="706"/>
        <v>0</v>
      </c>
      <c r="Y297" s="8">
        <f t="shared" si="706"/>
        <v>28000</v>
      </c>
      <c r="Z297" s="8">
        <f t="shared" si="706"/>
        <v>1212552</v>
      </c>
      <c r="AA297" s="8">
        <f t="shared" si="706"/>
        <v>409843</v>
      </c>
      <c r="AB297" s="8">
        <f t="shared" si="706"/>
        <v>23691</v>
      </c>
      <c r="AC297" s="8">
        <f t="shared" si="706"/>
        <v>0</v>
      </c>
      <c r="AD297" s="8">
        <f t="shared" si="706"/>
        <v>0</v>
      </c>
      <c r="AE297" s="8">
        <f t="shared" si="706"/>
        <v>0</v>
      </c>
      <c r="AF297" s="8">
        <f t="shared" si="706"/>
        <v>1646086</v>
      </c>
      <c r="AG297" s="9">
        <f t="shared" si="706"/>
        <v>0</v>
      </c>
      <c r="AH297" s="9">
        <f t="shared" si="706"/>
        <v>-0.06</v>
      </c>
      <c r="AI297" s="9">
        <f t="shared" si="706"/>
        <v>3.5</v>
      </c>
      <c r="AJ297" s="9">
        <f t="shared" si="706"/>
        <v>0</v>
      </c>
      <c r="AK297" s="9">
        <f t="shared" si="706"/>
        <v>0</v>
      </c>
      <c r="AL297" s="9">
        <f t="shared" si="706"/>
        <v>3.5</v>
      </c>
      <c r="AM297" s="9">
        <f t="shared" si="706"/>
        <v>-0.06</v>
      </c>
      <c r="AN297" s="92">
        <f t="shared" si="706"/>
        <v>3.44</v>
      </c>
      <c r="AO297" s="295">
        <f t="shared" si="706"/>
        <v>16012563</v>
      </c>
      <c r="AP297" s="8">
        <f t="shared" si="706"/>
        <v>11631854</v>
      </c>
      <c r="AQ297" s="8">
        <f t="shared" si="706"/>
        <v>28000</v>
      </c>
      <c r="AR297" s="8">
        <f t="shared" si="706"/>
        <v>3941032</v>
      </c>
      <c r="AS297" s="8">
        <f t="shared" si="706"/>
        <v>232637</v>
      </c>
      <c r="AT297" s="8">
        <f t="shared" si="706"/>
        <v>179040</v>
      </c>
      <c r="AU297" s="9">
        <f t="shared" si="706"/>
        <v>28.2377</v>
      </c>
      <c r="AV297" s="9">
        <f t="shared" si="706"/>
        <v>19.375399999999999</v>
      </c>
      <c r="AW297" s="92">
        <f t="shared" si="706"/>
        <v>8.8622999999999994</v>
      </c>
    </row>
    <row r="298" spans="1:51" s="569" customFormat="1" x14ac:dyDescent="0.2">
      <c r="A298" s="531">
        <v>53</v>
      </c>
      <c r="B298" s="532">
        <v>4470</v>
      </c>
      <c r="C298" s="532">
        <v>600075109</v>
      </c>
      <c r="D298" s="532">
        <v>70982112</v>
      </c>
      <c r="E298" s="530" t="s">
        <v>254</v>
      </c>
      <c r="F298" s="532">
        <v>3231</v>
      </c>
      <c r="G298" s="533" t="s">
        <v>322</v>
      </c>
      <c r="H298" s="534" t="s">
        <v>283</v>
      </c>
      <c r="I298" s="575">
        <f t="shared" ref="I298" si="707">SUM(J298:M298)</f>
        <v>8660366</v>
      </c>
      <c r="J298" s="496">
        <v>6356131</v>
      </c>
      <c r="K298" s="131">
        <f>ROUND((J298)*33.8%,0)</f>
        <v>2148372</v>
      </c>
      <c r="L298" s="131">
        <f>ROUND(J298*2%,0)</f>
        <v>127123</v>
      </c>
      <c r="M298" s="496">
        <v>28740</v>
      </c>
      <c r="N298" s="576">
        <f t="shared" ref="N298" si="708">SUM(O298:P298)</f>
        <v>12.305</v>
      </c>
      <c r="O298" s="577">
        <v>10.9452</v>
      </c>
      <c r="P298" s="607">
        <v>1.3597999999999999</v>
      </c>
      <c r="Q298" s="579">
        <f>V298*-1</f>
        <v>-149600</v>
      </c>
      <c r="R298" s="498">
        <v>0</v>
      </c>
      <c r="S298" s="498">
        <v>0</v>
      </c>
      <c r="T298" s="498">
        <v>0</v>
      </c>
      <c r="U298" s="498">
        <f t="shared" si="646"/>
        <v>-149600</v>
      </c>
      <c r="V298" s="498">
        <v>149600</v>
      </c>
      <c r="W298" s="498">
        <v>0</v>
      </c>
      <c r="X298" s="498">
        <v>0</v>
      </c>
      <c r="Y298" s="498">
        <f t="shared" si="647"/>
        <v>149600</v>
      </c>
      <c r="Z298" s="498">
        <f t="shared" si="648"/>
        <v>0</v>
      </c>
      <c r="AA298" s="131">
        <f>ROUND((U298+V298+W298)*33.8%,0)</f>
        <v>0</v>
      </c>
      <c r="AB298" s="131">
        <f t="shared" si="649"/>
        <v>-2992</v>
      </c>
      <c r="AC298" s="498">
        <v>0</v>
      </c>
      <c r="AD298" s="498">
        <v>0</v>
      </c>
      <c r="AE298" s="498">
        <f t="shared" si="650"/>
        <v>0</v>
      </c>
      <c r="AF298" s="498">
        <f t="shared" si="651"/>
        <v>-2992</v>
      </c>
      <c r="AG298" s="499">
        <v>-0.33</v>
      </c>
      <c r="AH298" s="499">
        <v>0</v>
      </c>
      <c r="AI298" s="499">
        <v>0</v>
      </c>
      <c r="AJ298" s="499">
        <v>0</v>
      </c>
      <c r="AK298" s="499">
        <v>0</v>
      </c>
      <c r="AL298" s="499">
        <f t="shared" si="652"/>
        <v>-0.33</v>
      </c>
      <c r="AM298" s="499">
        <f t="shared" si="653"/>
        <v>0</v>
      </c>
      <c r="AN298" s="500">
        <f t="shared" si="654"/>
        <v>-0.33</v>
      </c>
      <c r="AO298" s="497">
        <f>I298+AF298</f>
        <v>8657374</v>
      </c>
      <c r="AP298" s="498">
        <f>J298+U298</f>
        <v>6206531</v>
      </c>
      <c r="AQ298" s="498">
        <f>Y298</f>
        <v>149600</v>
      </c>
      <c r="AR298" s="498">
        <f>K298+AA298</f>
        <v>2148372</v>
      </c>
      <c r="AS298" s="498">
        <f>L298+AB298</f>
        <v>124131</v>
      </c>
      <c r="AT298" s="498">
        <f>M298+AE298</f>
        <v>28740</v>
      </c>
      <c r="AU298" s="499">
        <f>N298+AN298</f>
        <v>11.975</v>
      </c>
      <c r="AV298" s="499">
        <f>O298+AL298</f>
        <v>10.6152</v>
      </c>
      <c r="AW298" s="500">
        <f>P298+AM298</f>
        <v>1.3597999999999999</v>
      </c>
    </row>
    <row r="299" spans="1:51" s="569" customFormat="1" ht="13.5" thickBot="1" x14ac:dyDescent="0.25">
      <c r="A299" s="306">
        <v>53</v>
      </c>
      <c r="B299" s="62">
        <v>4470</v>
      </c>
      <c r="C299" s="62">
        <v>600075109</v>
      </c>
      <c r="D299" s="62">
        <v>70982112</v>
      </c>
      <c r="E299" s="600" t="s">
        <v>255</v>
      </c>
      <c r="F299" s="62"/>
      <c r="G299" s="307"/>
      <c r="H299" s="601"/>
      <c r="I299" s="467">
        <f t="shared" ref="I299:AW299" si="709">SUM(I298)</f>
        <v>8660366</v>
      </c>
      <c r="J299" s="46">
        <f t="shared" si="709"/>
        <v>6356131</v>
      </c>
      <c r="K299" s="46">
        <f t="shared" si="709"/>
        <v>2148372</v>
      </c>
      <c r="L299" s="46">
        <f t="shared" si="709"/>
        <v>127123</v>
      </c>
      <c r="M299" s="46">
        <f t="shared" si="709"/>
        <v>28740</v>
      </c>
      <c r="N299" s="48">
        <f t="shared" si="709"/>
        <v>12.305</v>
      </c>
      <c r="O299" s="48">
        <f t="shared" si="709"/>
        <v>10.9452</v>
      </c>
      <c r="P299" s="68">
        <f t="shared" si="709"/>
        <v>1.3597999999999999</v>
      </c>
      <c r="Q299" s="467">
        <f t="shared" si="709"/>
        <v>-149600</v>
      </c>
      <c r="R299" s="46">
        <f t="shared" si="709"/>
        <v>0</v>
      </c>
      <c r="S299" s="46">
        <f t="shared" si="709"/>
        <v>0</v>
      </c>
      <c r="T299" s="46">
        <f t="shared" si="709"/>
        <v>0</v>
      </c>
      <c r="U299" s="46">
        <f t="shared" si="709"/>
        <v>-149600</v>
      </c>
      <c r="V299" s="46">
        <f t="shared" si="709"/>
        <v>149600</v>
      </c>
      <c r="W299" s="46">
        <f t="shared" si="709"/>
        <v>0</v>
      </c>
      <c r="X299" s="46">
        <f t="shared" si="709"/>
        <v>0</v>
      </c>
      <c r="Y299" s="46">
        <f t="shared" si="709"/>
        <v>149600</v>
      </c>
      <c r="Z299" s="46">
        <f t="shared" si="709"/>
        <v>0</v>
      </c>
      <c r="AA299" s="46">
        <f t="shared" si="709"/>
        <v>0</v>
      </c>
      <c r="AB299" s="46">
        <f t="shared" si="709"/>
        <v>-2992</v>
      </c>
      <c r="AC299" s="46">
        <f t="shared" si="709"/>
        <v>0</v>
      </c>
      <c r="AD299" s="46">
        <f t="shared" si="709"/>
        <v>0</v>
      </c>
      <c r="AE299" s="46">
        <f t="shared" si="709"/>
        <v>0</v>
      </c>
      <c r="AF299" s="46">
        <f t="shared" si="709"/>
        <v>-2992</v>
      </c>
      <c r="AG299" s="48">
        <f t="shared" si="709"/>
        <v>-0.33</v>
      </c>
      <c r="AH299" s="48">
        <f t="shared" si="709"/>
        <v>0</v>
      </c>
      <c r="AI299" s="48">
        <f t="shared" si="709"/>
        <v>0</v>
      </c>
      <c r="AJ299" s="48">
        <f t="shared" si="709"/>
        <v>0</v>
      </c>
      <c r="AK299" s="48">
        <f t="shared" si="709"/>
        <v>0</v>
      </c>
      <c r="AL299" s="48">
        <f t="shared" si="709"/>
        <v>-0.33</v>
      </c>
      <c r="AM299" s="48">
        <f t="shared" si="709"/>
        <v>0</v>
      </c>
      <c r="AN299" s="94">
        <f t="shared" si="709"/>
        <v>-0.33</v>
      </c>
      <c r="AO299" s="297">
        <f t="shared" si="709"/>
        <v>8657374</v>
      </c>
      <c r="AP299" s="46">
        <f t="shared" si="709"/>
        <v>6206531</v>
      </c>
      <c r="AQ299" s="46">
        <f t="shared" si="709"/>
        <v>149600</v>
      </c>
      <c r="AR299" s="46">
        <f t="shared" si="709"/>
        <v>2148372</v>
      </c>
      <c r="AS299" s="46">
        <f t="shared" si="709"/>
        <v>124131</v>
      </c>
      <c r="AT299" s="46">
        <f t="shared" si="709"/>
        <v>28740</v>
      </c>
      <c r="AU299" s="48">
        <f t="shared" si="709"/>
        <v>11.975</v>
      </c>
      <c r="AV299" s="48">
        <f t="shared" si="709"/>
        <v>10.6152</v>
      </c>
      <c r="AW299" s="94">
        <f t="shared" si="709"/>
        <v>1.3597999999999999</v>
      </c>
    </row>
    <row r="300" spans="1:51" s="569" customFormat="1" ht="13.5" thickBot="1" x14ac:dyDescent="0.25">
      <c r="A300" s="308"/>
      <c r="B300" s="57"/>
      <c r="C300" s="57"/>
      <c r="D300" s="57"/>
      <c r="E300" s="157" t="s">
        <v>801</v>
      </c>
      <c r="F300" s="57"/>
      <c r="G300" s="309"/>
      <c r="H300" s="466"/>
      <c r="I300" s="468">
        <f t="shared" ref="I300:AW300" si="710">I13+I17+I22+I27+I31+I34+I37+I41+I43+I50+I56+I63+I70+I76+I83+I89+I95+I105+I107+I111+I118+I122+I128+I135+I142+I144+I148+I155+I162+I169+I176+I182+I186+I193+I197+I203+I212+I219+I221+I225+I232+I239+I243+I250+I253+I260+I263+I269+I276+I283+I290+I297+I299</f>
        <v>895055873</v>
      </c>
      <c r="J300" s="66">
        <f t="shared" si="710"/>
        <v>649482549</v>
      </c>
      <c r="K300" s="66">
        <f t="shared" si="710"/>
        <v>219525094</v>
      </c>
      <c r="L300" s="66">
        <f t="shared" si="710"/>
        <v>12989654</v>
      </c>
      <c r="M300" s="66">
        <f t="shared" si="710"/>
        <v>13058576</v>
      </c>
      <c r="N300" s="67">
        <f t="shared" si="710"/>
        <v>1382.9390000000001</v>
      </c>
      <c r="O300" s="67">
        <f t="shared" si="710"/>
        <v>945.48090000000002</v>
      </c>
      <c r="P300" s="69">
        <f t="shared" si="710"/>
        <v>437.45809999999994</v>
      </c>
      <c r="Q300" s="468">
        <f t="shared" si="710"/>
        <v>-2961288</v>
      </c>
      <c r="R300" s="66">
        <f t="shared" si="710"/>
        <v>47698036</v>
      </c>
      <c r="S300" s="66">
        <f t="shared" si="710"/>
        <v>0</v>
      </c>
      <c r="T300" s="66">
        <f t="shared" si="710"/>
        <v>1409272</v>
      </c>
      <c r="U300" s="66">
        <f t="shared" si="710"/>
        <v>46146020</v>
      </c>
      <c r="V300" s="66">
        <f t="shared" si="710"/>
        <v>2961288</v>
      </c>
      <c r="W300" s="66">
        <f t="shared" si="710"/>
        <v>125088</v>
      </c>
      <c r="X300" s="66">
        <f t="shared" si="710"/>
        <v>0</v>
      </c>
      <c r="Y300" s="66">
        <f t="shared" si="710"/>
        <v>3086376</v>
      </c>
      <c r="Z300" s="66">
        <f t="shared" si="710"/>
        <v>49232396</v>
      </c>
      <c r="AA300" s="66">
        <f t="shared" si="710"/>
        <v>16640554</v>
      </c>
      <c r="AB300" s="66">
        <f t="shared" si="710"/>
        <v>922921</v>
      </c>
      <c r="AC300" s="66">
        <f t="shared" si="710"/>
        <v>77400</v>
      </c>
      <c r="AD300" s="66">
        <f t="shared" si="710"/>
        <v>0</v>
      </c>
      <c r="AE300" s="66">
        <f t="shared" si="710"/>
        <v>77400</v>
      </c>
      <c r="AF300" s="66">
        <f t="shared" si="710"/>
        <v>66873271</v>
      </c>
      <c r="AG300" s="67">
        <f t="shared" si="710"/>
        <v>-2.6999999999999997</v>
      </c>
      <c r="AH300" s="67">
        <f t="shared" si="710"/>
        <v>-4.4599999999999991</v>
      </c>
      <c r="AI300" s="67">
        <f t="shared" si="710"/>
        <v>137.18</v>
      </c>
      <c r="AJ300" s="67">
        <f t="shared" si="710"/>
        <v>1.9500000000000002</v>
      </c>
      <c r="AK300" s="67">
        <f t="shared" si="710"/>
        <v>1.2</v>
      </c>
      <c r="AL300" s="67">
        <f t="shared" si="710"/>
        <v>136.43000000000004</v>
      </c>
      <c r="AM300" s="67">
        <f t="shared" si="710"/>
        <v>-3.26</v>
      </c>
      <c r="AN300" s="95">
        <f t="shared" si="710"/>
        <v>133.16999999999999</v>
      </c>
      <c r="AO300" s="312">
        <f t="shared" si="710"/>
        <v>961929144</v>
      </c>
      <c r="AP300" s="66">
        <f t="shared" si="710"/>
        <v>695628569</v>
      </c>
      <c r="AQ300" s="66">
        <f t="shared" si="710"/>
        <v>3086376</v>
      </c>
      <c r="AR300" s="66">
        <f t="shared" si="710"/>
        <v>236165648</v>
      </c>
      <c r="AS300" s="66">
        <f t="shared" si="710"/>
        <v>13912575</v>
      </c>
      <c r="AT300" s="66">
        <f t="shared" si="710"/>
        <v>13135976</v>
      </c>
      <c r="AU300" s="67">
        <f t="shared" si="710"/>
        <v>1516.1089999999999</v>
      </c>
      <c r="AV300" s="67">
        <f t="shared" si="710"/>
        <v>1081.9108999999999</v>
      </c>
      <c r="AW300" s="95">
        <f t="shared" si="710"/>
        <v>434.19810000000001</v>
      </c>
    </row>
    <row r="301" spans="1:51" s="569" customFormat="1" x14ac:dyDescent="0.2">
      <c r="D301" s="17"/>
      <c r="E301" s="12"/>
      <c r="F301" s="17"/>
      <c r="G301" s="42"/>
      <c r="H301" s="12"/>
      <c r="I301" s="584">
        <f>SUM(J300:M300)</f>
        <v>895055873</v>
      </c>
      <c r="J301" s="584"/>
      <c r="K301" s="584"/>
      <c r="L301" s="584"/>
      <c r="M301" s="584"/>
      <c r="N301" s="585">
        <f>SUM(O300:P300)</f>
        <v>1382.9389999999999</v>
      </c>
      <c r="O301" s="585"/>
      <c r="P301" s="585"/>
      <c r="Q301" s="585"/>
      <c r="R301" s="585"/>
      <c r="S301" s="585"/>
      <c r="T301" s="585"/>
      <c r="U301" s="602">
        <f>SUM(Q300:T300)</f>
        <v>46146020</v>
      </c>
      <c r="V301" s="603"/>
      <c r="W301" s="603"/>
      <c r="X301" s="603"/>
      <c r="Y301" s="602">
        <f>SUM(V300:X300)</f>
        <v>3086376</v>
      </c>
      <c r="Z301" s="602">
        <f>U300+Y300</f>
        <v>49232396</v>
      </c>
      <c r="AA301" s="604"/>
      <c r="AB301" s="604"/>
      <c r="AC301" s="603"/>
      <c r="AD301" s="603"/>
      <c r="AE301" s="602">
        <f>SUM(AC300:AD300)</f>
        <v>77400</v>
      </c>
      <c r="AF301" s="602">
        <f>Z300+AA300+AB300+AE300</f>
        <v>66873271</v>
      </c>
      <c r="AG301" s="605"/>
      <c r="AH301" s="605"/>
      <c r="AI301" s="605"/>
      <c r="AJ301" s="605"/>
      <c r="AK301" s="605"/>
      <c r="AL301" s="606">
        <f>AG300+AI300+AJ300</f>
        <v>136.43</v>
      </c>
      <c r="AM301" s="606">
        <f>AH300+AK300</f>
        <v>-3.2599999999999989</v>
      </c>
      <c r="AN301" s="606">
        <f>SUM(AL300:AM300)</f>
        <v>133.17000000000004</v>
      </c>
      <c r="AO301" s="584">
        <f>SUM(AP300:AT300)</f>
        <v>961929144</v>
      </c>
      <c r="AP301" s="114"/>
      <c r="AQ301" s="114"/>
      <c r="AR301" s="114"/>
      <c r="AS301" s="114"/>
      <c r="AT301" s="114"/>
      <c r="AU301" s="585">
        <f>SUM(AV300:AW300)</f>
        <v>1516.1089999999999</v>
      </c>
      <c r="AV301" s="166"/>
      <c r="AW301" s="166"/>
    </row>
    <row r="302" spans="1:51" ht="13.5" thickBot="1" x14ac:dyDescent="0.25">
      <c r="D302" s="17"/>
      <c r="E302" s="12"/>
      <c r="F302" s="617"/>
      <c r="G302" s="42"/>
      <c r="H302" s="12"/>
      <c r="I302" s="162">
        <f ca="1">SUM(J303:M303)</f>
        <v>895055873</v>
      </c>
      <c r="J302" s="163"/>
      <c r="K302" s="163"/>
      <c r="L302" s="163"/>
      <c r="M302" s="163"/>
      <c r="N302" s="164">
        <f ca="1">SUM(O303:P303)</f>
        <v>1382.9390000000001</v>
      </c>
      <c r="O302" s="336"/>
      <c r="P302" s="336"/>
      <c r="Q302" s="585"/>
      <c r="R302" s="585"/>
      <c r="S302" s="585"/>
      <c r="T302" s="585"/>
      <c r="U302" s="602">
        <f ca="1">SUM(Q303:T303)</f>
        <v>46146020</v>
      </c>
      <c r="V302" s="603"/>
      <c r="W302" s="603"/>
      <c r="X302" s="603"/>
      <c r="Y302" s="602">
        <f ca="1">SUM(V303:X303)</f>
        <v>3086376</v>
      </c>
      <c r="Z302" s="602">
        <f ca="1">U303+Y303</f>
        <v>49232396</v>
      </c>
      <c r="AA302" s="604"/>
      <c r="AB302" s="604"/>
      <c r="AC302" s="603"/>
      <c r="AD302" s="603"/>
      <c r="AE302" s="602">
        <f ca="1">SUM(AC303:AD303)</f>
        <v>77400</v>
      </c>
      <c r="AF302" s="602">
        <f ca="1">Z303+AA303+AB303+AE303</f>
        <v>66873271</v>
      </c>
      <c r="AG302" s="605"/>
      <c r="AH302" s="605"/>
      <c r="AI302" s="605"/>
      <c r="AJ302" s="605"/>
      <c r="AK302" s="605"/>
      <c r="AL302" s="606">
        <f ca="1">AG303+AI303+AJ303</f>
        <v>136.43</v>
      </c>
      <c r="AM302" s="606">
        <f ca="1">AH303+AK303</f>
        <v>-3.26</v>
      </c>
      <c r="AN302" s="606">
        <f ca="1">SUM(AL303:AM303)</f>
        <v>133.17000000000004</v>
      </c>
      <c r="AO302" s="584">
        <f ca="1">SUM(AP303:AT303)</f>
        <v>961929144</v>
      </c>
      <c r="AP302" s="114"/>
      <c r="AQ302" s="114"/>
      <c r="AR302" s="114"/>
      <c r="AS302" s="114"/>
      <c r="AT302" s="114"/>
      <c r="AU302" s="585">
        <f ca="1">SUM(AV303:AW303)</f>
        <v>1516.1090000000002</v>
      </c>
      <c r="AV302" s="166"/>
      <c r="AW302" s="166"/>
    </row>
    <row r="303" spans="1:51" ht="13.5" thickBot="1" x14ac:dyDescent="0.25">
      <c r="D303" s="17"/>
      <c r="E303" s="12"/>
      <c r="F303" s="17"/>
      <c r="G303" s="42"/>
      <c r="H303" s="47" t="s">
        <v>0</v>
      </c>
      <c r="I303" s="271">
        <f t="shared" ref="I303:AW303" ca="1" si="711">SUM(I304:I313)</f>
        <v>895055873</v>
      </c>
      <c r="J303" s="63">
        <f t="shared" ca="1" si="711"/>
        <v>649482549</v>
      </c>
      <c r="K303" s="63">
        <f t="shared" ca="1" si="711"/>
        <v>219525094</v>
      </c>
      <c r="L303" s="63">
        <f t="shared" ca="1" si="711"/>
        <v>12989654</v>
      </c>
      <c r="M303" s="63">
        <f t="shared" ca="1" si="711"/>
        <v>13058576</v>
      </c>
      <c r="N303" s="64">
        <f t="shared" ca="1" si="711"/>
        <v>1382.9390000000001</v>
      </c>
      <c r="O303" s="64">
        <f t="shared" ca="1" si="711"/>
        <v>945.48090000000013</v>
      </c>
      <c r="P303" s="288">
        <f t="shared" ca="1" si="711"/>
        <v>437.4581</v>
      </c>
      <c r="Q303" s="271">
        <f t="shared" ca="1" si="711"/>
        <v>-2961288</v>
      </c>
      <c r="R303" s="63">
        <f t="shared" ca="1" si="711"/>
        <v>47698036</v>
      </c>
      <c r="S303" s="63">
        <f t="shared" ca="1" si="711"/>
        <v>0</v>
      </c>
      <c r="T303" s="63">
        <f t="shared" ca="1" si="711"/>
        <v>1409272</v>
      </c>
      <c r="U303" s="63">
        <f t="shared" ca="1" si="711"/>
        <v>46146020</v>
      </c>
      <c r="V303" s="63">
        <f t="shared" ca="1" si="711"/>
        <v>2961288</v>
      </c>
      <c r="W303" s="63">
        <f t="shared" ca="1" si="711"/>
        <v>125088</v>
      </c>
      <c r="X303" s="63">
        <f t="shared" ca="1" si="711"/>
        <v>0</v>
      </c>
      <c r="Y303" s="63">
        <f t="shared" ca="1" si="711"/>
        <v>3086376</v>
      </c>
      <c r="Z303" s="63">
        <f t="shared" ca="1" si="711"/>
        <v>49232396</v>
      </c>
      <c r="AA303" s="63">
        <f t="shared" ca="1" si="711"/>
        <v>16640554</v>
      </c>
      <c r="AB303" s="63">
        <f t="shared" ca="1" si="711"/>
        <v>922921</v>
      </c>
      <c r="AC303" s="63">
        <f t="shared" ca="1" si="711"/>
        <v>77400</v>
      </c>
      <c r="AD303" s="63">
        <f t="shared" ca="1" si="711"/>
        <v>0</v>
      </c>
      <c r="AE303" s="63">
        <f t="shared" ca="1" si="711"/>
        <v>77400</v>
      </c>
      <c r="AF303" s="63">
        <f t="shared" ca="1" si="711"/>
        <v>66873271</v>
      </c>
      <c r="AG303" s="64">
        <f t="shared" ca="1" si="711"/>
        <v>-2.7</v>
      </c>
      <c r="AH303" s="64">
        <f t="shared" ca="1" si="711"/>
        <v>-4.46</v>
      </c>
      <c r="AI303" s="64">
        <f t="shared" ca="1" si="711"/>
        <v>137.18</v>
      </c>
      <c r="AJ303" s="64">
        <f t="shared" ca="1" si="711"/>
        <v>1.95</v>
      </c>
      <c r="AK303" s="64">
        <f t="shared" ca="1" si="711"/>
        <v>1.2</v>
      </c>
      <c r="AL303" s="64">
        <f t="shared" ca="1" si="711"/>
        <v>136.43000000000004</v>
      </c>
      <c r="AM303" s="64">
        <f t="shared" ca="1" si="711"/>
        <v>-3.26</v>
      </c>
      <c r="AN303" s="65">
        <f t="shared" ca="1" si="711"/>
        <v>133.16999999999999</v>
      </c>
      <c r="AO303" s="289">
        <f t="shared" ca="1" si="711"/>
        <v>961929144</v>
      </c>
      <c r="AP303" s="63">
        <f t="shared" ca="1" si="711"/>
        <v>695628569</v>
      </c>
      <c r="AQ303" s="63">
        <f t="shared" ca="1" si="711"/>
        <v>3086376</v>
      </c>
      <c r="AR303" s="63">
        <f t="shared" ca="1" si="711"/>
        <v>236165648</v>
      </c>
      <c r="AS303" s="63">
        <f t="shared" ca="1" si="711"/>
        <v>13912575</v>
      </c>
      <c r="AT303" s="63">
        <f t="shared" ca="1" si="711"/>
        <v>13135976</v>
      </c>
      <c r="AU303" s="64">
        <f t="shared" ca="1" si="711"/>
        <v>1516.1089999999999</v>
      </c>
      <c r="AV303" s="64">
        <f t="shared" ca="1" si="711"/>
        <v>1081.9109000000001</v>
      </c>
      <c r="AW303" s="65">
        <f t="shared" ca="1" si="711"/>
        <v>434.19810000000001</v>
      </c>
    </row>
    <row r="304" spans="1:51" x14ac:dyDescent="0.2">
      <c r="D304" s="17"/>
      <c r="E304" s="12"/>
      <c r="F304" s="17"/>
      <c r="G304" s="42"/>
      <c r="H304" s="1">
        <v>3111</v>
      </c>
      <c r="I304" s="318">
        <f t="shared" ref="I304:AW304" ca="1" si="712">SUMIF($F$12:$F$428,"=3111",I$12:I$384)</f>
        <v>180915395</v>
      </c>
      <c r="J304" s="319">
        <f t="shared" ca="1" si="712"/>
        <v>132395945</v>
      </c>
      <c r="K304" s="319">
        <f t="shared" ca="1" si="712"/>
        <v>44749829</v>
      </c>
      <c r="L304" s="319">
        <f t="shared" ca="1" si="712"/>
        <v>2647921</v>
      </c>
      <c r="M304" s="319">
        <f t="shared" ca="1" si="712"/>
        <v>1121700</v>
      </c>
      <c r="N304" s="320">
        <f t="shared" ca="1" si="712"/>
        <v>306.89370000000002</v>
      </c>
      <c r="O304" s="320">
        <f t="shared" ca="1" si="712"/>
        <v>233.38800000000003</v>
      </c>
      <c r="P304" s="323">
        <f t="shared" ca="1" si="712"/>
        <v>73.505700000000004</v>
      </c>
      <c r="Q304" s="318">
        <f t="shared" ca="1" si="712"/>
        <v>-389280</v>
      </c>
      <c r="R304" s="319">
        <f t="shared" ca="1" si="712"/>
        <v>6731649</v>
      </c>
      <c r="S304" s="319">
        <f t="shared" ca="1" si="712"/>
        <v>0</v>
      </c>
      <c r="T304" s="319">
        <f t="shared" ca="1" si="712"/>
        <v>303569</v>
      </c>
      <c r="U304" s="319">
        <f t="shared" ca="1" si="712"/>
        <v>6645938</v>
      </c>
      <c r="V304" s="319">
        <f t="shared" ca="1" si="712"/>
        <v>389280</v>
      </c>
      <c r="W304" s="319">
        <f t="shared" ca="1" si="712"/>
        <v>0</v>
      </c>
      <c r="X304" s="319">
        <f t="shared" ca="1" si="712"/>
        <v>0</v>
      </c>
      <c r="Y304" s="319">
        <f t="shared" ca="1" si="712"/>
        <v>389280</v>
      </c>
      <c r="Z304" s="319">
        <f t="shared" ca="1" si="712"/>
        <v>7035218</v>
      </c>
      <c r="AA304" s="319">
        <f t="shared" ca="1" si="712"/>
        <v>2377904</v>
      </c>
      <c r="AB304" s="319">
        <f t="shared" ca="1" si="712"/>
        <v>132920</v>
      </c>
      <c r="AC304" s="319">
        <f t="shared" ca="1" si="712"/>
        <v>0</v>
      </c>
      <c r="AD304" s="319">
        <f t="shared" ca="1" si="712"/>
        <v>0</v>
      </c>
      <c r="AE304" s="319">
        <f t="shared" ca="1" si="712"/>
        <v>0</v>
      </c>
      <c r="AF304" s="319">
        <f t="shared" ca="1" si="712"/>
        <v>9546042</v>
      </c>
      <c r="AG304" s="320">
        <f t="shared" ca="1" si="712"/>
        <v>-0.12000000000000001</v>
      </c>
      <c r="AH304" s="320">
        <f t="shared" ca="1" si="712"/>
        <v>-1.25</v>
      </c>
      <c r="AI304" s="320">
        <f t="shared" ca="1" si="712"/>
        <v>19.07</v>
      </c>
      <c r="AJ304" s="320">
        <f t="shared" ca="1" si="712"/>
        <v>0.68</v>
      </c>
      <c r="AK304" s="320">
        <f t="shared" ca="1" si="712"/>
        <v>0</v>
      </c>
      <c r="AL304" s="320">
        <f t="shared" ca="1" si="712"/>
        <v>19.630000000000003</v>
      </c>
      <c r="AM304" s="320">
        <f t="shared" ca="1" si="712"/>
        <v>-1.25</v>
      </c>
      <c r="AN304" s="321">
        <f t="shared" ca="1" si="712"/>
        <v>18.380000000000006</v>
      </c>
      <c r="AO304" s="322">
        <f t="shared" ca="1" si="712"/>
        <v>190461437</v>
      </c>
      <c r="AP304" s="319">
        <f t="shared" ca="1" si="712"/>
        <v>139041883</v>
      </c>
      <c r="AQ304" s="319">
        <f t="shared" ca="1" si="712"/>
        <v>389280</v>
      </c>
      <c r="AR304" s="319">
        <f t="shared" ca="1" si="712"/>
        <v>47127733</v>
      </c>
      <c r="AS304" s="319">
        <f t="shared" ca="1" si="712"/>
        <v>2780841</v>
      </c>
      <c r="AT304" s="319">
        <f t="shared" ca="1" si="712"/>
        <v>1121700</v>
      </c>
      <c r="AU304" s="320">
        <f t="shared" ca="1" si="712"/>
        <v>325.27369999999996</v>
      </c>
      <c r="AV304" s="320">
        <f t="shared" ca="1" si="712"/>
        <v>253.018</v>
      </c>
      <c r="AW304" s="321">
        <f t="shared" ca="1" si="712"/>
        <v>72.255700000000004</v>
      </c>
      <c r="AY304" s="7"/>
    </row>
    <row r="305" spans="4:51" x14ac:dyDescent="0.2">
      <c r="D305" s="17"/>
      <c r="E305" s="12"/>
      <c r="F305" s="17"/>
      <c r="G305" s="42"/>
      <c r="H305" s="2">
        <v>3113</v>
      </c>
      <c r="I305" s="324">
        <f t="shared" ref="I305:AW305" si="713">SUMIF($F$12:$F$428,"=3113",I$12:I$428)</f>
        <v>446139346</v>
      </c>
      <c r="J305" s="325">
        <f t="shared" si="713"/>
        <v>321227603</v>
      </c>
      <c r="K305" s="325">
        <f t="shared" si="713"/>
        <v>108574929</v>
      </c>
      <c r="L305" s="325">
        <f t="shared" si="713"/>
        <v>6424554</v>
      </c>
      <c r="M305" s="325">
        <f t="shared" si="713"/>
        <v>9912260</v>
      </c>
      <c r="N305" s="326">
        <f t="shared" si="713"/>
        <v>605.83990000000006</v>
      </c>
      <c r="O305" s="326">
        <f t="shared" si="713"/>
        <v>460.32389999999992</v>
      </c>
      <c r="P305" s="329">
        <f t="shared" si="713"/>
        <v>145.51600000000002</v>
      </c>
      <c r="Q305" s="324">
        <f t="shared" si="713"/>
        <v>-1090976</v>
      </c>
      <c r="R305" s="325">
        <f t="shared" si="713"/>
        <v>33654399</v>
      </c>
      <c r="S305" s="325">
        <f t="shared" si="713"/>
        <v>0</v>
      </c>
      <c r="T305" s="325">
        <f t="shared" si="713"/>
        <v>733735</v>
      </c>
      <c r="U305" s="325">
        <f t="shared" si="713"/>
        <v>33297158</v>
      </c>
      <c r="V305" s="325">
        <f t="shared" si="713"/>
        <v>1090976</v>
      </c>
      <c r="W305" s="325">
        <f t="shared" si="713"/>
        <v>54816</v>
      </c>
      <c r="X305" s="325">
        <f t="shared" si="713"/>
        <v>0</v>
      </c>
      <c r="Y305" s="325">
        <f t="shared" si="713"/>
        <v>1145792</v>
      </c>
      <c r="Z305" s="325">
        <f t="shared" si="713"/>
        <v>34442950</v>
      </c>
      <c r="AA305" s="325">
        <f t="shared" si="713"/>
        <v>11641719</v>
      </c>
      <c r="AB305" s="325">
        <f t="shared" si="713"/>
        <v>665944</v>
      </c>
      <c r="AC305" s="325">
        <f t="shared" si="713"/>
        <v>74400</v>
      </c>
      <c r="AD305" s="325">
        <f t="shared" si="713"/>
        <v>0</v>
      </c>
      <c r="AE305" s="325">
        <f t="shared" si="713"/>
        <v>74400</v>
      </c>
      <c r="AF305" s="325">
        <f t="shared" si="713"/>
        <v>46825013</v>
      </c>
      <c r="AG305" s="326">
        <f t="shared" si="713"/>
        <v>-0.91000000000000014</v>
      </c>
      <c r="AH305" s="326">
        <f t="shared" si="713"/>
        <v>-2.06</v>
      </c>
      <c r="AI305" s="326">
        <f t="shared" si="713"/>
        <v>97.03</v>
      </c>
      <c r="AJ305" s="326">
        <f t="shared" si="713"/>
        <v>1.24</v>
      </c>
      <c r="AK305" s="326">
        <f t="shared" si="713"/>
        <v>0</v>
      </c>
      <c r="AL305" s="326">
        <f t="shared" si="713"/>
        <v>97.360000000000014</v>
      </c>
      <c r="AM305" s="326">
        <f t="shared" si="713"/>
        <v>-2.06</v>
      </c>
      <c r="AN305" s="327">
        <f t="shared" si="713"/>
        <v>95.3</v>
      </c>
      <c r="AO305" s="328">
        <f t="shared" si="713"/>
        <v>492964359</v>
      </c>
      <c r="AP305" s="325">
        <f t="shared" si="713"/>
        <v>354524761</v>
      </c>
      <c r="AQ305" s="325">
        <f t="shared" si="713"/>
        <v>1145792</v>
      </c>
      <c r="AR305" s="325">
        <f t="shared" si="713"/>
        <v>120216648</v>
      </c>
      <c r="AS305" s="325">
        <f t="shared" si="713"/>
        <v>7090498</v>
      </c>
      <c r="AT305" s="325">
        <f t="shared" si="713"/>
        <v>9986660</v>
      </c>
      <c r="AU305" s="326">
        <f t="shared" si="713"/>
        <v>701.1398999999999</v>
      </c>
      <c r="AV305" s="326">
        <f t="shared" si="713"/>
        <v>557.68389999999988</v>
      </c>
      <c r="AW305" s="327">
        <f t="shared" si="713"/>
        <v>143.45600000000002</v>
      </c>
      <c r="AY305" s="7"/>
    </row>
    <row r="306" spans="4:51" x14ac:dyDescent="0.2">
      <c r="D306" s="17"/>
      <c r="E306" s="12"/>
      <c r="F306" s="17"/>
      <c r="G306" s="42"/>
      <c r="H306" s="2">
        <v>3114</v>
      </c>
      <c r="I306" s="324">
        <f t="shared" ref="I306:AW306" si="714">SUMIF($F$12:$F$428,"=3114",I$12:I$428)</f>
        <v>45314409</v>
      </c>
      <c r="J306" s="325">
        <f t="shared" si="714"/>
        <v>33012414</v>
      </c>
      <c r="K306" s="325">
        <f t="shared" si="714"/>
        <v>11158196</v>
      </c>
      <c r="L306" s="325">
        <f t="shared" si="714"/>
        <v>660249</v>
      </c>
      <c r="M306" s="325">
        <f t="shared" si="714"/>
        <v>483550</v>
      </c>
      <c r="N306" s="326">
        <f t="shared" si="714"/>
        <v>66.401399999999995</v>
      </c>
      <c r="O306" s="326">
        <f t="shared" si="714"/>
        <v>54.762900000000002</v>
      </c>
      <c r="P306" s="329">
        <f t="shared" si="714"/>
        <v>11.638500000000001</v>
      </c>
      <c r="Q306" s="324">
        <f t="shared" si="714"/>
        <v>0</v>
      </c>
      <c r="R306" s="325">
        <f t="shared" si="714"/>
        <v>0</v>
      </c>
      <c r="S306" s="325">
        <f t="shared" si="714"/>
        <v>0</v>
      </c>
      <c r="T306" s="325">
        <f t="shared" si="714"/>
        <v>19168</v>
      </c>
      <c r="U306" s="325">
        <f t="shared" si="714"/>
        <v>19168</v>
      </c>
      <c r="V306" s="325">
        <f t="shared" si="714"/>
        <v>0</v>
      </c>
      <c r="W306" s="325">
        <f t="shared" si="714"/>
        <v>0</v>
      </c>
      <c r="X306" s="325">
        <f t="shared" si="714"/>
        <v>0</v>
      </c>
      <c r="Y306" s="325">
        <f t="shared" si="714"/>
        <v>0</v>
      </c>
      <c r="Z306" s="325">
        <f t="shared" si="714"/>
        <v>19168</v>
      </c>
      <c r="AA306" s="325">
        <f t="shared" si="714"/>
        <v>6479</v>
      </c>
      <c r="AB306" s="325">
        <f t="shared" si="714"/>
        <v>383</v>
      </c>
      <c r="AC306" s="325">
        <f t="shared" si="714"/>
        <v>0</v>
      </c>
      <c r="AD306" s="325">
        <f t="shared" si="714"/>
        <v>0</v>
      </c>
      <c r="AE306" s="325">
        <f t="shared" si="714"/>
        <v>0</v>
      </c>
      <c r="AF306" s="325">
        <f t="shared" si="714"/>
        <v>26030</v>
      </c>
      <c r="AG306" s="326">
        <f t="shared" si="714"/>
        <v>0</v>
      </c>
      <c r="AH306" s="326">
        <f t="shared" si="714"/>
        <v>0</v>
      </c>
      <c r="AI306" s="326">
        <f t="shared" si="714"/>
        <v>0</v>
      </c>
      <c r="AJ306" s="326">
        <f t="shared" si="714"/>
        <v>0.03</v>
      </c>
      <c r="AK306" s="326">
        <f t="shared" si="714"/>
        <v>0</v>
      </c>
      <c r="AL306" s="326">
        <f t="shared" si="714"/>
        <v>0.03</v>
      </c>
      <c r="AM306" s="326">
        <f t="shared" si="714"/>
        <v>0</v>
      </c>
      <c r="AN306" s="327">
        <f t="shared" si="714"/>
        <v>0.03</v>
      </c>
      <c r="AO306" s="328">
        <f t="shared" si="714"/>
        <v>45340439</v>
      </c>
      <c r="AP306" s="325">
        <f t="shared" si="714"/>
        <v>33031582</v>
      </c>
      <c r="AQ306" s="325">
        <f t="shared" si="714"/>
        <v>0</v>
      </c>
      <c r="AR306" s="325">
        <f t="shared" si="714"/>
        <v>11164675</v>
      </c>
      <c r="AS306" s="325">
        <f t="shared" si="714"/>
        <v>660632</v>
      </c>
      <c r="AT306" s="325">
        <f t="shared" si="714"/>
        <v>483550</v>
      </c>
      <c r="AU306" s="326">
        <f t="shared" si="714"/>
        <v>66.431399999999996</v>
      </c>
      <c r="AV306" s="326">
        <f t="shared" si="714"/>
        <v>54.792900000000003</v>
      </c>
      <c r="AW306" s="327">
        <f t="shared" si="714"/>
        <v>11.638500000000001</v>
      </c>
      <c r="AY306" s="7"/>
    </row>
    <row r="307" spans="4:51" x14ac:dyDescent="0.2">
      <c r="D307" s="17"/>
      <c r="E307" s="12"/>
      <c r="F307" s="17"/>
      <c r="G307" s="42"/>
      <c r="H307" s="2">
        <v>3117</v>
      </c>
      <c r="I307" s="324">
        <f t="shared" ref="I307:AW307" si="715">SUMIF($F$12:$F$428,"=3117",I$12:I$428)</f>
        <v>39707471</v>
      </c>
      <c r="J307" s="325">
        <f t="shared" si="715"/>
        <v>28727173</v>
      </c>
      <c r="K307" s="325">
        <f t="shared" si="715"/>
        <v>9709785</v>
      </c>
      <c r="L307" s="325">
        <f t="shared" si="715"/>
        <v>574543</v>
      </c>
      <c r="M307" s="325">
        <f t="shared" si="715"/>
        <v>695970</v>
      </c>
      <c r="N307" s="326">
        <f t="shared" si="715"/>
        <v>57.921099999999996</v>
      </c>
      <c r="O307" s="326">
        <f t="shared" si="715"/>
        <v>39.065999999999995</v>
      </c>
      <c r="P307" s="329">
        <f t="shared" si="715"/>
        <v>18.855100000000004</v>
      </c>
      <c r="Q307" s="324">
        <f t="shared" si="715"/>
        <v>-63200</v>
      </c>
      <c r="R307" s="325">
        <f t="shared" si="715"/>
        <v>7311988</v>
      </c>
      <c r="S307" s="325">
        <f t="shared" si="715"/>
        <v>0</v>
      </c>
      <c r="T307" s="325">
        <f t="shared" si="715"/>
        <v>0</v>
      </c>
      <c r="U307" s="325">
        <f t="shared" si="715"/>
        <v>7248788</v>
      </c>
      <c r="V307" s="325">
        <f t="shared" si="715"/>
        <v>63200</v>
      </c>
      <c r="W307" s="325">
        <f t="shared" si="715"/>
        <v>18272</v>
      </c>
      <c r="X307" s="325">
        <f t="shared" si="715"/>
        <v>0</v>
      </c>
      <c r="Y307" s="325">
        <f t="shared" si="715"/>
        <v>81472</v>
      </c>
      <c r="Z307" s="325">
        <f t="shared" si="715"/>
        <v>7330260</v>
      </c>
      <c r="AA307" s="325">
        <f t="shared" si="715"/>
        <v>2477630</v>
      </c>
      <c r="AB307" s="325">
        <f t="shared" si="715"/>
        <v>144975</v>
      </c>
      <c r="AC307" s="325">
        <f t="shared" si="715"/>
        <v>3000</v>
      </c>
      <c r="AD307" s="325">
        <f t="shared" si="715"/>
        <v>0</v>
      </c>
      <c r="AE307" s="325">
        <f t="shared" si="715"/>
        <v>3000</v>
      </c>
      <c r="AF307" s="325">
        <f t="shared" si="715"/>
        <v>9955865</v>
      </c>
      <c r="AG307" s="326">
        <f t="shared" si="715"/>
        <v>-0.03</v>
      </c>
      <c r="AH307" s="326">
        <f t="shared" si="715"/>
        <v>-0.1</v>
      </c>
      <c r="AI307" s="326">
        <f t="shared" si="715"/>
        <v>21.08</v>
      </c>
      <c r="AJ307" s="326">
        <f t="shared" si="715"/>
        <v>0</v>
      </c>
      <c r="AK307" s="326">
        <f t="shared" si="715"/>
        <v>0</v>
      </c>
      <c r="AL307" s="326">
        <f t="shared" si="715"/>
        <v>21.05</v>
      </c>
      <c r="AM307" s="326">
        <f t="shared" si="715"/>
        <v>-0.1</v>
      </c>
      <c r="AN307" s="327">
        <f t="shared" si="715"/>
        <v>20.95</v>
      </c>
      <c r="AO307" s="328">
        <f t="shared" si="715"/>
        <v>49663336</v>
      </c>
      <c r="AP307" s="325">
        <f t="shared" si="715"/>
        <v>35975961</v>
      </c>
      <c r="AQ307" s="325">
        <f t="shared" si="715"/>
        <v>81472</v>
      </c>
      <c r="AR307" s="325">
        <f t="shared" si="715"/>
        <v>12187415</v>
      </c>
      <c r="AS307" s="325">
        <f t="shared" si="715"/>
        <v>719518</v>
      </c>
      <c r="AT307" s="325">
        <f t="shared" si="715"/>
        <v>698970</v>
      </c>
      <c r="AU307" s="326">
        <f t="shared" si="715"/>
        <v>78.871099999999998</v>
      </c>
      <c r="AV307" s="326">
        <f t="shared" si="715"/>
        <v>60.116</v>
      </c>
      <c r="AW307" s="327">
        <f t="shared" si="715"/>
        <v>18.755100000000002</v>
      </c>
      <c r="AY307" s="7"/>
    </row>
    <row r="308" spans="4:51" x14ac:dyDescent="0.2">
      <c r="D308" s="17"/>
      <c r="E308" s="12"/>
      <c r="F308" s="17"/>
      <c r="G308" s="42"/>
      <c r="H308" s="2">
        <v>3122</v>
      </c>
      <c r="I308" s="324">
        <f t="shared" ref="I308:AW308" si="716">SUMIF($F$12:$F$384,"=3122",I$12:I$384)</f>
        <v>0</v>
      </c>
      <c r="J308" s="325">
        <f t="shared" si="716"/>
        <v>0</v>
      </c>
      <c r="K308" s="325">
        <f t="shared" si="716"/>
        <v>0</v>
      </c>
      <c r="L308" s="325">
        <f t="shared" si="716"/>
        <v>0</v>
      </c>
      <c r="M308" s="325">
        <f t="shared" si="716"/>
        <v>0</v>
      </c>
      <c r="N308" s="326">
        <f t="shared" si="716"/>
        <v>0</v>
      </c>
      <c r="O308" s="326">
        <f t="shared" si="716"/>
        <v>0</v>
      </c>
      <c r="P308" s="329">
        <f t="shared" si="716"/>
        <v>0</v>
      </c>
      <c r="Q308" s="324">
        <f t="shared" si="716"/>
        <v>0</v>
      </c>
      <c r="R308" s="325">
        <f t="shared" si="716"/>
        <v>0</v>
      </c>
      <c r="S308" s="325">
        <f t="shared" si="716"/>
        <v>0</v>
      </c>
      <c r="T308" s="325">
        <f t="shared" si="716"/>
        <v>0</v>
      </c>
      <c r="U308" s="325">
        <f t="shared" si="716"/>
        <v>0</v>
      </c>
      <c r="V308" s="325">
        <f t="shared" si="716"/>
        <v>0</v>
      </c>
      <c r="W308" s="325">
        <f t="shared" si="716"/>
        <v>0</v>
      </c>
      <c r="X308" s="325">
        <f t="shared" si="716"/>
        <v>0</v>
      </c>
      <c r="Y308" s="325">
        <f t="shared" si="716"/>
        <v>0</v>
      </c>
      <c r="Z308" s="325">
        <f t="shared" si="716"/>
        <v>0</v>
      </c>
      <c r="AA308" s="325">
        <f t="shared" si="716"/>
        <v>0</v>
      </c>
      <c r="AB308" s="325">
        <f t="shared" si="716"/>
        <v>0</v>
      </c>
      <c r="AC308" s="325">
        <f t="shared" si="716"/>
        <v>0</v>
      </c>
      <c r="AD308" s="325">
        <f t="shared" si="716"/>
        <v>0</v>
      </c>
      <c r="AE308" s="325">
        <f t="shared" si="716"/>
        <v>0</v>
      </c>
      <c r="AF308" s="325">
        <f t="shared" si="716"/>
        <v>0</v>
      </c>
      <c r="AG308" s="326">
        <f t="shared" si="716"/>
        <v>0</v>
      </c>
      <c r="AH308" s="326">
        <f t="shared" si="716"/>
        <v>0</v>
      </c>
      <c r="AI308" s="326">
        <f t="shared" si="716"/>
        <v>0</v>
      </c>
      <c r="AJ308" s="326">
        <f t="shared" si="716"/>
        <v>0</v>
      </c>
      <c r="AK308" s="326">
        <f t="shared" si="716"/>
        <v>0</v>
      </c>
      <c r="AL308" s="326">
        <f t="shared" si="716"/>
        <v>0</v>
      </c>
      <c r="AM308" s="326">
        <f t="shared" si="716"/>
        <v>0</v>
      </c>
      <c r="AN308" s="327">
        <f t="shared" si="716"/>
        <v>0</v>
      </c>
      <c r="AO308" s="328">
        <f t="shared" si="716"/>
        <v>0</v>
      </c>
      <c r="AP308" s="325">
        <f t="shared" si="716"/>
        <v>0</v>
      </c>
      <c r="AQ308" s="325">
        <f t="shared" si="716"/>
        <v>0</v>
      </c>
      <c r="AR308" s="325">
        <f t="shared" si="716"/>
        <v>0</v>
      </c>
      <c r="AS308" s="325">
        <f t="shared" si="716"/>
        <v>0</v>
      </c>
      <c r="AT308" s="325">
        <f t="shared" si="716"/>
        <v>0</v>
      </c>
      <c r="AU308" s="326">
        <f t="shared" si="716"/>
        <v>0</v>
      </c>
      <c r="AV308" s="326">
        <f t="shared" si="716"/>
        <v>0</v>
      </c>
      <c r="AW308" s="327">
        <f t="shared" si="716"/>
        <v>0</v>
      </c>
      <c r="AY308" s="7"/>
    </row>
    <row r="309" spans="4:51" x14ac:dyDescent="0.2">
      <c r="D309" s="17"/>
      <c r="E309" s="12"/>
      <c r="F309" s="17"/>
      <c r="G309" s="42"/>
      <c r="H309" s="2">
        <v>3124</v>
      </c>
      <c r="I309" s="324">
        <f t="shared" ref="I309:AW309" si="717">SUMIF($F$12:$F$384,"=3124",I$12:I$384)</f>
        <v>4189511</v>
      </c>
      <c r="J309" s="325">
        <f t="shared" si="717"/>
        <v>3067534</v>
      </c>
      <c r="K309" s="325">
        <f t="shared" si="717"/>
        <v>1036826</v>
      </c>
      <c r="L309" s="325">
        <f t="shared" si="717"/>
        <v>61351</v>
      </c>
      <c r="M309" s="325">
        <f t="shared" si="717"/>
        <v>23800</v>
      </c>
      <c r="N309" s="326">
        <f t="shared" si="717"/>
        <v>5.9693000000000005</v>
      </c>
      <c r="O309" s="326">
        <f t="shared" si="717"/>
        <v>5.2062999999999997</v>
      </c>
      <c r="P309" s="329">
        <f t="shared" si="717"/>
        <v>0.76300000000000001</v>
      </c>
      <c r="Q309" s="324">
        <f t="shared" si="717"/>
        <v>0</v>
      </c>
      <c r="R309" s="325">
        <f t="shared" si="717"/>
        <v>0</v>
      </c>
      <c r="S309" s="325">
        <f t="shared" si="717"/>
        <v>0</v>
      </c>
      <c r="T309" s="325">
        <f t="shared" si="717"/>
        <v>0</v>
      </c>
      <c r="U309" s="325">
        <f t="shared" si="717"/>
        <v>0</v>
      </c>
      <c r="V309" s="325">
        <f t="shared" si="717"/>
        <v>0</v>
      </c>
      <c r="W309" s="325">
        <f t="shared" si="717"/>
        <v>0</v>
      </c>
      <c r="X309" s="325">
        <f t="shared" si="717"/>
        <v>0</v>
      </c>
      <c r="Y309" s="325">
        <f t="shared" si="717"/>
        <v>0</v>
      </c>
      <c r="Z309" s="325">
        <f t="shared" si="717"/>
        <v>0</v>
      </c>
      <c r="AA309" s="325">
        <f t="shared" si="717"/>
        <v>0</v>
      </c>
      <c r="AB309" s="325">
        <f t="shared" si="717"/>
        <v>0</v>
      </c>
      <c r="AC309" s="325">
        <f t="shared" si="717"/>
        <v>0</v>
      </c>
      <c r="AD309" s="325">
        <f t="shared" si="717"/>
        <v>0</v>
      </c>
      <c r="AE309" s="325">
        <f t="shared" si="717"/>
        <v>0</v>
      </c>
      <c r="AF309" s="325">
        <f t="shared" si="717"/>
        <v>0</v>
      </c>
      <c r="AG309" s="326">
        <f t="shared" si="717"/>
        <v>0</v>
      </c>
      <c r="AH309" s="326">
        <f t="shared" si="717"/>
        <v>0</v>
      </c>
      <c r="AI309" s="326">
        <f t="shared" si="717"/>
        <v>0</v>
      </c>
      <c r="AJ309" s="326">
        <f t="shared" si="717"/>
        <v>0</v>
      </c>
      <c r="AK309" s="326">
        <f t="shared" si="717"/>
        <v>0</v>
      </c>
      <c r="AL309" s="326">
        <f t="shared" si="717"/>
        <v>0</v>
      </c>
      <c r="AM309" s="326">
        <f t="shared" si="717"/>
        <v>0</v>
      </c>
      <c r="AN309" s="327">
        <f t="shared" si="717"/>
        <v>0</v>
      </c>
      <c r="AO309" s="328">
        <f t="shared" si="717"/>
        <v>4189511</v>
      </c>
      <c r="AP309" s="325">
        <f t="shared" si="717"/>
        <v>3067534</v>
      </c>
      <c r="AQ309" s="325">
        <f t="shared" si="717"/>
        <v>0</v>
      </c>
      <c r="AR309" s="325">
        <f t="shared" si="717"/>
        <v>1036826</v>
      </c>
      <c r="AS309" s="325">
        <f t="shared" si="717"/>
        <v>61351</v>
      </c>
      <c r="AT309" s="325">
        <f t="shared" si="717"/>
        <v>23800</v>
      </c>
      <c r="AU309" s="326">
        <f t="shared" si="717"/>
        <v>5.9693000000000005</v>
      </c>
      <c r="AV309" s="326">
        <f t="shared" si="717"/>
        <v>5.2062999999999997</v>
      </c>
      <c r="AW309" s="327">
        <f t="shared" si="717"/>
        <v>0.76300000000000001</v>
      </c>
      <c r="AY309" s="7"/>
    </row>
    <row r="310" spans="4:51" x14ac:dyDescent="0.2">
      <c r="D310" s="17"/>
      <c r="E310" s="12"/>
      <c r="F310" s="17"/>
      <c r="G310" s="42"/>
      <c r="H310" s="2">
        <v>3141</v>
      </c>
      <c r="I310" s="324">
        <f t="shared" ref="I310:AW310" si="718">SUMIF($F$12:$F$428,"=3141",I$12:I$428)</f>
        <v>67658515</v>
      </c>
      <c r="J310" s="325">
        <f t="shared" si="718"/>
        <v>49465786</v>
      </c>
      <c r="K310" s="325">
        <f t="shared" si="718"/>
        <v>16719433</v>
      </c>
      <c r="L310" s="325">
        <f t="shared" si="718"/>
        <v>989316</v>
      </c>
      <c r="M310" s="325">
        <f t="shared" si="718"/>
        <v>483980</v>
      </c>
      <c r="N310" s="326">
        <f t="shared" si="718"/>
        <v>168.31000000000003</v>
      </c>
      <c r="O310" s="326">
        <f t="shared" si="718"/>
        <v>0</v>
      </c>
      <c r="P310" s="329">
        <f t="shared" si="718"/>
        <v>168.31000000000003</v>
      </c>
      <c r="Q310" s="324">
        <f t="shared" si="718"/>
        <v>-264552</v>
      </c>
      <c r="R310" s="325">
        <f t="shared" si="718"/>
        <v>0</v>
      </c>
      <c r="S310" s="325">
        <f t="shared" si="718"/>
        <v>0</v>
      </c>
      <c r="T310" s="325">
        <f t="shared" si="718"/>
        <v>352800</v>
      </c>
      <c r="U310" s="325">
        <f t="shared" si="718"/>
        <v>88248</v>
      </c>
      <c r="V310" s="325">
        <f t="shared" si="718"/>
        <v>264552</v>
      </c>
      <c r="W310" s="325">
        <f t="shared" si="718"/>
        <v>0</v>
      </c>
      <c r="X310" s="325">
        <f t="shared" si="718"/>
        <v>0</v>
      </c>
      <c r="Y310" s="325">
        <f t="shared" si="718"/>
        <v>264552</v>
      </c>
      <c r="Z310" s="325">
        <f t="shared" si="718"/>
        <v>352800</v>
      </c>
      <c r="AA310" s="325">
        <f t="shared" si="718"/>
        <v>119246</v>
      </c>
      <c r="AB310" s="325">
        <f t="shared" si="718"/>
        <v>1765</v>
      </c>
      <c r="AC310" s="325">
        <f t="shared" si="718"/>
        <v>0</v>
      </c>
      <c r="AD310" s="325">
        <f t="shared" si="718"/>
        <v>0</v>
      </c>
      <c r="AE310" s="325">
        <f t="shared" si="718"/>
        <v>0</v>
      </c>
      <c r="AF310" s="325">
        <f t="shared" si="718"/>
        <v>473811</v>
      </c>
      <c r="AG310" s="326">
        <f t="shared" si="718"/>
        <v>0</v>
      </c>
      <c r="AH310" s="326">
        <f t="shared" si="718"/>
        <v>-0.37</v>
      </c>
      <c r="AI310" s="326">
        <f t="shared" si="718"/>
        <v>0</v>
      </c>
      <c r="AJ310" s="326">
        <f t="shared" si="718"/>
        <v>0</v>
      </c>
      <c r="AK310" s="326">
        <f t="shared" si="718"/>
        <v>1.2</v>
      </c>
      <c r="AL310" s="326">
        <f t="shared" si="718"/>
        <v>0</v>
      </c>
      <c r="AM310" s="326">
        <f t="shared" si="718"/>
        <v>0.83000000000000007</v>
      </c>
      <c r="AN310" s="327">
        <f t="shared" si="718"/>
        <v>0.83000000000000007</v>
      </c>
      <c r="AO310" s="328">
        <f t="shared" si="718"/>
        <v>68132326</v>
      </c>
      <c r="AP310" s="325">
        <f t="shared" si="718"/>
        <v>49554034</v>
      </c>
      <c r="AQ310" s="325">
        <f t="shared" si="718"/>
        <v>264552</v>
      </c>
      <c r="AR310" s="325">
        <f t="shared" si="718"/>
        <v>16838679</v>
      </c>
      <c r="AS310" s="325">
        <f t="shared" si="718"/>
        <v>991081</v>
      </c>
      <c r="AT310" s="325">
        <f t="shared" si="718"/>
        <v>483980</v>
      </c>
      <c r="AU310" s="326">
        <f t="shared" si="718"/>
        <v>169.14000000000001</v>
      </c>
      <c r="AV310" s="326">
        <f t="shared" si="718"/>
        <v>0</v>
      </c>
      <c r="AW310" s="327">
        <f t="shared" si="718"/>
        <v>169.14000000000001</v>
      </c>
      <c r="AY310" s="7"/>
    </row>
    <row r="311" spans="4:51" x14ac:dyDescent="0.2">
      <c r="D311" s="17"/>
      <c r="E311" s="12"/>
      <c r="F311" s="17"/>
      <c r="G311" s="42"/>
      <c r="H311" s="2">
        <v>3143</v>
      </c>
      <c r="I311" s="324">
        <f t="shared" ref="I311:AW311" si="719">SUMIF($F$12:$F$428,"=3143",I$12:I$428)</f>
        <v>50001017</v>
      </c>
      <c r="J311" s="325">
        <f t="shared" si="719"/>
        <v>36771998</v>
      </c>
      <c r="K311" s="325">
        <f t="shared" si="719"/>
        <v>12428931</v>
      </c>
      <c r="L311" s="325">
        <f t="shared" si="719"/>
        <v>735438</v>
      </c>
      <c r="M311" s="325">
        <f t="shared" si="719"/>
        <v>64650</v>
      </c>
      <c r="N311" s="326">
        <f t="shared" si="719"/>
        <v>82.0017</v>
      </c>
      <c r="O311" s="326">
        <f t="shared" si="719"/>
        <v>77.491700000000009</v>
      </c>
      <c r="P311" s="329">
        <f t="shared" si="719"/>
        <v>4.5099999999999989</v>
      </c>
      <c r="Q311" s="324">
        <f t="shared" si="719"/>
        <v>-158080</v>
      </c>
      <c r="R311" s="325">
        <f t="shared" si="719"/>
        <v>0</v>
      </c>
      <c r="S311" s="325">
        <f t="shared" si="719"/>
        <v>0</v>
      </c>
      <c r="T311" s="325">
        <f t="shared" si="719"/>
        <v>0</v>
      </c>
      <c r="U311" s="325">
        <f t="shared" si="719"/>
        <v>-158080</v>
      </c>
      <c r="V311" s="325">
        <f t="shared" si="719"/>
        <v>158080</v>
      </c>
      <c r="W311" s="325">
        <f t="shared" si="719"/>
        <v>52000</v>
      </c>
      <c r="X311" s="325">
        <f t="shared" si="719"/>
        <v>0</v>
      </c>
      <c r="Y311" s="325">
        <f t="shared" si="719"/>
        <v>210080</v>
      </c>
      <c r="Z311" s="325">
        <f t="shared" si="719"/>
        <v>52000</v>
      </c>
      <c r="AA311" s="325">
        <f t="shared" si="719"/>
        <v>17576</v>
      </c>
      <c r="AB311" s="325">
        <f t="shared" si="719"/>
        <v>-3162</v>
      </c>
      <c r="AC311" s="325">
        <f t="shared" si="719"/>
        <v>0</v>
      </c>
      <c r="AD311" s="325">
        <f t="shared" si="719"/>
        <v>0</v>
      </c>
      <c r="AE311" s="325">
        <f t="shared" si="719"/>
        <v>0</v>
      </c>
      <c r="AF311" s="325">
        <f t="shared" si="719"/>
        <v>66414</v>
      </c>
      <c r="AG311" s="326">
        <f t="shared" si="719"/>
        <v>-0.05</v>
      </c>
      <c r="AH311" s="326">
        <f t="shared" si="719"/>
        <v>0</v>
      </c>
      <c r="AI311" s="326">
        <f t="shared" si="719"/>
        <v>0</v>
      </c>
      <c r="AJ311" s="326">
        <f t="shared" si="719"/>
        <v>0</v>
      </c>
      <c r="AK311" s="326">
        <f t="shared" si="719"/>
        <v>0</v>
      </c>
      <c r="AL311" s="326">
        <f t="shared" si="719"/>
        <v>-0.05</v>
      </c>
      <c r="AM311" s="326">
        <f t="shared" si="719"/>
        <v>0</v>
      </c>
      <c r="AN311" s="327">
        <f t="shared" si="719"/>
        <v>-0.05</v>
      </c>
      <c r="AO311" s="328">
        <f t="shared" si="719"/>
        <v>50067431</v>
      </c>
      <c r="AP311" s="325">
        <f t="shared" si="719"/>
        <v>36613918</v>
      </c>
      <c r="AQ311" s="325">
        <f t="shared" si="719"/>
        <v>210080</v>
      </c>
      <c r="AR311" s="325">
        <f t="shared" si="719"/>
        <v>12446507</v>
      </c>
      <c r="AS311" s="325">
        <f t="shared" si="719"/>
        <v>732276</v>
      </c>
      <c r="AT311" s="325">
        <f t="shared" si="719"/>
        <v>64650</v>
      </c>
      <c r="AU311" s="326">
        <f t="shared" si="719"/>
        <v>81.951699999999988</v>
      </c>
      <c r="AV311" s="326">
        <f t="shared" si="719"/>
        <v>77.441699999999997</v>
      </c>
      <c r="AW311" s="327">
        <f t="shared" si="719"/>
        <v>4.5099999999999989</v>
      </c>
      <c r="AY311" s="7"/>
    </row>
    <row r="312" spans="4:51" x14ac:dyDescent="0.2">
      <c r="D312" s="17"/>
      <c r="E312" s="12"/>
      <c r="F312" s="17"/>
      <c r="G312" s="42"/>
      <c r="H312" s="2">
        <v>3231</v>
      </c>
      <c r="I312" s="324">
        <f t="shared" ref="I312:AW312" si="720">SUMIF($F$12:$F$428,"=3231",I$12:I$428)</f>
        <v>51987660</v>
      </c>
      <c r="J312" s="325">
        <f t="shared" si="720"/>
        <v>38154587</v>
      </c>
      <c r="K312" s="325">
        <f t="shared" si="720"/>
        <v>12896251</v>
      </c>
      <c r="L312" s="325">
        <f t="shared" si="720"/>
        <v>763092</v>
      </c>
      <c r="M312" s="325">
        <f t="shared" si="720"/>
        <v>173730</v>
      </c>
      <c r="N312" s="326">
        <f t="shared" si="720"/>
        <v>73.891899999999993</v>
      </c>
      <c r="O312" s="326">
        <f t="shared" si="720"/>
        <v>65.662099999999995</v>
      </c>
      <c r="P312" s="329">
        <f t="shared" si="720"/>
        <v>8.2298000000000009</v>
      </c>
      <c r="Q312" s="324">
        <f t="shared" si="720"/>
        <v>-259200</v>
      </c>
      <c r="R312" s="325">
        <f t="shared" si="720"/>
        <v>0</v>
      </c>
      <c r="S312" s="325">
        <f t="shared" si="720"/>
        <v>0</v>
      </c>
      <c r="T312" s="325">
        <f t="shared" si="720"/>
        <v>0</v>
      </c>
      <c r="U312" s="325">
        <f t="shared" si="720"/>
        <v>-259200</v>
      </c>
      <c r="V312" s="325">
        <f t="shared" si="720"/>
        <v>259200</v>
      </c>
      <c r="W312" s="325">
        <f t="shared" si="720"/>
        <v>0</v>
      </c>
      <c r="X312" s="325">
        <f t="shared" si="720"/>
        <v>0</v>
      </c>
      <c r="Y312" s="325">
        <f t="shared" si="720"/>
        <v>259200</v>
      </c>
      <c r="Z312" s="325">
        <f t="shared" si="720"/>
        <v>0</v>
      </c>
      <c r="AA312" s="325">
        <f t="shared" si="720"/>
        <v>0</v>
      </c>
      <c r="AB312" s="325">
        <f t="shared" si="720"/>
        <v>-5184</v>
      </c>
      <c r="AC312" s="325">
        <f t="shared" si="720"/>
        <v>0</v>
      </c>
      <c r="AD312" s="325">
        <f t="shared" si="720"/>
        <v>0</v>
      </c>
      <c r="AE312" s="325">
        <f t="shared" si="720"/>
        <v>0</v>
      </c>
      <c r="AF312" s="325">
        <f t="shared" si="720"/>
        <v>-5184</v>
      </c>
      <c r="AG312" s="326">
        <f t="shared" si="720"/>
        <v>-0.42000000000000004</v>
      </c>
      <c r="AH312" s="326">
        <f t="shared" si="720"/>
        <v>-0.19</v>
      </c>
      <c r="AI312" s="326">
        <f t="shared" si="720"/>
        <v>0</v>
      </c>
      <c r="AJ312" s="326">
        <f t="shared" si="720"/>
        <v>0</v>
      </c>
      <c r="AK312" s="326">
        <f t="shared" si="720"/>
        <v>0</v>
      </c>
      <c r="AL312" s="326">
        <f t="shared" si="720"/>
        <v>-0.42000000000000004</v>
      </c>
      <c r="AM312" s="326">
        <f t="shared" si="720"/>
        <v>-0.19</v>
      </c>
      <c r="AN312" s="327">
        <f t="shared" si="720"/>
        <v>-0.6100000000000001</v>
      </c>
      <c r="AO312" s="328">
        <f t="shared" si="720"/>
        <v>51982476</v>
      </c>
      <c r="AP312" s="325">
        <f t="shared" si="720"/>
        <v>37895387</v>
      </c>
      <c r="AQ312" s="325">
        <f t="shared" si="720"/>
        <v>259200</v>
      </c>
      <c r="AR312" s="325">
        <f t="shared" si="720"/>
        <v>12896251</v>
      </c>
      <c r="AS312" s="325">
        <f t="shared" si="720"/>
        <v>757908</v>
      </c>
      <c r="AT312" s="325">
        <f t="shared" si="720"/>
        <v>173730</v>
      </c>
      <c r="AU312" s="326">
        <f t="shared" si="720"/>
        <v>73.281899999999993</v>
      </c>
      <c r="AV312" s="326">
        <f t="shared" si="720"/>
        <v>65.242099999999994</v>
      </c>
      <c r="AW312" s="327">
        <f t="shared" si="720"/>
        <v>8.0397999999999996</v>
      </c>
      <c r="AY312" s="7"/>
    </row>
    <row r="313" spans="4:51" ht="13.5" thickBot="1" x14ac:dyDescent="0.25">
      <c r="D313" s="17"/>
      <c r="E313" s="12"/>
      <c r="F313" s="17"/>
      <c r="G313" s="42"/>
      <c r="H313" s="291">
        <v>3233</v>
      </c>
      <c r="I313" s="330">
        <f t="shared" ref="I313:AW313" si="721">SUMIF($F$12:$F$428,"=3233",I$12:I$428)</f>
        <v>9142549</v>
      </c>
      <c r="J313" s="331">
        <f t="shared" si="721"/>
        <v>6659509</v>
      </c>
      <c r="K313" s="331">
        <f t="shared" si="721"/>
        <v>2250914</v>
      </c>
      <c r="L313" s="331">
        <f t="shared" si="721"/>
        <v>133190</v>
      </c>
      <c r="M313" s="331">
        <f t="shared" si="721"/>
        <v>98936</v>
      </c>
      <c r="N313" s="332">
        <f t="shared" si="721"/>
        <v>15.71</v>
      </c>
      <c r="O313" s="332">
        <f t="shared" si="721"/>
        <v>9.58</v>
      </c>
      <c r="P313" s="335">
        <f t="shared" si="721"/>
        <v>6.13</v>
      </c>
      <c r="Q313" s="330">
        <f t="shared" si="721"/>
        <v>-736000</v>
      </c>
      <c r="R313" s="331">
        <f t="shared" si="721"/>
        <v>0</v>
      </c>
      <c r="S313" s="331">
        <f t="shared" si="721"/>
        <v>0</v>
      </c>
      <c r="T313" s="331">
        <f t="shared" si="721"/>
        <v>0</v>
      </c>
      <c r="U313" s="331">
        <f t="shared" si="721"/>
        <v>-736000</v>
      </c>
      <c r="V313" s="331">
        <f t="shared" si="721"/>
        <v>736000</v>
      </c>
      <c r="W313" s="331">
        <f t="shared" si="721"/>
        <v>0</v>
      </c>
      <c r="X313" s="331">
        <f t="shared" si="721"/>
        <v>0</v>
      </c>
      <c r="Y313" s="331">
        <f t="shared" si="721"/>
        <v>736000</v>
      </c>
      <c r="Z313" s="331">
        <f t="shared" si="721"/>
        <v>0</v>
      </c>
      <c r="AA313" s="331">
        <f t="shared" si="721"/>
        <v>0</v>
      </c>
      <c r="AB313" s="331">
        <f t="shared" si="721"/>
        <v>-14720</v>
      </c>
      <c r="AC313" s="331">
        <f t="shared" si="721"/>
        <v>0</v>
      </c>
      <c r="AD313" s="331">
        <f t="shared" si="721"/>
        <v>0</v>
      </c>
      <c r="AE313" s="331">
        <f t="shared" si="721"/>
        <v>0</v>
      </c>
      <c r="AF313" s="331">
        <f t="shared" si="721"/>
        <v>-14720</v>
      </c>
      <c r="AG313" s="332">
        <f t="shared" si="721"/>
        <v>-1.17</v>
      </c>
      <c r="AH313" s="332">
        <f t="shared" si="721"/>
        <v>-0.49</v>
      </c>
      <c r="AI313" s="332">
        <f t="shared" si="721"/>
        <v>0</v>
      </c>
      <c r="AJ313" s="332">
        <f t="shared" si="721"/>
        <v>0</v>
      </c>
      <c r="AK313" s="332">
        <f t="shared" si="721"/>
        <v>0</v>
      </c>
      <c r="AL313" s="332">
        <f t="shared" si="721"/>
        <v>-1.17</v>
      </c>
      <c r="AM313" s="332">
        <f t="shared" si="721"/>
        <v>-0.49</v>
      </c>
      <c r="AN313" s="333">
        <f t="shared" si="721"/>
        <v>-1.66</v>
      </c>
      <c r="AO313" s="334">
        <f t="shared" si="721"/>
        <v>9127829</v>
      </c>
      <c r="AP313" s="331">
        <f t="shared" si="721"/>
        <v>5923509</v>
      </c>
      <c r="AQ313" s="331">
        <f t="shared" si="721"/>
        <v>736000</v>
      </c>
      <c r="AR313" s="331">
        <f t="shared" si="721"/>
        <v>2250914</v>
      </c>
      <c r="AS313" s="331">
        <f t="shared" si="721"/>
        <v>118470</v>
      </c>
      <c r="AT313" s="331">
        <f t="shared" si="721"/>
        <v>98936</v>
      </c>
      <c r="AU313" s="332">
        <f t="shared" si="721"/>
        <v>14.05</v>
      </c>
      <c r="AV313" s="332">
        <f t="shared" si="721"/>
        <v>8.41</v>
      </c>
      <c r="AW313" s="333">
        <f t="shared" si="721"/>
        <v>5.6400000000000006</v>
      </c>
      <c r="AY313" s="7"/>
    </row>
    <row r="314" spans="4:51" x14ac:dyDescent="0.2">
      <c r="D314" s="12"/>
      <c r="E314" s="12"/>
      <c r="F314" s="12"/>
      <c r="G314" s="42"/>
      <c r="H314" s="12"/>
      <c r="I314" s="28"/>
      <c r="J314" s="28"/>
      <c r="K314" s="28"/>
      <c r="L314" s="28"/>
      <c r="M314" s="28"/>
      <c r="N314" s="7"/>
      <c r="O314" s="7"/>
      <c r="P314" s="7"/>
    </row>
    <row r="325" spans="14:28" x14ac:dyDescent="0.2">
      <c r="S325">
        <f t="shared" ref="S325:AB325" si="722">SUBTOTAL(9,S322:S324)</f>
        <v>0</v>
      </c>
      <c r="T325">
        <f t="shared" si="722"/>
        <v>0</v>
      </c>
      <c r="U325">
        <f t="shared" si="722"/>
        <v>0</v>
      </c>
      <c r="V325">
        <f t="shared" si="722"/>
        <v>0</v>
      </c>
      <c r="W325">
        <f t="shared" si="722"/>
        <v>0</v>
      </c>
      <c r="X325">
        <f t="shared" si="722"/>
        <v>0</v>
      </c>
      <c r="Y325">
        <f t="shared" si="722"/>
        <v>0</v>
      </c>
      <c r="Z325">
        <f t="shared" si="722"/>
        <v>0</v>
      </c>
      <c r="AA325">
        <f t="shared" si="722"/>
        <v>0</v>
      </c>
      <c r="AB325">
        <f t="shared" si="722"/>
        <v>0</v>
      </c>
    </row>
    <row r="327" spans="14:28" x14ac:dyDescent="0.2">
      <c r="N327" s="16"/>
      <c r="O327" s="16"/>
      <c r="P327" s="16"/>
      <c r="R327" s="16"/>
    </row>
    <row r="328" spans="14:28" x14ac:dyDescent="0.2">
      <c r="N328" s="16"/>
      <c r="O328" s="16"/>
      <c r="P328" s="16"/>
      <c r="R328" s="16"/>
    </row>
    <row r="329" spans="14:28" x14ac:dyDescent="0.2">
      <c r="N329" s="16"/>
      <c r="O329" s="16"/>
      <c r="P329" s="16"/>
      <c r="R329" s="16"/>
    </row>
    <row r="330" spans="14:28" x14ac:dyDescent="0.2">
      <c r="N330" s="16"/>
      <c r="O330" s="16"/>
      <c r="P330" s="16"/>
      <c r="R330" s="16"/>
    </row>
  </sheetData>
  <mergeCells count="24">
    <mergeCell ref="AV8:AW9"/>
    <mergeCell ref="A3:E3"/>
    <mergeCell ref="AO6:AW7"/>
    <mergeCell ref="AB7:AB10"/>
    <mergeCell ref="AC7:AE9"/>
    <mergeCell ref="AF7:AF10"/>
    <mergeCell ref="AG7:AN7"/>
    <mergeCell ref="AG8:AH9"/>
    <mergeCell ref="AI8:AI9"/>
    <mergeCell ref="AJ8:AK9"/>
    <mergeCell ref="AL8:AN9"/>
    <mergeCell ref="AO8:AO10"/>
    <mergeCell ref="AP8:AT9"/>
    <mergeCell ref="AU8:AU10"/>
    <mergeCell ref="AA7:AA10"/>
    <mergeCell ref="Z7:Z10"/>
    <mergeCell ref="I8:I10"/>
    <mergeCell ref="I6:P7"/>
    <mergeCell ref="Q6:AN6"/>
    <mergeCell ref="Q7:U9"/>
    <mergeCell ref="V7:Y9"/>
    <mergeCell ref="J8:M9"/>
    <mergeCell ref="N8:N10"/>
    <mergeCell ref="O8:P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Y143"/>
  <sheetViews>
    <sheetView workbookViewId="0">
      <pane xSplit="8" ySplit="11" topLeftCell="AK66" activePane="bottomRight" state="frozen"/>
      <selection activeCell="AU1" sqref="AU1:AW1048576"/>
      <selection pane="topRight" activeCell="AU1" sqref="AU1:AW1048576"/>
      <selection pane="bottomLeft" activeCell="AU1" sqref="AU1:AW1048576"/>
      <selection pane="bottomRight" activeCell="AO6" sqref="AO6:AW7"/>
    </sheetView>
  </sheetViews>
  <sheetFormatPr defaultColWidth="9.140625" defaultRowHeight="15" x14ac:dyDescent="0.25"/>
  <cols>
    <col min="1" max="1" width="5" style="877" customWidth="1"/>
    <col min="2" max="2" width="7.140625" style="751" bestFit="1" customWidth="1"/>
    <col min="3" max="3" width="8.7109375" style="878" bestFit="1" customWidth="1"/>
    <col min="4" max="4" width="7.85546875" style="751" bestFit="1" customWidth="1"/>
    <col min="5" max="5" width="31.42578125" style="928" customWidth="1"/>
    <col min="6" max="6" width="5.42578125" style="878" customWidth="1"/>
    <col min="7" max="7" width="10" style="751" customWidth="1"/>
    <col min="8" max="8" width="8.5703125" style="751" customWidth="1"/>
    <col min="9" max="9" width="11.7109375" style="925" customWidth="1"/>
    <col min="10" max="10" width="10.85546875" style="925" customWidth="1"/>
    <col min="11" max="12" width="10.7109375" style="925" customWidth="1"/>
    <col min="13" max="13" width="11.42578125" style="925" customWidth="1"/>
    <col min="14" max="14" width="12" style="926" customWidth="1"/>
    <col min="15" max="15" width="10.42578125" style="926" customWidth="1"/>
    <col min="16" max="16" width="10.7109375" style="926" customWidth="1"/>
    <col min="17" max="17" width="10.7109375" style="925" customWidth="1"/>
    <col min="18" max="32" width="10.7109375" style="751" customWidth="1"/>
    <col min="33" max="40" width="10.7109375" style="926" customWidth="1"/>
    <col min="41" max="46" width="10.7109375" style="751" customWidth="1"/>
    <col min="47" max="47" width="11.7109375" style="926" customWidth="1"/>
    <col min="48" max="49" width="10.7109375" style="926" customWidth="1"/>
    <col min="50" max="50" width="9.140625" style="751" customWidth="1"/>
    <col min="51" max="16384" width="9.140625" style="751"/>
  </cols>
  <sheetData>
    <row r="1" spans="1:49" ht="15.75" customHeight="1" x14ac:dyDescent="0.25">
      <c r="A1" s="742" t="s">
        <v>2</v>
      </c>
      <c r="B1" s="742"/>
      <c r="C1" s="743"/>
      <c r="D1" s="742"/>
      <c r="E1" s="742"/>
      <c r="F1" s="744"/>
      <c r="G1" s="744"/>
      <c r="H1" s="744"/>
      <c r="I1" s="745"/>
      <c r="J1" s="746"/>
      <c r="K1" s="746"/>
      <c r="L1" s="746"/>
      <c r="M1" s="746"/>
      <c r="N1" s="747"/>
      <c r="O1" s="748"/>
      <c r="P1" s="748"/>
      <c r="Q1" s="748"/>
      <c r="R1" s="745"/>
      <c r="S1" s="745"/>
      <c r="T1" s="749"/>
      <c r="U1" s="749"/>
      <c r="V1" s="749"/>
      <c r="W1" s="749"/>
      <c r="X1" s="749"/>
      <c r="Y1" s="749"/>
      <c r="Z1" s="749"/>
      <c r="AA1" s="749"/>
      <c r="AB1" s="749"/>
      <c r="AC1" s="749"/>
      <c r="AD1" s="749"/>
      <c r="AE1" s="749"/>
      <c r="AF1" s="749"/>
      <c r="AG1" s="750"/>
      <c r="AH1" s="750"/>
      <c r="AI1" s="750"/>
      <c r="AJ1" s="747"/>
      <c r="AK1" s="747"/>
      <c r="AL1" s="747"/>
      <c r="AM1" s="747"/>
      <c r="AN1" s="747"/>
      <c r="AO1" s="745"/>
      <c r="AP1" s="745"/>
      <c r="AQ1" s="745"/>
      <c r="AR1" s="745"/>
      <c r="AS1" s="745"/>
      <c r="AT1" s="747"/>
      <c r="AU1" s="747"/>
      <c r="AV1" s="747"/>
      <c r="AW1" s="747"/>
    </row>
    <row r="2" spans="1:49" ht="12.75" customHeight="1" x14ac:dyDescent="0.25">
      <c r="A2" s="742" t="s">
        <v>3</v>
      </c>
      <c r="B2" s="742"/>
      <c r="C2" s="743"/>
      <c r="D2" s="742"/>
      <c r="E2" s="742"/>
      <c r="F2" s="744"/>
      <c r="G2" s="744"/>
      <c r="H2" s="744"/>
      <c r="I2" s="752"/>
      <c r="J2" s="752"/>
      <c r="K2" s="752"/>
      <c r="L2" s="752"/>
      <c r="M2" s="752"/>
      <c r="N2" s="753"/>
      <c r="O2" s="753"/>
      <c r="P2" s="753"/>
      <c r="Q2" s="752"/>
      <c r="R2" s="752"/>
      <c r="S2" s="752"/>
      <c r="T2" s="752"/>
      <c r="U2" s="752"/>
      <c r="V2" s="752"/>
      <c r="W2" s="752"/>
      <c r="X2" s="752"/>
      <c r="Y2" s="752"/>
      <c r="Z2" s="752"/>
      <c r="AA2" s="752"/>
      <c r="AB2" s="752"/>
      <c r="AC2" s="752"/>
      <c r="AD2" s="752"/>
      <c r="AE2" s="752"/>
      <c r="AF2" s="753"/>
      <c r="AG2" s="753"/>
      <c r="AH2" s="753"/>
      <c r="AI2" s="753"/>
      <c r="AJ2" s="753"/>
      <c r="AK2" s="753"/>
      <c r="AL2" s="753"/>
      <c r="AM2" s="753"/>
      <c r="AN2" s="753"/>
      <c r="AO2" s="752"/>
      <c r="AP2" s="752"/>
      <c r="AQ2" s="752"/>
      <c r="AR2" s="752"/>
      <c r="AS2" s="752"/>
      <c r="AT2" s="753"/>
      <c r="AU2" s="753"/>
      <c r="AV2" s="753"/>
      <c r="AW2" s="747"/>
    </row>
    <row r="3" spans="1:49" ht="12" customHeight="1" x14ac:dyDescent="0.25">
      <c r="A3" s="1281" t="s">
        <v>4</v>
      </c>
      <c r="B3" s="1281"/>
      <c r="C3" s="1281"/>
      <c r="D3" s="1281"/>
      <c r="E3" s="1281"/>
      <c r="F3" s="744"/>
      <c r="G3" s="744"/>
      <c r="H3" s="744"/>
      <c r="I3" s="752"/>
      <c r="J3" s="752"/>
      <c r="K3" s="752"/>
      <c r="L3" s="752"/>
      <c r="M3" s="752"/>
      <c r="N3" s="753"/>
      <c r="O3" s="753"/>
      <c r="P3" s="753"/>
      <c r="Q3" s="754"/>
      <c r="R3" s="754"/>
      <c r="S3" s="754"/>
      <c r="T3" s="754"/>
      <c r="U3" s="754"/>
      <c r="V3" s="754"/>
      <c r="W3" s="754"/>
      <c r="X3" s="754"/>
      <c r="Y3" s="755"/>
      <c r="Z3" s="755"/>
      <c r="AA3" s="755"/>
      <c r="AB3" s="756"/>
      <c r="AC3" s="756"/>
      <c r="AD3" s="756"/>
      <c r="AE3" s="755"/>
      <c r="AF3" s="757"/>
      <c r="AG3" s="757"/>
      <c r="AH3" s="757"/>
      <c r="AI3" s="757"/>
      <c r="AJ3" s="757"/>
      <c r="AK3" s="757"/>
      <c r="AL3" s="757"/>
      <c r="AM3" s="757"/>
      <c r="AN3" s="753"/>
      <c r="AO3" s="752"/>
      <c r="AP3" s="752"/>
      <c r="AQ3" s="752"/>
      <c r="AR3" s="752"/>
      <c r="AS3" s="752"/>
      <c r="AT3" s="753"/>
      <c r="AU3" s="753"/>
      <c r="AV3" s="753"/>
      <c r="AW3" s="747"/>
    </row>
    <row r="4" spans="1:49" ht="12" customHeight="1" x14ac:dyDescent="0.25">
      <c r="A4" s="758"/>
      <c r="B4" s="742"/>
      <c r="C4" s="742"/>
      <c r="D4" s="742"/>
      <c r="E4" s="742"/>
      <c r="F4" s="744"/>
      <c r="G4" s="744"/>
      <c r="H4" s="744"/>
      <c r="I4" s="752"/>
      <c r="J4" s="752"/>
      <c r="K4" s="752"/>
      <c r="L4" s="752"/>
      <c r="M4" s="752"/>
      <c r="N4" s="753"/>
      <c r="O4" s="753"/>
      <c r="P4" s="753"/>
      <c r="Q4" s="754"/>
      <c r="R4" s="754"/>
      <c r="S4" s="754"/>
      <c r="T4" s="754"/>
      <c r="U4" s="754"/>
      <c r="V4" s="754"/>
      <c r="W4" s="754"/>
      <c r="X4" s="754"/>
      <c r="Y4" s="755"/>
      <c r="Z4" s="755"/>
      <c r="AA4" s="755"/>
      <c r="AB4" s="756"/>
      <c r="AC4" s="756"/>
      <c r="AD4" s="756"/>
      <c r="AE4" s="755"/>
      <c r="AF4" s="757"/>
      <c r="AG4" s="757"/>
      <c r="AH4" s="757"/>
      <c r="AI4" s="757"/>
      <c r="AJ4" s="757"/>
      <c r="AK4" s="757"/>
      <c r="AL4" s="757"/>
      <c r="AM4" s="757"/>
      <c r="AN4" s="753"/>
      <c r="AO4" s="752"/>
      <c r="AP4" s="752"/>
      <c r="AQ4" s="752"/>
      <c r="AR4" s="752"/>
      <c r="AS4" s="752"/>
      <c r="AT4" s="753"/>
      <c r="AU4" s="753"/>
      <c r="AV4" s="753"/>
      <c r="AW4" s="747"/>
    </row>
    <row r="5" spans="1:49" ht="16.5" thickBot="1" x14ac:dyDescent="0.3">
      <c r="A5" s="759" t="s">
        <v>838</v>
      </c>
      <c r="B5" s="760"/>
      <c r="C5" s="760"/>
      <c r="D5" s="760"/>
      <c r="E5" s="761"/>
      <c r="F5" s="761"/>
      <c r="G5" s="761"/>
      <c r="H5" s="761"/>
      <c r="I5" s="762"/>
      <c r="J5" s="762"/>
      <c r="K5" s="762"/>
      <c r="L5" s="762"/>
      <c r="M5" s="762"/>
      <c r="N5" s="763"/>
      <c r="O5" s="763"/>
      <c r="P5" s="763"/>
      <c r="Q5" s="754"/>
      <c r="R5" s="754"/>
      <c r="S5" s="754"/>
      <c r="T5" s="754"/>
      <c r="U5" s="745"/>
      <c r="V5" s="754"/>
      <c r="W5" s="754"/>
      <c r="X5" s="754"/>
      <c r="Y5" s="755"/>
      <c r="Z5" s="755"/>
      <c r="AA5" s="755"/>
      <c r="AB5" s="756"/>
      <c r="AC5" s="756"/>
      <c r="AD5" s="756"/>
      <c r="AE5" s="755"/>
      <c r="AF5" s="747"/>
      <c r="AG5" s="747"/>
      <c r="AH5" s="764"/>
      <c r="AI5" s="764"/>
      <c r="AJ5" s="764"/>
      <c r="AK5" s="764"/>
      <c r="AL5" s="764"/>
      <c r="AM5" s="764"/>
      <c r="AN5" s="763"/>
      <c r="AO5" s="762"/>
      <c r="AP5" s="762"/>
      <c r="AQ5" s="762"/>
      <c r="AR5" s="762"/>
      <c r="AS5" s="762"/>
      <c r="AT5" s="763"/>
      <c r="AU5" s="763"/>
      <c r="AV5" s="763"/>
      <c r="AW5" s="747"/>
    </row>
    <row r="6" spans="1:49" x14ac:dyDescent="0.25">
      <c r="A6" s="744"/>
      <c r="B6" s="758"/>
      <c r="C6" s="758"/>
      <c r="D6" s="758"/>
      <c r="E6" s="744"/>
      <c r="F6" s="744"/>
      <c r="G6" s="744"/>
      <c r="H6" s="744"/>
      <c r="I6" s="1252" t="s">
        <v>837</v>
      </c>
      <c r="J6" s="1253"/>
      <c r="K6" s="1253"/>
      <c r="L6" s="1253"/>
      <c r="M6" s="1253"/>
      <c r="N6" s="1253"/>
      <c r="O6" s="1253"/>
      <c r="P6" s="1254"/>
      <c r="Q6" s="1182" t="s">
        <v>839</v>
      </c>
      <c r="R6" s="1183"/>
      <c r="S6" s="1183"/>
      <c r="T6" s="1183"/>
      <c r="U6" s="1183"/>
      <c r="V6" s="1183"/>
      <c r="W6" s="1183"/>
      <c r="X6" s="1183"/>
      <c r="Y6" s="1183"/>
      <c r="Z6" s="1183"/>
      <c r="AA6" s="1183"/>
      <c r="AB6" s="1183"/>
      <c r="AC6" s="1183"/>
      <c r="AD6" s="1183"/>
      <c r="AE6" s="1183"/>
      <c r="AF6" s="1183"/>
      <c r="AG6" s="1183"/>
      <c r="AH6" s="1183"/>
      <c r="AI6" s="1183"/>
      <c r="AJ6" s="1183"/>
      <c r="AK6" s="1183"/>
      <c r="AL6" s="1183"/>
      <c r="AM6" s="1183"/>
      <c r="AN6" s="1184"/>
      <c r="AO6" s="1185" t="s">
        <v>868</v>
      </c>
      <c r="AP6" s="1186"/>
      <c r="AQ6" s="1186"/>
      <c r="AR6" s="1186"/>
      <c r="AS6" s="1186"/>
      <c r="AT6" s="1186"/>
      <c r="AU6" s="1186"/>
      <c r="AV6" s="1186"/>
      <c r="AW6" s="1187"/>
    </row>
    <row r="7" spans="1:49" ht="17.25" customHeight="1" thickBot="1" x14ac:dyDescent="0.3">
      <c r="A7" s="758"/>
      <c r="B7" s="765"/>
      <c r="C7" s="183"/>
      <c r="D7" s="766"/>
      <c r="E7" s="765"/>
      <c r="F7" s="744"/>
      <c r="G7" s="744"/>
      <c r="H7" s="744"/>
      <c r="I7" s="1255"/>
      <c r="J7" s="1256"/>
      <c r="K7" s="1256"/>
      <c r="L7" s="1256"/>
      <c r="M7" s="1256"/>
      <c r="N7" s="1256"/>
      <c r="O7" s="1256"/>
      <c r="P7" s="1257"/>
      <c r="Q7" s="1258" t="s">
        <v>289</v>
      </c>
      <c r="R7" s="1259"/>
      <c r="S7" s="1259"/>
      <c r="T7" s="1259"/>
      <c r="U7" s="1260"/>
      <c r="V7" s="1267" t="s">
        <v>290</v>
      </c>
      <c r="W7" s="1259"/>
      <c r="X7" s="1259"/>
      <c r="Y7" s="1260"/>
      <c r="Z7" s="1249" t="s">
        <v>291</v>
      </c>
      <c r="AA7" s="1249" t="s">
        <v>5</v>
      </c>
      <c r="AB7" s="1249" t="s">
        <v>292</v>
      </c>
      <c r="AC7" s="1282" t="s">
        <v>293</v>
      </c>
      <c r="AD7" s="1283"/>
      <c r="AE7" s="1284"/>
      <c r="AF7" s="1249" t="s">
        <v>315</v>
      </c>
      <c r="AG7" s="1291" t="s">
        <v>294</v>
      </c>
      <c r="AH7" s="1292"/>
      <c r="AI7" s="1292"/>
      <c r="AJ7" s="1292"/>
      <c r="AK7" s="1292"/>
      <c r="AL7" s="1292"/>
      <c r="AM7" s="1292"/>
      <c r="AN7" s="1293"/>
      <c r="AO7" s="1188"/>
      <c r="AP7" s="1189"/>
      <c r="AQ7" s="1189"/>
      <c r="AR7" s="1189"/>
      <c r="AS7" s="1189"/>
      <c r="AT7" s="1189"/>
      <c r="AU7" s="1189"/>
      <c r="AV7" s="1189"/>
      <c r="AW7" s="1190"/>
    </row>
    <row r="8" spans="1:49" ht="12" customHeight="1" x14ac:dyDescent="0.25">
      <c r="A8" s="767"/>
      <c r="B8" s="768"/>
      <c r="C8" s="768"/>
      <c r="D8" s="768"/>
      <c r="E8" s="768"/>
      <c r="F8" s="768"/>
      <c r="G8" s="768"/>
      <c r="H8" s="768"/>
      <c r="I8" s="1168" t="s">
        <v>6</v>
      </c>
      <c r="J8" s="1270" t="s">
        <v>827</v>
      </c>
      <c r="K8" s="1271"/>
      <c r="L8" s="1271"/>
      <c r="M8" s="1272"/>
      <c r="N8" s="1276" t="s">
        <v>286</v>
      </c>
      <c r="O8" s="1270" t="s">
        <v>828</v>
      </c>
      <c r="P8" s="1279"/>
      <c r="Q8" s="1261"/>
      <c r="R8" s="1262"/>
      <c r="S8" s="1262"/>
      <c r="T8" s="1262"/>
      <c r="U8" s="1263"/>
      <c r="V8" s="1268"/>
      <c r="W8" s="1262"/>
      <c r="X8" s="1262"/>
      <c r="Y8" s="1263"/>
      <c r="Z8" s="1250"/>
      <c r="AA8" s="1250"/>
      <c r="AB8" s="1250"/>
      <c r="AC8" s="1285"/>
      <c r="AD8" s="1286"/>
      <c r="AE8" s="1287"/>
      <c r="AF8" s="1250"/>
      <c r="AG8" s="1294" t="s">
        <v>295</v>
      </c>
      <c r="AH8" s="1295"/>
      <c r="AI8" s="1298" t="s">
        <v>296</v>
      </c>
      <c r="AJ8" s="1294" t="s">
        <v>297</v>
      </c>
      <c r="AK8" s="1295"/>
      <c r="AL8" s="1300" t="s">
        <v>298</v>
      </c>
      <c r="AM8" s="1301"/>
      <c r="AN8" s="1302"/>
      <c r="AO8" s="1168" t="s">
        <v>6</v>
      </c>
      <c r="AP8" s="1306" t="s">
        <v>827</v>
      </c>
      <c r="AQ8" s="1307"/>
      <c r="AR8" s="1307"/>
      <c r="AS8" s="1307"/>
      <c r="AT8" s="1308"/>
      <c r="AU8" s="1276" t="s">
        <v>286</v>
      </c>
      <c r="AV8" s="1270" t="s">
        <v>829</v>
      </c>
      <c r="AW8" s="1279"/>
    </row>
    <row r="9" spans="1:49" ht="17.25" customHeight="1" thickBot="1" x14ac:dyDescent="0.3">
      <c r="A9" s="769" t="s">
        <v>822</v>
      </c>
      <c r="B9" s="183"/>
      <c r="C9" s="183"/>
      <c r="D9" s="770"/>
      <c r="E9" s="183"/>
      <c r="F9" s="771"/>
      <c r="G9" s="772"/>
      <c r="H9" s="772"/>
      <c r="I9" s="1169"/>
      <c r="J9" s="1273"/>
      <c r="K9" s="1274"/>
      <c r="L9" s="1274"/>
      <c r="M9" s="1275"/>
      <c r="N9" s="1277"/>
      <c r="O9" s="1273"/>
      <c r="P9" s="1280"/>
      <c r="Q9" s="1264"/>
      <c r="R9" s="1265"/>
      <c r="S9" s="1265"/>
      <c r="T9" s="1265"/>
      <c r="U9" s="1266"/>
      <c r="V9" s="1269"/>
      <c r="W9" s="1265"/>
      <c r="X9" s="1265"/>
      <c r="Y9" s="1266"/>
      <c r="Z9" s="1250"/>
      <c r="AA9" s="1250"/>
      <c r="AB9" s="1250"/>
      <c r="AC9" s="1288"/>
      <c r="AD9" s="1289"/>
      <c r="AE9" s="1290"/>
      <c r="AF9" s="1250"/>
      <c r="AG9" s="1296"/>
      <c r="AH9" s="1297"/>
      <c r="AI9" s="1299"/>
      <c r="AJ9" s="1296"/>
      <c r="AK9" s="1297"/>
      <c r="AL9" s="1303"/>
      <c r="AM9" s="1304"/>
      <c r="AN9" s="1305"/>
      <c r="AO9" s="1169"/>
      <c r="AP9" s="1309"/>
      <c r="AQ9" s="1310"/>
      <c r="AR9" s="1310"/>
      <c r="AS9" s="1310"/>
      <c r="AT9" s="1311"/>
      <c r="AU9" s="1277"/>
      <c r="AV9" s="1273"/>
      <c r="AW9" s="1280"/>
    </row>
    <row r="10" spans="1:49" ht="33.75" customHeight="1" thickBot="1" x14ac:dyDescent="0.3">
      <c r="A10" s="773" t="s">
        <v>800</v>
      </c>
      <c r="B10" s="774" t="s">
        <v>566</v>
      </c>
      <c r="C10" s="774" t="s">
        <v>567</v>
      </c>
      <c r="D10" s="774" t="s">
        <v>270</v>
      </c>
      <c r="E10" s="310" t="s">
        <v>802</v>
      </c>
      <c r="F10" s="774" t="s">
        <v>0</v>
      </c>
      <c r="G10" s="775" t="s">
        <v>271</v>
      </c>
      <c r="H10" s="74" t="s">
        <v>282</v>
      </c>
      <c r="I10" s="1170"/>
      <c r="J10" s="75" t="s">
        <v>280</v>
      </c>
      <c r="K10" s="76" t="s">
        <v>5</v>
      </c>
      <c r="L10" s="76" t="s">
        <v>1</v>
      </c>
      <c r="M10" s="76" t="s">
        <v>7</v>
      </c>
      <c r="N10" s="1278"/>
      <c r="O10" s="782" t="s">
        <v>287</v>
      </c>
      <c r="P10" s="783" t="s">
        <v>288</v>
      </c>
      <c r="Q10" s="776" t="s">
        <v>299</v>
      </c>
      <c r="R10" s="777" t="s">
        <v>296</v>
      </c>
      <c r="S10" s="777" t="s">
        <v>815</v>
      </c>
      <c r="T10" s="777" t="s">
        <v>297</v>
      </c>
      <c r="U10" s="777" t="s">
        <v>791</v>
      </c>
      <c r="V10" s="778" t="s">
        <v>300</v>
      </c>
      <c r="W10" s="777" t="s">
        <v>826</v>
      </c>
      <c r="X10" s="778" t="s">
        <v>301</v>
      </c>
      <c r="Y10" s="777" t="s">
        <v>792</v>
      </c>
      <c r="Z10" s="1251"/>
      <c r="AA10" s="1251"/>
      <c r="AB10" s="1251"/>
      <c r="AC10" s="777" t="s">
        <v>296</v>
      </c>
      <c r="AD10" s="777" t="s">
        <v>302</v>
      </c>
      <c r="AE10" s="777" t="s">
        <v>793</v>
      </c>
      <c r="AF10" s="1251"/>
      <c r="AG10" s="779" t="s">
        <v>287</v>
      </c>
      <c r="AH10" s="780" t="s">
        <v>288</v>
      </c>
      <c r="AI10" s="779" t="s">
        <v>287</v>
      </c>
      <c r="AJ10" s="779" t="s">
        <v>287</v>
      </c>
      <c r="AK10" s="780" t="s">
        <v>288</v>
      </c>
      <c r="AL10" s="779" t="s">
        <v>287</v>
      </c>
      <c r="AM10" s="780" t="s">
        <v>288</v>
      </c>
      <c r="AN10" s="781" t="s">
        <v>311</v>
      </c>
      <c r="AO10" s="1170"/>
      <c r="AP10" s="79" t="s">
        <v>280</v>
      </c>
      <c r="AQ10" s="80" t="s">
        <v>290</v>
      </c>
      <c r="AR10" s="76" t="s">
        <v>5</v>
      </c>
      <c r="AS10" s="76" t="s">
        <v>1</v>
      </c>
      <c r="AT10" s="76" t="s">
        <v>7</v>
      </c>
      <c r="AU10" s="1278"/>
      <c r="AV10" s="782" t="s">
        <v>287</v>
      </c>
      <c r="AW10" s="783" t="s">
        <v>288</v>
      </c>
    </row>
    <row r="11" spans="1:49" s="797" customFormat="1" ht="11.25" customHeight="1" thickBot="1" x14ac:dyDescent="0.25">
      <c r="A11" s="784" t="s">
        <v>568</v>
      </c>
      <c r="B11" s="785" t="s">
        <v>569</v>
      </c>
      <c r="C11" s="785" t="s">
        <v>272</v>
      </c>
      <c r="D11" s="785" t="s">
        <v>273</v>
      </c>
      <c r="E11" s="785" t="s">
        <v>570</v>
      </c>
      <c r="F11" s="785" t="s">
        <v>0</v>
      </c>
      <c r="G11" s="785" t="s">
        <v>571</v>
      </c>
      <c r="H11" s="786" t="s">
        <v>796</v>
      </c>
      <c r="I11" s="787" t="s">
        <v>274</v>
      </c>
      <c r="J11" s="788" t="s">
        <v>275</v>
      </c>
      <c r="K11" s="788" t="s">
        <v>276</v>
      </c>
      <c r="L11" s="788" t="s">
        <v>277</v>
      </c>
      <c r="M11" s="788" t="s">
        <v>278</v>
      </c>
      <c r="N11" s="929" t="s">
        <v>279</v>
      </c>
      <c r="O11" s="795" t="s">
        <v>572</v>
      </c>
      <c r="P11" s="796" t="s">
        <v>573</v>
      </c>
      <c r="Q11" s="790" t="s">
        <v>303</v>
      </c>
      <c r="R11" s="790" t="s">
        <v>303</v>
      </c>
      <c r="S11" s="791" t="s">
        <v>303</v>
      </c>
      <c r="T11" s="791" t="s">
        <v>303</v>
      </c>
      <c r="U11" s="791" t="s">
        <v>303</v>
      </c>
      <c r="V11" s="791" t="s">
        <v>304</v>
      </c>
      <c r="W11" s="791" t="s">
        <v>304</v>
      </c>
      <c r="X11" s="791" t="s">
        <v>305</v>
      </c>
      <c r="Y11" s="791" t="s">
        <v>304</v>
      </c>
      <c r="Z11" s="791" t="s">
        <v>306</v>
      </c>
      <c r="AA11" s="792" t="s">
        <v>307</v>
      </c>
      <c r="AB11" s="791" t="s">
        <v>308</v>
      </c>
      <c r="AC11" s="791" t="s">
        <v>310</v>
      </c>
      <c r="AD11" s="791" t="s">
        <v>309</v>
      </c>
      <c r="AE11" s="791" t="s">
        <v>309</v>
      </c>
      <c r="AF11" s="791" t="s">
        <v>316</v>
      </c>
      <c r="AG11" s="793" t="s">
        <v>312</v>
      </c>
      <c r="AH11" s="793" t="s">
        <v>313</v>
      </c>
      <c r="AI11" s="793" t="s">
        <v>312</v>
      </c>
      <c r="AJ11" s="793" t="s">
        <v>312</v>
      </c>
      <c r="AK11" s="793" t="s">
        <v>313</v>
      </c>
      <c r="AL11" s="793" t="s">
        <v>312</v>
      </c>
      <c r="AM11" s="793" t="s">
        <v>313</v>
      </c>
      <c r="AN11" s="794" t="s">
        <v>314</v>
      </c>
      <c r="AO11" s="787" t="s">
        <v>274</v>
      </c>
      <c r="AP11" s="788" t="s">
        <v>275</v>
      </c>
      <c r="AQ11" s="788" t="s">
        <v>281</v>
      </c>
      <c r="AR11" s="788" t="s">
        <v>276</v>
      </c>
      <c r="AS11" s="788" t="s">
        <v>277</v>
      </c>
      <c r="AT11" s="788" t="s">
        <v>278</v>
      </c>
      <c r="AU11" s="795" t="s">
        <v>279</v>
      </c>
      <c r="AV11" s="795" t="s">
        <v>572</v>
      </c>
      <c r="AW11" s="796" t="s">
        <v>573</v>
      </c>
    </row>
    <row r="12" spans="1:49" ht="12.95" customHeight="1" x14ac:dyDescent="0.25">
      <c r="A12" s="798">
        <v>1</v>
      </c>
      <c r="B12" s="799">
        <v>4486</v>
      </c>
      <c r="C12" s="800">
        <v>600075176</v>
      </c>
      <c r="D12" s="800">
        <v>46750401</v>
      </c>
      <c r="E12" s="801" t="s">
        <v>328</v>
      </c>
      <c r="F12" s="799">
        <v>3233</v>
      </c>
      <c r="G12" s="802" t="s">
        <v>324</v>
      </c>
      <c r="H12" s="802" t="s">
        <v>284</v>
      </c>
      <c r="I12" s="1118">
        <f>SUM(J12:M12)</f>
        <v>3621873</v>
      </c>
      <c r="J12" s="1119">
        <v>2641303</v>
      </c>
      <c r="K12" s="1120">
        <f>ROUND((J12)*33.8%,0)</f>
        <v>892760</v>
      </c>
      <c r="L12" s="1120">
        <f>ROUND(J12*2%,0)</f>
        <v>52826</v>
      </c>
      <c r="M12" s="1119">
        <v>34984</v>
      </c>
      <c r="N12" s="1121">
        <f>SUM(O12:P12)</f>
        <v>6.1099999999999994</v>
      </c>
      <c r="O12" s="1124">
        <v>3.94</v>
      </c>
      <c r="P12" s="1125">
        <v>2.17</v>
      </c>
      <c r="Q12" s="807">
        <f>V12*-1</f>
        <v>-80000</v>
      </c>
      <c r="R12" s="808">
        <v>0</v>
      </c>
      <c r="S12" s="808">
        <v>0</v>
      </c>
      <c r="T12" s="808">
        <v>0</v>
      </c>
      <c r="U12" s="808">
        <f>SUM(Q12:T12)</f>
        <v>-80000</v>
      </c>
      <c r="V12" s="808">
        <v>80000</v>
      </c>
      <c r="W12" s="808">
        <v>0</v>
      </c>
      <c r="X12" s="808">
        <v>0</v>
      </c>
      <c r="Y12" s="808">
        <f>SUM(V12:X12)</f>
        <v>80000</v>
      </c>
      <c r="Z12" s="808">
        <f>U12+Y12</f>
        <v>0</v>
      </c>
      <c r="AA12" s="809">
        <f>ROUND((U12+V12+W12)*33.8%,0)</f>
        <v>0</v>
      </c>
      <c r="AB12" s="810">
        <f>ROUND(U12*2%,0)</f>
        <v>-1600</v>
      </c>
      <c r="AC12" s="808">
        <v>0</v>
      </c>
      <c r="AD12" s="808">
        <v>0</v>
      </c>
      <c r="AE12" s="808">
        <f>SUM(AC12:AD12)</f>
        <v>0</v>
      </c>
      <c r="AF12" s="808">
        <f>Z12+AA12+AB12+AE12</f>
        <v>-1600</v>
      </c>
      <c r="AG12" s="811">
        <v>-0.16</v>
      </c>
      <c r="AH12" s="811">
        <v>0</v>
      </c>
      <c r="AI12" s="811">
        <v>0</v>
      </c>
      <c r="AJ12" s="811">
        <v>0</v>
      </c>
      <c r="AK12" s="811">
        <v>0</v>
      </c>
      <c r="AL12" s="811">
        <f>AG12+AI12+AJ12</f>
        <v>-0.16</v>
      </c>
      <c r="AM12" s="811">
        <f>AH12+AK12</f>
        <v>0</v>
      </c>
      <c r="AN12" s="812">
        <f>SUM(AL12:AM12)</f>
        <v>-0.16</v>
      </c>
      <c r="AO12" s="807">
        <f>I12+AF12</f>
        <v>3620273</v>
      </c>
      <c r="AP12" s="808">
        <f>J12+U12</f>
        <v>2561303</v>
      </c>
      <c r="AQ12" s="813">
        <f>Y12</f>
        <v>80000</v>
      </c>
      <c r="AR12" s="808">
        <f>K12+AA12</f>
        <v>892760</v>
      </c>
      <c r="AS12" s="808">
        <f>L12+AB12</f>
        <v>51226</v>
      </c>
      <c r="AT12" s="808">
        <f>M12+AE12</f>
        <v>34984</v>
      </c>
      <c r="AU12" s="811">
        <f>N12+AN12</f>
        <v>5.9499999999999993</v>
      </c>
      <c r="AV12" s="811">
        <f>O12+AL12</f>
        <v>3.78</v>
      </c>
      <c r="AW12" s="812">
        <f>P12+AM12</f>
        <v>2.17</v>
      </c>
    </row>
    <row r="13" spans="1:49" ht="12.95" customHeight="1" x14ac:dyDescent="0.25">
      <c r="A13" s="814">
        <v>1</v>
      </c>
      <c r="B13" s="815">
        <v>4486</v>
      </c>
      <c r="C13" s="816">
        <v>600075176</v>
      </c>
      <c r="D13" s="816">
        <v>46750401</v>
      </c>
      <c r="E13" s="817" t="s">
        <v>329</v>
      </c>
      <c r="F13" s="818"/>
      <c r="G13" s="819"/>
      <c r="H13" s="819"/>
      <c r="I13" s="820">
        <f t="shared" ref="I13:AW13" si="0">SUM(I12)</f>
        <v>3621873</v>
      </c>
      <c r="J13" s="821">
        <f t="shared" si="0"/>
        <v>2641303</v>
      </c>
      <c r="K13" s="821">
        <f t="shared" si="0"/>
        <v>892760</v>
      </c>
      <c r="L13" s="821">
        <f t="shared" si="0"/>
        <v>52826</v>
      </c>
      <c r="M13" s="821">
        <f t="shared" si="0"/>
        <v>34984</v>
      </c>
      <c r="N13" s="822">
        <f t="shared" si="0"/>
        <v>6.1099999999999994</v>
      </c>
      <c r="O13" s="822">
        <f t="shared" si="0"/>
        <v>3.94</v>
      </c>
      <c r="P13" s="824">
        <f t="shared" si="0"/>
        <v>2.17</v>
      </c>
      <c r="Q13" s="823">
        <f t="shared" si="0"/>
        <v>-80000</v>
      </c>
      <c r="R13" s="821">
        <f t="shared" si="0"/>
        <v>0</v>
      </c>
      <c r="S13" s="821">
        <f t="shared" si="0"/>
        <v>0</v>
      </c>
      <c r="T13" s="821">
        <f t="shared" si="0"/>
        <v>0</v>
      </c>
      <c r="U13" s="821">
        <f t="shared" si="0"/>
        <v>-80000</v>
      </c>
      <c r="V13" s="821">
        <f t="shared" si="0"/>
        <v>80000</v>
      </c>
      <c r="W13" s="821">
        <f t="shared" si="0"/>
        <v>0</v>
      </c>
      <c r="X13" s="821">
        <f t="shared" si="0"/>
        <v>0</v>
      </c>
      <c r="Y13" s="821">
        <f t="shared" si="0"/>
        <v>80000</v>
      </c>
      <c r="Z13" s="821">
        <f t="shared" si="0"/>
        <v>0</v>
      </c>
      <c r="AA13" s="821">
        <f t="shared" si="0"/>
        <v>0</v>
      </c>
      <c r="AB13" s="821">
        <f t="shared" si="0"/>
        <v>-1600</v>
      </c>
      <c r="AC13" s="821">
        <f t="shared" si="0"/>
        <v>0</v>
      </c>
      <c r="AD13" s="821">
        <f t="shared" si="0"/>
        <v>0</v>
      </c>
      <c r="AE13" s="821">
        <f t="shared" si="0"/>
        <v>0</v>
      </c>
      <c r="AF13" s="821">
        <f t="shared" si="0"/>
        <v>-1600</v>
      </c>
      <c r="AG13" s="822">
        <f t="shared" si="0"/>
        <v>-0.16</v>
      </c>
      <c r="AH13" s="822">
        <f t="shared" si="0"/>
        <v>0</v>
      </c>
      <c r="AI13" s="822">
        <f t="shared" si="0"/>
        <v>0</v>
      </c>
      <c r="AJ13" s="822">
        <f t="shared" si="0"/>
        <v>0</v>
      </c>
      <c r="AK13" s="822">
        <f t="shared" si="0"/>
        <v>0</v>
      </c>
      <c r="AL13" s="822">
        <f t="shared" si="0"/>
        <v>-0.16</v>
      </c>
      <c r="AM13" s="822">
        <f t="shared" si="0"/>
        <v>0</v>
      </c>
      <c r="AN13" s="824">
        <f t="shared" si="0"/>
        <v>-0.16</v>
      </c>
      <c r="AO13" s="825">
        <f t="shared" si="0"/>
        <v>3620273</v>
      </c>
      <c r="AP13" s="821">
        <f t="shared" si="0"/>
        <v>2561303</v>
      </c>
      <c r="AQ13" s="826">
        <f t="shared" si="0"/>
        <v>80000</v>
      </c>
      <c r="AR13" s="821">
        <f t="shared" si="0"/>
        <v>892760</v>
      </c>
      <c r="AS13" s="821">
        <f t="shared" si="0"/>
        <v>51226</v>
      </c>
      <c r="AT13" s="821">
        <f t="shared" si="0"/>
        <v>34984</v>
      </c>
      <c r="AU13" s="822">
        <f t="shared" si="0"/>
        <v>5.9499999999999993</v>
      </c>
      <c r="AV13" s="822">
        <f t="shared" si="0"/>
        <v>3.78</v>
      </c>
      <c r="AW13" s="824">
        <f t="shared" si="0"/>
        <v>2.17</v>
      </c>
    </row>
    <row r="14" spans="1:49" ht="12.95" customHeight="1" x14ac:dyDescent="0.25">
      <c r="A14" s="827">
        <v>2</v>
      </c>
      <c r="B14" s="828">
        <v>4419</v>
      </c>
      <c r="C14" s="829">
        <v>600074056</v>
      </c>
      <c r="D14" s="828">
        <v>72744049</v>
      </c>
      <c r="E14" s="830" t="s">
        <v>330</v>
      </c>
      <c r="F14" s="828">
        <v>3111</v>
      </c>
      <c r="G14" s="831" t="s">
        <v>331</v>
      </c>
      <c r="H14" s="832" t="s">
        <v>283</v>
      </c>
      <c r="I14" s="803">
        <f>SUM(J14:M14)</f>
        <v>23880998</v>
      </c>
      <c r="J14" s="833">
        <v>17480153</v>
      </c>
      <c r="K14" s="805">
        <f>ROUND((J14)*33.8%,0)</f>
        <v>5908292</v>
      </c>
      <c r="L14" s="805">
        <f>ROUND(J14*2%,0)</f>
        <v>349603</v>
      </c>
      <c r="M14" s="833">
        <v>142950</v>
      </c>
      <c r="N14" s="834">
        <f>SUM(O14:P14)</f>
        <v>41.028800000000004</v>
      </c>
      <c r="O14" s="1054">
        <v>29.982600000000001</v>
      </c>
      <c r="P14" s="1055">
        <v>11.046200000000001</v>
      </c>
      <c r="Q14" s="835">
        <f>V14*-1</f>
        <v>0</v>
      </c>
      <c r="R14" s="835">
        <v>0</v>
      </c>
      <c r="S14" s="813">
        <v>0</v>
      </c>
      <c r="T14" s="813">
        <v>0</v>
      </c>
      <c r="U14" s="813">
        <f>SUM(Q14:T14)</f>
        <v>0</v>
      </c>
      <c r="V14" s="813">
        <v>0</v>
      </c>
      <c r="W14" s="813">
        <v>0</v>
      </c>
      <c r="X14" s="813">
        <v>0</v>
      </c>
      <c r="Y14" s="813">
        <f>SUM(V14:X14)</f>
        <v>0</v>
      </c>
      <c r="Z14" s="813">
        <f>U14+Y14</f>
        <v>0</v>
      </c>
      <c r="AA14" s="809">
        <f>ROUND((U14+V14+W14)*33.8%,0)</f>
        <v>0</v>
      </c>
      <c r="AB14" s="809">
        <f>ROUND(U14*2%,0)</f>
        <v>0</v>
      </c>
      <c r="AC14" s="813">
        <v>0</v>
      </c>
      <c r="AD14" s="813">
        <v>0</v>
      </c>
      <c r="AE14" s="813">
        <f>SUM(AC14:AD14)</f>
        <v>0</v>
      </c>
      <c r="AF14" s="813">
        <f>Z14+AA14+AB14+AE14</f>
        <v>0</v>
      </c>
      <c r="AG14" s="836">
        <v>0</v>
      </c>
      <c r="AH14" s="836">
        <v>0</v>
      </c>
      <c r="AI14" s="836">
        <v>0</v>
      </c>
      <c r="AJ14" s="836">
        <v>0</v>
      </c>
      <c r="AK14" s="836">
        <v>0</v>
      </c>
      <c r="AL14" s="836">
        <f>AG14+AI14+AJ14</f>
        <v>0</v>
      </c>
      <c r="AM14" s="836">
        <f>AH14+AK14</f>
        <v>0</v>
      </c>
      <c r="AN14" s="837">
        <f>SUM(AL14:AM14)</f>
        <v>0</v>
      </c>
      <c r="AO14" s="835">
        <f>I14+AF14</f>
        <v>23880998</v>
      </c>
      <c r="AP14" s="838">
        <f>J14+U14</f>
        <v>17480153</v>
      </c>
      <c r="AQ14" s="813">
        <f>Y14</f>
        <v>0</v>
      </c>
      <c r="AR14" s="835">
        <f t="shared" ref="AR14:AS17" si="1">K14+AA14</f>
        <v>5908292</v>
      </c>
      <c r="AS14" s="813">
        <f t="shared" si="1"/>
        <v>349603</v>
      </c>
      <c r="AT14" s="813">
        <f>M14+AE14</f>
        <v>142950</v>
      </c>
      <c r="AU14" s="836">
        <f>N14+AN14</f>
        <v>41.028800000000004</v>
      </c>
      <c r="AV14" s="836">
        <f t="shared" ref="AV14:AW17" si="2">O14+AL14</f>
        <v>29.982600000000001</v>
      </c>
      <c r="AW14" s="837">
        <f t="shared" si="2"/>
        <v>11.046200000000001</v>
      </c>
    </row>
    <row r="15" spans="1:49" ht="12.95" customHeight="1" x14ac:dyDescent="0.25">
      <c r="A15" s="827">
        <v>2</v>
      </c>
      <c r="B15" s="828">
        <v>4419</v>
      </c>
      <c r="C15" s="829">
        <v>600074056</v>
      </c>
      <c r="D15" s="828">
        <v>72744049</v>
      </c>
      <c r="E15" s="830" t="s">
        <v>330</v>
      </c>
      <c r="F15" s="828">
        <v>3111</v>
      </c>
      <c r="G15" s="839" t="s">
        <v>319</v>
      </c>
      <c r="H15" s="832" t="s">
        <v>283</v>
      </c>
      <c r="I15" s="803">
        <f>SUM(J15:M15)</f>
        <v>521015</v>
      </c>
      <c r="J15" s="833">
        <v>383664</v>
      </c>
      <c r="K15" s="805">
        <f>ROUND((J15)*33.8%,0)</f>
        <v>129678</v>
      </c>
      <c r="L15" s="805">
        <f>ROUND(J15*2%,0)</f>
        <v>7673</v>
      </c>
      <c r="M15" s="833">
        <v>0</v>
      </c>
      <c r="N15" s="834">
        <f>SUM(O15:P15)</f>
        <v>1</v>
      </c>
      <c r="O15" s="1054">
        <v>1</v>
      </c>
      <c r="P15" s="1055">
        <v>0</v>
      </c>
      <c r="Q15" s="835">
        <f>V15*-1</f>
        <v>0</v>
      </c>
      <c r="R15" s="835">
        <v>0</v>
      </c>
      <c r="S15" s="813">
        <v>0</v>
      </c>
      <c r="T15" s="813">
        <v>0</v>
      </c>
      <c r="U15" s="813">
        <f>SUM(Q15:T15)</f>
        <v>0</v>
      </c>
      <c r="V15" s="813">
        <v>0</v>
      </c>
      <c r="W15" s="813">
        <v>0</v>
      </c>
      <c r="X15" s="813">
        <v>0</v>
      </c>
      <c r="Y15" s="813">
        <f>SUM(V15:X15)</f>
        <v>0</v>
      </c>
      <c r="Z15" s="813">
        <f>U15+Y15</f>
        <v>0</v>
      </c>
      <c r="AA15" s="809">
        <f>ROUND((U15+V15+W15)*33.8%,0)</f>
        <v>0</v>
      </c>
      <c r="AB15" s="809">
        <f>ROUND(U15*2%,0)</f>
        <v>0</v>
      </c>
      <c r="AC15" s="813">
        <v>0</v>
      </c>
      <c r="AD15" s="813">
        <v>0</v>
      </c>
      <c r="AE15" s="813">
        <f>SUM(AC15:AD15)</f>
        <v>0</v>
      </c>
      <c r="AF15" s="813">
        <f>Z15+AA15+AB15+AE15</f>
        <v>0</v>
      </c>
      <c r="AG15" s="836">
        <v>0</v>
      </c>
      <c r="AH15" s="836">
        <v>0</v>
      </c>
      <c r="AI15" s="836">
        <v>0</v>
      </c>
      <c r="AJ15" s="836">
        <v>0</v>
      </c>
      <c r="AK15" s="836">
        <v>0</v>
      </c>
      <c r="AL15" s="836">
        <f>AG15+AI15+AJ15</f>
        <v>0</v>
      </c>
      <c r="AM15" s="836">
        <f>AH15+AK15</f>
        <v>0</v>
      </c>
      <c r="AN15" s="837">
        <f>SUM(AL15:AM15)</f>
        <v>0</v>
      </c>
      <c r="AO15" s="835">
        <f>I15+AF15</f>
        <v>521015</v>
      </c>
      <c r="AP15" s="838">
        <f>J15+U15</f>
        <v>383664</v>
      </c>
      <c r="AQ15" s="813">
        <f>Y15</f>
        <v>0</v>
      </c>
      <c r="AR15" s="835">
        <f t="shared" si="1"/>
        <v>129678</v>
      </c>
      <c r="AS15" s="813">
        <f t="shared" si="1"/>
        <v>7673</v>
      </c>
      <c r="AT15" s="813">
        <f>M15+AE15</f>
        <v>0</v>
      </c>
      <c r="AU15" s="836">
        <f>N15+AN15</f>
        <v>1</v>
      </c>
      <c r="AV15" s="836">
        <f t="shared" si="2"/>
        <v>1</v>
      </c>
      <c r="AW15" s="837">
        <f t="shared" si="2"/>
        <v>0</v>
      </c>
    </row>
    <row r="16" spans="1:49" ht="12.95" customHeight="1" x14ac:dyDescent="0.25">
      <c r="A16" s="827">
        <v>2</v>
      </c>
      <c r="B16" s="828">
        <v>4419</v>
      </c>
      <c r="C16" s="829">
        <v>600074056</v>
      </c>
      <c r="D16" s="828">
        <v>72744049</v>
      </c>
      <c r="E16" s="830" t="s">
        <v>330</v>
      </c>
      <c r="F16" s="828">
        <v>3111</v>
      </c>
      <c r="G16" s="831" t="s">
        <v>325</v>
      </c>
      <c r="H16" s="832" t="s">
        <v>284</v>
      </c>
      <c r="I16" s="803">
        <f>SUM(J16:M16)</f>
        <v>0</v>
      </c>
      <c r="J16" s="833">
        <v>0</v>
      </c>
      <c r="K16" s="805">
        <v>0</v>
      </c>
      <c r="L16" s="805">
        <v>0</v>
      </c>
      <c r="M16" s="833">
        <v>0</v>
      </c>
      <c r="N16" s="834">
        <f>SUM(O16:P16)</f>
        <v>0</v>
      </c>
      <c r="O16" s="1054">
        <v>0</v>
      </c>
      <c r="P16" s="1055">
        <v>0</v>
      </c>
      <c r="Q16" s="835">
        <f>V16*-1</f>
        <v>0</v>
      </c>
      <c r="R16" s="835">
        <f>173222+116438</f>
        <v>289660</v>
      </c>
      <c r="S16" s="813">
        <v>0</v>
      </c>
      <c r="T16" s="813">
        <v>0</v>
      </c>
      <c r="U16" s="813">
        <f>SUM(Q16:T16)</f>
        <v>289660</v>
      </c>
      <c r="V16" s="813">
        <v>0</v>
      </c>
      <c r="W16" s="813">
        <v>0</v>
      </c>
      <c r="X16" s="813">
        <v>0</v>
      </c>
      <c r="Y16" s="813">
        <f>SUM(V16:X16)</f>
        <v>0</v>
      </c>
      <c r="Z16" s="813">
        <f>U16+Y16</f>
        <v>289660</v>
      </c>
      <c r="AA16" s="809">
        <f>ROUND((U16+V16+W16)*33.8%,0)</f>
        <v>97905</v>
      </c>
      <c r="AB16" s="809">
        <f>ROUND(U16*2%,0)</f>
        <v>5793</v>
      </c>
      <c r="AC16" s="813">
        <v>5500</v>
      </c>
      <c r="AD16" s="813">
        <v>0</v>
      </c>
      <c r="AE16" s="813">
        <f>SUM(AC16:AD16)</f>
        <v>5500</v>
      </c>
      <c r="AF16" s="813">
        <f>Z16+AA16+AB16+AE16</f>
        <v>398858</v>
      </c>
      <c r="AG16" s="836">
        <v>0</v>
      </c>
      <c r="AH16" s="836">
        <v>0</v>
      </c>
      <c r="AI16" s="836">
        <f>0.5+0.46</f>
        <v>0.96</v>
      </c>
      <c r="AJ16" s="836">
        <v>0</v>
      </c>
      <c r="AK16" s="836">
        <v>0</v>
      </c>
      <c r="AL16" s="836">
        <f>AG16+AI16+AJ16</f>
        <v>0.96</v>
      </c>
      <c r="AM16" s="836">
        <f>AH16+AK16</f>
        <v>0</v>
      </c>
      <c r="AN16" s="837">
        <f>SUM(AL16:AM16)</f>
        <v>0.96</v>
      </c>
      <c r="AO16" s="835">
        <f>I16+AF16</f>
        <v>398858</v>
      </c>
      <c r="AP16" s="838">
        <f>J16+U16</f>
        <v>289660</v>
      </c>
      <c r="AQ16" s="813">
        <f>Y16</f>
        <v>0</v>
      </c>
      <c r="AR16" s="835">
        <f t="shared" si="1"/>
        <v>97905</v>
      </c>
      <c r="AS16" s="813">
        <f t="shared" si="1"/>
        <v>5793</v>
      </c>
      <c r="AT16" s="813">
        <f>M16+AE16</f>
        <v>5500</v>
      </c>
      <c r="AU16" s="836">
        <f>N16+AN16</f>
        <v>0.96</v>
      </c>
      <c r="AV16" s="836">
        <f t="shared" si="2"/>
        <v>0.96</v>
      </c>
      <c r="AW16" s="837">
        <f t="shared" si="2"/>
        <v>0</v>
      </c>
    </row>
    <row r="17" spans="1:49" ht="12.95" customHeight="1" x14ac:dyDescent="0.25">
      <c r="A17" s="827">
        <v>2</v>
      </c>
      <c r="B17" s="828">
        <v>4419</v>
      </c>
      <c r="C17" s="829">
        <v>600074056</v>
      </c>
      <c r="D17" s="828">
        <v>72744049</v>
      </c>
      <c r="E17" s="830" t="s">
        <v>330</v>
      </c>
      <c r="F17" s="828">
        <v>3141</v>
      </c>
      <c r="G17" s="831" t="s">
        <v>321</v>
      </c>
      <c r="H17" s="831" t="s">
        <v>284</v>
      </c>
      <c r="I17" s="803">
        <f>SUM(J17:M17)</f>
        <v>3610987</v>
      </c>
      <c r="J17" s="833">
        <v>2645708</v>
      </c>
      <c r="K17" s="805">
        <f>ROUND((J17)*33.8%,0)</f>
        <v>894249</v>
      </c>
      <c r="L17" s="805">
        <f>ROUND(J17*2%,0)</f>
        <v>52914</v>
      </c>
      <c r="M17" s="833">
        <v>18116</v>
      </c>
      <c r="N17" s="834">
        <f>SUM(O17:P17)</f>
        <v>8.99</v>
      </c>
      <c r="O17" s="1054">
        <v>0</v>
      </c>
      <c r="P17" s="1055">
        <v>8.99</v>
      </c>
      <c r="Q17" s="835">
        <f>V17*-1</f>
        <v>0</v>
      </c>
      <c r="R17" s="835">
        <v>0</v>
      </c>
      <c r="S17" s="813">
        <v>0</v>
      </c>
      <c r="T17" s="813">
        <v>0</v>
      </c>
      <c r="U17" s="813">
        <f>SUM(Q17:T17)</f>
        <v>0</v>
      </c>
      <c r="V17" s="813">
        <v>0</v>
      </c>
      <c r="W17" s="813">
        <v>0</v>
      </c>
      <c r="X17" s="813">
        <v>0</v>
      </c>
      <c r="Y17" s="813">
        <f>SUM(V17:X17)</f>
        <v>0</v>
      </c>
      <c r="Z17" s="813">
        <f>U17+Y17</f>
        <v>0</v>
      </c>
      <c r="AA17" s="809">
        <f>ROUND((U17+V17+W17)*33.8%,0)</f>
        <v>0</v>
      </c>
      <c r="AB17" s="809">
        <f>ROUND(U17*2%,0)</f>
        <v>0</v>
      </c>
      <c r="AC17" s="813">
        <v>0</v>
      </c>
      <c r="AD17" s="813">
        <v>0</v>
      </c>
      <c r="AE17" s="813">
        <f>SUM(AC17:AD17)</f>
        <v>0</v>
      </c>
      <c r="AF17" s="813">
        <f>Z17+AA17+AB17+AE17</f>
        <v>0</v>
      </c>
      <c r="AG17" s="836">
        <v>0</v>
      </c>
      <c r="AH17" s="836">
        <v>0</v>
      </c>
      <c r="AI17" s="836">
        <v>0</v>
      </c>
      <c r="AJ17" s="836">
        <v>0</v>
      </c>
      <c r="AK17" s="836">
        <v>0</v>
      </c>
      <c r="AL17" s="836">
        <f>AG17+AI17+AJ17</f>
        <v>0</v>
      </c>
      <c r="AM17" s="836">
        <f>AH17+AK17</f>
        <v>0</v>
      </c>
      <c r="AN17" s="837">
        <f>SUM(AL17:AM17)</f>
        <v>0</v>
      </c>
      <c r="AO17" s="835">
        <f>I17+AF17</f>
        <v>3610987</v>
      </c>
      <c r="AP17" s="838">
        <f>J17+U17</f>
        <v>2645708</v>
      </c>
      <c r="AQ17" s="813">
        <f>Y17</f>
        <v>0</v>
      </c>
      <c r="AR17" s="835">
        <f t="shared" si="1"/>
        <v>894249</v>
      </c>
      <c r="AS17" s="813">
        <f t="shared" si="1"/>
        <v>52914</v>
      </c>
      <c r="AT17" s="813">
        <f>M17+AE17</f>
        <v>18116</v>
      </c>
      <c r="AU17" s="836">
        <f>N17+AN17</f>
        <v>8.99</v>
      </c>
      <c r="AV17" s="836">
        <f t="shared" si="2"/>
        <v>0</v>
      </c>
      <c r="AW17" s="837">
        <f t="shared" si="2"/>
        <v>8.99</v>
      </c>
    </row>
    <row r="18" spans="1:49" ht="12.95" customHeight="1" x14ac:dyDescent="0.25">
      <c r="A18" s="814">
        <v>2</v>
      </c>
      <c r="B18" s="816">
        <v>4419</v>
      </c>
      <c r="C18" s="840">
        <v>600074056</v>
      </c>
      <c r="D18" s="816">
        <v>72744049</v>
      </c>
      <c r="E18" s="841" t="s">
        <v>332</v>
      </c>
      <c r="F18" s="816"/>
      <c r="G18" s="842"/>
      <c r="H18" s="842"/>
      <c r="I18" s="843">
        <f t="shared" ref="I18:AW18" si="3">SUM(I14:I17)</f>
        <v>28013000</v>
      </c>
      <c r="J18" s="844">
        <f t="shared" si="3"/>
        <v>20509525</v>
      </c>
      <c r="K18" s="844">
        <f t="shared" si="3"/>
        <v>6932219</v>
      </c>
      <c r="L18" s="844">
        <f t="shared" si="3"/>
        <v>410190</v>
      </c>
      <c r="M18" s="844">
        <f t="shared" si="3"/>
        <v>161066</v>
      </c>
      <c r="N18" s="845">
        <f t="shared" si="3"/>
        <v>51.018800000000006</v>
      </c>
      <c r="O18" s="845">
        <f t="shared" si="3"/>
        <v>30.982600000000001</v>
      </c>
      <c r="P18" s="847">
        <f t="shared" si="3"/>
        <v>20.036200000000001</v>
      </c>
      <c r="Q18" s="846">
        <f t="shared" si="3"/>
        <v>0</v>
      </c>
      <c r="R18" s="844">
        <f t="shared" si="3"/>
        <v>289660</v>
      </c>
      <c r="S18" s="844">
        <f t="shared" si="3"/>
        <v>0</v>
      </c>
      <c r="T18" s="844">
        <f t="shared" si="3"/>
        <v>0</v>
      </c>
      <c r="U18" s="844">
        <f t="shared" si="3"/>
        <v>289660</v>
      </c>
      <c r="V18" s="844">
        <f t="shared" si="3"/>
        <v>0</v>
      </c>
      <c r="W18" s="844">
        <f t="shared" si="3"/>
        <v>0</v>
      </c>
      <c r="X18" s="844">
        <f t="shared" si="3"/>
        <v>0</v>
      </c>
      <c r="Y18" s="844">
        <f t="shared" si="3"/>
        <v>0</v>
      </c>
      <c r="Z18" s="844">
        <f t="shared" si="3"/>
        <v>289660</v>
      </c>
      <c r="AA18" s="844">
        <f t="shared" si="3"/>
        <v>97905</v>
      </c>
      <c r="AB18" s="844">
        <f t="shared" si="3"/>
        <v>5793</v>
      </c>
      <c r="AC18" s="844">
        <f t="shared" si="3"/>
        <v>5500</v>
      </c>
      <c r="AD18" s="844">
        <f t="shared" si="3"/>
        <v>0</v>
      </c>
      <c r="AE18" s="844">
        <f t="shared" si="3"/>
        <v>5500</v>
      </c>
      <c r="AF18" s="844">
        <f t="shared" si="3"/>
        <v>398858</v>
      </c>
      <c r="AG18" s="845">
        <f t="shared" si="3"/>
        <v>0</v>
      </c>
      <c r="AH18" s="845">
        <f t="shared" si="3"/>
        <v>0</v>
      </c>
      <c r="AI18" s="845">
        <f t="shared" si="3"/>
        <v>0.96</v>
      </c>
      <c r="AJ18" s="845">
        <f t="shared" si="3"/>
        <v>0</v>
      </c>
      <c r="AK18" s="845">
        <f t="shared" si="3"/>
        <v>0</v>
      </c>
      <c r="AL18" s="845">
        <f t="shared" si="3"/>
        <v>0.96</v>
      </c>
      <c r="AM18" s="845">
        <f t="shared" si="3"/>
        <v>0</v>
      </c>
      <c r="AN18" s="847">
        <f t="shared" si="3"/>
        <v>0.96</v>
      </c>
      <c r="AO18" s="848">
        <f t="shared" si="3"/>
        <v>28411858</v>
      </c>
      <c r="AP18" s="844">
        <f t="shared" si="3"/>
        <v>20799185</v>
      </c>
      <c r="AQ18" s="849">
        <f t="shared" si="3"/>
        <v>0</v>
      </c>
      <c r="AR18" s="844">
        <f t="shared" si="3"/>
        <v>7030124</v>
      </c>
      <c r="AS18" s="844">
        <f t="shared" si="3"/>
        <v>415983</v>
      </c>
      <c r="AT18" s="844">
        <f t="shared" si="3"/>
        <v>166566</v>
      </c>
      <c r="AU18" s="845">
        <f t="shared" si="3"/>
        <v>51.978800000000007</v>
      </c>
      <c r="AV18" s="845">
        <f t="shared" si="3"/>
        <v>31.942600000000002</v>
      </c>
      <c r="AW18" s="847">
        <f t="shared" si="3"/>
        <v>20.036200000000001</v>
      </c>
    </row>
    <row r="19" spans="1:49" ht="12.95" customHeight="1" x14ac:dyDescent="0.25">
      <c r="A19" s="827">
        <v>3</v>
      </c>
      <c r="B19" s="828">
        <v>4464</v>
      </c>
      <c r="C19" s="828" t="s">
        <v>333</v>
      </c>
      <c r="D19" s="828">
        <v>46750461</v>
      </c>
      <c r="E19" s="830" t="s">
        <v>334</v>
      </c>
      <c r="F19" s="828">
        <v>3113</v>
      </c>
      <c r="G19" s="831" t="s">
        <v>335</v>
      </c>
      <c r="H19" s="831" t="s">
        <v>283</v>
      </c>
      <c r="I19" s="803">
        <f>SUM(J19:M19)</f>
        <v>38697815</v>
      </c>
      <c r="J19" s="833">
        <v>27868840</v>
      </c>
      <c r="K19" s="805">
        <f>ROUND((J19)*33.8%,0)</f>
        <v>9419668</v>
      </c>
      <c r="L19" s="805">
        <f>ROUND(J19*2%,0)</f>
        <v>557377</v>
      </c>
      <c r="M19" s="833">
        <v>851930</v>
      </c>
      <c r="N19" s="834">
        <f>SUM(O19:P19)</f>
        <v>49.920199999999994</v>
      </c>
      <c r="O19" s="1054">
        <v>39.681399999999996</v>
      </c>
      <c r="P19" s="1055">
        <v>10.238799999999999</v>
      </c>
      <c r="Q19" s="835">
        <f>V19*-1</f>
        <v>-35680</v>
      </c>
      <c r="R19" s="835">
        <v>0</v>
      </c>
      <c r="S19" s="813">
        <v>0</v>
      </c>
      <c r="T19" s="813">
        <v>0</v>
      </c>
      <c r="U19" s="813">
        <f>SUM(Q19:T19)</f>
        <v>-35680</v>
      </c>
      <c r="V19" s="813">
        <v>35680</v>
      </c>
      <c r="W19" s="813">
        <v>0</v>
      </c>
      <c r="X19" s="813">
        <v>0</v>
      </c>
      <c r="Y19" s="813">
        <f>SUM(V19:X19)</f>
        <v>35680</v>
      </c>
      <c r="Z19" s="813">
        <f>U19+Y19</f>
        <v>0</v>
      </c>
      <c r="AA19" s="809">
        <f>ROUND((U19+V19+W19)*33.8%,0)</f>
        <v>0</v>
      </c>
      <c r="AB19" s="809">
        <f>ROUND(U19*2%,0)</f>
        <v>-714</v>
      </c>
      <c r="AC19" s="813">
        <v>0</v>
      </c>
      <c r="AD19" s="813">
        <v>0</v>
      </c>
      <c r="AE19" s="813">
        <f>SUM(AC19:AD19)</f>
        <v>0</v>
      </c>
      <c r="AF19" s="813">
        <f>Z19+AA19+AB19+AE19</f>
        <v>-714</v>
      </c>
      <c r="AG19" s="836">
        <v>-0.03</v>
      </c>
      <c r="AH19" s="836">
        <v>0</v>
      </c>
      <c r="AI19" s="836">
        <v>0</v>
      </c>
      <c r="AJ19" s="836">
        <v>0</v>
      </c>
      <c r="AK19" s="836">
        <v>0</v>
      </c>
      <c r="AL19" s="836">
        <f>AG19+AI19+AJ19</f>
        <v>-0.03</v>
      </c>
      <c r="AM19" s="836">
        <f>AH19+AK19</f>
        <v>0</v>
      </c>
      <c r="AN19" s="837">
        <f>SUM(AL19:AM19)</f>
        <v>-0.03</v>
      </c>
      <c r="AO19" s="835">
        <f>I19+AF19</f>
        <v>38697101</v>
      </c>
      <c r="AP19" s="813">
        <f>J19+U19</f>
        <v>27833160</v>
      </c>
      <c r="AQ19" s="813">
        <f>Y19</f>
        <v>35680</v>
      </c>
      <c r="AR19" s="813">
        <f t="shared" ref="AR19:AS23" si="4">K19+AA19</f>
        <v>9419668</v>
      </c>
      <c r="AS19" s="813">
        <f t="shared" si="4"/>
        <v>556663</v>
      </c>
      <c r="AT19" s="813">
        <f>M19+AE19</f>
        <v>851930</v>
      </c>
      <c r="AU19" s="836">
        <f>N19+AN19</f>
        <v>49.890199999999993</v>
      </c>
      <c r="AV19" s="836">
        <f t="shared" ref="AV19:AW23" si="5">O19+AL19</f>
        <v>39.651399999999995</v>
      </c>
      <c r="AW19" s="837">
        <f t="shared" si="5"/>
        <v>10.238799999999999</v>
      </c>
    </row>
    <row r="20" spans="1:49" ht="12.95" customHeight="1" x14ac:dyDescent="0.25">
      <c r="A20" s="827">
        <v>3</v>
      </c>
      <c r="B20" s="828">
        <v>4464</v>
      </c>
      <c r="C20" s="828" t="s">
        <v>333</v>
      </c>
      <c r="D20" s="828">
        <v>46750461</v>
      </c>
      <c r="E20" s="830" t="s">
        <v>336</v>
      </c>
      <c r="F20" s="828">
        <v>3113</v>
      </c>
      <c r="G20" s="831" t="s">
        <v>325</v>
      </c>
      <c r="H20" s="831" t="s">
        <v>284</v>
      </c>
      <c r="I20" s="803">
        <f>SUM(J20:M20)</f>
        <v>0</v>
      </c>
      <c r="J20" s="833">
        <v>0</v>
      </c>
      <c r="K20" s="805">
        <v>0</v>
      </c>
      <c r="L20" s="805">
        <v>0</v>
      </c>
      <c r="M20" s="833">
        <v>0</v>
      </c>
      <c r="N20" s="834">
        <f>SUM(O20:P20)</f>
        <v>0</v>
      </c>
      <c r="O20" s="1054">
        <v>0</v>
      </c>
      <c r="P20" s="1055">
        <v>0</v>
      </c>
      <c r="Q20" s="835">
        <f>V20*-1</f>
        <v>0</v>
      </c>
      <c r="R20" s="835">
        <v>307954</v>
      </c>
      <c r="S20" s="813">
        <v>0</v>
      </c>
      <c r="T20" s="813">
        <v>0</v>
      </c>
      <c r="U20" s="813">
        <f>SUM(Q20:T20)</f>
        <v>307954</v>
      </c>
      <c r="V20" s="813">
        <v>0</v>
      </c>
      <c r="W20" s="813">
        <v>0</v>
      </c>
      <c r="X20" s="813">
        <v>0</v>
      </c>
      <c r="Y20" s="813">
        <f>SUM(V20:X20)</f>
        <v>0</v>
      </c>
      <c r="Z20" s="813">
        <f>U20+Y20</f>
        <v>307954</v>
      </c>
      <c r="AA20" s="809">
        <f>ROUND((U20+V20+W20)*33.8%,0)</f>
        <v>104088</v>
      </c>
      <c r="AB20" s="809">
        <f>ROUND(U20*2%,0)</f>
        <v>6159</v>
      </c>
      <c r="AC20" s="813">
        <v>0</v>
      </c>
      <c r="AD20" s="813">
        <v>0</v>
      </c>
      <c r="AE20" s="813">
        <f>SUM(AC20:AD20)</f>
        <v>0</v>
      </c>
      <c r="AF20" s="813">
        <f>Z20+AA20+AB20+AE20</f>
        <v>418201</v>
      </c>
      <c r="AG20" s="836">
        <v>0</v>
      </c>
      <c r="AH20" s="836">
        <v>0</v>
      </c>
      <c r="AI20" s="836">
        <v>0.89</v>
      </c>
      <c r="AJ20" s="836">
        <v>0</v>
      </c>
      <c r="AK20" s="836">
        <v>0</v>
      </c>
      <c r="AL20" s="836">
        <f>AG20+AI20+AJ20</f>
        <v>0.89</v>
      </c>
      <c r="AM20" s="836">
        <f>AH20+AK20</f>
        <v>0</v>
      </c>
      <c r="AN20" s="837">
        <f>SUM(AL20:AM20)</f>
        <v>0.89</v>
      </c>
      <c r="AO20" s="835">
        <f>I20+AF20</f>
        <v>418201</v>
      </c>
      <c r="AP20" s="813">
        <f>J20+U20</f>
        <v>307954</v>
      </c>
      <c r="AQ20" s="813">
        <f>Y20</f>
        <v>0</v>
      </c>
      <c r="AR20" s="813">
        <f t="shared" si="4"/>
        <v>104088</v>
      </c>
      <c r="AS20" s="813">
        <f t="shared" si="4"/>
        <v>6159</v>
      </c>
      <c r="AT20" s="813">
        <f>M20+AE20</f>
        <v>0</v>
      </c>
      <c r="AU20" s="836">
        <f>N20+AN20</f>
        <v>0.89</v>
      </c>
      <c r="AV20" s="836">
        <f t="shared" si="5"/>
        <v>0.89</v>
      </c>
      <c r="AW20" s="837">
        <f t="shared" si="5"/>
        <v>0</v>
      </c>
    </row>
    <row r="21" spans="1:49" ht="12.95" customHeight="1" x14ac:dyDescent="0.25">
      <c r="A21" s="827">
        <v>3</v>
      </c>
      <c r="B21" s="828">
        <v>4464</v>
      </c>
      <c r="C21" s="828" t="s">
        <v>333</v>
      </c>
      <c r="D21" s="828">
        <v>46750461</v>
      </c>
      <c r="E21" s="830" t="s">
        <v>334</v>
      </c>
      <c r="F21" s="828">
        <v>3141</v>
      </c>
      <c r="G21" s="831" t="s">
        <v>321</v>
      </c>
      <c r="H21" s="831" t="s">
        <v>284</v>
      </c>
      <c r="I21" s="803">
        <f>SUM(J21:M21)</f>
        <v>3155303</v>
      </c>
      <c r="J21" s="833">
        <v>2301395</v>
      </c>
      <c r="K21" s="805">
        <f>ROUND((J21)*33.8%,0)</f>
        <v>777872</v>
      </c>
      <c r="L21" s="805">
        <f>ROUND(J21*2%,0)</f>
        <v>46028</v>
      </c>
      <c r="M21" s="833">
        <v>30008</v>
      </c>
      <c r="N21" s="834">
        <f>SUM(O21:P21)</f>
        <v>7.83</v>
      </c>
      <c r="O21" s="1054">
        <v>0</v>
      </c>
      <c r="P21" s="1055">
        <v>7.83</v>
      </c>
      <c r="Q21" s="835">
        <f>V21*-1</f>
        <v>-1560</v>
      </c>
      <c r="R21" s="835">
        <v>0</v>
      </c>
      <c r="S21" s="813">
        <v>0</v>
      </c>
      <c r="T21" s="813">
        <v>0</v>
      </c>
      <c r="U21" s="813">
        <f>SUM(Q21:T21)</f>
        <v>-1560</v>
      </c>
      <c r="V21" s="813">
        <v>1560</v>
      </c>
      <c r="W21" s="813">
        <v>0</v>
      </c>
      <c r="X21" s="813">
        <v>0</v>
      </c>
      <c r="Y21" s="813">
        <f>SUM(V21:X21)</f>
        <v>1560</v>
      </c>
      <c r="Z21" s="813">
        <f>U21+Y21</f>
        <v>0</v>
      </c>
      <c r="AA21" s="809">
        <f>ROUND((U21+V21+W21)*33.8%,0)</f>
        <v>0</v>
      </c>
      <c r="AB21" s="809">
        <f>ROUND(U21*2%,0)</f>
        <v>-31</v>
      </c>
      <c r="AC21" s="813">
        <v>0</v>
      </c>
      <c r="AD21" s="813">
        <v>0</v>
      </c>
      <c r="AE21" s="813">
        <f>SUM(AC21:AD21)</f>
        <v>0</v>
      </c>
      <c r="AF21" s="813">
        <f>Z21+AA21+AB21+AE21</f>
        <v>-31</v>
      </c>
      <c r="AG21" s="836">
        <v>0</v>
      </c>
      <c r="AH21" s="836">
        <v>0</v>
      </c>
      <c r="AI21" s="836">
        <v>0</v>
      </c>
      <c r="AJ21" s="836">
        <v>0</v>
      </c>
      <c r="AK21" s="836">
        <v>0</v>
      </c>
      <c r="AL21" s="836">
        <f>AG21+AI21+AJ21</f>
        <v>0</v>
      </c>
      <c r="AM21" s="836">
        <f>AH21+AK21</f>
        <v>0</v>
      </c>
      <c r="AN21" s="837">
        <f>SUM(AL21:AM21)</f>
        <v>0</v>
      </c>
      <c r="AO21" s="835">
        <f>I21+AF21</f>
        <v>3155272</v>
      </c>
      <c r="AP21" s="813">
        <f>J21+U21</f>
        <v>2299835</v>
      </c>
      <c r="AQ21" s="813">
        <f>Y21</f>
        <v>1560</v>
      </c>
      <c r="AR21" s="813">
        <f t="shared" si="4"/>
        <v>777872</v>
      </c>
      <c r="AS21" s="813">
        <f t="shared" si="4"/>
        <v>45997</v>
      </c>
      <c r="AT21" s="813">
        <f>M21+AE21</f>
        <v>30008</v>
      </c>
      <c r="AU21" s="836">
        <f>N21+AN21</f>
        <v>7.83</v>
      </c>
      <c r="AV21" s="836">
        <f t="shared" si="5"/>
        <v>0</v>
      </c>
      <c r="AW21" s="837">
        <f t="shared" si="5"/>
        <v>7.83</v>
      </c>
    </row>
    <row r="22" spans="1:49" ht="12.95" customHeight="1" x14ac:dyDescent="0.25">
      <c r="A22" s="827">
        <v>3</v>
      </c>
      <c r="B22" s="828">
        <v>4464</v>
      </c>
      <c r="C22" s="828" t="s">
        <v>333</v>
      </c>
      <c r="D22" s="828">
        <v>46750461</v>
      </c>
      <c r="E22" s="830" t="s">
        <v>336</v>
      </c>
      <c r="F22" s="828">
        <v>3143</v>
      </c>
      <c r="G22" s="831" t="s">
        <v>635</v>
      </c>
      <c r="H22" s="831" t="s">
        <v>283</v>
      </c>
      <c r="I22" s="803">
        <f>SUM(J22:M22)</f>
        <v>3272701</v>
      </c>
      <c r="J22" s="833">
        <v>2409942</v>
      </c>
      <c r="K22" s="805">
        <f>ROUND((J22)*33.8%,0)</f>
        <v>814560</v>
      </c>
      <c r="L22" s="805">
        <f>ROUND(J22*2%,0)</f>
        <v>48199</v>
      </c>
      <c r="M22" s="833">
        <v>0</v>
      </c>
      <c r="N22" s="834">
        <f>SUM(O22:P22)</f>
        <v>5.0354000000000001</v>
      </c>
      <c r="O22" s="1054">
        <v>5.0354000000000001</v>
      </c>
      <c r="P22" s="1055">
        <v>0</v>
      </c>
      <c r="Q22" s="835">
        <f>V22*-1</f>
        <v>-7520</v>
      </c>
      <c r="R22" s="835">
        <v>0</v>
      </c>
      <c r="S22" s="813">
        <v>0</v>
      </c>
      <c r="T22" s="813">
        <v>0</v>
      </c>
      <c r="U22" s="813">
        <f>SUM(Q22:T22)</f>
        <v>-7520</v>
      </c>
      <c r="V22" s="813">
        <v>7520</v>
      </c>
      <c r="W22" s="813">
        <v>0</v>
      </c>
      <c r="X22" s="813">
        <v>0</v>
      </c>
      <c r="Y22" s="813">
        <f>SUM(V22:X22)</f>
        <v>7520</v>
      </c>
      <c r="Z22" s="813">
        <f>U22+Y22</f>
        <v>0</v>
      </c>
      <c r="AA22" s="809">
        <f>ROUND((U22+V22+W22)*33.8%,0)</f>
        <v>0</v>
      </c>
      <c r="AB22" s="809">
        <f>ROUND(U22*2%,0)</f>
        <v>-150</v>
      </c>
      <c r="AC22" s="813">
        <v>0</v>
      </c>
      <c r="AD22" s="813">
        <v>0</v>
      </c>
      <c r="AE22" s="813">
        <f>SUM(AC22:AD22)</f>
        <v>0</v>
      </c>
      <c r="AF22" s="813">
        <f>Z22+AA22+AB22+AE22</f>
        <v>-150</v>
      </c>
      <c r="AG22" s="836">
        <v>0</v>
      </c>
      <c r="AH22" s="836">
        <v>0</v>
      </c>
      <c r="AI22" s="836">
        <v>0</v>
      </c>
      <c r="AJ22" s="836">
        <v>0</v>
      </c>
      <c r="AK22" s="836">
        <v>0</v>
      </c>
      <c r="AL22" s="836">
        <f>AG22+AI22+AJ22</f>
        <v>0</v>
      </c>
      <c r="AM22" s="836">
        <f>AH22+AK22</f>
        <v>0</v>
      </c>
      <c r="AN22" s="837">
        <f>SUM(AL22:AM22)</f>
        <v>0</v>
      </c>
      <c r="AO22" s="835">
        <f>I22+AF22</f>
        <v>3272551</v>
      </c>
      <c r="AP22" s="813">
        <f>J22+U22</f>
        <v>2402422</v>
      </c>
      <c r="AQ22" s="813">
        <f>Y22</f>
        <v>7520</v>
      </c>
      <c r="AR22" s="813">
        <f t="shared" si="4"/>
        <v>814560</v>
      </c>
      <c r="AS22" s="813">
        <f t="shared" si="4"/>
        <v>48049</v>
      </c>
      <c r="AT22" s="813">
        <f>M22+AE22</f>
        <v>0</v>
      </c>
      <c r="AU22" s="836">
        <f>N22+AN22</f>
        <v>5.0354000000000001</v>
      </c>
      <c r="AV22" s="836">
        <f t="shared" si="5"/>
        <v>5.0354000000000001</v>
      </c>
      <c r="AW22" s="837">
        <f t="shared" si="5"/>
        <v>0</v>
      </c>
    </row>
    <row r="23" spans="1:49" ht="12.95" customHeight="1" x14ac:dyDescent="0.25">
      <c r="A23" s="827">
        <v>3</v>
      </c>
      <c r="B23" s="828">
        <v>4464</v>
      </c>
      <c r="C23" s="828" t="s">
        <v>333</v>
      </c>
      <c r="D23" s="828">
        <v>46750461</v>
      </c>
      <c r="E23" s="830" t="s">
        <v>336</v>
      </c>
      <c r="F23" s="828">
        <v>3143</v>
      </c>
      <c r="G23" s="831" t="s">
        <v>636</v>
      </c>
      <c r="H23" s="831" t="s">
        <v>284</v>
      </c>
      <c r="I23" s="803">
        <f>SUM(J23:M23)</f>
        <v>113758</v>
      </c>
      <c r="J23" s="833">
        <v>80190</v>
      </c>
      <c r="K23" s="805">
        <f>ROUND((J23)*33.8%,0)</f>
        <v>27104</v>
      </c>
      <c r="L23" s="805">
        <f>ROUND(J23*2%,0)</f>
        <v>1604</v>
      </c>
      <c r="M23" s="833">
        <v>4860</v>
      </c>
      <c r="N23" s="834">
        <f>SUM(O23:P23)</f>
        <v>0.34</v>
      </c>
      <c r="O23" s="1054">
        <v>0</v>
      </c>
      <c r="P23" s="1055">
        <v>0.34</v>
      </c>
      <c r="Q23" s="835">
        <f>V23*-1</f>
        <v>0</v>
      </c>
      <c r="R23" s="835">
        <v>0</v>
      </c>
      <c r="S23" s="813">
        <v>0</v>
      </c>
      <c r="T23" s="813">
        <v>0</v>
      </c>
      <c r="U23" s="813">
        <f>SUM(Q23:T23)</f>
        <v>0</v>
      </c>
      <c r="V23" s="813">
        <v>0</v>
      </c>
      <c r="W23" s="813">
        <v>0</v>
      </c>
      <c r="X23" s="813">
        <v>0</v>
      </c>
      <c r="Y23" s="813">
        <f>SUM(V23:X23)</f>
        <v>0</v>
      </c>
      <c r="Z23" s="813">
        <f>U23+Y23</f>
        <v>0</v>
      </c>
      <c r="AA23" s="809">
        <f>ROUND((U23+V23+W23)*33.8%,0)</f>
        <v>0</v>
      </c>
      <c r="AB23" s="809">
        <f>ROUND(U23*2%,0)</f>
        <v>0</v>
      </c>
      <c r="AC23" s="813">
        <v>0</v>
      </c>
      <c r="AD23" s="813">
        <v>0</v>
      </c>
      <c r="AE23" s="813">
        <f>SUM(AC23:AD23)</f>
        <v>0</v>
      </c>
      <c r="AF23" s="813">
        <f>Z23+AA23+AB23+AE23</f>
        <v>0</v>
      </c>
      <c r="AG23" s="836">
        <v>0</v>
      </c>
      <c r="AH23" s="836">
        <v>0</v>
      </c>
      <c r="AI23" s="836">
        <v>0</v>
      </c>
      <c r="AJ23" s="836">
        <v>0</v>
      </c>
      <c r="AK23" s="836">
        <v>0</v>
      </c>
      <c r="AL23" s="836">
        <f>AG23+AI23+AJ23</f>
        <v>0</v>
      </c>
      <c r="AM23" s="836">
        <f>AH23+AK23</f>
        <v>0</v>
      </c>
      <c r="AN23" s="837">
        <f>SUM(AL23:AM23)</f>
        <v>0</v>
      </c>
      <c r="AO23" s="835">
        <f>I23+AF23</f>
        <v>113758</v>
      </c>
      <c r="AP23" s="813">
        <f>J23+U23</f>
        <v>80190</v>
      </c>
      <c r="AQ23" s="813">
        <f>Y23</f>
        <v>0</v>
      </c>
      <c r="AR23" s="813">
        <f t="shared" si="4"/>
        <v>27104</v>
      </c>
      <c r="AS23" s="813">
        <f t="shared" si="4"/>
        <v>1604</v>
      </c>
      <c r="AT23" s="813">
        <f>M23+AE23</f>
        <v>4860</v>
      </c>
      <c r="AU23" s="836">
        <f>N23+AN23</f>
        <v>0.34</v>
      </c>
      <c r="AV23" s="836">
        <f t="shared" si="5"/>
        <v>0</v>
      </c>
      <c r="AW23" s="837">
        <f t="shared" si="5"/>
        <v>0.34</v>
      </c>
    </row>
    <row r="24" spans="1:49" ht="12.95" customHeight="1" x14ac:dyDescent="0.25">
      <c r="A24" s="814">
        <v>3</v>
      </c>
      <c r="B24" s="816">
        <v>4464</v>
      </c>
      <c r="C24" s="816" t="s">
        <v>333</v>
      </c>
      <c r="D24" s="816">
        <v>46750461</v>
      </c>
      <c r="E24" s="841" t="s">
        <v>337</v>
      </c>
      <c r="F24" s="816"/>
      <c r="G24" s="842"/>
      <c r="H24" s="842"/>
      <c r="I24" s="843">
        <f t="shared" ref="I24:AW24" si="6">SUM(I19:I23)</f>
        <v>45239577</v>
      </c>
      <c r="J24" s="844">
        <f t="shared" si="6"/>
        <v>32660367</v>
      </c>
      <c r="K24" s="844">
        <f t="shared" si="6"/>
        <v>11039204</v>
      </c>
      <c r="L24" s="844">
        <f t="shared" si="6"/>
        <v>653208</v>
      </c>
      <c r="M24" s="844">
        <f t="shared" si="6"/>
        <v>886798</v>
      </c>
      <c r="N24" s="845">
        <f t="shared" si="6"/>
        <v>63.125599999999999</v>
      </c>
      <c r="O24" s="845">
        <f t="shared" si="6"/>
        <v>44.716799999999999</v>
      </c>
      <c r="P24" s="847">
        <f t="shared" si="6"/>
        <v>18.408799999999999</v>
      </c>
      <c r="Q24" s="848">
        <f t="shared" si="6"/>
        <v>-44760</v>
      </c>
      <c r="R24" s="844">
        <f t="shared" si="6"/>
        <v>307954</v>
      </c>
      <c r="S24" s="844">
        <f t="shared" si="6"/>
        <v>0</v>
      </c>
      <c r="T24" s="844">
        <f t="shared" si="6"/>
        <v>0</v>
      </c>
      <c r="U24" s="844">
        <f t="shared" si="6"/>
        <v>263194</v>
      </c>
      <c r="V24" s="844">
        <f t="shared" si="6"/>
        <v>44760</v>
      </c>
      <c r="W24" s="844">
        <f t="shared" si="6"/>
        <v>0</v>
      </c>
      <c r="X24" s="844">
        <f t="shared" si="6"/>
        <v>0</v>
      </c>
      <c r="Y24" s="844">
        <f t="shared" si="6"/>
        <v>44760</v>
      </c>
      <c r="Z24" s="844">
        <f t="shared" si="6"/>
        <v>307954</v>
      </c>
      <c r="AA24" s="844">
        <f t="shared" si="6"/>
        <v>104088</v>
      </c>
      <c r="AB24" s="844">
        <f t="shared" si="6"/>
        <v>5264</v>
      </c>
      <c r="AC24" s="844">
        <f t="shared" si="6"/>
        <v>0</v>
      </c>
      <c r="AD24" s="844">
        <f t="shared" si="6"/>
        <v>0</v>
      </c>
      <c r="AE24" s="844">
        <f t="shared" si="6"/>
        <v>0</v>
      </c>
      <c r="AF24" s="844">
        <f t="shared" si="6"/>
        <v>417306</v>
      </c>
      <c r="AG24" s="845">
        <f t="shared" si="6"/>
        <v>-0.03</v>
      </c>
      <c r="AH24" s="845">
        <f t="shared" si="6"/>
        <v>0</v>
      </c>
      <c r="AI24" s="845">
        <f t="shared" si="6"/>
        <v>0.89</v>
      </c>
      <c r="AJ24" s="845">
        <f t="shared" si="6"/>
        <v>0</v>
      </c>
      <c r="AK24" s="845">
        <f t="shared" si="6"/>
        <v>0</v>
      </c>
      <c r="AL24" s="845">
        <f t="shared" si="6"/>
        <v>0.86</v>
      </c>
      <c r="AM24" s="845">
        <f t="shared" si="6"/>
        <v>0</v>
      </c>
      <c r="AN24" s="847">
        <f t="shared" si="6"/>
        <v>0.86</v>
      </c>
      <c r="AO24" s="848">
        <f t="shared" si="6"/>
        <v>45656883</v>
      </c>
      <c r="AP24" s="844">
        <f t="shared" si="6"/>
        <v>32923561</v>
      </c>
      <c r="AQ24" s="844">
        <f t="shared" si="6"/>
        <v>44760</v>
      </c>
      <c r="AR24" s="844">
        <f t="shared" si="6"/>
        <v>11143292</v>
      </c>
      <c r="AS24" s="844">
        <f t="shared" si="6"/>
        <v>658472</v>
      </c>
      <c r="AT24" s="844">
        <f t="shared" si="6"/>
        <v>886798</v>
      </c>
      <c r="AU24" s="845">
        <f t="shared" si="6"/>
        <v>63.985599999999998</v>
      </c>
      <c r="AV24" s="845">
        <f t="shared" si="6"/>
        <v>45.576799999999999</v>
      </c>
      <c r="AW24" s="847">
        <f t="shared" si="6"/>
        <v>18.408799999999999</v>
      </c>
    </row>
    <row r="25" spans="1:49" ht="12.95" customHeight="1" x14ac:dyDescent="0.25">
      <c r="A25" s="827">
        <v>4</v>
      </c>
      <c r="B25" s="828">
        <v>4457</v>
      </c>
      <c r="C25" s="828">
        <v>600074609</v>
      </c>
      <c r="D25" s="828">
        <v>72743964</v>
      </c>
      <c r="E25" s="830" t="s">
        <v>338</v>
      </c>
      <c r="F25" s="828">
        <v>3117</v>
      </c>
      <c r="G25" s="831" t="s">
        <v>335</v>
      </c>
      <c r="H25" s="831" t="s">
        <v>283</v>
      </c>
      <c r="I25" s="803">
        <f>SUM(J25:M25)</f>
        <v>6747721</v>
      </c>
      <c r="J25" s="833">
        <v>4855538</v>
      </c>
      <c r="K25" s="805">
        <f>ROUND((J25)*33.8%,0)</f>
        <v>1641172</v>
      </c>
      <c r="L25" s="805">
        <f>ROUND(J25*2%,0)</f>
        <v>97111</v>
      </c>
      <c r="M25" s="833">
        <v>153900</v>
      </c>
      <c r="N25" s="834">
        <f>SUM(O25:P25)</f>
        <v>9.1004000000000005</v>
      </c>
      <c r="O25" s="1054">
        <v>6.2727000000000004</v>
      </c>
      <c r="P25" s="1055">
        <v>2.8277000000000001</v>
      </c>
      <c r="Q25" s="835">
        <f>V25*-1</f>
        <v>-24000</v>
      </c>
      <c r="R25" s="835">
        <v>0</v>
      </c>
      <c r="S25" s="813">
        <v>0</v>
      </c>
      <c r="T25" s="813">
        <v>0</v>
      </c>
      <c r="U25" s="813">
        <f>SUM(Q25:T25)</f>
        <v>-24000</v>
      </c>
      <c r="V25" s="813">
        <v>24000</v>
      </c>
      <c r="W25" s="813">
        <v>0</v>
      </c>
      <c r="X25" s="813">
        <v>0</v>
      </c>
      <c r="Y25" s="813">
        <f>SUM(V25:X25)</f>
        <v>24000</v>
      </c>
      <c r="Z25" s="813">
        <f>U25+Y25</f>
        <v>0</v>
      </c>
      <c r="AA25" s="809">
        <f>ROUND((U25+V25+W25)*33.8%,0)</f>
        <v>0</v>
      </c>
      <c r="AB25" s="809">
        <f>ROUND(U25*2%,0)</f>
        <v>-480</v>
      </c>
      <c r="AC25" s="813">
        <v>0</v>
      </c>
      <c r="AD25" s="813">
        <v>0</v>
      </c>
      <c r="AE25" s="813">
        <f>SUM(AC25:AD25)</f>
        <v>0</v>
      </c>
      <c r="AF25" s="813">
        <f>Z25+AA25+AB25+AE25</f>
        <v>-480</v>
      </c>
      <c r="AG25" s="836">
        <v>0</v>
      </c>
      <c r="AH25" s="836">
        <v>-7.0000000000000007E-2</v>
      </c>
      <c r="AI25" s="836">
        <v>0</v>
      </c>
      <c r="AJ25" s="836">
        <v>0</v>
      </c>
      <c r="AK25" s="836">
        <v>0</v>
      </c>
      <c r="AL25" s="836">
        <f>AG25+AI25+AJ25</f>
        <v>0</v>
      </c>
      <c r="AM25" s="836">
        <f>AH25+AK25</f>
        <v>-7.0000000000000007E-2</v>
      </c>
      <c r="AN25" s="837">
        <f>SUM(AL25:AM25)</f>
        <v>-7.0000000000000007E-2</v>
      </c>
      <c r="AO25" s="835">
        <f>I25+AF25</f>
        <v>6747241</v>
      </c>
      <c r="AP25" s="813">
        <f>J25+U25</f>
        <v>4831538</v>
      </c>
      <c r="AQ25" s="813">
        <f>Y25</f>
        <v>24000</v>
      </c>
      <c r="AR25" s="813">
        <f t="shared" ref="AR25:AS29" si="7">K25+AA25</f>
        <v>1641172</v>
      </c>
      <c r="AS25" s="813">
        <f t="shared" si="7"/>
        <v>96631</v>
      </c>
      <c r="AT25" s="813">
        <f>M25+AE25</f>
        <v>153900</v>
      </c>
      <c r="AU25" s="836">
        <f>N25+AN25</f>
        <v>9.0304000000000002</v>
      </c>
      <c r="AV25" s="836">
        <f t="shared" ref="AV25:AW29" si="8">O25+AL25</f>
        <v>6.2727000000000004</v>
      </c>
      <c r="AW25" s="837">
        <f t="shared" si="8"/>
        <v>2.7577000000000003</v>
      </c>
    </row>
    <row r="26" spans="1:49" ht="12.95" customHeight="1" x14ac:dyDescent="0.25">
      <c r="A26" s="827">
        <v>4</v>
      </c>
      <c r="B26" s="828">
        <v>4457</v>
      </c>
      <c r="C26" s="828">
        <v>600074609</v>
      </c>
      <c r="D26" s="828">
        <v>72743964</v>
      </c>
      <c r="E26" s="830" t="s">
        <v>338</v>
      </c>
      <c r="F26" s="828">
        <v>3117</v>
      </c>
      <c r="G26" s="831" t="s">
        <v>325</v>
      </c>
      <c r="H26" s="831" t="s">
        <v>284</v>
      </c>
      <c r="I26" s="803">
        <f>SUM(J26:M26)</f>
        <v>0</v>
      </c>
      <c r="J26" s="833">
        <v>0</v>
      </c>
      <c r="K26" s="805">
        <v>0</v>
      </c>
      <c r="L26" s="805">
        <v>0</v>
      </c>
      <c r="M26" s="833">
        <v>0</v>
      </c>
      <c r="N26" s="834">
        <f>SUM(O26:P26)</f>
        <v>0</v>
      </c>
      <c r="O26" s="1054">
        <v>0</v>
      </c>
      <c r="P26" s="1055">
        <v>0</v>
      </c>
      <c r="Q26" s="835">
        <f>V26*-1</f>
        <v>0</v>
      </c>
      <c r="R26" s="835">
        <v>1059299</v>
      </c>
      <c r="S26" s="813">
        <v>0</v>
      </c>
      <c r="T26" s="813">
        <v>0</v>
      </c>
      <c r="U26" s="813">
        <f>SUM(Q26:T26)</f>
        <v>1059299</v>
      </c>
      <c r="V26" s="813">
        <v>0</v>
      </c>
      <c r="W26" s="813">
        <v>0</v>
      </c>
      <c r="X26" s="813">
        <v>0</v>
      </c>
      <c r="Y26" s="813">
        <f>SUM(V26:X26)</f>
        <v>0</v>
      </c>
      <c r="Z26" s="813">
        <f>U26+Y26</f>
        <v>1059299</v>
      </c>
      <c r="AA26" s="809">
        <f>ROUND((U26+V26+W26)*33.8%,0)</f>
        <v>358043</v>
      </c>
      <c r="AB26" s="809">
        <f>ROUND(U26*2%,0)</f>
        <v>21186</v>
      </c>
      <c r="AC26" s="813">
        <v>2000</v>
      </c>
      <c r="AD26" s="813">
        <v>0</v>
      </c>
      <c r="AE26" s="813">
        <f>SUM(AC26:AD26)</f>
        <v>2000</v>
      </c>
      <c r="AF26" s="813">
        <f>Z26+AA26+AB26+AE26</f>
        <v>1440528</v>
      </c>
      <c r="AG26" s="836">
        <v>0</v>
      </c>
      <c r="AH26" s="836">
        <v>0</v>
      </c>
      <c r="AI26" s="836">
        <v>3.13</v>
      </c>
      <c r="AJ26" s="836">
        <v>0</v>
      </c>
      <c r="AK26" s="836">
        <v>0</v>
      </c>
      <c r="AL26" s="836">
        <f>AG26+AI26+AJ26</f>
        <v>3.13</v>
      </c>
      <c r="AM26" s="836">
        <f>AH26+AK26</f>
        <v>0</v>
      </c>
      <c r="AN26" s="837">
        <f>SUM(AL26:AM26)</f>
        <v>3.13</v>
      </c>
      <c r="AO26" s="835">
        <f>I26+AF26</f>
        <v>1440528</v>
      </c>
      <c r="AP26" s="813">
        <f>J26+U26</f>
        <v>1059299</v>
      </c>
      <c r="AQ26" s="813">
        <f>Y26</f>
        <v>0</v>
      </c>
      <c r="AR26" s="813">
        <f t="shared" si="7"/>
        <v>358043</v>
      </c>
      <c r="AS26" s="813">
        <f t="shared" si="7"/>
        <v>21186</v>
      </c>
      <c r="AT26" s="813">
        <f>M26+AE26</f>
        <v>2000</v>
      </c>
      <c r="AU26" s="836">
        <f>N26+AN26</f>
        <v>3.13</v>
      </c>
      <c r="AV26" s="836">
        <f t="shared" si="8"/>
        <v>3.13</v>
      </c>
      <c r="AW26" s="837">
        <f t="shared" si="8"/>
        <v>0</v>
      </c>
    </row>
    <row r="27" spans="1:49" ht="12.95" customHeight="1" x14ac:dyDescent="0.25">
      <c r="A27" s="827">
        <v>4</v>
      </c>
      <c r="B27" s="828">
        <v>4457</v>
      </c>
      <c r="C27" s="828">
        <v>600074609</v>
      </c>
      <c r="D27" s="828">
        <v>72743964</v>
      </c>
      <c r="E27" s="830" t="s">
        <v>338</v>
      </c>
      <c r="F27" s="828">
        <v>3141</v>
      </c>
      <c r="G27" s="831" t="s">
        <v>321</v>
      </c>
      <c r="H27" s="831" t="s">
        <v>284</v>
      </c>
      <c r="I27" s="803">
        <f>SUM(J27:M27)</f>
        <v>292976</v>
      </c>
      <c r="J27" s="833">
        <v>213334</v>
      </c>
      <c r="K27" s="805">
        <f>ROUND((J27)*33.8%,0)</f>
        <v>72107</v>
      </c>
      <c r="L27" s="805">
        <f>ROUND(J27*2%,0)</f>
        <v>4267</v>
      </c>
      <c r="M27" s="833">
        <v>3268</v>
      </c>
      <c r="N27" s="834">
        <f>SUM(O27:P27)</f>
        <v>0.73</v>
      </c>
      <c r="O27" s="1054">
        <v>0</v>
      </c>
      <c r="P27" s="1055">
        <v>0.73</v>
      </c>
      <c r="Q27" s="835">
        <f>V27*-1</f>
        <v>0</v>
      </c>
      <c r="R27" s="835">
        <v>0</v>
      </c>
      <c r="S27" s="813">
        <v>0</v>
      </c>
      <c r="T27" s="813">
        <v>0</v>
      </c>
      <c r="U27" s="813">
        <f>SUM(Q27:T27)</f>
        <v>0</v>
      </c>
      <c r="V27" s="813">
        <v>0</v>
      </c>
      <c r="W27" s="813">
        <v>0</v>
      </c>
      <c r="X27" s="813">
        <v>0</v>
      </c>
      <c r="Y27" s="813">
        <f>SUM(V27:X27)</f>
        <v>0</v>
      </c>
      <c r="Z27" s="813">
        <f>U27+Y27</f>
        <v>0</v>
      </c>
      <c r="AA27" s="809">
        <f>ROUND((U27+V27+W27)*33.8%,0)</f>
        <v>0</v>
      </c>
      <c r="AB27" s="809">
        <f>ROUND(U27*2%,0)</f>
        <v>0</v>
      </c>
      <c r="AC27" s="813">
        <v>0</v>
      </c>
      <c r="AD27" s="813">
        <v>0</v>
      </c>
      <c r="AE27" s="813">
        <f>SUM(AC27:AD27)</f>
        <v>0</v>
      </c>
      <c r="AF27" s="813">
        <f>Z27+AA27+AB27+AE27</f>
        <v>0</v>
      </c>
      <c r="AG27" s="836">
        <v>0</v>
      </c>
      <c r="AH27" s="836">
        <v>0</v>
      </c>
      <c r="AI27" s="836">
        <v>0</v>
      </c>
      <c r="AJ27" s="836">
        <v>0</v>
      </c>
      <c r="AK27" s="836">
        <v>0</v>
      </c>
      <c r="AL27" s="836">
        <f>AG27+AI27+AJ27</f>
        <v>0</v>
      </c>
      <c r="AM27" s="836">
        <f>AH27+AK27</f>
        <v>0</v>
      </c>
      <c r="AN27" s="837">
        <f>SUM(AL27:AM27)</f>
        <v>0</v>
      </c>
      <c r="AO27" s="835">
        <f>I27+AF27</f>
        <v>292976</v>
      </c>
      <c r="AP27" s="813">
        <f>J27+U27</f>
        <v>213334</v>
      </c>
      <c r="AQ27" s="813">
        <f>Y27</f>
        <v>0</v>
      </c>
      <c r="AR27" s="813">
        <f t="shared" si="7"/>
        <v>72107</v>
      </c>
      <c r="AS27" s="813">
        <f t="shared" si="7"/>
        <v>4267</v>
      </c>
      <c r="AT27" s="813">
        <f>M27+AE27</f>
        <v>3268</v>
      </c>
      <c r="AU27" s="836">
        <f>N27+AN27</f>
        <v>0.73</v>
      </c>
      <c r="AV27" s="836">
        <f t="shared" si="8"/>
        <v>0</v>
      </c>
      <c r="AW27" s="837">
        <f t="shared" si="8"/>
        <v>0.73</v>
      </c>
    </row>
    <row r="28" spans="1:49" ht="12.95" customHeight="1" x14ac:dyDescent="0.25">
      <c r="A28" s="827">
        <v>4</v>
      </c>
      <c r="B28" s="828">
        <v>4457</v>
      </c>
      <c r="C28" s="828">
        <v>600074609</v>
      </c>
      <c r="D28" s="828">
        <v>72743964</v>
      </c>
      <c r="E28" s="830" t="s">
        <v>338</v>
      </c>
      <c r="F28" s="828">
        <v>3143</v>
      </c>
      <c r="G28" s="831" t="s">
        <v>635</v>
      </c>
      <c r="H28" s="831" t="s">
        <v>283</v>
      </c>
      <c r="I28" s="803">
        <f>SUM(J28:M28)</f>
        <v>1244636</v>
      </c>
      <c r="J28" s="833">
        <v>916522</v>
      </c>
      <c r="K28" s="805">
        <f>ROUND((J28)*33.8%,0)</f>
        <v>309784</v>
      </c>
      <c r="L28" s="805">
        <f>ROUND(J28*2%,0)</f>
        <v>18330</v>
      </c>
      <c r="M28" s="833">
        <v>0</v>
      </c>
      <c r="N28" s="834">
        <f>SUM(O28:P28)</f>
        <v>2.0356999999999998</v>
      </c>
      <c r="O28" s="1054">
        <v>2.0356999999999998</v>
      </c>
      <c r="P28" s="1055">
        <v>0</v>
      </c>
      <c r="Q28" s="835">
        <f>V28*-1</f>
        <v>0</v>
      </c>
      <c r="R28" s="835">
        <v>0</v>
      </c>
      <c r="S28" s="813">
        <v>0</v>
      </c>
      <c r="T28" s="813">
        <v>0</v>
      </c>
      <c r="U28" s="813">
        <f>SUM(Q28:T28)</f>
        <v>0</v>
      </c>
      <c r="V28" s="813">
        <v>0</v>
      </c>
      <c r="W28" s="813">
        <v>0</v>
      </c>
      <c r="X28" s="813">
        <v>0</v>
      </c>
      <c r="Y28" s="813">
        <f>SUM(V28:X28)</f>
        <v>0</v>
      </c>
      <c r="Z28" s="813">
        <f>U28+Y28</f>
        <v>0</v>
      </c>
      <c r="AA28" s="809">
        <f>ROUND((U28+V28+W28)*33.8%,0)</f>
        <v>0</v>
      </c>
      <c r="AB28" s="809">
        <f>ROUND(U28*2%,0)</f>
        <v>0</v>
      </c>
      <c r="AC28" s="813">
        <v>0</v>
      </c>
      <c r="AD28" s="813">
        <v>0</v>
      </c>
      <c r="AE28" s="813">
        <f>SUM(AC28:AD28)</f>
        <v>0</v>
      </c>
      <c r="AF28" s="813">
        <f>Z28+AA28+AB28+AE28</f>
        <v>0</v>
      </c>
      <c r="AG28" s="836">
        <v>0</v>
      </c>
      <c r="AH28" s="836">
        <v>0</v>
      </c>
      <c r="AI28" s="836">
        <v>0</v>
      </c>
      <c r="AJ28" s="836">
        <v>0</v>
      </c>
      <c r="AK28" s="836">
        <v>0</v>
      </c>
      <c r="AL28" s="836">
        <f>AG28+AI28+AJ28</f>
        <v>0</v>
      </c>
      <c r="AM28" s="836">
        <f>AH28+AK28</f>
        <v>0</v>
      </c>
      <c r="AN28" s="837">
        <f>SUM(AL28:AM28)</f>
        <v>0</v>
      </c>
      <c r="AO28" s="835">
        <f>I28+AF28</f>
        <v>1244636</v>
      </c>
      <c r="AP28" s="813">
        <f>J28+U28</f>
        <v>916522</v>
      </c>
      <c r="AQ28" s="813">
        <f>Y28</f>
        <v>0</v>
      </c>
      <c r="AR28" s="813">
        <f t="shared" si="7"/>
        <v>309784</v>
      </c>
      <c r="AS28" s="813">
        <f t="shared" si="7"/>
        <v>18330</v>
      </c>
      <c r="AT28" s="813">
        <f>M28+AE28</f>
        <v>0</v>
      </c>
      <c r="AU28" s="836">
        <f>N28+AN28</f>
        <v>2.0356999999999998</v>
      </c>
      <c r="AV28" s="836">
        <f t="shared" si="8"/>
        <v>2.0356999999999998</v>
      </c>
      <c r="AW28" s="837">
        <f t="shared" si="8"/>
        <v>0</v>
      </c>
    </row>
    <row r="29" spans="1:49" ht="12.95" customHeight="1" x14ac:dyDescent="0.25">
      <c r="A29" s="827">
        <v>4</v>
      </c>
      <c r="B29" s="828">
        <v>4457</v>
      </c>
      <c r="C29" s="828">
        <v>600074609</v>
      </c>
      <c r="D29" s="828">
        <v>72743964</v>
      </c>
      <c r="E29" s="830" t="s">
        <v>338</v>
      </c>
      <c r="F29" s="828">
        <v>3143</v>
      </c>
      <c r="G29" s="831" t="s">
        <v>636</v>
      </c>
      <c r="H29" s="831" t="s">
        <v>284</v>
      </c>
      <c r="I29" s="803">
        <f>SUM(J29:M29)</f>
        <v>37920</v>
      </c>
      <c r="J29" s="833">
        <v>26730</v>
      </c>
      <c r="K29" s="805">
        <f>ROUND((J29)*33.8%,0)</f>
        <v>9035</v>
      </c>
      <c r="L29" s="805">
        <f>ROUND(J29*2%,0)</f>
        <v>535</v>
      </c>
      <c r="M29" s="833">
        <v>1620</v>
      </c>
      <c r="N29" s="834">
        <f>SUM(O29:P29)</f>
        <v>0.11</v>
      </c>
      <c r="O29" s="1054">
        <v>0</v>
      </c>
      <c r="P29" s="1055">
        <v>0.11</v>
      </c>
      <c r="Q29" s="835">
        <f>V29*-1</f>
        <v>0</v>
      </c>
      <c r="R29" s="835">
        <v>0</v>
      </c>
      <c r="S29" s="813">
        <v>0</v>
      </c>
      <c r="T29" s="813">
        <v>0</v>
      </c>
      <c r="U29" s="813">
        <f>SUM(Q29:T29)</f>
        <v>0</v>
      </c>
      <c r="V29" s="813">
        <v>0</v>
      </c>
      <c r="W29" s="813">
        <v>0</v>
      </c>
      <c r="X29" s="813">
        <v>0</v>
      </c>
      <c r="Y29" s="813">
        <f>SUM(V29:X29)</f>
        <v>0</v>
      </c>
      <c r="Z29" s="813">
        <f>U29+Y29</f>
        <v>0</v>
      </c>
      <c r="AA29" s="809">
        <f>ROUND((U29+V29+W29)*33.8%,0)</f>
        <v>0</v>
      </c>
      <c r="AB29" s="809">
        <f>ROUND(U29*2%,0)</f>
        <v>0</v>
      </c>
      <c r="AC29" s="813">
        <v>0</v>
      </c>
      <c r="AD29" s="813">
        <v>0</v>
      </c>
      <c r="AE29" s="813">
        <f>SUM(AC29:AD29)</f>
        <v>0</v>
      </c>
      <c r="AF29" s="813">
        <f>Z29+AA29+AB29+AE29</f>
        <v>0</v>
      </c>
      <c r="AG29" s="836">
        <v>0</v>
      </c>
      <c r="AH29" s="836">
        <v>0</v>
      </c>
      <c r="AI29" s="836">
        <v>0</v>
      </c>
      <c r="AJ29" s="836">
        <v>0</v>
      </c>
      <c r="AK29" s="836">
        <v>0</v>
      </c>
      <c r="AL29" s="836">
        <f>AG29+AI29+AJ29</f>
        <v>0</v>
      </c>
      <c r="AM29" s="836">
        <f>AH29+AK29</f>
        <v>0</v>
      </c>
      <c r="AN29" s="837">
        <f>SUM(AL29:AM29)</f>
        <v>0</v>
      </c>
      <c r="AO29" s="835">
        <f>I29+AF29</f>
        <v>37920</v>
      </c>
      <c r="AP29" s="813">
        <f>J29+U29</f>
        <v>26730</v>
      </c>
      <c r="AQ29" s="813">
        <f>Y29</f>
        <v>0</v>
      </c>
      <c r="AR29" s="813">
        <f t="shared" si="7"/>
        <v>9035</v>
      </c>
      <c r="AS29" s="813">
        <f t="shared" si="7"/>
        <v>535</v>
      </c>
      <c r="AT29" s="813">
        <f>M29+AE29</f>
        <v>1620</v>
      </c>
      <c r="AU29" s="836">
        <f>N29+AN29</f>
        <v>0.11</v>
      </c>
      <c r="AV29" s="836">
        <f t="shared" si="8"/>
        <v>0</v>
      </c>
      <c r="AW29" s="837">
        <f t="shared" si="8"/>
        <v>0.11</v>
      </c>
    </row>
    <row r="30" spans="1:49" ht="12.95" customHeight="1" x14ac:dyDescent="0.25">
      <c r="A30" s="814">
        <v>4</v>
      </c>
      <c r="B30" s="816">
        <v>4457</v>
      </c>
      <c r="C30" s="816">
        <v>600074609</v>
      </c>
      <c r="D30" s="816">
        <v>72743964</v>
      </c>
      <c r="E30" s="841" t="s">
        <v>339</v>
      </c>
      <c r="F30" s="850"/>
      <c r="G30" s="851"/>
      <c r="H30" s="851"/>
      <c r="I30" s="843">
        <f t="shared" ref="I30:AW30" si="9">SUM(I25:I29)</f>
        <v>8323253</v>
      </c>
      <c r="J30" s="844">
        <f t="shared" si="9"/>
        <v>6012124</v>
      </c>
      <c r="K30" s="844">
        <f t="shared" si="9"/>
        <v>2032098</v>
      </c>
      <c r="L30" s="844">
        <f t="shared" si="9"/>
        <v>120243</v>
      </c>
      <c r="M30" s="844">
        <f t="shared" si="9"/>
        <v>158788</v>
      </c>
      <c r="N30" s="845">
        <f t="shared" si="9"/>
        <v>11.976100000000001</v>
      </c>
      <c r="O30" s="845">
        <f t="shared" si="9"/>
        <v>8.3084000000000007</v>
      </c>
      <c r="P30" s="847">
        <f t="shared" si="9"/>
        <v>3.6677</v>
      </c>
      <c r="Q30" s="848">
        <f t="shared" si="9"/>
        <v>-24000</v>
      </c>
      <c r="R30" s="844">
        <f t="shared" si="9"/>
        <v>1059299</v>
      </c>
      <c r="S30" s="844">
        <f t="shared" si="9"/>
        <v>0</v>
      </c>
      <c r="T30" s="844">
        <f t="shared" si="9"/>
        <v>0</v>
      </c>
      <c r="U30" s="844">
        <f t="shared" si="9"/>
        <v>1035299</v>
      </c>
      <c r="V30" s="844">
        <f t="shared" si="9"/>
        <v>24000</v>
      </c>
      <c r="W30" s="844">
        <f t="shared" si="9"/>
        <v>0</v>
      </c>
      <c r="X30" s="844">
        <f t="shared" si="9"/>
        <v>0</v>
      </c>
      <c r="Y30" s="844">
        <f t="shared" si="9"/>
        <v>24000</v>
      </c>
      <c r="Z30" s="844">
        <f t="shared" si="9"/>
        <v>1059299</v>
      </c>
      <c r="AA30" s="844">
        <f t="shared" si="9"/>
        <v>358043</v>
      </c>
      <c r="AB30" s="844">
        <f t="shared" si="9"/>
        <v>20706</v>
      </c>
      <c r="AC30" s="844">
        <f t="shared" si="9"/>
        <v>2000</v>
      </c>
      <c r="AD30" s="844">
        <f t="shared" si="9"/>
        <v>0</v>
      </c>
      <c r="AE30" s="844">
        <f t="shared" si="9"/>
        <v>2000</v>
      </c>
      <c r="AF30" s="844">
        <f t="shared" si="9"/>
        <v>1440048</v>
      </c>
      <c r="AG30" s="845">
        <f t="shared" si="9"/>
        <v>0</v>
      </c>
      <c r="AH30" s="845">
        <f t="shared" si="9"/>
        <v>-7.0000000000000007E-2</v>
      </c>
      <c r="AI30" s="845">
        <f t="shared" si="9"/>
        <v>3.13</v>
      </c>
      <c r="AJ30" s="845">
        <f t="shared" si="9"/>
        <v>0</v>
      </c>
      <c r="AK30" s="845">
        <f t="shared" si="9"/>
        <v>0</v>
      </c>
      <c r="AL30" s="845">
        <f t="shared" si="9"/>
        <v>3.13</v>
      </c>
      <c r="AM30" s="845">
        <f t="shared" si="9"/>
        <v>-7.0000000000000007E-2</v>
      </c>
      <c r="AN30" s="847">
        <f t="shared" si="9"/>
        <v>3.06</v>
      </c>
      <c r="AO30" s="848">
        <f t="shared" si="9"/>
        <v>9763301</v>
      </c>
      <c r="AP30" s="844">
        <f t="shared" si="9"/>
        <v>7047423</v>
      </c>
      <c r="AQ30" s="844">
        <f t="shared" si="9"/>
        <v>24000</v>
      </c>
      <c r="AR30" s="844">
        <f t="shared" si="9"/>
        <v>2390141</v>
      </c>
      <c r="AS30" s="844">
        <f t="shared" si="9"/>
        <v>140949</v>
      </c>
      <c r="AT30" s="844">
        <f t="shared" si="9"/>
        <v>160788</v>
      </c>
      <c r="AU30" s="845">
        <f t="shared" si="9"/>
        <v>15.036099999999999</v>
      </c>
      <c r="AV30" s="845">
        <f t="shared" si="9"/>
        <v>11.4384</v>
      </c>
      <c r="AW30" s="847">
        <f t="shared" si="9"/>
        <v>3.5977000000000001</v>
      </c>
    </row>
    <row r="31" spans="1:49" ht="12.95" customHeight="1" x14ac:dyDescent="0.25">
      <c r="A31" s="827">
        <v>5</v>
      </c>
      <c r="B31" s="828">
        <v>4456</v>
      </c>
      <c r="C31" s="828">
        <v>600074617</v>
      </c>
      <c r="D31" s="828">
        <v>68430132</v>
      </c>
      <c r="E31" s="830" t="s">
        <v>340</v>
      </c>
      <c r="F31" s="828">
        <v>3113</v>
      </c>
      <c r="G31" s="831" t="s">
        <v>335</v>
      </c>
      <c r="H31" s="831" t="s">
        <v>283</v>
      </c>
      <c r="I31" s="803">
        <f>SUM(J31:M31)</f>
        <v>37919076</v>
      </c>
      <c r="J31" s="833">
        <v>27298370</v>
      </c>
      <c r="K31" s="805">
        <f>ROUND((J31)*33.8%,0)</f>
        <v>9226849</v>
      </c>
      <c r="L31" s="805">
        <f>ROUND(J31*2%,0)</f>
        <v>545967</v>
      </c>
      <c r="M31" s="833">
        <v>847890</v>
      </c>
      <c r="N31" s="834">
        <f>SUM(O31:P31)</f>
        <v>50.977400000000003</v>
      </c>
      <c r="O31" s="1054">
        <v>40.454700000000003</v>
      </c>
      <c r="P31" s="1055">
        <v>10.5227</v>
      </c>
      <c r="Q31" s="835">
        <f>V31*-1</f>
        <v>-68000</v>
      </c>
      <c r="R31" s="835">
        <v>0</v>
      </c>
      <c r="S31" s="813">
        <v>0</v>
      </c>
      <c r="T31" s="813">
        <v>0</v>
      </c>
      <c r="U31" s="813">
        <f>SUM(Q31:T31)</f>
        <v>-68000</v>
      </c>
      <c r="V31" s="813">
        <v>68000</v>
      </c>
      <c r="W31" s="813">
        <v>0</v>
      </c>
      <c r="X31" s="813">
        <v>0</v>
      </c>
      <c r="Y31" s="813">
        <f>SUM(V31:X31)</f>
        <v>68000</v>
      </c>
      <c r="Z31" s="813">
        <f>U31+Y31</f>
        <v>0</v>
      </c>
      <c r="AA31" s="809">
        <f>ROUND((U31+V31+W31)*33.8%,0)</f>
        <v>0</v>
      </c>
      <c r="AB31" s="809">
        <f>ROUND(U31*2%,0)</f>
        <v>-1360</v>
      </c>
      <c r="AC31" s="813">
        <v>0</v>
      </c>
      <c r="AD31" s="813">
        <v>0</v>
      </c>
      <c r="AE31" s="813">
        <f>SUM(AC31:AD31)</f>
        <v>0</v>
      </c>
      <c r="AF31" s="813">
        <f>Z31+AA31+AB31+AE31</f>
        <v>-1360</v>
      </c>
      <c r="AG31" s="836">
        <v>-0.05</v>
      </c>
      <c r="AH31" s="836">
        <v>-0.12</v>
      </c>
      <c r="AI31" s="836">
        <v>0</v>
      </c>
      <c r="AJ31" s="836">
        <v>0</v>
      </c>
      <c r="AK31" s="836">
        <v>0</v>
      </c>
      <c r="AL31" s="836">
        <f>AG31+AI31+AJ31</f>
        <v>-0.05</v>
      </c>
      <c r="AM31" s="836">
        <f>AH31+AK31</f>
        <v>-0.12</v>
      </c>
      <c r="AN31" s="837">
        <f>SUM(AL31:AM31)</f>
        <v>-0.16999999999999998</v>
      </c>
      <c r="AO31" s="835">
        <f>I31+AF31</f>
        <v>37917716</v>
      </c>
      <c r="AP31" s="813">
        <f>J31+U31</f>
        <v>27230370</v>
      </c>
      <c r="AQ31" s="813">
        <f>Y31</f>
        <v>68000</v>
      </c>
      <c r="AR31" s="813">
        <f t="shared" ref="AR31:AS35" si="10">K31+AA31</f>
        <v>9226849</v>
      </c>
      <c r="AS31" s="813">
        <f t="shared" si="10"/>
        <v>544607</v>
      </c>
      <c r="AT31" s="813">
        <f>M31+AE31</f>
        <v>847890</v>
      </c>
      <c r="AU31" s="836">
        <f>N31+AN31</f>
        <v>50.807400000000001</v>
      </c>
      <c r="AV31" s="836">
        <f t="shared" ref="AV31:AW35" si="11">O31+AL31</f>
        <v>40.404700000000005</v>
      </c>
      <c r="AW31" s="837">
        <f t="shared" si="11"/>
        <v>10.402700000000001</v>
      </c>
    </row>
    <row r="32" spans="1:49" ht="12.95" customHeight="1" x14ac:dyDescent="0.25">
      <c r="A32" s="827">
        <v>5</v>
      </c>
      <c r="B32" s="828">
        <v>4456</v>
      </c>
      <c r="C32" s="828">
        <v>600074617</v>
      </c>
      <c r="D32" s="828">
        <v>68430132</v>
      </c>
      <c r="E32" s="830" t="s">
        <v>340</v>
      </c>
      <c r="F32" s="828">
        <v>3113</v>
      </c>
      <c r="G32" s="831" t="s">
        <v>325</v>
      </c>
      <c r="H32" s="831" t="s">
        <v>284</v>
      </c>
      <c r="I32" s="803">
        <f>SUM(J32:M32)</f>
        <v>0</v>
      </c>
      <c r="J32" s="833">
        <v>0</v>
      </c>
      <c r="K32" s="805">
        <v>0</v>
      </c>
      <c r="L32" s="805">
        <v>0</v>
      </c>
      <c r="M32" s="833">
        <v>0</v>
      </c>
      <c r="N32" s="834">
        <f>SUM(O32:P32)</f>
        <v>0</v>
      </c>
      <c r="O32" s="1054">
        <v>0</v>
      </c>
      <c r="P32" s="1055">
        <v>0</v>
      </c>
      <c r="Q32" s="835">
        <f>V32*-1</f>
        <v>0</v>
      </c>
      <c r="R32" s="835">
        <f>1747784+79394</f>
        <v>1827178</v>
      </c>
      <c r="S32" s="813">
        <v>0</v>
      </c>
      <c r="T32" s="813">
        <v>0</v>
      </c>
      <c r="U32" s="813">
        <f>SUM(Q32:T32)</f>
        <v>1827178</v>
      </c>
      <c r="V32" s="813">
        <v>0</v>
      </c>
      <c r="W32" s="813">
        <v>0</v>
      </c>
      <c r="X32" s="813">
        <v>0</v>
      </c>
      <c r="Y32" s="813">
        <f>SUM(V32:X32)</f>
        <v>0</v>
      </c>
      <c r="Z32" s="813">
        <f>U32+Y32</f>
        <v>1827178</v>
      </c>
      <c r="AA32" s="809">
        <f>ROUND((U32+V32+W32)*33.8%,0)</f>
        <v>617586</v>
      </c>
      <c r="AB32" s="809">
        <f>ROUND(U32*2%,0)</f>
        <v>36544</v>
      </c>
      <c r="AC32" s="813">
        <v>5000</v>
      </c>
      <c r="AD32" s="813">
        <v>0</v>
      </c>
      <c r="AE32" s="813">
        <f>SUM(AC32:AD32)</f>
        <v>5000</v>
      </c>
      <c r="AF32" s="813">
        <f>Z32+AA32+AB32+AE32</f>
        <v>2486308</v>
      </c>
      <c r="AG32" s="836">
        <v>0</v>
      </c>
      <c r="AH32" s="836">
        <v>0</v>
      </c>
      <c r="AI32" s="836">
        <f>4.98+0.23</f>
        <v>5.2100000000000009</v>
      </c>
      <c r="AJ32" s="836">
        <v>0</v>
      </c>
      <c r="AK32" s="836">
        <v>0</v>
      </c>
      <c r="AL32" s="836">
        <f>AG32+AI32+AJ32</f>
        <v>5.2100000000000009</v>
      </c>
      <c r="AM32" s="836">
        <f>AH32+AK32</f>
        <v>0</v>
      </c>
      <c r="AN32" s="837">
        <f>SUM(AL32:AM32)</f>
        <v>5.2100000000000009</v>
      </c>
      <c r="AO32" s="835">
        <f>I32+AF32</f>
        <v>2486308</v>
      </c>
      <c r="AP32" s="813">
        <f>J32+U32</f>
        <v>1827178</v>
      </c>
      <c r="AQ32" s="813">
        <f>Y32</f>
        <v>0</v>
      </c>
      <c r="AR32" s="813">
        <f t="shared" si="10"/>
        <v>617586</v>
      </c>
      <c r="AS32" s="813">
        <f t="shared" si="10"/>
        <v>36544</v>
      </c>
      <c r="AT32" s="813">
        <f>M32+AE32</f>
        <v>5000</v>
      </c>
      <c r="AU32" s="836">
        <f>N32+AN32</f>
        <v>5.2100000000000009</v>
      </c>
      <c r="AV32" s="836">
        <f t="shared" si="11"/>
        <v>5.2100000000000009</v>
      </c>
      <c r="AW32" s="837">
        <f t="shared" si="11"/>
        <v>0</v>
      </c>
    </row>
    <row r="33" spans="1:49" ht="12.95" customHeight="1" x14ac:dyDescent="0.25">
      <c r="A33" s="827">
        <v>5</v>
      </c>
      <c r="B33" s="828">
        <v>4456</v>
      </c>
      <c r="C33" s="828">
        <v>600074617</v>
      </c>
      <c r="D33" s="828">
        <v>68430132</v>
      </c>
      <c r="E33" s="830" t="s">
        <v>340</v>
      </c>
      <c r="F33" s="828">
        <v>3141</v>
      </c>
      <c r="G33" s="831" t="s">
        <v>321</v>
      </c>
      <c r="H33" s="831" t="s">
        <v>284</v>
      </c>
      <c r="I33" s="803">
        <f>SUM(J33:M33)</f>
        <v>3881599</v>
      </c>
      <c r="J33" s="833">
        <v>2831675</v>
      </c>
      <c r="K33" s="805">
        <f>ROUND((J33)*33.8%,0)</f>
        <v>957106</v>
      </c>
      <c r="L33" s="805">
        <f>ROUND(J33*2%,0)</f>
        <v>56634</v>
      </c>
      <c r="M33" s="833">
        <v>36184</v>
      </c>
      <c r="N33" s="834">
        <f>SUM(O33:P33)</f>
        <v>9.6300000000000008</v>
      </c>
      <c r="O33" s="1054">
        <v>0</v>
      </c>
      <c r="P33" s="1055">
        <v>9.6300000000000008</v>
      </c>
      <c r="Q33" s="835">
        <f>V33*-1</f>
        <v>0</v>
      </c>
      <c r="R33" s="835">
        <v>0</v>
      </c>
      <c r="S33" s="813">
        <v>0</v>
      </c>
      <c r="T33" s="813">
        <v>0</v>
      </c>
      <c r="U33" s="813">
        <f>SUM(Q33:T33)</f>
        <v>0</v>
      </c>
      <c r="V33" s="813">
        <v>0</v>
      </c>
      <c r="W33" s="813">
        <v>0</v>
      </c>
      <c r="X33" s="813">
        <v>0</v>
      </c>
      <c r="Y33" s="813">
        <f>SUM(V33:X33)</f>
        <v>0</v>
      </c>
      <c r="Z33" s="813">
        <f>U33+Y33</f>
        <v>0</v>
      </c>
      <c r="AA33" s="809">
        <f>ROUND((U33+V33+W33)*33.8%,0)</f>
        <v>0</v>
      </c>
      <c r="AB33" s="809">
        <f>ROUND(U33*2%,0)</f>
        <v>0</v>
      </c>
      <c r="AC33" s="813">
        <v>0</v>
      </c>
      <c r="AD33" s="813">
        <v>0</v>
      </c>
      <c r="AE33" s="813">
        <f>SUM(AC33:AD33)</f>
        <v>0</v>
      </c>
      <c r="AF33" s="813">
        <f>Z33+AA33+AB33+AE33</f>
        <v>0</v>
      </c>
      <c r="AG33" s="836">
        <v>0</v>
      </c>
      <c r="AH33" s="836">
        <v>0</v>
      </c>
      <c r="AI33" s="836">
        <v>0</v>
      </c>
      <c r="AJ33" s="836">
        <v>0</v>
      </c>
      <c r="AK33" s="836">
        <v>0</v>
      </c>
      <c r="AL33" s="836">
        <f>AG33+AI33+AJ33</f>
        <v>0</v>
      </c>
      <c r="AM33" s="836">
        <f>AH33+AK33</f>
        <v>0</v>
      </c>
      <c r="AN33" s="837">
        <f>SUM(AL33:AM33)</f>
        <v>0</v>
      </c>
      <c r="AO33" s="835">
        <f>I33+AF33</f>
        <v>3881599</v>
      </c>
      <c r="AP33" s="813">
        <f>J33+U33</f>
        <v>2831675</v>
      </c>
      <c r="AQ33" s="813">
        <f>Y33</f>
        <v>0</v>
      </c>
      <c r="AR33" s="813">
        <f t="shared" si="10"/>
        <v>957106</v>
      </c>
      <c r="AS33" s="813">
        <f t="shared" si="10"/>
        <v>56634</v>
      </c>
      <c r="AT33" s="813">
        <f>M33+AE33</f>
        <v>36184</v>
      </c>
      <c r="AU33" s="836">
        <f>N33+AN33</f>
        <v>9.6300000000000008</v>
      </c>
      <c r="AV33" s="836">
        <f t="shared" si="11"/>
        <v>0</v>
      </c>
      <c r="AW33" s="837">
        <f t="shared" si="11"/>
        <v>9.6300000000000008</v>
      </c>
    </row>
    <row r="34" spans="1:49" ht="12.95" customHeight="1" x14ac:dyDescent="0.25">
      <c r="A34" s="827">
        <v>5</v>
      </c>
      <c r="B34" s="828">
        <v>4456</v>
      </c>
      <c r="C34" s="828">
        <v>600074617</v>
      </c>
      <c r="D34" s="828">
        <v>68430132</v>
      </c>
      <c r="E34" s="830" t="s">
        <v>340</v>
      </c>
      <c r="F34" s="828">
        <v>3143</v>
      </c>
      <c r="G34" s="831" t="s">
        <v>635</v>
      </c>
      <c r="H34" s="831" t="s">
        <v>283</v>
      </c>
      <c r="I34" s="803">
        <f>SUM(J34:M34)</f>
        <v>2966993</v>
      </c>
      <c r="J34" s="833">
        <v>2184825</v>
      </c>
      <c r="K34" s="805">
        <f>ROUND((J34)*33.8%,0)</f>
        <v>738471</v>
      </c>
      <c r="L34" s="805">
        <f>ROUND(J34*2%,0)</f>
        <v>43697</v>
      </c>
      <c r="M34" s="833">
        <v>0</v>
      </c>
      <c r="N34" s="834">
        <f>SUM(O34:P34)</f>
        <v>4.3929999999999998</v>
      </c>
      <c r="O34" s="1054">
        <v>4.3929999999999998</v>
      </c>
      <c r="P34" s="1055">
        <v>0</v>
      </c>
      <c r="Q34" s="835">
        <f>V34*-1</f>
        <v>-16000</v>
      </c>
      <c r="R34" s="835">
        <v>0</v>
      </c>
      <c r="S34" s="813">
        <v>0</v>
      </c>
      <c r="T34" s="813">
        <v>0</v>
      </c>
      <c r="U34" s="813">
        <f>SUM(Q34:T34)</f>
        <v>-16000</v>
      </c>
      <c r="V34" s="813">
        <v>16000</v>
      </c>
      <c r="W34" s="813">
        <v>0</v>
      </c>
      <c r="X34" s="813">
        <v>0</v>
      </c>
      <c r="Y34" s="813">
        <f>SUM(V34:X34)</f>
        <v>16000</v>
      </c>
      <c r="Z34" s="813">
        <f>U34+Y34</f>
        <v>0</v>
      </c>
      <c r="AA34" s="809">
        <f>ROUND((U34+V34+W34)*33.8%,0)</f>
        <v>0</v>
      </c>
      <c r="AB34" s="809">
        <f>ROUND(U34*2%,0)</f>
        <v>-320</v>
      </c>
      <c r="AC34" s="813">
        <v>0</v>
      </c>
      <c r="AD34" s="813">
        <v>0</v>
      </c>
      <c r="AE34" s="813">
        <f>SUM(AC34:AD34)</f>
        <v>0</v>
      </c>
      <c r="AF34" s="813">
        <f>Z34+AA34+AB34+AE34</f>
        <v>-320</v>
      </c>
      <c r="AG34" s="836">
        <v>0</v>
      </c>
      <c r="AH34" s="836">
        <v>0</v>
      </c>
      <c r="AI34" s="836">
        <v>0</v>
      </c>
      <c r="AJ34" s="836">
        <v>0</v>
      </c>
      <c r="AK34" s="836">
        <v>0</v>
      </c>
      <c r="AL34" s="836">
        <f>AG34+AI34+AJ34</f>
        <v>0</v>
      </c>
      <c r="AM34" s="836">
        <f>AH34+AK34</f>
        <v>0</v>
      </c>
      <c r="AN34" s="837">
        <f>SUM(AL34:AM34)</f>
        <v>0</v>
      </c>
      <c r="AO34" s="835">
        <f>I34+AF34</f>
        <v>2966673</v>
      </c>
      <c r="AP34" s="813">
        <f>J34+U34</f>
        <v>2168825</v>
      </c>
      <c r="AQ34" s="813">
        <f>Y34</f>
        <v>16000</v>
      </c>
      <c r="AR34" s="813">
        <f t="shared" si="10"/>
        <v>738471</v>
      </c>
      <c r="AS34" s="813">
        <f t="shared" si="10"/>
        <v>43377</v>
      </c>
      <c r="AT34" s="813">
        <f>M34+AE34</f>
        <v>0</v>
      </c>
      <c r="AU34" s="836">
        <f>N34+AN34</f>
        <v>4.3929999999999998</v>
      </c>
      <c r="AV34" s="836">
        <f t="shared" si="11"/>
        <v>4.3929999999999998</v>
      </c>
      <c r="AW34" s="837">
        <f t="shared" si="11"/>
        <v>0</v>
      </c>
    </row>
    <row r="35" spans="1:49" ht="12.95" customHeight="1" x14ac:dyDescent="0.25">
      <c r="A35" s="827">
        <v>5</v>
      </c>
      <c r="B35" s="828">
        <v>4456</v>
      </c>
      <c r="C35" s="828">
        <v>600074617</v>
      </c>
      <c r="D35" s="828">
        <v>68430132</v>
      </c>
      <c r="E35" s="830" t="s">
        <v>340</v>
      </c>
      <c r="F35" s="828">
        <v>3143</v>
      </c>
      <c r="G35" s="831" t="s">
        <v>636</v>
      </c>
      <c r="H35" s="831" t="s">
        <v>284</v>
      </c>
      <c r="I35" s="803">
        <f>SUM(J35:M35)</f>
        <v>98309</v>
      </c>
      <c r="J35" s="833">
        <v>69300</v>
      </c>
      <c r="K35" s="805">
        <f>ROUND((J35)*33.8%,0)</f>
        <v>23423</v>
      </c>
      <c r="L35" s="805">
        <f>ROUND(J35*2%,0)</f>
        <v>1386</v>
      </c>
      <c r="M35" s="833">
        <v>4200</v>
      </c>
      <c r="N35" s="834">
        <f>SUM(O35:P35)</f>
        <v>0.28999999999999998</v>
      </c>
      <c r="O35" s="1054">
        <v>0</v>
      </c>
      <c r="P35" s="1055">
        <v>0.28999999999999998</v>
      </c>
      <c r="Q35" s="835">
        <f>V35*-1</f>
        <v>0</v>
      </c>
      <c r="R35" s="835">
        <v>0</v>
      </c>
      <c r="S35" s="813">
        <v>0</v>
      </c>
      <c r="T35" s="813">
        <v>0</v>
      </c>
      <c r="U35" s="813">
        <f>SUM(Q35:T35)</f>
        <v>0</v>
      </c>
      <c r="V35" s="813">
        <v>0</v>
      </c>
      <c r="W35" s="813">
        <v>0</v>
      </c>
      <c r="X35" s="813">
        <v>0</v>
      </c>
      <c r="Y35" s="813">
        <f>SUM(V35:X35)</f>
        <v>0</v>
      </c>
      <c r="Z35" s="813">
        <f>U35+Y35</f>
        <v>0</v>
      </c>
      <c r="AA35" s="809">
        <f>ROUND((U35+V35+W35)*33.8%,0)</f>
        <v>0</v>
      </c>
      <c r="AB35" s="809">
        <f>ROUND(U35*2%,0)</f>
        <v>0</v>
      </c>
      <c r="AC35" s="813">
        <v>0</v>
      </c>
      <c r="AD35" s="813">
        <v>0</v>
      </c>
      <c r="AE35" s="813">
        <f>SUM(AC35:AD35)</f>
        <v>0</v>
      </c>
      <c r="AF35" s="813">
        <f>Z35+AA35+AB35+AE35</f>
        <v>0</v>
      </c>
      <c r="AG35" s="836">
        <v>0</v>
      </c>
      <c r="AH35" s="836">
        <v>0</v>
      </c>
      <c r="AI35" s="836">
        <v>0</v>
      </c>
      <c r="AJ35" s="836">
        <v>0</v>
      </c>
      <c r="AK35" s="836">
        <v>0</v>
      </c>
      <c r="AL35" s="836">
        <f>AG35+AI35+AJ35</f>
        <v>0</v>
      </c>
      <c r="AM35" s="836">
        <f>AH35+AK35</f>
        <v>0</v>
      </c>
      <c r="AN35" s="837">
        <f>SUM(AL35:AM35)</f>
        <v>0</v>
      </c>
      <c r="AO35" s="835">
        <f>I35+AF35</f>
        <v>98309</v>
      </c>
      <c r="AP35" s="813">
        <f>J35+U35</f>
        <v>69300</v>
      </c>
      <c r="AQ35" s="813">
        <f>Y35</f>
        <v>0</v>
      </c>
      <c r="AR35" s="813">
        <f t="shared" si="10"/>
        <v>23423</v>
      </c>
      <c r="AS35" s="813">
        <f t="shared" si="10"/>
        <v>1386</v>
      </c>
      <c r="AT35" s="813">
        <f>M35+AE35</f>
        <v>4200</v>
      </c>
      <c r="AU35" s="836">
        <f>N35+AN35</f>
        <v>0.28999999999999998</v>
      </c>
      <c r="AV35" s="836">
        <f t="shared" si="11"/>
        <v>0</v>
      </c>
      <c r="AW35" s="837">
        <f t="shared" si="11"/>
        <v>0.28999999999999998</v>
      </c>
    </row>
    <row r="36" spans="1:49" ht="12.95" customHeight="1" x14ac:dyDescent="0.25">
      <c r="A36" s="814">
        <v>5</v>
      </c>
      <c r="B36" s="816">
        <v>4456</v>
      </c>
      <c r="C36" s="816">
        <v>600074617</v>
      </c>
      <c r="D36" s="816">
        <v>68430132</v>
      </c>
      <c r="E36" s="841" t="s">
        <v>341</v>
      </c>
      <c r="F36" s="850"/>
      <c r="G36" s="851"/>
      <c r="H36" s="851"/>
      <c r="I36" s="843">
        <f t="shared" ref="I36:AW36" si="12">SUM(I31:I35)</f>
        <v>44865977</v>
      </c>
      <c r="J36" s="844">
        <f t="shared" si="12"/>
        <v>32384170</v>
      </c>
      <c r="K36" s="844">
        <f t="shared" si="12"/>
        <v>10945849</v>
      </c>
      <c r="L36" s="844">
        <f t="shared" si="12"/>
        <v>647684</v>
      </c>
      <c r="M36" s="844">
        <f t="shared" si="12"/>
        <v>888274</v>
      </c>
      <c r="N36" s="845">
        <f t="shared" si="12"/>
        <v>65.290400000000005</v>
      </c>
      <c r="O36" s="845">
        <f t="shared" si="12"/>
        <v>44.847700000000003</v>
      </c>
      <c r="P36" s="847">
        <f t="shared" si="12"/>
        <v>20.442700000000002</v>
      </c>
      <c r="Q36" s="848">
        <f t="shared" si="12"/>
        <v>-84000</v>
      </c>
      <c r="R36" s="844">
        <f t="shared" si="12"/>
        <v>1827178</v>
      </c>
      <c r="S36" s="844">
        <f t="shared" si="12"/>
        <v>0</v>
      </c>
      <c r="T36" s="844">
        <f t="shared" si="12"/>
        <v>0</v>
      </c>
      <c r="U36" s="844">
        <f t="shared" si="12"/>
        <v>1743178</v>
      </c>
      <c r="V36" s="844">
        <f t="shared" si="12"/>
        <v>84000</v>
      </c>
      <c r="W36" s="844">
        <f t="shared" si="12"/>
        <v>0</v>
      </c>
      <c r="X36" s="844">
        <f t="shared" si="12"/>
        <v>0</v>
      </c>
      <c r="Y36" s="844">
        <f t="shared" si="12"/>
        <v>84000</v>
      </c>
      <c r="Z36" s="844">
        <f t="shared" si="12"/>
        <v>1827178</v>
      </c>
      <c r="AA36" s="844">
        <f t="shared" si="12"/>
        <v>617586</v>
      </c>
      <c r="AB36" s="844">
        <f t="shared" si="12"/>
        <v>34864</v>
      </c>
      <c r="AC36" s="844">
        <f t="shared" si="12"/>
        <v>5000</v>
      </c>
      <c r="AD36" s="844">
        <f t="shared" si="12"/>
        <v>0</v>
      </c>
      <c r="AE36" s="844">
        <f t="shared" si="12"/>
        <v>5000</v>
      </c>
      <c r="AF36" s="844">
        <f t="shared" si="12"/>
        <v>2484628</v>
      </c>
      <c r="AG36" s="845">
        <f t="shared" si="12"/>
        <v>-0.05</v>
      </c>
      <c r="AH36" s="845">
        <f t="shared" si="12"/>
        <v>-0.12</v>
      </c>
      <c r="AI36" s="845">
        <f t="shared" si="12"/>
        <v>5.2100000000000009</v>
      </c>
      <c r="AJ36" s="845">
        <f t="shared" si="12"/>
        <v>0</v>
      </c>
      <c r="AK36" s="845">
        <f t="shared" si="12"/>
        <v>0</v>
      </c>
      <c r="AL36" s="845">
        <f t="shared" si="12"/>
        <v>5.160000000000001</v>
      </c>
      <c r="AM36" s="845">
        <f t="shared" si="12"/>
        <v>-0.12</v>
      </c>
      <c r="AN36" s="847">
        <f t="shared" si="12"/>
        <v>5.0400000000000009</v>
      </c>
      <c r="AO36" s="848">
        <f t="shared" si="12"/>
        <v>47350605</v>
      </c>
      <c r="AP36" s="844">
        <f t="shared" si="12"/>
        <v>34127348</v>
      </c>
      <c r="AQ36" s="844">
        <f t="shared" si="12"/>
        <v>84000</v>
      </c>
      <c r="AR36" s="844">
        <f t="shared" si="12"/>
        <v>11563435</v>
      </c>
      <c r="AS36" s="844">
        <f t="shared" si="12"/>
        <v>682548</v>
      </c>
      <c r="AT36" s="844">
        <f t="shared" si="12"/>
        <v>893274</v>
      </c>
      <c r="AU36" s="845">
        <f t="shared" si="12"/>
        <v>70.330400000000012</v>
      </c>
      <c r="AV36" s="845">
        <f t="shared" si="12"/>
        <v>50.007700000000007</v>
      </c>
      <c r="AW36" s="847">
        <f t="shared" si="12"/>
        <v>20.322700000000001</v>
      </c>
    </row>
    <row r="37" spans="1:49" ht="12.95" customHeight="1" x14ac:dyDescent="0.25">
      <c r="A37" s="827">
        <v>6</v>
      </c>
      <c r="B37" s="828">
        <v>4478</v>
      </c>
      <c r="C37" s="828">
        <v>600075141</v>
      </c>
      <c r="D37" s="828">
        <v>70975191</v>
      </c>
      <c r="E37" s="830" t="s">
        <v>342</v>
      </c>
      <c r="F37" s="828">
        <v>3114</v>
      </c>
      <c r="G37" s="839" t="s">
        <v>565</v>
      </c>
      <c r="H37" s="831" t="s">
        <v>283</v>
      </c>
      <c r="I37" s="803">
        <f>SUM(J37:M37)</f>
        <v>8636856</v>
      </c>
      <c r="J37" s="833">
        <v>6283841</v>
      </c>
      <c r="K37" s="805">
        <f>ROUND((J37)*33.8%,0)</f>
        <v>2123938</v>
      </c>
      <c r="L37" s="805">
        <f>ROUND(J37*2%,0)</f>
        <v>125677</v>
      </c>
      <c r="M37" s="833">
        <v>103400</v>
      </c>
      <c r="N37" s="834">
        <f>SUM(O37:P37)</f>
        <v>11.635000000000002</v>
      </c>
      <c r="O37" s="1054">
        <v>8.2726000000000006</v>
      </c>
      <c r="P37" s="1055">
        <v>3.3624000000000001</v>
      </c>
      <c r="Q37" s="835">
        <f>V37*-1</f>
        <v>-24000</v>
      </c>
      <c r="R37" s="835">
        <v>0</v>
      </c>
      <c r="S37" s="813">
        <v>0</v>
      </c>
      <c r="T37" s="813">
        <v>0</v>
      </c>
      <c r="U37" s="813">
        <f>SUM(Q37:T37)</f>
        <v>-24000</v>
      </c>
      <c r="V37" s="813">
        <v>24000</v>
      </c>
      <c r="W37" s="813">
        <v>0</v>
      </c>
      <c r="X37" s="813">
        <v>0</v>
      </c>
      <c r="Y37" s="813">
        <f>SUM(V37:X37)</f>
        <v>24000</v>
      </c>
      <c r="Z37" s="813">
        <f>U37+Y37</f>
        <v>0</v>
      </c>
      <c r="AA37" s="809">
        <f>ROUND((U37+V37+W37)*33.8%,0)</f>
        <v>0</v>
      </c>
      <c r="AB37" s="809">
        <f>ROUND(U37*2%,0)</f>
        <v>-480</v>
      </c>
      <c r="AC37" s="813">
        <v>0</v>
      </c>
      <c r="AD37" s="813">
        <v>0</v>
      </c>
      <c r="AE37" s="813">
        <f>SUM(AC37:AD37)</f>
        <v>0</v>
      </c>
      <c r="AF37" s="813">
        <f>Z37+AA37+AB37+AE37</f>
        <v>-480</v>
      </c>
      <c r="AG37" s="836">
        <v>0</v>
      </c>
      <c r="AH37" s="836">
        <v>0</v>
      </c>
      <c r="AI37" s="836">
        <v>0</v>
      </c>
      <c r="AJ37" s="836">
        <v>0</v>
      </c>
      <c r="AK37" s="836">
        <v>0</v>
      </c>
      <c r="AL37" s="836">
        <f>AG37+AI37+AJ37</f>
        <v>0</v>
      </c>
      <c r="AM37" s="836">
        <f>AH37+AK37</f>
        <v>0</v>
      </c>
      <c r="AN37" s="837">
        <f>SUM(AL37:AM37)</f>
        <v>0</v>
      </c>
      <c r="AO37" s="835">
        <f>I37+AF37</f>
        <v>8636376</v>
      </c>
      <c r="AP37" s="813">
        <f>J37+U37</f>
        <v>6259841</v>
      </c>
      <c r="AQ37" s="813">
        <f>Y37</f>
        <v>24000</v>
      </c>
      <c r="AR37" s="813">
        <f t="shared" ref="AR37:AS41" si="13">K37+AA37</f>
        <v>2123938</v>
      </c>
      <c r="AS37" s="813">
        <f t="shared" si="13"/>
        <v>125197</v>
      </c>
      <c r="AT37" s="813">
        <f>M37+AE37</f>
        <v>103400</v>
      </c>
      <c r="AU37" s="836">
        <f>N37+AN37</f>
        <v>11.635000000000002</v>
      </c>
      <c r="AV37" s="836">
        <f t="shared" ref="AV37:AW41" si="14">O37+AL37</f>
        <v>8.2726000000000006</v>
      </c>
      <c r="AW37" s="837">
        <f t="shared" si="14"/>
        <v>3.3624000000000001</v>
      </c>
    </row>
    <row r="38" spans="1:49" ht="12.95" customHeight="1" x14ac:dyDescent="0.25">
      <c r="A38" s="827">
        <v>6</v>
      </c>
      <c r="B38" s="828">
        <v>4478</v>
      </c>
      <c r="C38" s="828">
        <v>600075141</v>
      </c>
      <c r="D38" s="828">
        <v>70975191</v>
      </c>
      <c r="E38" s="830" t="s">
        <v>342</v>
      </c>
      <c r="F38" s="828">
        <v>3114</v>
      </c>
      <c r="G38" s="839" t="s">
        <v>325</v>
      </c>
      <c r="H38" s="831" t="s">
        <v>284</v>
      </c>
      <c r="I38" s="803">
        <f>SUM(J38:M38)</f>
        <v>0</v>
      </c>
      <c r="J38" s="833">
        <v>0</v>
      </c>
      <c r="K38" s="805">
        <f>ROUND((J38)*33.8%,0)</f>
        <v>0</v>
      </c>
      <c r="L38" s="805">
        <f>ROUND(J38*2%,0)</f>
        <v>0</v>
      </c>
      <c r="M38" s="833">
        <v>0</v>
      </c>
      <c r="N38" s="834">
        <f>SUM(O38:P38)</f>
        <v>0</v>
      </c>
      <c r="O38" s="1054">
        <v>0</v>
      </c>
      <c r="P38" s="1055">
        <v>0</v>
      </c>
      <c r="Q38" s="835">
        <f>V38*-1</f>
        <v>0</v>
      </c>
      <c r="R38" s="835">
        <v>0</v>
      </c>
      <c r="S38" s="813">
        <v>0</v>
      </c>
      <c r="T38" s="813">
        <v>0</v>
      </c>
      <c r="U38" s="813">
        <f>SUM(Q38:T38)</f>
        <v>0</v>
      </c>
      <c r="V38" s="813">
        <v>0</v>
      </c>
      <c r="W38" s="813">
        <v>0</v>
      </c>
      <c r="X38" s="813">
        <v>0</v>
      </c>
      <c r="Y38" s="813">
        <f>SUM(V38:X38)</f>
        <v>0</v>
      </c>
      <c r="Z38" s="813">
        <f>U38+Y38</f>
        <v>0</v>
      </c>
      <c r="AA38" s="809">
        <f>ROUND((U38+V38+W38)*33.8%,0)</f>
        <v>0</v>
      </c>
      <c r="AB38" s="809">
        <f>ROUND(U38*2%,0)</f>
        <v>0</v>
      </c>
      <c r="AC38" s="813">
        <v>11500</v>
      </c>
      <c r="AD38" s="813">
        <v>0</v>
      </c>
      <c r="AE38" s="813">
        <f>SUM(AC38:AD38)</f>
        <v>11500</v>
      </c>
      <c r="AF38" s="813">
        <f>Z38+AA38+AB38+AE38</f>
        <v>11500</v>
      </c>
      <c r="AG38" s="836">
        <v>0</v>
      </c>
      <c r="AH38" s="836">
        <v>0</v>
      </c>
      <c r="AI38" s="836">
        <v>0</v>
      </c>
      <c r="AJ38" s="836">
        <v>0</v>
      </c>
      <c r="AK38" s="836">
        <v>0</v>
      </c>
      <c r="AL38" s="836">
        <f>AG38+AI38+AJ38</f>
        <v>0</v>
      </c>
      <c r="AM38" s="836">
        <f>AH38+AK38</f>
        <v>0</v>
      </c>
      <c r="AN38" s="837">
        <f>SUM(AL38:AM38)</f>
        <v>0</v>
      </c>
      <c r="AO38" s="835">
        <f>I38+AF38</f>
        <v>11500</v>
      </c>
      <c r="AP38" s="813">
        <f>J38+U38</f>
        <v>0</v>
      </c>
      <c r="AQ38" s="813">
        <f>Y38</f>
        <v>0</v>
      </c>
      <c r="AR38" s="813">
        <f t="shared" si="13"/>
        <v>0</v>
      </c>
      <c r="AS38" s="813">
        <f t="shared" si="13"/>
        <v>0</v>
      </c>
      <c r="AT38" s="813">
        <f>M38+AE38</f>
        <v>11500</v>
      </c>
      <c r="AU38" s="836">
        <f>N38+AN38</f>
        <v>0</v>
      </c>
      <c r="AV38" s="836">
        <f t="shared" si="14"/>
        <v>0</v>
      </c>
      <c r="AW38" s="837">
        <f t="shared" si="14"/>
        <v>0</v>
      </c>
    </row>
    <row r="39" spans="1:49" ht="12.95" customHeight="1" x14ac:dyDescent="0.25">
      <c r="A39" s="827">
        <v>6</v>
      </c>
      <c r="B39" s="828">
        <v>4478</v>
      </c>
      <c r="C39" s="828">
        <v>600075141</v>
      </c>
      <c r="D39" s="828">
        <v>70975191</v>
      </c>
      <c r="E39" s="830" t="s">
        <v>342</v>
      </c>
      <c r="F39" s="828">
        <v>3114</v>
      </c>
      <c r="G39" s="839" t="s">
        <v>319</v>
      </c>
      <c r="H39" s="831" t="s">
        <v>283</v>
      </c>
      <c r="I39" s="803">
        <f>SUM(J39:M39)</f>
        <v>381254</v>
      </c>
      <c r="J39" s="833">
        <v>280747</v>
      </c>
      <c r="K39" s="805">
        <f>ROUND((J39)*33.8%,0)</f>
        <v>94892</v>
      </c>
      <c r="L39" s="805">
        <f>ROUND(J39*2%,0)</f>
        <v>5615</v>
      </c>
      <c r="M39" s="833">
        <v>0</v>
      </c>
      <c r="N39" s="834">
        <f>SUM(O39:P39)</f>
        <v>0.69440000000000002</v>
      </c>
      <c r="O39" s="1054">
        <v>0.69440000000000002</v>
      </c>
      <c r="P39" s="1055">
        <v>0</v>
      </c>
      <c r="Q39" s="835">
        <f>V39*-1</f>
        <v>0</v>
      </c>
      <c r="R39" s="835">
        <v>0</v>
      </c>
      <c r="S39" s="813">
        <v>0</v>
      </c>
      <c r="T39" s="813">
        <v>0</v>
      </c>
      <c r="U39" s="813">
        <f>SUM(Q39:T39)</f>
        <v>0</v>
      </c>
      <c r="V39" s="813">
        <v>0</v>
      </c>
      <c r="W39" s="813">
        <v>0</v>
      </c>
      <c r="X39" s="813">
        <v>0</v>
      </c>
      <c r="Y39" s="813">
        <f>SUM(V39:X39)</f>
        <v>0</v>
      </c>
      <c r="Z39" s="813">
        <f>U39+Y39</f>
        <v>0</v>
      </c>
      <c r="AA39" s="809">
        <f>ROUND((U39+V39+W39)*33.8%,0)</f>
        <v>0</v>
      </c>
      <c r="AB39" s="809">
        <f>ROUND(U39*2%,0)</f>
        <v>0</v>
      </c>
      <c r="AC39" s="813">
        <v>0</v>
      </c>
      <c r="AD39" s="813">
        <v>0</v>
      </c>
      <c r="AE39" s="813">
        <f>SUM(AC39:AD39)</f>
        <v>0</v>
      </c>
      <c r="AF39" s="813">
        <f>Z39+AA39+AB39+AE39</f>
        <v>0</v>
      </c>
      <c r="AG39" s="836">
        <v>0</v>
      </c>
      <c r="AH39" s="836">
        <v>0</v>
      </c>
      <c r="AI39" s="836">
        <v>0</v>
      </c>
      <c r="AJ39" s="836">
        <v>0</v>
      </c>
      <c r="AK39" s="836">
        <v>0</v>
      </c>
      <c r="AL39" s="836">
        <f>AG39+AI39+AJ39</f>
        <v>0</v>
      </c>
      <c r="AM39" s="836">
        <f>AH39+AK39</f>
        <v>0</v>
      </c>
      <c r="AN39" s="837">
        <f>SUM(AL39:AM39)</f>
        <v>0</v>
      </c>
      <c r="AO39" s="835">
        <f>I39+AF39</f>
        <v>381254</v>
      </c>
      <c r="AP39" s="813">
        <f>J39+U39</f>
        <v>280747</v>
      </c>
      <c r="AQ39" s="813">
        <f>Y39</f>
        <v>0</v>
      </c>
      <c r="AR39" s="813">
        <f t="shared" si="13"/>
        <v>94892</v>
      </c>
      <c r="AS39" s="813">
        <f t="shared" si="13"/>
        <v>5615</v>
      </c>
      <c r="AT39" s="813">
        <f>M39+AE39</f>
        <v>0</v>
      </c>
      <c r="AU39" s="836">
        <f>N39+AN39</f>
        <v>0.69440000000000002</v>
      </c>
      <c r="AV39" s="836">
        <f t="shared" si="14"/>
        <v>0.69440000000000002</v>
      </c>
      <c r="AW39" s="837">
        <f t="shared" si="14"/>
        <v>0</v>
      </c>
    </row>
    <row r="40" spans="1:49" ht="12.95" customHeight="1" x14ac:dyDescent="0.25">
      <c r="A40" s="827">
        <v>6</v>
      </c>
      <c r="B40" s="828">
        <v>4478</v>
      </c>
      <c r="C40" s="828">
        <v>600075141</v>
      </c>
      <c r="D40" s="828">
        <v>70975191</v>
      </c>
      <c r="E40" s="830" t="s">
        <v>342</v>
      </c>
      <c r="F40" s="828">
        <v>3143</v>
      </c>
      <c r="G40" s="831" t="s">
        <v>635</v>
      </c>
      <c r="H40" s="831" t="s">
        <v>283</v>
      </c>
      <c r="I40" s="803">
        <f>SUM(J40:M40)</f>
        <v>364197</v>
      </c>
      <c r="J40" s="833">
        <v>268186</v>
      </c>
      <c r="K40" s="805">
        <f>ROUND((J40)*33.8%,0)</f>
        <v>90647</v>
      </c>
      <c r="L40" s="805">
        <f>ROUND(J40*2%,0)</f>
        <v>5364</v>
      </c>
      <c r="M40" s="833">
        <v>0</v>
      </c>
      <c r="N40" s="834">
        <f>SUM(O40:P40)</f>
        <v>0.64280000000000004</v>
      </c>
      <c r="O40" s="1054">
        <v>0.64280000000000004</v>
      </c>
      <c r="P40" s="1055">
        <v>0</v>
      </c>
      <c r="Q40" s="835">
        <f>V40*-1</f>
        <v>0</v>
      </c>
      <c r="R40" s="835">
        <v>0</v>
      </c>
      <c r="S40" s="813">
        <v>0</v>
      </c>
      <c r="T40" s="813">
        <v>0</v>
      </c>
      <c r="U40" s="813">
        <f>SUM(Q40:T40)</f>
        <v>0</v>
      </c>
      <c r="V40" s="813">
        <v>0</v>
      </c>
      <c r="W40" s="813">
        <v>0</v>
      </c>
      <c r="X40" s="813">
        <v>0</v>
      </c>
      <c r="Y40" s="813">
        <f>SUM(V40:X40)</f>
        <v>0</v>
      </c>
      <c r="Z40" s="813">
        <f>U40+Y40</f>
        <v>0</v>
      </c>
      <c r="AA40" s="809">
        <f>ROUND((U40+V40+W40)*33.8%,0)</f>
        <v>0</v>
      </c>
      <c r="AB40" s="809">
        <f>ROUND(U40*2%,0)</f>
        <v>0</v>
      </c>
      <c r="AC40" s="813">
        <v>0</v>
      </c>
      <c r="AD40" s="813">
        <v>0</v>
      </c>
      <c r="AE40" s="813">
        <f>SUM(AC40:AD40)</f>
        <v>0</v>
      </c>
      <c r="AF40" s="813">
        <f>Z40+AA40+AB40+AE40</f>
        <v>0</v>
      </c>
      <c r="AG40" s="836">
        <v>0</v>
      </c>
      <c r="AH40" s="836">
        <v>0</v>
      </c>
      <c r="AI40" s="836">
        <v>0</v>
      </c>
      <c r="AJ40" s="836">
        <v>0</v>
      </c>
      <c r="AK40" s="836">
        <v>0</v>
      </c>
      <c r="AL40" s="836">
        <f>AG40+AI40+AJ40</f>
        <v>0</v>
      </c>
      <c r="AM40" s="836">
        <f>AH40+AK40</f>
        <v>0</v>
      </c>
      <c r="AN40" s="837">
        <f>SUM(AL40:AM40)</f>
        <v>0</v>
      </c>
      <c r="AO40" s="835">
        <f>I40+AF40</f>
        <v>364197</v>
      </c>
      <c r="AP40" s="813">
        <f>J40+U40</f>
        <v>268186</v>
      </c>
      <c r="AQ40" s="813">
        <f>Y40</f>
        <v>0</v>
      </c>
      <c r="AR40" s="813">
        <f t="shared" si="13"/>
        <v>90647</v>
      </c>
      <c r="AS40" s="813">
        <f t="shared" si="13"/>
        <v>5364</v>
      </c>
      <c r="AT40" s="813">
        <f>M40+AE40</f>
        <v>0</v>
      </c>
      <c r="AU40" s="836">
        <f>N40+AN40</f>
        <v>0.64280000000000004</v>
      </c>
      <c r="AV40" s="836">
        <f t="shared" si="14"/>
        <v>0.64280000000000004</v>
      </c>
      <c r="AW40" s="837">
        <f t="shared" si="14"/>
        <v>0</v>
      </c>
    </row>
    <row r="41" spans="1:49" ht="12.95" customHeight="1" x14ac:dyDescent="0.25">
      <c r="A41" s="827">
        <v>6</v>
      </c>
      <c r="B41" s="828">
        <v>4478</v>
      </c>
      <c r="C41" s="828">
        <v>600075141</v>
      </c>
      <c r="D41" s="828">
        <v>70975191</v>
      </c>
      <c r="E41" s="830" t="s">
        <v>342</v>
      </c>
      <c r="F41" s="828">
        <v>3143</v>
      </c>
      <c r="G41" s="831" t="s">
        <v>636</v>
      </c>
      <c r="H41" s="831" t="s">
        <v>284</v>
      </c>
      <c r="I41" s="803">
        <f>SUM(J41:M41)</f>
        <v>7724</v>
      </c>
      <c r="J41" s="833">
        <v>5445</v>
      </c>
      <c r="K41" s="805">
        <f>ROUND((J41)*33.8%,0)</f>
        <v>1840</v>
      </c>
      <c r="L41" s="805">
        <f>ROUND(J41*2%,0)</f>
        <v>109</v>
      </c>
      <c r="M41" s="833">
        <v>330</v>
      </c>
      <c r="N41" s="834">
        <f>SUM(O41:P41)</f>
        <v>0.02</v>
      </c>
      <c r="O41" s="1054">
        <v>0</v>
      </c>
      <c r="P41" s="1055">
        <v>0.02</v>
      </c>
      <c r="Q41" s="835">
        <f>V41*-1</f>
        <v>0</v>
      </c>
      <c r="R41" s="835">
        <v>0</v>
      </c>
      <c r="S41" s="813">
        <v>0</v>
      </c>
      <c r="T41" s="813">
        <v>0</v>
      </c>
      <c r="U41" s="813">
        <f>SUM(Q41:T41)</f>
        <v>0</v>
      </c>
      <c r="V41" s="813">
        <v>0</v>
      </c>
      <c r="W41" s="813">
        <v>0</v>
      </c>
      <c r="X41" s="813">
        <v>0</v>
      </c>
      <c r="Y41" s="813">
        <f>SUM(V41:X41)</f>
        <v>0</v>
      </c>
      <c r="Z41" s="813">
        <f>U41+Y41</f>
        <v>0</v>
      </c>
      <c r="AA41" s="809">
        <f>ROUND((U41+V41+W41)*33.8%,0)</f>
        <v>0</v>
      </c>
      <c r="AB41" s="809">
        <f>ROUND(U41*2%,0)</f>
        <v>0</v>
      </c>
      <c r="AC41" s="813">
        <v>0</v>
      </c>
      <c r="AD41" s="813">
        <v>0</v>
      </c>
      <c r="AE41" s="813">
        <f>SUM(AC41:AD41)</f>
        <v>0</v>
      </c>
      <c r="AF41" s="813">
        <f>Z41+AA41+AB41+AE41</f>
        <v>0</v>
      </c>
      <c r="AG41" s="836">
        <v>0</v>
      </c>
      <c r="AH41" s="836">
        <v>0</v>
      </c>
      <c r="AI41" s="836">
        <v>0</v>
      </c>
      <c r="AJ41" s="836">
        <v>0</v>
      </c>
      <c r="AK41" s="836">
        <v>0</v>
      </c>
      <c r="AL41" s="836">
        <f>AG41+AI41+AJ41</f>
        <v>0</v>
      </c>
      <c r="AM41" s="836">
        <f>AH41+AK41</f>
        <v>0</v>
      </c>
      <c r="AN41" s="837">
        <f>SUM(AL41:AM41)</f>
        <v>0</v>
      </c>
      <c r="AO41" s="835">
        <f>I41+AF41</f>
        <v>7724</v>
      </c>
      <c r="AP41" s="813">
        <f>J41+U41</f>
        <v>5445</v>
      </c>
      <c r="AQ41" s="813">
        <f>Y41</f>
        <v>0</v>
      </c>
      <c r="AR41" s="813">
        <f t="shared" si="13"/>
        <v>1840</v>
      </c>
      <c r="AS41" s="813">
        <f t="shared" si="13"/>
        <v>109</v>
      </c>
      <c r="AT41" s="813">
        <f>M41+AE41</f>
        <v>330</v>
      </c>
      <c r="AU41" s="836">
        <f>N41+AN41</f>
        <v>0.02</v>
      </c>
      <c r="AV41" s="836">
        <f t="shared" si="14"/>
        <v>0</v>
      </c>
      <c r="AW41" s="837">
        <f t="shared" si="14"/>
        <v>0.02</v>
      </c>
    </row>
    <row r="42" spans="1:49" ht="12.95" customHeight="1" x14ac:dyDescent="0.25">
      <c r="A42" s="814">
        <v>6</v>
      </c>
      <c r="B42" s="816">
        <v>4478</v>
      </c>
      <c r="C42" s="816">
        <v>600075141</v>
      </c>
      <c r="D42" s="816">
        <v>70975191</v>
      </c>
      <c r="E42" s="841" t="s">
        <v>343</v>
      </c>
      <c r="F42" s="850"/>
      <c r="G42" s="851"/>
      <c r="H42" s="851"/>
      <c r="I42" s="843">
        <f t="shared" ref="I42:AW42" si="15">SUM(I37:I41)</f>
        <v>9390031</v>
      </c>
      <c r="J42" s="844">
        <f t="shared" si="15"/>
        <v>6838219</v>
      </c>
      <c r="K42" s="844">
        <f t="shared" si="15"/>
        <v>2311317</v>
      </c>
      <c r="L42" s="844">
        <f t="shared" si="15"/>
        <v>136765</v>
      </c>
      <c r="M42" s="844">
        <f t="shared" si="15"/>
        <v>103730</v>
      </c>
      <c r="N42" s="845">
        <f t="shared" si="15"/>
        <v>12.9922</v>
      </c>
      <c r="O42" s="845">
        <f t="shared" si="15"/>
        <v>9.6097999999999999</v>
      </c>
      <c r="P42" s="847">
        <f t="shared" si="15"/>
        <v>3.3824000000000001</v>
      </c>
      <c r="Q42" s="848">
        <f t="shared" si="15"/>
        <v>-24000</v>
      </c>
      <c r="R42" s="844">
        <f t="shared" si="15"/>
        <v>0</v>
      </c>
      <c r="S42" s="844">
        <f t="shared" si="15"/>
        <v>0</v>
      </c>
      <c r="T42" s="844">
        <f t="shared" si="15"/>
        <v>0</v>
      </c>
      <c r="U42" s="844">
        <f t="shared" si="15"/>
        <v>-24000</v>
      </c>
      <c r="V42" s="844">
        <f t="shared" si="15"/>
        <v>24000</v>
      </c>
      <c r="W42" s="844">
        <f t="shared" si="15"/>
        <v>0</v>
      </c>
      <c r="X42" s="844">
        <f t="shared" si="15"/>
        <v>0</v>
      </c>
      <c r="Y42" s="844">
        <f t="shared" si="15"/>
        <v>24000</v>
      </c>
      <c r="Z42" s="844">
        <f t="shared" si="15"/>
        <v>0</v>
      </c>
      <c r="AA42" s="844">
        <f t="shared" si="15"/>
        <v>0</v>
      </c>
      <c r="AB42" s="844">
        <f t="shared" si="15"/>
        <v>-480</v>
      </c>
      <c r="AC42" s="844">
        <f t="shared" si="15"/>
        <v>11500</v>
      </c>
      <c r="AD42" s="844">
        <f t="shared" si="15"/>
        <v>0</v>
      </c>
      <c r="AE42" s="844">
        <f t="shared" si="15"/>
        <v>11500</v>
      </c>
      <c r="AF42" s="844">
        <f t="shared" si="15"/>
        <v>11020</v>
      </c>
      <c r="AG42" s="845">
        <f t="shared" si="15"/>
        <v>0</v>
      </c>
      <c r="AH42" s="845">
        <f t="shared" si="15"/>
        <v>0</v>
      </c>
      <c r="AI42" s="845">
        <f t="shared" si="15"/>
        <v>0</v>
      </c>
      <c r="AJ42" s="845">
        <f t="shared" si="15"/>
        <v>0</v>
      </c>
      <c r="AK42" s="845">
        <f t="shared" si="15"/>
        <v>0</v>
      </c>
      <c r="AL42" s="845">
        <f t="shared" si="15"/>
        <v>0</v>
      </c>
      <c r="AM42" s="845">
        <f t="shared" si="15"/>
        <v>0</v>
      </c>
      <c r="AN42" s="847">
        <f t="shared" si="15"/>
        <v>0</v>
      </c>
      <c r="AO42" s="848">
        <f t="shared" si="15"/>
        <v>9401051</v>
      </c>
      <c r="AP42" s="844">
        <f t="shared" si="15"/>
        <v>6814219</v>
      </c>
      <c r="AQ42" s="844">
        <f t="shared" si="15"/>
        <v>24000</v>
      </c>
      <c r="AR42" s="844">
        <f t="shared" si="15"/>
        <v>2311317</v>
      </c>
      <c r="AS42" s="844">
        <f t="shared" si="15"/>
        <v>136285</v>
      </c>
      <c r="AT42" s="844">
        <f t="shared" si="15"/>
        <v>115230</v>
      </c>
      <c r="AU42" s="845">
        <f t="shared" si="15"/>
        <v>12.9922</v>
      </c>
      <c r="AV42" s="845">
        <f t="shared" si="15"/>
        <v>9.6097999999999999</v>
      </c>
      <c r="AW42" s="847">
        <f t="shared" si="15"/>
        <v>3.3824000000000001</v>
      </c>
    </row>
    <row r="43" spans="1:49" ht="12.95" customHeight="1" x14ac:dyDescent="0.25">
      <c r="A43" s="827">
        <v>7</v>
      </c>
      <c r="B43" s="828">
        <v>4471</v>
      </c>
      <c r="C43" s="828">
        <v>600075061</v>
      </c>
      <c r="D43" s="828">
        <v>70975205</v>
      </c>
      <c r="E43" s="830" t="s">
        <v>344</v>
      </c>
      <c r="F43" s="828">
        <v>3231</v>
      </c>
      <c r="G43" s="831" t="s">
        <v>322</v>
      </c>
      <c r="H43" s="831" t="s">
        <v>283</v>
      </c>
      <c r="I43" s="803">
        <f>SUM(J43:M43)</f>
        <v>9415273</v>
      </c>
      <c r="J43" s="833">
        <v>6909207</v>
      </c>
      <c r="K43" s="805">
        <f>ROUND((J43)*33.8%,0)</f>
        <v>2335312</v>
      </c>
      <c r="L43" s="805">
        <f>ROUND(J43*2%,0)</f>
        <v>138184</v>
      </c>
      <c r="M43" s="833">
        <v>32570</v>
      </c>
      <c r="N43" s="834">
        <f>SUM(O43:P43)</f>
        <v>13.399799999999999</v>
      </c>
      <c r="O43" s="1054">
        <v>11.862399999999999</v>
      </c>
      <c r="P43" s="1055">
        <v>1.5374000000000001</v>
      </c>
      <c r="Q43" s="835">
        <f>V43*-1</f>
        <v>-12000</v>
      </c>
      <c r="R43" s="835">
        <v>0</v>
      </c>
      <c r="S43" s="813">
        <v>0</v>
      </c>
      <c r="T43" s="813">
        <v>0</v>
      </c>
      <c r="U43" s="813">
        <f>SUM(Q43:T43)</f>
        <v>-12000</v>
      </c>
      <c r="V43" s="813">
        <v>12000</v>
      </c>
      <c r="W43" s="813">
        <v>0</v>
      </c>
      <c r="X43" s="813">
        <v>0</v>
      </c>
      <c r="Y43" s="813">
        <f>SUM(V43:X43)</f>
        <v>12000</v>
      </c>
      <c r="Z43" s="813">
        <f>U43+Y43</f>
        <v>0</v>
      </c>
      <c r="AA43" s="809">
        <f>ROUND((U43+V43+W43)*33.8%,0)</f>
        <v>0</v>
      </c>
      <c r="AB43" s="809">
        <f>ROUND(U43*2%,0)</f>
        <v>-240</v>
      </c>
      <c r="AC43" s="813">
        <v>0</v>
      </c>
      <c r="AD43" s="813">
        <v>0</v>
      </c>
      <c r="AE43" s="813">
        <f>SUM(AC43:AD43)</f>
        <v>0</v>
      </c>
      <c r="AF43" s="813">
        <f>Z43+AA43+AB43+AE43</f>
        <v>-240</v>
      </c>
      <c r="AG43" s="836">
        <v>0</v>
      </c>
      <c r="AH43" s="836">
        <v>0</v>
      </c>
      <c r="AI43" s="836">
        <v>0</v>
      </c>
      <c r="AJ43" s="836">
        <v>0</v>
      </c>
      <c r="AK43" s="836">
        <v>0</v>
      </c>
      <c r="AL43" s="836">
        <f>AG43+AI43+AJ43</f>
        <v>0</v>
      </c>
      <c r="AM43" s="836">
        <f>AH43+AK43</f>
        <v>0</v>
      </c>
      <c r="AN43" s="837">
        <f>SUM(AL43:AM43)</f>
        <v>0</v>
      </c>
      <c r="AO43" s="835">
        <f>I43+AF43</f>
        <v>9415033</v>
      </c>
      <c r="AP43" s="813">
        <f>J43+U43</f>
        <v>6897207</v>
      </c>
      <c r="AQ43" s="813">
        <f>Y43</f>
        <v>12000</v>
      </c>
      <c r="AR43" s="813">
        <f>K43+AA43</f>
        <v>2335312</v>
      </c>
      <c r="AS43" s="813">
        <f>L43+AB43</f>
        <v>137944</v>
      </c>
      <c r="AT43" s="813">
        <f>M43+AE43</f>
        <v>32570</v>
      </c>
      <c r="AU43" s="836">
        <f>N43+AN43</f>
        <v>13.399799999999999</v>
      </c>
      <c r="AV43" s="836">
        <f>O43+AL43</f>
        <v>11.862399999999999</v>
      </c>
      <c r="AW43" s="837">
        <f>P43+AM43</f>
        <v>1.5374000000000001</v>
      </c>
    </row>
    <row r="44" spans="1:49" ht="12.95" customHeight="1" x14ac:dyDescent="0.25">
      <c r="A44" s="814">
        <v>7</v>
      </c>
      <c r="B44" s="816">
        <v>4471</v>
      </c>
      <c r="C44" s="816">
        <v>600075061</v>
      </c>
      <c r="D44" s="816">
        <v>70975205</v>
      </c>
      <c r="E44" s="841" t="s">
        <v>345</v>
      </c>
      <c r="F44" s="850"/>
      <c r="G44" s="851"/>
      <c r="H44" s="851"/>
      <c r="I44" s="843">
        <f t="shared" ref="I44:AW44" si="16">SUM(I43)</f>
        <v>9415273</v>
      </c>
      <c r="J44" s="844">
        <f t="shared" si="16"/>
        <v>6909207</v>
      </c>
      <c r="K44" s="844">
        <f t="shared" si="16"/>
        <v>2335312</v>
      </c>
      <c r="L44" s="844">
        <f t="shared" si="16"/>
        <v>138184</v>
      </c>
      <c r="M44" s="844">
        <f t="shared" si="16"/>
        <v>32570</v>
      </c>
      <c r="N44" s="845">
        <f t="shared" si="16"/>
        <v>13.399799999999999</v>
      </c>
      <c r="O44" s="845">
        <f t="shared" si="16"/>
        <v>11.862399999999999</v>
      </c>
      <c r="P44" s="847">
        <f t="shared" si="16"/>
        <v>1.5374000000000001</v>
      </c>
      <c r="Q44" s="848">
        <f t="shared" si="16"/>
        <v>-12000</v>
      </c>
      <c r="R44" s="844">
        <f t="shared" si="16"/>
        <v>0</v>
      </c>
      <c r="S44" s="844">
        <f t="shared" si="16"/>
        <v>0</v>
      </c>
      <c r="T44" s="844">
        <f t="shared" si="16"/>
        <v>0</v>
      </c>
      <c r="U44" s="844">
        <f t="shared" si="16"/>
        <v>-12000</v>
      </c>
      <c r="V44" s="844">
        <f t="shared" si="16"/>
        <v>12000</v>
      </c>
      <c r="W44" s="844">
        <f t="shared" si="16"/>
        <v>0</v>
      </c>
      <c r="X44" s="844">
        <f t="shared" si="16"/>
        <v>0</v>
      </c>
      <c r="Y44" s="844">
        <f t="shared" si="16"/>
        <v>12000</v>
      </c>
      <c r="Z44" s="844">
        <f t="shared" si="16"/>
        <v>0</v>
      </c>
      <c r="AA44" s="844">
        <f t="shared" si="16"/>
        <v>0</v>
      </c>
      <c r="AB44" s="844">
        <f t="shared" si="16"/>
        <v>-240</v>
      </c>
      <c r="AC44" s="844">
        <f t="shared" si="16"/>
        <v>0</v>
      </c>
      <c r="AD44" s="844">
        <f t="shared" si="16"/>
        <v>0</v>
      </c>
      <c r="AE44" s="844">
        <f t="shared" si="16"/>
        <v>0</v>
      </c>
      <c r="AF44" s="844">
        <f t="shared" si="16"/>
        <v>-240</v>
      </c>
      <c r="AG44" s="845">
        <f t="shared" si="16"/>
        <v>0</v>
      </c>
      <c r="AH44" s="845">
        <f t="shared" si="16"/>
        <v>0</v>
      </c>
      <c r="AI44" s="845">
        <f t="shared" si="16"/>
        <v>0</v>
      </c>
      <c r="AJ44" s="845">
        <f t="shared" si="16"/>
        <v>0</v>
      </c>
      <c r="AK44" s="845">
        <f t="shared" si="16"/>
        <v>0</v>
      </c>
      <c r="AL44" s="845">
        <f t="shared" si="16"/>
        <v>0</v>
      </c>
      <c r="AM44" s="845">
        <f t="shared" si="16"/>
        <v>0</v>
      </c>
      <c r="AN44" s="847">
        <f t="shared" si="16"/>
        <v>0</v>
      </c>
      <c r="AO44" s="848">
        <f t="shared" si="16"/>
        <v>9415033</v>
      </c>
      <c r="AP44" s="844">
        <f t="shared" si="16"/>
        <v>6897207</v>
      </c>
      <c r="AQ44" s="844">
        <f t="shared" si="16"/>
        <v>12000</v>
      </c>
      <c r="AR44" s="844">
        <f t="shared" si="16"/>
        <v>2335312</v>
      </c>
      <c r="AS44" s="844">
        <f t="shared" si="16"/>
        <v>137944</v>
      </c>
      <c r="AT44" s="844">
        <f t="shared" si="16"/>
        <v>32570</v>
      </c>
      <c r="AU44" s="845">
        <f t="shared" si="16"/>
        <v>13.399799999999999</v>
      </c>
      <c r="AV44" s="845">
        <f t="shared" si="16"/>
        <v>11.862399999999999</v>
      </c>
      <c r="AW44" s="847">
        <f t="shared" si="16"/>
        <v>1.5374000000000001</v>
      </c>
    </row>
    <row r="45" spans="1:49" ht="12.95" customHeight="1" x14ac:dyDescent="0.25">
      <c r="A45" s="827">
        <v>8</v>
      </c>
      <c r="B45" s="828">
        <v>4474</v>
      </c>
      <c r="C45" s="828">
        <v>600075192</v>
      </c>
      <c r="D45" s="828">
        <v>49864661</v>
      </c>
      <c r="E45" s="830" t="s">
        <v>346</v>
      </c>
      <c r="F45" s="828">
        <v>3233</v>
      </c>
      <c r="G45" s="852" t="s">
        <v>324</v>
      </c>
      <c r="H45" s="831" t="s">
        <v>284</v>
      </c>
      <c r="I45" s="803">
        <f>SUM(J45:M45)</f>
        <v>2136376</v>
      </c>
      <c r="J45" s="833">
        <v>1569732</v>
      </c>
      <c r="K45" s="805">
        <f>ROUND((J45)*33.8%,0)</f>
        <v>530569</v>
      </c>
      <c r="L45" s="805">
        <f>ROUND(J45*2%,0)</f>
        <v>31395</v>
      </c>
      <c r="M45" s="833">
        <v>4680</v>
      </c>
      <c r="N45" s="834">
        <f>SUM(O45:P45)</f>
        <v>3.5</v>
      </c>
      <c r="O45" s="1054">
        <v>2.5</v>
      </c>
      <c r="P45" s="1055">
        <v>1</v>
      </c>
      <c r="Q45" s="835">
        <f>V45*-1</f>
        <v>-40000</v>
      </c>
      <c r="R45" s="835">
        <v>0</v>
      </c>
      <c r="S45" s="813">
        <v>0</v>
      </c>
      <c r="T45" s="813">
        <v>0</v>
      </c>
      <c r="U45" s="813">
        <f>SUM(Q45:T45)</f>
        <v>-40000</v>
      </c>
      <c r="V45" s="813">
        <v>40000</v>
      </c>
      <c r="W45" s="813">
        <v>0</v>
      </c>
      <c r="X45" s="813">
        <v>0</v>
      </c>
      <c r="Y45" s="813">
        <f>SUM(V45:X45)</f>
        <v>40000</v>
      </c>
      <c r="Z45" s="813">
        <f>U45+Y45</f>
        <v>0</v>
      </c>
      <c r="AA45" s="809">
        <f>ROUND((U45+V45+W45)*33.8%,0)</f>
        <v>0</v>
      </c>
      <c r="AB45" s="809">
        <f>ROUND(U45*2%,0)</f>
        <v>-800</v>
      </c>
      <c r="AC45" s="813">
        <v>0</v>
      </c>
      <c r="AD45" s="813">
        <v>0</v>
      </c>
      <c r="AE45" s="813">
        <f>SUM(AC45:AD45)</f>
        <v>0</v>
      </c>
      <c r="AF45" s="813">
        <f>Z45+AA45+AB45+AE45</f>
        <v>-800</v>
      </c>
      <c r="AG45" s="836">
        <v>-0.08</v>
      </c>
      <c r="AH45" s="836">
        <v>0</v>
      </c>
      <c r="AI45" s="836">
        <v>0</v>
      </c>
      <c r="AJ45" s="836">
        <v>0</v>
      </c>
      <c r="AK45" s="836">
        <v>0</v>
      </c>
      <c r="AL45" s="836">
        <f>AG45+AI45+AJ45</f>
        <v>-0.08</v>
      </c>
      <c r="AM45" s="836">
        <f>AH45+AK45</f>
        <v>0</v>
      </c>
      <c r="AN45" s="837">
        <f>SUM(AL45:AM45)</f>
        <v>-0.08</v>
      </c>
      <c r="AO45" s="835">
        <f>I45+AF45</f>
        <v>2135576</v>
      </c>
      <c r="AP45" s="813">
        <f>J45+U45</f>
        <v>1529732</v>
      </c>
      <c r="AQ45" s="813">
        <f>Y45</f>
        <v>40000</v>
      </c>
      <c r="AR45" s="813">
        <f>K45+AA45</f>
        <v>530569</v>
      </c>
      <c r="AS45" s="813">
        <f>L45+AB45</f>
        <v>30595</v>
      </c>
      <c r="AT45" s="813">
        <f>M45+AE45</f>
        <v>4680</v>
      </c>
      <c r="AU45" s="836">
        <f>N45+AN45</f>
        <v>3.42</v>
      </c>
      <c r="AV45" s="836">
        <f>O45+AL45</f>
        <v>2.42</v>
      </c>
      <c r="AW45" s="837">
        <f>P45+AM45</f>
        <v>1</v>
      </c>
    </row>
    <row r="46" spans="1:49" ht="12.95" customHeight="1" x14ac:dyDescent="0.25">
      <c r="A46" s="814">
        <v>8</v>
      </c>
      <c r="B46" s="816">
        <v>4474</v>
      </c>
      <c r="C46" s="816">
        <v>600075192</v>
      </c>
      <c r="D46" s="816">
        <v>49864661</v>
      </c>
      <c r="E46" s="841" t="s">
        <v>347</v>
      </c>
      <c r="F46" s="850"/>
      <c r="G46" s="851"/>
      <c r="H46" s="851"/>
      <c r="I46" s="843">
        <f t="shared" ref="I46:AW46" si="17">SUM(I45)</f>
        <v>2136376</v>
      </c>
      <c r="J46" s="844">
        <f t="shared" si="17"/>
        <v>1569732</v>
      </c>
      <c r="K46" s="844">
        <f t="shared" si="17"/>
        <v>530569</v>
      </c>
      <c r="L46" s="844">
        <f t="shared" si="17"/>
        <v>31395</v>
      </c>
      <c r="M46" s="844">
        <f t="shared" si="17"/>
        <v>4680</v>
      </c>
      <c r="N46" s="845">
        <f t="shared" si="17"/>
        <v>3.5</v>
      </c>
      <c r="O46" s="845">
        <f t="shared" si="17"/>
        <v>2.5</v>
      </c>
      <c r="P46" s="847">
        <f t="shared" si="17"/>
        <v>1</v>
      </c>
      <c r="Q46" s="848">
        <f t="shared" si="17"/>
        <v>-40000</v>
      </c>
      <c r="R46" s="844">
        <f t="shared" si="17"/>
        <v>0</v>
      </c>
      <c r="S46" s="844">
        <f t="shared" si="17"/>
        <v>0</v>
      </c>
      <c r="T46" s="844">
        <f t="shared" si="17"/>
        <v>0</v>
      </c>
      <c r="U46" s="844">
        <f t="shared" si="17"/>
        <v>-40000</v>
      </c>
      <c r="V46" s="844">
        <f t="shared" si="17"/>
        <v>40000</v>
      </c>
      <c r="W46" s="844">
        <f t="shared" si="17"/>
        <v>0</v>
      </c>
      <c r="X46" s="844">
        <f t="shared" si="17"/>
        <v>0</v>
      </c>
      <c r="Y46" s="844">
        <f t="shared" si="17"/>
        <v>40000</v>
      </c>
      <c r="Z46" s="844">
        <f t="shared" si="17"/>
        <v>0</v>
      </c>
      <c r="AA46" s="844">
        <f t="shared" si="17"/>
        <v>0</v>
      </c>
      <c r="AB46" s="844">
        <f t="shared" si="17"/>
        <v>-800</v>
      </c>
      <c r="AC46" s="844">
        <f t="shared" si="17"/>
        <v>0</v>
      </c>
      <c r="AD46" s="844">
        <f t="shared" si="17"/>
        <v>0</v>
      </c>
      <c r="AE46" s="844">
        <f t="shared" si="17"/>
        <v>0</v>
      </c>
      <c r="AF46" s="844">
        <f t="shared" si="17"/>
        <v>-800</v>
      </c>
      <c r="AG46" s="845">
        <f t="shared" si="17"/>
        <v>-0.08</v>
      </c>
      <c r="AH46" s="845">
        <f t="shared" si="17"/>
        <v>0</v>
      </c>
      <c r="AI46" s="845">
        <f t="shared" si="17"/>
        <v>0</v>
      </c>
      <c r="AJ46" s="845">
        <f t="shared" si="17"/>
        <v>0</v>
      </c>
      <c r="AK46" s="845">
        <f t="shared" si="17"/>
        <v>0</v>
      </c>
      <c r="AL46" s="845">
        <f t="shared" si="17"/>
        <v>-0.08</v>
      </c>
      <c r="AM46" s="845">
        <f t="shared" si="17"/>
        <v>0</v>
      </c>
      <c r="AN46" s="847">
        <f t="shared" si="17"/>
        <v>-0.08</v>
      </c>
      <c r="AO46" s="848">
        <f t="shared" si="17"/>
        <v>2135576</v>
      </c>
      <c r="AP46" s="844">
        <f t="shared" si="17"/>
        <v>1529732</v>
      </c>
      <c r="AQ46" s="844">
        <f t="shared" si="17"/>
        <v>40000</v>
      </c>
      <c r="AR46" s="844">
        <f t="shared" si="17"/>
        <v>530569</v>
      </c>
      <c r="AS46" s="844">
        <f t="shared" si="17"/>
        <v>30595</v>
      </c>
      <c r="AT46" s="844">
        <f t="shared" si="17"/>
        <v>4680</v>
      </c>
      <c r="AU46" s="845">
        <f t="shared" si="17"/>
        <v>3.42</v>
      </c>
      <c r="AV46" s="845">
        <f t="shared" si="17"/>
        <v>2.42</v>
      </c>
      <c r="AW46" s="847">
        <f t="shared" si="17"/>
        <v>1</v>
      </c>
    </row>
    <row r="47" spans="1:49" ht="12.95" customHeight="1" x14ac:dyDescent="0.25">
      <c r="A47" s="827">
        <v>9</v>
      </c>
      <c r="B47" s="828">
        <v>4402</v>
      </c>
      <c r="C47" s="829">
        <v>600074021</v>
      </c>
      <c r="D47" s="828">
        <v>70695342</v>
      </c>
      <c r="E47" s="830" t="s">
        <v>348</v>
      </c>
      <c r="F47" s="828">
        <v>3111</v>
      </c>
      <c r="G47" s="831" t="s">
        <v>331</v>
      </c>
      <c r="H47" s="831" t="s">
        <v>283</v>
      </c>
      <c r="I47" s="803">
        <f>SUM(J47:M47)</f>
        <v>11364020</v>
      </c>
      <c r="J47" s="833">
        <v>8314190</v>
      </c>
      <c r="K47" s="805">
        <f>ROUND((J47)*33.8%,0)</f>
        <v>2810196</v>
      </c>
      <c r="L47" s="805">
        <f>ROUND(J47*2%,0)</f>
        <v>166284</v>
      </c>
      <c r="M47" s="833">
        <v>73350</v>
      </c>
      <c r="N47" s="834">
        <f>SUM(O47:P47)</f>
        <v>19.6374</v>
      </c>
      <c r="O47" s="1054">
        <v>14.0024</v>
      </c>
      <c r="P47" s="1055">
        <v>5.6349999999999998</v>
      </c>
      <c r="Q47" s="835">
        <f>V47*-1</f>
        <v>0</v>
      </c>
      <c r="R47" s="835">
        <v>0</v>
      </c>
      <c r="S47" s="813">
        <v>0</v>
      </c>
      <c r="T47" s="813">
        <v>0</v>
      </c>
      <c r="U47" s="813">
        <f>SUM(Q47:T47)</f>
        <v>0</v>
      </c>
      <c r="V47" s="813">
        <v>0</v>
      </c>
      <c r="W47" s="813">
        <v>0</v>
      </c>
      <c r="X47" s="813">
        <v>0</v>
      </c>
      <c r="Y47" s="813">
        <f>SUM(V47:X47)</f>
        <v>0</v>
      </c>
      <c r="Z47" s="813">
        <f>U47+Y47</f>
        <v>0</v>
      </c>
      <c r="AA47" s="809">
        <f>ROUND((U47+V47+W47)*33.8%,0)</f>
        <v>0</v>
      </c>
      <c r="AB47" s="809">
        <f>ROUND(U47*2%,0)</f>
        <v>0</v>
      </c>
      <c r="AC47" s="813">
        <v>0</v>
      </c>
      <c r="AD47" s="813">
        <v>0</v>
      </c>
      <c r="AE47" s="813">
        <f>SUM(AC47:AD47)</f>
        <v>0</v>
      </c>
      <c r="AF47" s="813">
        <f>Z47+AA47+AB47+AE47</f>
        <v>0</v>
      </c>
      <c r="AG47" s="836">
        <v>0</v>
      </c>
      <c r="AH47" s="836">
        <v>0</v>
      </c>
      <c r="AI47" s="836">
        <v>0</v>
      </c>
      <c r="AJ47" s="836">
        <v>0</v>
      </c>
      <c r="AK47" s="836">
        <v>0</v>
      </c>
      <c r="AL47" s="836">
        <f>AG47+AI47+AJ47</f>
        <v>0</v>
      </c>
      <c r="AM47" s="836">
        <f>AH47+AK47</f>
        <v>0</v>
      </c>
      <c r="AN47" s="837">
        <f>SUM(AL47:AM47)</f>
        <v>0</v>
      </c>
      <c r="AO47" s="835">
        <f>I47+AF47</f>
        <v>11364020</v>
      </c>
      <c r="AP47" s="813">
        <f>J47+U47</f>
        <v>8314190</v>
      </c>
      <c r="AQ47" s="813">
        <f>Y47</f>
        <v>0</v>
      </c>
      <c r="AR47" s="813">
        <f t="shared" ref="AR47:AS49" si="18">K47+AA47</f>
        <v>2810196</v>
      </c>
      <c r="AS47" s="813">
        <f t="shared" si="18"/>
        <v>166284</v>
      </c>
      <c r="AT47" s="813">
        <f>M47+AE47</f>
        <v>73350</v>
      </c>
      <c r="AU47" s="836">
        <f>N47+AN47</f>
        <v>19.6374</v>
      </c>
      <c r="AV47" s="836">
        <f t="shared" ref="AV47:AW49" si="19">O47+AL47</f>
        <v>14.0024</v>
      </c>
      <c r="AW47" s="837">
        <f t="shared" si="19"/>
        <v>5.6349999999999998</v>
      </c>
    </row>
    <row r="48" spans="1:49" ht="12.95" customHeight="1" x14ac:dyDescent="0.25">
      <c r="A48" s="827">
        <v>9</v>
      </c>
      <c r="B48" s="828">
        <v>4402</v>
      </c>
      <c r="C48" s="829">
        <v>600074021</v>
      </c>
      <c r="D48" s="828">
        <v>70695342</v>
      </c>
      <c r="E48" s="830" t="s">
        <v>348</v>
      </c>
      <c r="F48" s="828">
        <v>3111</v>
      </c>
      <c r="G48" s="831" t="s">
        <v>325</v>
      </c>
      <c r="H48" s="831" t="s">
        <v>284</v>
      </c>
      <c r="I48" s="803">
        <f>SUM(J48:M48)</f>
        <v>0</v>
      </c>
      <c r="J48" s="833">
        <v>0</v>
      </c>
      <c r="K48" s="805">
        <v>0</v>
      </c>
      <c r="L48" s="805">
        <v>0</v>
      </c>
      <c r="M48" s="833">
        <v>0</v>
      </c>
      <c r="N48" s="834">
        <f>SUM(O48:P48)</f>
        <v>0</v>
      </c>
      <c r="O48" s="1054">
        <v>0</v>
      </c>
      <c r="P48" s="1055">
        <v>0</v>
      </c>
      <c r="Q48" s="835">
        <f>V48*-1</f>
        <v>0</v>
      </c>
      <c r="R48" s="835">
        <f>307954-123504</f>
        <v>184450</v>
      </c>
      <c r="S48" s="813">
        <v>0</v>
      </c>
      <c r="T48" s="813">
        <v>0</v>
      </c>
      <c r="U48" s="813">
        <f>SUM(Q48:T48)</f>
        <v>184450</v>
      </c>
      <c r="V48" s="813">
        <v>0</v>
      </c>
      <c r="W48" s="813">
        <v>0</v>
      </c>
      <c r="X48" s="813">
        <v>0</v>
      </c>
      <c r="Y48" s="813">
        <f>SUM(V48:X48)</f>
        <v>0</v>
      </c>
      <c r="Z48" s="813">
        <f>U48+Y48</f>
        <v>184450</v>
      </c>
      <c r="AA48" s="809">
        <f>ROUND((U48+V48+W48)*33.8%,0)</f>
        <v>62344</v>
      </c>
      <c r="AB48" s="809">
        <f>ROUND(U48*2%,0)</f>
        <v>3689</v>
      </c>
      <c r="AC48" s="813">
        <v>0</v>
      </c>
      <c r="AD48" s="813">
        <v>0</v>
      </c>
      <c r="AE48" s="813">
        <f>SUM(AC48:AD48)</f>
        <v>0</v>
      </c>
      <c r="AF48" s="813">
        <f>Z48+AA48+AB48+AE48</f>
        <v>250483</v>
      </c>
      <c r="AG48" s="836">
        <v>0</v>
      </c>
      <c r="AH48" s="836">
        <v>0</v>
      </c>
      <c r="AI48" s="836">
        <f>0.89-0.36</f>
        <v>0.53</v>
      </c>
      <c r="AJ48" s="836">
        <v>0</v>
      </c>
      <c r="AK48" s="836">
        <v>0</v>
      </c>
      <c r="AL48" s="836">
        <f>AG48+AI48+AJ48</f>
        <v>0.53</v>
      </c>
      <c r="AM48" s="836">
        <f>AH48+AK48</f>
        <v>0</v>
      </c>
      <c r="AN48" s="837">
        <f>SUM(AL48:AM48)</f>
        <v>0.53</v>
      </c>
      <c r="AO48" s="835">
        <f>I48+AF48</f>
        <v>250483</v>
      </c>
      <c r="AP48" s="813">
        <f>J48+U48</f>
        <v>184450</v>
      </c>
      <c r="AQ48" s="813">
        <f>Y48</f>
        <v>0</v>
      </c>
      <c r="AR48" s="813">
        <f t="shared" si="18"/>
        <v>62344</v>
      </c>
      <c r="AS48" s="813">
        <f t="shared" si="18"/>
        <v>3689</v>
      </c>
      <c r="AT48" s="813">
        <f>M48+AE48</f>
        <v>0</v>
      </c>
      <c r="AU48" s="836">
        <f>N48+AN48</f>
        <v>0.53</v>
      </c>
      <c r="AV48" s="836">
        <f t="shared" si="19"/>
        <v>0.53</v>
      </c>
      <c r="AW48" s="837">
        <f t="shared" si="19"/>
        <v>0</v>
      </c>
    </row>
    <row r="49" spans="1:49" ht="12.95" customHeight="1" x14ac:dyDescent="0.25">
      <c r="A49" s="827">
        <v>9</v>
      </c>
      <c r="B49" s="828">
        <v>4402</v>
      </c>
      <c r="C49" s="829">
        <v>600074021</v>
      </c>
      <c r="D49" s="828">
        <v>70695342</v>
      </c>
      <c r="E49" s="830" t="s">
        <v>348</v>
      </c>
      <c r="F49" s="828">
        <v>3141</v>
      </c>
      <c r="G49" s="831" t="s">
        <v>321</v>
      </c>
      <c r="H49" s="831" t="s">
        <v>284</v>
      </c>
      <c r="I49" s="803">
        <f>SUM(J49:M49)</f>
        <v>1902779</v>
      </c>
      <c r="J49" s="833">
        <v>1394002</v>
      </c>
      <c r="K49" s="805">
        <f>ROUND((J49)*33.8%,0)</f>
        <v>471173</v>
      </c>
      <c r="L49" s="805">
        <f>ROUND(J49*2%,0)</f>
        <v>27880</v>
      </c>
      <c r="M49" s="833">
        <v>9724</v>
      </c>
      <c r="N49" s="834">
        <f>SUM(O49:P49)</f>
        <v>4.75</v>
      </c>
      <c r="O49" s="1054">
        <v>0</v>
      </c>
      <c r="P49" s="1055">
        <v>4.75</v>
      </c>
      <c r="Q49" s="835">
        <f>V49*-1</f>
        <v>0</v>
      </c>
      <c r="R49" s="835">
        <v>0</v>
      </c>
      <c r="S49" s="813">
        <v>0</v>
      </c>
      <c r="T49" s="813">
        <v>0</v>
      </c>
      <c r="U49" s="813">
        <f>SUM(Q49:T49)</f>
        <v>0</v>
      </c>
      <c r="V49" s="813">
        <v>0</v>
      </c>
      <c r="W49" s="813">
        <v>0</v>
      </c>
      <c r="X49" s="813">
        <v>0</v>
      </c>
      <c r="Y49" s="813">
        <f>SUM(V49:X49)</f>
        <v>0</v>
      </c>
      <c r="Z49" s="813">
        <f>U49+Y49</f>
        <v>0</v>
      </c>
      <c r="AA49" s="809">
        <f>ROUND((U49+V49+W49)*33.8%,0)</f>
        <v>0</v>
      </c>
      <c r="AB49" s="809">
        <f>ROUND(U49*2%,0)</f>
        <v>0</v>
      </c>
      <c r="AC49" s="813">
        <v>0</v>
      </c>
      <c r="AD49" s="813">
        <v>0</v>
      </c>
      <c r="AE49" s="813">
        <f>SUM(AC49:AD49)</f>
        <v>0</v>
      </c>
      <c r="AF49" s="813">
        <f>Z49+AA49+AB49+AE49</f>
        <v>0</v>
      </c>
      <c r="AG49" s="836">
        <v>0</v>
      </c>
      <c r="AH49" s="836">
        <v>0</v>
      </c>
      <c r="AI49" s="836">
        <v>0</v>
      </c>
      <c r="AJ49" s="836">
        <v>0</v>
      </c>
      <c r="AK49" s="836">
        <v>0</v>
      </c>
      <c r="AL49" s="836">
        <f>AG49+AI49+AJ49</f>
        <v>0</v>
      </c>
      <c r="AM49" s="836">
        <f>AH49+AK49</f>
        <v>0</v>
      </c>
      <c r="AN49" s="837">
        <f>SUM(AL49:AM49)</f>
        <v>0</v>
      </c>
      <c r="AO49" s="835">
        <f>I49+AF49</f>
        <v>1902779</v>
      </c>
      <c r="AP49" s="813">
        <f>J49+U49</f>
        <v>1394002</v>
      </c>
      <c r="AQ49" s="813">
        <f>Y49</f>
        <v>0</v>
      </c>
      <c r="AR49" s="813">
        <f t="shared" si="18"/>
        <v>471173</v>
      </c>
      <c r="AS49" s="813">
        <f t="shared" si="18"/>
        <v>27880</v>
      </c>
      <c r="AT49" s="813">
        <f>M49+AE49</f>
        <v>9724</v>
      </c>
      <c r="AU49" s="836">
        <f>N49+AN49</f>
        <v>4.75</v>
      </c>
      <c r="AV49" s="836">
        <f t="shared" si="19"/>
        <v>0</v>
      </c>
      <c r="AW49" s="837">
        <f t="shared" si="19"/>
        <v>4.75</v>
      </c>
    </row>
    <row r="50" spans="1:49" ht="12.95" customHeight="1" x14ac:dyDescent="0.25">
      <c r="A50" s="814">
        <v>9</v>
      </c>
      <c r="B50" s="816">
        <v>4402</v>
      </c>
      <c r="C50" s="840">
        <v>600074021</v>
      </c>
      <c r="D50" s="816">
        <v>70695342</v>
      </c>
      <c r="E50" s="841" t="s">
        <v>349</v>
      </c>
      <c r="F50" s="850"/>
      <c r="G50" s="851"/>
      <c r="H50" s="851"/>
      <c r="I50" s="843">
        <f t="shared" ref="I50:AW50" si="20">SUM(I47:I49)</f>
        <v>13266799</v>
      </c>
      <c r="J50" s="844">
        <f t="shared" si="20"/>
        <v>9708192</v>
      </c>
      <c r="K50" s="844">
        <f t="shared" si="20"/>
        <v>3281369</v>
      </c>
      <c r="L50" s="844">
        <f t="shared" si="20"/>
        <v>194164</v>
      </c>
      <c r="M50" s="844">
        <f t="shared" si="20"/>
        <v>83074</v>
      </c>
      <c r="N50" s="845">
        <f t="shared" si="20"/>
        <v>24.3874</v>
      </c>
      <c r="O50" s="845">
        <f t="shared" si="20"/>
        <v>14.0024</v>
      </c>
      <c r="P50" s="847">
        <f t="shared" si="20"/>
        <v>10.385</v>
      </c>
      <c r="Q50" s="848">
        <f t="shared" si="20"/>
        <v>0</v>
      </c>
      <c r="R50" s="844">
        <f t="shared" si="20"/>
        <v>184450</v>
      </c>
      <c r="S50" s="844">
        <f t="shared" si="20"/>
        <v>0</v>
      </c>
      <c r="T50" s="844">
        <f t="shared" si="20"/>
        <v>0</v>
      </c>
      <c r="U50" s="844">
        <f t="shared" si="20"/>
        <v>184450</v>
      </c>
      <c r="V50" s="844">
        <f t="shared" si="20"/>
        <v>0</v>
      </c>
      <c r="W50" s="844">
        <f t="shared" si="20"/>
        <v>0</v>
      </c>
      <c r="X50" s="844">
        <f t="shared" si="20"/>
        <v>0</v>
      </c>
      <c r="Y50" s="844">
        <f t="shared" si="20"/>
        <v>0</v>
      </c>
      <c r="Z50" s="844">
        <f t="shared" si="20"/>
        <v>184450</v>
      </c>
      <c r="AA50" s="844">
        <f t="shared" si="20"/>
        <v>62344</v>
      </c>
      <c r="AB50" s="844">
        <f t="shared" si="20"/>
        <v>3689</v>
      </c>
      <c r="AC50" s="844">
        <f t="shared" si="20"/>
        <v>0</v>
      </c>
      <c r="AD50" s="844">
        <f t="shared" si="20"/>
        <v>0</v>
      </c>
      <c r="AE50" s="844">
        <f t="shared" si="20"/>
        <v>0</v>
      </c>
      <c r="AF50" s="844">
        <f t="shared" si="20"/>
        <v>250483</v>
      </c>
      <c r="AG50" s="845">
        <f t="shared" si="20"/>
        <v>0</v>
      </c>
      <c r="AH50" s="845">
        <f t="shared" si="20"/>
        <v>0</v>
      </c>
      <c r="AI50" s="845">
        <f t="shared" si="20"/>
        <v>0.53</v>
      </c>
      <c r="AJ50" s="845">
        <f t="shared" si="20"/>
        <v>0</v>
      </c>
      <c r="AK50" s="845">
        <f t="shared" si="20"/>
        <v>0</v>
      </c>
      <c r="AL50" s="845">
        <f t="shared" si="20"/>
        <v>0.53</v>
      </c>
      <c r="AM50" s="845">
        <f t="shared" si="20"/>
        <v>0</v>
      </c>
      <c r="AN50" s="847">
        <f t="shared" si="20"/>
        <v>0.53</v>
      </c>
      <c r="AO50" s="848">
        <f t="shared" si="20"/>
        <v>13517282</v>
      </c>
      <c r="AP50" s="844">
        <f t="shared" si="20"/>
        <v>9892642</v>
      </c>
      <c r="AQ50" s="844">
        <f t="shared" si="20"/>
        <v>0</v>
      </c>
      <c r="AR50" s="844">
        <f t="shared" si="20"/>
        <v>3343713</v>
      </c>
      <c r="AS50" s="844">
        <f t="shared" si="20"/>
        <v>197853</v>
      </c>
      <c r="AT50" s="844">
        <f t="shared" si="20"/>
        <v>83074</v>
      </c>
      <c r="AU50" s="845">
        <f t="shared" si="20"/>
        <v>24.917400000000001</v>
      </c>
      <c r="AV50" s="845">
        <f t="shared" si="20"/>
        <v>14.532399999999999</v>
      </c>
      <c r="AW50" s="847">
        <f t="shared" si="20"/>
        <v>10.385</v>
      </c>
    </row>
    <row r="51" spans="1:49" ht="12.95" customHeight="1" x14ac:dyDescent="0.25">
      <c r="A51" s="827">
        <v>10</v>
      </c>
      <c r="B51" s="828">
        <v>4481</v>
      </c>
      <c r="C51" s="828">
        <v>600074722</v>
      </c>
      <c r="D51" s="828">
        <v>70942692</v>
      </c>
      <c r="E51" s="830" t="s">
        <v>350</v>
      </c>
      <c r="F51" s="828">
        <v>3113</v>
      </c>
      <c r="G51" s="831" t="s">
        <v>351</v>
      </c>
      <c r="H51" s="831" t="s">
        <v>283</v>
      </c>
      <c r="I51" s="803">
        <f>SUM(J51:M51)</f>
        <v>24108549</v>
      </c>
      <c r="J51" s="833">
        <v>17393019</v>
      </c>
      <c r="K51" s="805">
        <f>ROUND((J51)*33.8%,0)</f>
        <v>5878840</v>
      </c>
      <c r="L51" s="805">
        <f>ROUND(J51*2%,0)</f>
        <v>347860</v>
      </c>
      <c r="M51" s="833">
        <v>488830</v>
      </c>
      <c r="N51" s="834">
        <f>SUM(O51:P51)</f>
        <v>32.482300000000002</v>
      </c>
      <c r="O51" s="1054">
        <v>24.499700000000001</v>
      </c>
      <c r="P51" s="1055">
        <v>7.9826000000000006</v>
      </c>
      <c r="Q51" s="835">
        <f>V51*-1</f>
        <v>-50400</v>
      </c>
      <c r="R51" s="835">
        <v>0</v>
      </c>
      <c r="S51" s="813">
        <v>0</v>
      </c>
      <c r="T51" s="813">
        <v>0</v>
      </c>
      <c r="U51" s="813">
        <f>SUM(Q51:T51)</f>
        <v>-50400</v>
      </c>
      <c r="V51" s="813">
        <v>50400</v>
      </c>
      <c r="W51" s="813">
        <v>0</v>
      </c>
      <c r="X51" s="813">
        <v>0</v>
      </c>
      <c r="Y51" s="813">
        <f>SUM(V51:X51)</f>
        <v>50400</v>
      </c>
      <c r="Z51" s="813">
        <f>U51+Y51</f>
        <v>0</v>
      </c>
      <c r="AA51" s="809">
        <f>ROUND((U51+V51+W51)*33.8%,0)</f>
        <v>0</v>
      </c>
      <c r="AB51" s="809">
        <f>ROUND(U51*2%,0)</f>
        <v>-1008</v>
      </c>
      <c r="AC51" s="813">
        <v>0</v>
      </c>
      <c r="AD51" s="813">
        <v>0</v>
      </c>
      <c r="AE51" s="813">
        <f>SUM(AC51:AD51)</f>
        <v>0</v>
      </c>
      <c r="AF51" s="813">
        <f>Z51+AA51+AB51+AE51</f>
        <v>-1008</v>
      </c>
      <c r="AG51" s="836">
        <v>0</v>
      </c>
      <c r="AH51" s="836">
        <v>-0.21</v>
      </c>
      <c r="AI51" s="836">
        <v>0</v>
      </c>
      <c r="AJ51" s="836">
        <v>0</v>
      </c>
      <c r="AK51" s="836">
        <v>0</v>
      </c>
      <c r="AL51" s="836">
        <f>AG51+AI51+AJ51</f>
        <v>0</v>
      </c>
      <c r="AM51" s="836">
        <f>AH51+AK51</f>
        <v>-0.21</v>
      </c>
      <c r="AN51" s="837">
        <f>SUM(AL51:AM51)</f>
        <v>-0.21</v>
      </c>
      <c r="AO51" s="835">
        <f>I51+AF51</f>
        <v>24107541</v>
      </c>
      <c r="AP51" s="813">
        <f>J51+U51</f>
        <v>17342619</v>
      </c>
      <c r="AQ51" s="813">
        <f>Y51</f>
        <v>50400</v>
      </c>
      <c r="AR51" s="813">
        <f t="shared" ref="AR51:AS55" si="21">K51+AA51</f>
        <v>5878840</v>
      </c>
      <c r="AS51" s="813">
        <f t="shared" si="21"/>
        <v>346852</v>
      </c>
      <c r="AT51" s="813">
        <f>M51+AE51</f>
        <v>488830</v>
      </c>
      <c r="AU51" s="836">
        <f>N51+AN51</f>
        <v>32.272300000000001</v>
      </c>
      <c r="AV51" s="836">
        <f t="shared" ref="AV51:AW55" si="22">O51+AL51</f>
        <v>24.499700000000001</v>
      </c>
      <c r="AW51" s="837">
        <f t="shared" si="22"/>
        <v>7.7726000000000006</v>
      </c>
    </row>
    <row r="52" spans="1:49" ht="12.95" customHeight="1" x14ac:dyDescent="0.25">
      <c r="A52" s="827">
        <v>10</v>
      </c>
      <c r="B52" s="828">
        <v>4481</v>
      </c>
      <c r="C52" s="828">
        <v>600074722</v>
      </c>
      <c r="D52" s="828">
        <v>70942692</v>
      </c>
      <c r="E52" s="830" t="s">
        <v>352</v>
      </c>
      <c r="F52" s="828">
        <v>3113</v>
      </c>
      <c r="G52" s="831" t="s">
        <v>325</v>
      </c>
      <c r="H52" s="831" t="s">
        <v>284</v>
      </c>
      <c r="I52" s="803">
        <f>SUM(J52:M52)</f>
        <v>0</v>
      </c>
      <c r="J52" s="833">
        <v>0</v>
      </c>
      <c r="K52" s="805">
        <v>0</v>
      </c>
      <c r="L52" s="805">
        <v>0</v>
      </c>
      <c r="M52" s="833">
        <v>0</v>
      </c>
      <c r="N52" s="834">
        <f>SUM(O52:P52)</f>
        <v>0</v>
      </c>
      <c r="O52" s="1054">
        <v>0</v>
      </c>
      <c r="P52" s="1055">
        <v>0</v>
      </c>
      <c r="Q52" s="835">
        <f>V52*-1</f>
        <v>0</v>
      </c>
      <c r="R52" s="835">
        <v>1395405</v>
      </c>
      <c r="S52" s="813">
        <v>0</v>
      </c>
      <c r="T52" s="813">
        <v>0</v>
      </c>
      <c r="U52" s="813">
        <f>SUM(Q52:T52)</f>
        <v>1395405</v>
      </c>
      <c r="V52" s="813">
        <v>0</v>
      </c>
      <c r="W52" s="813">
        <v>0</v>
      </c>
      <c r="X52" s="813">
        <v>0</v>
      </c>
      <c r="Y52" s="813">
        <f>SUM(V52:X52)</f>
        <v>0</v>
      </c>
      <c r="Z52" s="813">
        <f>U52+Y52</f>
        <v>1395405</v>
      </c>
      <c r="AA52" s="809">
        <f>ROUND((U52+V52+W52)*33.8%,0)</f>
        <v>471647</v>
      </c>
      <c r="AB52" s="809">
        <f>ROUND(U52*2%,0)</f>
        <v>27908</v>
      </c>
      <c r="AC52" s="813">
        <v>0</v>
      </c>
      <c r="AD52" s="813">
        <v>0</v>
      </c>
      <c r="AE52" s="813">
        <f>SUM(AC52:AD52)</f>
        <v>0</v>
      </c>
      <c r="AF52" s="813">
        <f>Z52+AA52+AB52+AE52</f>
        <v>1894960</v>
      </c>
      <c r="AG52" s="836">
        <v>0</v>
      </c>
      <c r="AH52" s="836">
        <v>0</v>
      </c>
      <c r="AI52" s="836">
        <v>4.03</v>
      </c>
      <c r="AJ52" s="836">
        <v>0</v>
      </c>
      <c r="AK52" s="836">
        <v>0</v>
      </c>
      <c r="AL52" s="836">
        <f>AG52+AI52+AJ52</f>
        <v>4.03</v>
      </c>
      <c r="AM52" s="836">
        <f>AH52+AK52</f>
        <v>0</v>
      </c>
      <c r="AN52" s="837">
        <f>SUM(AL52:AM52)</f>
        <v>4.03</v>
      </c>
      <c r="AO52" s="835">
        <f>I52+AF52</f>
        <v>1894960</v>
      </c>
      <c r="AP52" s="813">
        <f>J52+U52</f>
        <v>1395405</v>
      </c>
      <c r="AQ52" s="813">
        <f>Y52</f>
        <v>0</v>
      </c>
      <c r="AR52" s="813">
        <f t="shared" si="21"/>
        <v>471647</v>
      </c>
      <c r="AS52" s="813">
        <f t="shared" si="21"/>
        <v>27908</v>
      </c>
      <c r="AT52" s="813">
        <f>M52+AE52</f>
        <v>0</v>
      </c>
      <c r="AU52" s="836">
        <f>N52+AN52</f>
        <v>4.03</v>
      </c>
      <c r="AV52" s="836">
        <f t="shared" si="22"/>
        <v>4.03</v>
      </c>
      <c r="AW52" s="837">
        <f t="shared" si="22"/>
        <v>0</v>
      </c>
    </row>
    <row r="53" spans="1:49" ht="12.95" customHeight="1" x14ac:dyDescent="0.25">
      <c r="A53" s="827">
        <v>10</v>
      </c>
      <c r="B53" s="828">
        <v>4481</v>
      </c>
      <c r="C53" s="828">
        <v>600074722</v>
      </c>
      <c r="D53" s="828">
        <v>70942692</v>
      </c>
      <c r="E53" s="830" t="s">
        <v>352</v>
      </c>
      <c r="F53" s="828">
        <v>3141</v>
      </c>
      <c r="G53" s="831" t="s">
        <v>321</v>
      </c>
      <c r="H53" s="831" t="s">
        <v>284</v>
      </c>
      <c r="I53" s="803">
        <f>SUM(J53:M53)</f>
        <v>1375631</v>
      </c>
      <c r="J53" s="833">
        <v>1004655</v>
      </c>
      <c r="K53" s="805">
        <f>ROUND((J53)*33.8%,0)</f>
        <v>339573</v>
      </c>
      <c r="L53" s="805">
        <f>ROUND(J53*2%,0)</f>
        <v>20093</v>
      </c>
      <c r="M53" s="833">
        <v>11310</v>
      </c>
      <c r="N53" s="834">
        <f>SUM(O53:P53)</f>
        <v>3.42</v>
      </c>
      <c r="O53" s="1054">
        <v>0</v>
      </c>
      <c r="P53" s="1055">
        <v>3.42</v>
      </c>
      <c r="Q53" s="835">
        <f>V53*-1</f>
        <v>0</v>
      </c>
      <c r="R53" s="835">
        <v>0</v>
      </c>
      <c r="S53" s="813">
        <v>0</v>
      </c>
      <c r="T53" s="813">
        <v>0</v>
      </c>
      <c r="U53" s="813">
        <f>SUM(Q53:T53)</f>
        <v>0</v>
      </c>
      <c r="V53" s="813">
        <v>0</v>
      </c>
      <c r="W53" s="813">
        <v>0</v>
      </c>
      <c r="X53" s="813">
        <v>0</v>
      </c>
      <c r="Y53" s="813">
        <f>SUM(V53:X53)</f>
        <v>0</v>
      </c>
      <c r="Z53" s="813">
        <f>U53+Y53</f>
        <v>0</v>
      </c>
      <c r="AA53" s="809">
        <f>ROUND((U53+V53+W53)*33.8%,0)</f>
        <v>0</v>
      </c>
      <c r="AB53" s="809">
        <f>ROUND(U53*2%,0)</f>
        <v>0</v>
      </c>
      <c r="AC53" s="813">
        <v>0</v>
      </c>
      <c r="AD53" s="813">
        <v>0</v>
      </c>
      <c r="AE53" s="813">
        <f>SUM(AC53:AD53)</f>
        <v>0</v>
      </c>
      <c r="AF53" s="813">
        <f>Z53+AA53+AB53+AE53</f>
        <v>0</v>
      </c>
      <c r="AG53" s="836">
        <v>0</v>
      </c>
      <c r="AH53" s="836">
        <v>0</v>
      </c>
      <c r="AI53" s="836">
        <v>0</v>
      </c>
      <c r="AJ53" s="836">
        <v>0</v>
      </c>
      <c r="AK53" s="836">
        <v>0</v>
      </c>
      <c r="AL53" s="836">
        <f>AG53+AI53+AJ53</f>
        <v>0</v>
      </c>
      <c r="AM53" s="836">
        <f>AH53+AK53</f>
        <v>0</v>
      </c>
      <c r="AN53" s="837">
        <f>SUM(AL53:AM53)</f>
        <v>0</v>
      </c>
      <c r="AO53" s="835">
        <f>I53+AF53</f>
        <v>1375631</v>
      </c>
      <c r="AP53" s="813">
        <f>J53+U53</f>
        <v>1004655</v>
      </c>
      <c r="AQ53" s="813">
        <f>Y53</f>
        <v>0</v>
      </c>
      <c r="AR53" s="813">
        <f t="shared" si="21"/>
        <v>339573</v>
      </c>
      <c r="AS53" s="813">
        <f t="shared" si="21"/>
        <v>20093</v>
      </c>
      <c r="AT53" s="813">
        <f>M53+AE53</f>
        <v>11310</v>
      </c>
      <c r="AU53" s="836">
        <f>N53+AN53</f>
        <v>3.42</v>
      </c>
      <c r="AV53" s="836">
        <f t="shared" si="22"/>
        <v>0</v>
      </c>
      <c r="AW53" s="837">
        <f t="shared" si="22"/>
        <v>3.42</v>
      </c>
    </row>
    <row r="54" spans="1:49" ht="12.95" customHeight="1" x14ac:dyDescent="0.25">
      <c r="A54" s="827">
        <v>10</v>
      </c>
      <c r="B54" s="828">
        <v>4481</v>
      </c>
      <c r="C54" s="828">
        <v>600074722</v>
      </c>
      <c r="D54" s="828">
        <v>70942692</v>
      </c>
      <c r="E54" s="830" t="s">
        <v>352</v>
      </c>
      <c r="F54" s="828">
        <v>3143</v>
      </c>
      <c r="G54" s="831" t="s">
        <v>635</v>
      </c>
      <c r="H54" s="831" t="s">
        <v>283</v>
      </c>
      <c r="I54" s="803">
        <f>SUM(J54:M54)</f>
        <v>1585641</v>
      </c>
      <c r="J54" s="833">
        <v>1167629</v>
      </c>
      <c r="K54" s="805">
        <f>ROUND((J54)*33.8%,0)</f>
        <v>394659</v>
      </c>
      <c r="L54" s="805">
        <f>ROUND(J54*2%,0)</f>
        <v>23353</v>
      </c>
      <c r="M54" s="833">
        <v>0</v>
      </c>
      <c r="N54" s="834">
        <f>SUM(O54:P54)</f>
        <v>2.5356999999999998</v>
      </c>
      <c r="O54" s="1054">
        <v>2.5356999999999998</v>
      </c>
      <c r="P54" s="1055">
        <v>0</v>
      </c>
      <c r="Q54" s="835">
        <f>V54*-1</f>
        <v>0</v>
      </c>
      <c r="R54" s="835">
        <v>0</v>
      </c>
      <c r="S54" s="813">
        <v>0</v>
      </c>
      <c r="T54" s="813">
        <v>0</v>
      </c>
      <c r="U54" s="813">
        <f>SUM(Q54:T54)</f>
        <v>0</v>
      </c>
      <c r="V54" s="813">
        <v>0</v>
      </c>
      <c r="W54" s="813">
        <v>0</v>
      </c>
      <c r="X54" s="813">
        <v>0</v>
      </c>
      <c r="Y54" s="813">
        <f>SUM(V54:X54)</f>
        <v>0</v>
      </c>
      <c r="Z54" s="813">
        <f>U54+Y54</f>
        <v>0</v>
      </c>
      <c r="AA54" s="809">
        <f>ROUND((U54+V54+W54)*33.8%,0)</f>
        <v>0</v>
      </c>
      <c r="AB54" s="809">
        <f>ROUND(U54*2%,0)</f>
        <v>0</v>
      </c>
      <c r="AC54" s="813">
        <v>0</v>
      </c>
      <c r="AD54" s="813">
        <v>0</v>
      </c>
      <c r="AE54" s="813">
        <f>SUM(AC54:AD54)</f>
        <v>0</v>
      </c>
      <c r="AF54" s="813">
        <f>Z54+AA54+AB54+AE54</f>
        <v>0</v>
      </c>
      <c r="AG54" s="836">
        <v>0</v>
      </c>
      <c r="AH54" s="836">
        <v>0</v>
      </c>
      <c r="AI54" s="836">
        <v>0</v>
      </c>
      <c r="AJ54" s="836">
        <v>0</v>
      </c>
      <c r="AK54" s="836">
        <v>0</v>
      </c>
      <c r="AL54" s="836">
        <f>AG54+AI54+AJ54</f>
        <v>0</v>
      </c>
      <c r="AM54" s="836">
        <f>AH54+AK54</f>
        <v>0</v>
      </c>
      <c r="AN54" s="837">
        <f>SUM(AL54:AM54)</f>
        <v>0</v>
      </c>
      <c r="AO54" s="835">
        <f>I54+AF54</f>
        <v>1585641</v>
      </c>
      <c r="AP54" s="813">
        <f>J54+U54</f>
        <v>1167629</v>
      </c>
      <c r="AQ54" s="813">
        <f>Y54</f>
        <v>0</v>
      </c>
      <c r="AR54" s="813">
        <f t="shared" si="21"/>
        <v>394659</v>
      </c>
      <c r="AS54" s="813">
        <f t="shared" si="21"/>
        <v>23353</v>
      </c>
      <c r="AT54" s="813">
        <f>M54+AE54</f>
        <v>0</v>
      </c>
      <c r="AU54" s="836">
        <f>N54+AN54</f>
        <v>2.5356999999999998</v>
      </c>
      <c r="AV54" s="836">
        <f t="shared" si="22"/>
        <v>2.5356999999999998</v>
      </c>
      <c r="AW54" s="837">
        <f t="shared" si="22"/>
        <v>0</v>
      </c>
    </row>
    <row r="55" spans="1:49" ht="12.95" customHeight="1" x14ac:dyDescent="0.25">
      <c r="A55" s="827">
        <v>10</v>
      </c>
      <c r="B55" s="828">
        <v>4481</v>
      </c>
      <c r="C55" s="828">
        <v>600074722</v>
      </c>
      <c r="D55" s="828">
        <v>70942692</v>
      </c>
      <c r="E55" s="830" t="s">
        <v>352</v>
      </c>
      <c r="F55" s="828">
        <v>3143</v>
      </c>
      <c r="G55" s="831" t="s">
        <v>636</v>
      </c>
      <c r="H55" s="831" t="s">
        <v>284</v>
      </c>
      <c r="I55" s="803">
        <f>SUM(J55:M55)</f>
        <v>46345</v>
      </c>
      <c r="J55" s="833">
        <v>32670</v>
      </c>
      <c r="K55" s="805">
        <f>ROUND((J55)*33.8%,0)</f>
        <v>11042</v>
      </c>
      <c r="L55" s="805">
        <f>ROUND(J55*2%,0)</f>
        <v>653</v>
      </c>
      <c r="M55" s="833">
        <v>1980</v>
      </c>
      <c r="N55" s="834">
        <f>SUM(O55:P55)</f>
        <v>0.14000000000000001</v>
      </c>
      <c r="O55" s="1054">
        <v>0</v>
      </c>
      <c r="P55" s="1055">
        <v>0.14000000000000001</v>
      </c>
      <c r="Q55" s="835">
        <f>V55*-1</f>
        <v>0</v>
      </c>
      <c r="R55" s="835">
        <v>0</v>
      </c>
      <c r="S55" s="813">
        <v>0</v>
      </c>
      <c r="T55" s="813">
        <v>0</v>
      </c>
      <c r="U55" s="813">
        <f>SUM(Q55:T55)</f>
        <v>0</v>
      </c>
      <c r="V55" s="813">
        <v>0</v>
      </c>
      <c r="W55" s="813">
        <v>0</v>
      </c>
      <c r="X55" s="813">
        <v>0</v>
      </c>
      <c r="Y55" s="813">
        <f>SUM(V55:X55)</f>
        <v>0</v>
      </c>
      <c r="Z55" s="813">
        <f>U55+Y55</f>
        <v>0</v>
      </c>
      <c r="AA55" s="809">
        <f>ROUND((U55+V55+W55)*33.8%,0)</f>
        <v>0</v>
      </c>
      <c r="AB55" s="809">
        <f>ROUND(U55*2%,0)</f>
        <v>0</v>
      </c>
      <c r="AC55" s="813">
        <v>0</v>
      </c>
      <c r="AD55" s="813">
        <v>0</v>
      </c>
      <c r="AE55" s="813">
        <f>SUM(AC55:AD55)</f>
        <v>0</v>
      </c>
      <c r="AF55" s="813">
        <f>Z55+AA55+AB55+AE55</f>
        <v>0</v>
      </c>
      <c r="AG55" s="836">
        <v>0</v>
      </c>
      <c r="AH55" s="836">
        <v>0</v>
      </c>
      <c r="AI55" s="836">
        <v>0</v>
      </c>
      <c r="AJ55" s="836">
        <v>0</v>
      </c>
      <c r="AK55" s="836">
        <v>0</v>
      </c>
      <c r="AL55" s="836">
        <f>AG55+AI55+AJ55</f>
        <v>0</v>
      </c>
      <c r="AM55" s="836">
        <f>AH55+AK55</f>
        <v>0</v>
      </c>
      <c r="AN55" s="837">
        <f>SUM(AL55:AM55)</f>
        <v>0</v>
      </c>
      <c r="AO55" s="835">
        <f>I55+AF55</f>
        <v>46345</v>
      </c>
      <c r="AP55" s="813">
        <f>J55+U55</f>
        <v>32670</v>
      </c>
      <c r="AQ55" s="813">
        <f>Y55</f>
        <v>0</v>
      </c>
      <c r="AR55" s="813">
        <f t="shared" si="21"/>
        <v>11042</v>
      </c>
      <c r="AS55" s="813">
        <f t="shared" si="21"/>
        <v>653</v>
      </c>
      <c r="AT55" s="813">
        <f>M55+AE55</f>
        <v>1980</v>
      </c>
      <c r="AU55" s="836">
        <f>N55+AN55</f>
        <v>0.14000000000000001</v>
      </c>
      <c r="AV55" s="836">
        <f t="shared" si="22"/>
        <v>0</v>
      </c>
      <c r="AW55" s="837">
        <f t="shared" si="22"/>
        <v>0.14000000000000001</v>
      </c>
    </row>
    <row r="56" spans="1:49" ht="12.95" customHeight="1" x14ac:dyDescent="0.25">
      <c r="A56" s="814">
        <v>10</v>
      </c>
      <c r="B56" s="816">
        <v>4481</v>
      </c>
      <c r="C56" s="816">
        <v>600074722</v>
      </c>
      <c r="D56" s="816">
        <v>70942692</v>
      </c>
      <c r="E56" s="841" t="s">
        <v>353</v>
      </c>
      <c r="F56" s="850"/>
      <c r="G56" s="851"/>
      <c r="H56" s="851"/>
      <c r="I56" s="843">
        <f t="shared" ref="I56:AW56" si="23">SUM(I51:I55)</f>
        <v>27116166</v>
      </c>
      <c r="J56" s="844">
        <f t="shared" si="23"/>
        <v>19597973</v>
      </c>
      <c r="K56" s="844">
        <f t="shared" si="23"/>
        <v>6624114</v>
      </c>
      <c r="L56" s="844">
        <f t="shared" si="23"/>
        <v>391959</v>
      </c>
      <c r="M56" s="844">
        <f t="shared" si="23"/>
        <v>502120</v>
      </c>
      <c r="N56" s="845">
        <f t="shared" si="23"/>
        <v>38.578000000000003</v>
      </c>
      <c r="O56" s="845">
        <f t="shared" si="23"/>
        <v>27.035399999999999</v>
      </c>
      <c r="P56" s="847">
        <f t="shared" si="23"/>
        <v>11.5426</v>
      </c>
      <c r="Q56" s="848">
        <f t="shared" si="23"/>
        <v>-50400</v>
      </c>
      <c r="R56" s="844">
        <f t="shared" si="23"/>
        <v>1395405</v>
      </c>
      <c r="S56" s="844">
        <f t="shared" si="23"/>
        <v>0</v>
      </c>
      <c r="T56" s="844">
        <f t="shared" si="23"/>
        <v>0</v>
      </c>
      <c r="U56" s="844">
        <f t="shared" si="23"/>
        <v>1345005</v>
      </c>
      <c r="V56" s="844">
        <f t="shared" si="23"/>
        <v>50400</v>
      </c>
      <c r="W56" s="844">
        <f t="shared" si="23"/>
        <v>0</v>
      </c>
      <c r="X56" s="844">
        <f t="shared" si="23"/>
        <v>0</v>
      </c>
      <c r="Y56" s="844">
        <f t="shared" si="23"/>
        <v>50400</v>
      </c>
      <c r="Z56" s="844">
        <f t="shared" si="23"/>
        <v>1395405</v>
      </c>
      <c r="AA56" s="844">
        <f t="shared" si="23"/>
        <v>471647</v>
      </c>
      <c r="AB56" s="844">
        <f t="shared" si="23"/>
        <v>26900</v>
      </c>
      <c r="AC56" s="844">
        <f t="shared" si="23"/>
        <v>0</v>
      </c>
      <c r="AD56" s="844">
        <f t="shared" si="23"/>
        <v>0</v>
      </c>
      <c r="AE56" s="844">
        <f t="shared" si="23"/>
        <v>0</v>
      </c>
      <c r="AF56" s="844">
        <f t="shared" si="23"/>
        <v>1893952</v>
      </c>
      <c r="AG56" s="845">
        <f t="shared" si="23"/>
        <v>0</v>
      </c>
      <c r="AH56" s="845">
        <f t="shared" si="23"/>
        <v>-0.21</v>
      </c>
      <c r="AI56" s="845">
        <f t="shared" si="23"/>
        <v>4.03</v>
      </c>
      <c r="AJ56" s="845">
        <f t="shared" si="23"/>
        <v>0</v>
      </c>
      <c r="AK56" s="845">
        <f t="shared" si="23"/>
        <v>0</v>
      </c>
      <c r="AL56" s="845">
        <f t="shared" si="23"/>
        <v>4.03</v>
      </c>
      <c r="AM56" s="845">
        <f t="shared" si="23"/>
        <v>-0.21</v>
      </c>
      <c r="AN56" s="847">
        <f t="shared" si="23"/>
        <v>3.8200000000000003</v>
      </c>
      <c r="AO56" s="848">
        <f t="shared" si="23"/>
        <v>29010118</v>
      </c>
      <c r="AP56" s="844">
        <f t="shared" si="23"/>
        <v>20942978</v>
      </c>
      <c r="AQ56" s="844">
        <f t="shared" si="23"/>
        <v>50400</v>
      </c>
      <c r="AR56" s="844">
        <f t="shared" si="23"/>
        <v>7095761</v>
      </c>
      <c r="AS56" s="844">
        <f t="shared" si="23"/>
        <v>418859</v>
      </c>
      <c r="AT56" s="844">
        <f t="shared" si="23"/>
        <v>502120</v>
      </c>
      <c r="AU56" s="845">
        <f t="shared" si="23"/>
        <v>42.398000000000003</v>
      </c>
      <c r="AV56" s="845">
        <f t="shared" si="23"/>
        <v>31.0654</v>
      </c>
      <c r="AW56" s="847">
        <f t="shared" si="23"/>
        <v>11.332600000000001</v>
      </c>
    </row>
    <row r="57" spans="1:49" ht="12.95" customHeight="1" x14ac:dyDescent="0.25">
      <c r="A57" s="827">
        <v>11</v>
      </c>
      <c r="B57" s="828">
        <v>4469</v>
      </c>
      <c r="C57" s="828">
        <v>600075079</v>
      </c>
      <c r="D57" s="828">
        <v>70695334</v>
      </c>
      <c r="E57" s="830" t="s">
        <v>354</v>
      </c>
      <c r="F57" s="828">
        <v>3231</v>
      </c>
      <c r="G57" s="831" t="s">
        <v>424</v>
      </c>
      <c r="H57" s="831" t="s">
        <v>283</v>
      </c>
      <c r="I57" s="803">
        <f>SUM(J57:M57)</f>
        <v>2826145</v>
      </c>
      <c r="J57" s="833">
        <v>2074054</v>
      </c>
      <c r="K57" s="805">
        <f>ROUND((J57)*33.8%,0)</f>
        <v>701030</v>
      </c>
      <c r="L57" s="805">
        <f>ROUND(J57*2%,0)</f>
        <v>41481</v>
      </c>
      <c r="M57" s="833">
        <v>9580</v>
      </c>
      <c r="N57" s="834">
        <f>SUM(O57:P57)</f>
        <v>4.0190999999999999</v>
      </c>
      <c r="O57" s="1054">
        <v>3.5657999999999999</v>
      </c>
      <c r="P57" s="1055">
        <v>0.45329999999999998</v>
      </c>
      <c r="Q57" s="835">
        <f>V57*-1</f>
        <v>0</v>
      </c>
      <c r="R57" s="835">
        <v>0</v>
      </c>
      <c r="S57" s="813">
        <v>0</v>
      </c>
      <c r="T57" s="813">
        <v>0</v>
      </c>
      <c r="U57" s="813">
        <f>SUM(Q57:T57)</f>
        <v>0</v>
      </c>
      <c r="V57" s="813">
        <v>0</v>
      </c>
      <c r="W57" s="813">
        <v>0</v>
      </c>
      <c r="X57" s="813">
        <v>0</v>
      </c>
      <c r="Y57" s="813">
        <f>SUM(V57:X57)</f>
        <v>0</v>
      </c>
      <c r="Z57" s="813">
        <f>U57+Y57</f>
        <v>0</v>
      </c>
      <c r="AA57" s="809">
        <f>ROUND((U57+V57+W57)*33.8%,0)</f>
        <v>0</v>
      </c>
      <c r="AB57" s="809">
        <f>ROUND(U57*2%,0)</f>
        <v>0</v>
      </c>
      <c r="AC57" s="813">
        <v>0</v>
      </c>
      <c r="AD57" s="813">
        <v>0</v>
      </c>
      <c r="AE57" s="813">
        <f>SUM(AC57:AD57)</f>
        <v>0</v>
      </c>
      <c r="AF57" s="813">
        <f>Z57+AA57+AB57+AE57</f>
        <v>0</v>
      </c>
      <c r="AG57" s="836">
        <v>0</v>
      </c>
      <c r="AH57" s="836">
        <v>0</v>
      </c>
      <c r="AI57" s="836">
        <v>0</v>
      </c>
      <c r="AJ57" s="836">
        <v>0</v>
      </c>
      <c r="AK57" s="836">
        <v>0</v>
      </c>
      <c r="AL57" s="836">
        <f>AG57+AI57+AJ57</f>
        <v>0</v>
      </c>
      <c r="AM57" s="836">
        <f>AH57+AK57</f>
        <v>0</v>
      </c>
      <c r="AN57" s="837">
        <f>SUM(AL57:AM57)</f>
        <v>0</v>
      </c>
      <c r="AO57" s="835">
        <f>I57+AF57</f>
        <v>2826145</v>
      </c>
      <c r="AP57" s="813">
        <f>J57+U57</f>
        <v>2074054</v>
      </c>
      <c r="AQ57" s="813">
        <f>Y57</f>
        <v>0</v>
      </c>
      <c r="AR57" s="813">
        <f>K57+AA57</f>
        <v>701030</v>
      </c>
      <c r="AS57" s="813">
        <f>L57+AB57</f>
        <v>41481</v>
      </c>
      <c r="AT57" s="813">
        <f>M57+AE57</f>
        <v>9580</v>
      </c>
      <c r="AU57" s="836">
        <f>N57+AN57</f>
        <v>4.0190999999999999</v>
      </c>
      <c r="AV57" s="836">
        <f>O57+AL57</f>
        <v>3.5657999999999999</v>
      </c>
      <c r="AW57" s="837">
        <f>P57+AM57</f>
        <v>0.45329999999999998</v>
      </c>
    </row>
    <row r="58" spans="1:49" ht="12.95" customHeight="1" x14ac:dyDescent="0.25">
      <c r="A58" s="814">
        <v>11</v>
      </c>
      <c r="B58" s="816">
        <v>4469</v>
      </c>
      <c r="C58" s="816">
        <v>600075079</v>
      </c>
      <c r="D58" s="816">
        <v>70695334</v>
      </c>
      <c r="E58" s="841" t="s">
        <v>355</v>
      </c>
      <c r="F58" s="850"/>
      <c r="G58" s="851"/>
      <c r="H58" s="851"/>
      <c r="I58" s="843">
        <f t="shared" ref="I58:AW58" si="24">SUM(I57)</f>
        <v>2826145</v>
      </c>
      <c r="J58" s="844">
        <f t="shared" si="24"/>
        <v>2074054</v>
      </c>
      <c r="K58" s="844">
        <f t="shared" si="24"/>
        <v>701030</v>
      </c>
      <c r="L58" s="844">
        <f t="shared" si="24"/>
        <v>41481</v>
      </c>
      <c r="M58" s="844">
        <f t="shared" si="24"/>
        <v>9580</v>
      </c>
      <c r="N58" s="845">
        <f t="shared" si="24"/>
        <v>4.0190999999999999</v>
      </c>
      <c r="O58" s="845">
        <f t="shared" si="24"/>
        <v>3.5657999999999999</v>
      </c>
      <c r="P58" s="847">
        <f t="shared" si="24"/>
        <v>0.45329999999999998</v>
      </c>
      <c r="Q58" s="848">
        <f t="shared" si="24"/>
        <v>0</v>
      </c>
      <c r="R58" s="844">
        <f t="shared" si="24"/>
        <v>0</v>
      </c>
      <c r="S58" s="844">
        <f t="shared" si="24"/>
        <v>0</v>
      </c>
      <c r="T58" s="844">
        <f t="shared" si="24"/>
        <v>0</v>
      </c>
      <c r="U58" s="844">
        <f t="shared" si="24"/>
        <v>0</v>
      </c>
      <c r="V58" s="844">
        <f t="shared" si="24"/>
        <v>0</v>
      </c>
      <c r="W58" s="844">
        <f t="shared" si="24"/>
        <v>0</v>
      </c>
      <c r="X58" s="844">
        <f t="shared" si="24"/>
        <v>0</v>
      </c>
      <c r="Y58" s="844">
        <f t="shared" si="24"/>
        <v>0</v>
      </c>
      <c r="Z58" s="844">
        <f t="shared" si="24"/>
        <v>0</v>
      </c>
      <c r="AA58" s="844">
        <f t="shared" si="24"/>
        <v>0</v>
      </c>
      <c r="AB58" s="844">
        <f t="shared" si="24"/>
        <v>0</v>
      </c>
      <c r="AC58" s="844">
        <f t="shared" si="24"/>
        <v>0</v>
      </c>
      <c r="AD58" s="844">
        <f t="shared" si="24"/>
        <v>0</v>
      </c>
      <c r="AE58" s="844">
        <f t="shared" si="24"/>
        <v>0</v>
      </c>
      <c r="AF58" s="844">
        <f t="shared" si="24"/>
        <v>0</v>
      </c>
      <c r="AG58" s="845">
        <f t="shared" si="24"/>
        <v>0</v>
      </c>
      <c r="AH58" s="845">
        <f t="shared" si="24"/>
        <v>0</v>
      </c>
      <c r="AI58" s="845">
        <f t="shared" si="24"/>
        <v>0</v>
      </c>
      <c r="AJ58" s="845">
        <f t="shared" si="24"/>
        <v>0</v>
      </c>
      <c r="AK58" s="845">
        <f t="shared" si="24"/>
        <v>0</v>
      </c>
      <c r="AL58" s="845">
        <f t="shared" si="24"/>
        <v>0</v>
      </c>
      <c r="AM58" s="845">
        <f t="shared" si="24"/>
        <v>0</v>
      </c>
      <c r="AN58" s="847">
        <f t="shared" si="24"/>
        <v>0</v>
      </c>
      <c r="AO58" s="848">
        <f t="shared" si="24"/>
        <v>2826145</v>
      </c>
      <c r="AP58" s="844">
        <f t="shared" si="24"/>
        <v>2074054</v>
      </c>
      <c r="AQ58" s="844">
        <f t="shared" si="24"/>
        <v>0</v>
      </c>
      <c r="AR58" s="844">
        <f t="shared" si="24"/>
        <v>701030</v>
      </c>
      <c r="AS58" s="844">
        <f t="shared" si="24"/>
        <v>41481</v>
      </c>
      <c r="AT58" s="844">
        <f t="shared" si="24"/>
        <v>9580</v>
      </c>
      <c r="AU58" s="845">
        <f t="shared" si="24"/>
        <v>4.0190999999999999</v>
      </c>
      <c r="AV58" s="845">
        <f t="shared" si="24"/>
        <v>3.5657999999999999</v>
      </c>
      <c r="AW58" s="847">
        <f t="shared" si="24"/>
        <v>0.45329999999999998</v>
      </c>
    </row>
    <row r="59" spans="1:49" ht="12.95" customHeight="1" x14ac:dyDescent="0.25">
      <c r="A59" s="827">
        <v>12</v>
      </c>
      <c r="B59" s="828">
        <v>4451</v>
      </c>
      <c r="C59" s="828">
        <v>600074927</v>
      </c>
      <c r="D59" s="828">
        <v>49864653</v>
      </c>
      <c r="E59" s="830" t="s">
        <v>356</v>
      </c>
      <c r="F59" s="828">
        <v>3111</v>
      </c>
      <c r="G59" s="831" t="s">
        <v>331</v>
      </c>
      <c r="H59" s="831" t="s">
        <v>283</v>
      </c>
      <c r="I59" s="803">
        <f t="shared" ref="I59:I64" si="25">SUM(J59:M59)</f>
        <v>7650859</v>
      </c>
      <c r="J59" s="833">
        <v>5597134</v>
      </c>
      <c r="K59" s="805">
        <f>ROUND((J59)*33.8%,0)+1</f>
        <v>1891832</v>
      </c>
      <c r="L59" s="805">
        <f>ROUND(J59*2%,0)</f>
        <v>111943</v>
      </c>
      <c r="M59" s="833">
        <v>49950</v>
      </c>
      <c r="N59" s="834">
        <f t="shared" ref="N59:N64" si="26">SUM(O59:P59)</f>
        <v>12.699800000000002</v>
      </c>
      <c r="O59" s="1054">
        <v>10.145200000000001</v>
      </c>
      <c r="P59" s="1055">
        <v>2.5546000000000002</v>
      </c>
      <c r="Q59" s="835">
        <f t="shared" ref="Q59:Q64" si="27">V59*-1</f>
        <v>-16000</v>
      </c>
      <c r="R59" s="835">
        <v>0</v>
      </c>
      <c r="S59" s="813">
        <v>0</v>
      </c>
      <c r="T59" s="813">
        <v>0</v>
      </c>
      <c r="U59" s="813">
        <f t="shared" ref="U59:U64" si="28">SUM(Q59:T59)</f>
        <v>-16000</v>
      </c>
      <c r="V59" s="813">
        <v>16000</v>
      </c>
      <c r="W59" s="813">
        <v>0</v>
      </c>
      <c r="X59" s="813">
        <v>0</v>
      </c>
      <c r="Y59" s="813">
        <f t="shared" ref="Y59:Y64" si="29">SUM(V59:X59)</f>
        <v>16000</v>
      </c>
      <c r="Z59" s="813">
        <f t="shared" ref="Z59:Z64" si="30">U59+Y59</f>
        <v>0</v>
      </c>
      <c r="AA59" s="809">
        <f t="shared" ref="AA59:AA64" si="31">ROUND((U59+V59+W59)*33.8%,0)</f>
        <v>0</v>
      </c>
      <c r="AB59" s="809">
        <f t="shared" ref="AB59:AB64" si="32">ROUND(U59*2%,0)</f>
        <v>-320</v>
      </c>
      <c r="AC59" s="813">
        <v>0</v>
      </c>
      <c r="AD59" s="813">
        <v>0</v>
      </c>
      <c r="AE59" s="813">
        <f t="shared" ref="AE59:AE64" si="33">SUM(AC59:AD59)</f>
        <v>0</v>
      </c>
      <c r="AF59" s="813">
        <f t="shared" ref="AF59:AF64" si="34">Z59+AA59+AB59+AE59</f>
        <v>-320</v>
      </c>
      <c r="AG59" s="836">
        <v>0</v>
      </c>
      <c r="AH59" s="836">
        <v>0</v>
      </c>
      <c r="AI59" s="836">
        <v>0</v>
      </c>
      <c r="AJ59" s="836">
        <v>0</v>
      </c>
      <c r="AK59" s="836">
        <v>0</v>
      </c>
      <c r="AL59" s="836">
        <f t="shared" ref="AL59:AL64" si="35">AG59+AI59+AJ59</f>
        <v>0</v>
      </c>
      <c r="AM59" s="836">
        <f t="shared" ref="AM59:AM64" si="36">AH59+AK59</f>
        <v>0</v>
      </c>
      <c r="AN59" s="837">
        <f t="shared" ref="AN59:AN64" si="37">SUM(AL59:AM59)</f>
        <v>0</v>
      </c>
      <c r="AO59" s="835">
        <f t="shared" ref="AO59:AO64" si="38">I59+AF59</f>
        <v>7650539</v>
      </c>
      <c r="AP59" s="813">
        <f t="shared" ref="AP59:AP64" si="39">J59+U59</f>
        <v>5581134</v>
      </c>
      <c r="AQ59" s="813">
        <f t="shared" ref="AQ59:AQ64" si="40">Y59</f>
        <v>16000</v>
      </c>
      <c r="AR59" s="813">
        <f t="shared" ref="AR59:AS64" si="41">K59+AA59</f>
        <v>1891832</v>
      </c>
      <c r="AS59" s="813">
        <f t="shared" si="41"/>
        <v>111623</v>
      </c>
      <c r="AT59" s="813">
        <f t="shared" ref="AT59:AT64" si="42">M59+AE59</f>
        <v>49950</v>
      </c>
      <c r="AU59" s="836">
        <f t="shared" ref="AU59:AU64" si="43">N59+AN59</f>
        <v>12.699800000000002</v>
      </c>
      <c r="AV59" s="836">
        <f t="shared" ref="AV59:AW64" si="44">O59+AL59</f>
        <v>10.145200000000001</v>
      </c>
      <c r="AW59" s="837">
        <f t="shared" si="44"/>
        <v>2.5546000000000002</v>
      </c>
    </row>
    <row r="60" spans="1:49" ht="12.95" customHeight="1" x14ac:dyDescent="0.25">
      <c r="A60" s="827">
        <v>12</v>
      </c>
      <c r="B60" s="828">
        <v>4451</v>
      </c>
      <c r="C60" s="828">
        <v>600074927</v>
      </c>
      <c r="D60" s="828">
        <v>49864653</v>
      </c>
      <c r="E60" s="830" t="s">
        <v>356</v>
      </c>
      <c r="F60" s="828">
        <v>3113</v>
      </c>
      <c r="G60" s="831" t="s">
        <v>335</v>
      </c>
      <c r="H60" s="831" t="s">
        <v>283</v>
      </c>
      <c r="I60" s="803">
        <f t="shared" si="25"/>
        <v>26016272</v>
      </c>
      <c r="J60" s="833">
        <v>18758433</v>
      </c>
      <c r="K60" s="805">
        <f>ROUND((J60)*33.8%,0)</f>
        <v>6340350</v>
      </c>
      <c r="L60" s="805">
        <f>ROUND(J60*2%,0)</f>
        <v>375169</v>
      </c>
      <c r="M60" s="833">
        <v>542320</v>
      </c>
      <c r="N60" s="834">
        <f t="shared" si="26"/>
        <v>36.783099999999997</v>
      </c>
      <c r="O60" s="1054">
        <v>27.681899999999999</v>
      </c>
      <c r="P60" s="1055">
        <v>9.1011999999999986</v>
      </c>
      <c r="Q60" s="835">
        <f t="shared" si="27"/>
        <v>-77600</v>
      </c>
      <c r="R60" s="835">
        <v>0</v>
      </c>
      <c r="S60" s="813">
        <v>0</v>
      </c>
      <c r="T60" s="813">
        <v>0</v>
      </c>
      <c r="U60" s="813">
        <f t="shared" si="28"/>
        <v>-77600</v>
      </c>
      <c r="V60" s="813">
        <v>77600</v>
      </c>
      <c r="W60" s="813">
        <v>0</v>
      </c>
      <c r="X60" s="813">
        <v>0</v>
      </c>
      <c r="Y60" s="813">
        <f t="shared" si="29"/>
        <v>77600</v>
      </c>
      <c r="Z60" s="813">
        <f t="shared" si="30"/>
        <v>0</v>
      </c>
      <c r="AA60" s="809">
        <f t="shared" si="31"/>
        <v>0</v>
      </c>
      <c r="AB60" s="809">
        <f t="shared" si="32"/>
        <v>-1552</v>
      </c>
      <c r="AC60" s="813">
        <v>0</v>
      </c>
      <c r="AD60" s="813">
        <v>0</v>
      </c>
      <c r="AE60" s="813">
        <f t="shared" si="33"/>
        <v>0</v>
      </c>
      <c r="AF60" s="813">
        <f t="shared" si="34"/>
        <v>-1552</v>
      </c>
      <c r="AG60" s="836">
        <v>-7.0000000000000007E-2</v>
      </c>
      <c r="AH60" s="836">
        <v>0</v>
      </c>
      <c r="AI60" s="836">
        <v>0</v>
      </c>
      <c r="AJ60" s="836">
        <v>0</v>
      </c>
      <c r="AK60" s="836">
        <v>0</v>
      </c>
      <c r="AL60" s="836">
        <f t="shared" si="35"/>
        <v>-7.0000000000000007E-2</v>
      </c>
      <c r="AM60" s="836">
        <f t="shared" si="36"/>
        <v>0</v>
      </c>
      <c r="AN60" s="837">
        <f t="shared" si="37"/>
        <v>-7.0000000000000007E-2</v>
      </c>
      <c r="AO60" s="835">
        <f t="shared" si="38"/>
        <v>26014720</v>
      </c>
      <c r="AP60" s="813">
        <f t="shared" si="39"/>
        <v>18680833</v>
      </c>
      <c r="AQ60" s="813">
        <f t="shared" si="40"/>
        <v>77600</v>
      </c>
      <c r="AR60" s="813">
        <f t="shared" si="41"/>
        <v>6340350</v>
      </c>
      <c r="AS60" s="813">
        <f t="shared" si="41"/>
        <v>373617</v>
      </c>
      <c r="AT60" s="813">
        <f t="shared" si="42"/>
        <v>542320</v>
      </c>
      <c r="AU60" s="836">
        <f t="shared" si="43"/>
        <v>36.713099999999997</v>
      </c>
      <c r="AV60" s="836">
        <f t="shared" si="44"/>
        <v>27.611899999999999</v>
      </c>
      <c r="AW60" s="837">
        <f t="shared" si="44"/>
        <v>9.1011999999999986</v>
      </c>
    </row>
    <row r="61" spans="1:49" ht="12.95" customHeight="1" x14ac:dyDescent="0.25">
      <c r="A61" s="827">
        <v>12</v>
      </c>
      <c r="B61" s="828">
        <v>4451</v>
      </c>
      <c r="C61" s="828">
        <v>600074927</v>
      </c>
      <c r="D61" s="828">
        <v>49864653</v>
      </c>
      <c r="E61" s="830" t="s">
        <v>356</v>
      </c>
      <c r="F61" s="828">
        <v>3113</v>
      </c>
      <c r="G61" s="831" t="s">
        <v>325</v>
      </c>
      <c r="H61" s="831" t="s">
        <v>284</v>
      </c>
      <c r="I61" s="803">
        <f t="shared" si="25"/>
        <v>0</v>
      </c>
      <c r="J61" s="833">
        <v>0</v>
      </c>
      <c r="K61" s="805">
        <v>0</v>
      </c>
      <c r="L61" s="805">
        <v>0</v>
      </c>
      <c r="M61" s="833">
        <v>0</v>
      </c>
      <c r="N61" s="834">
        <f t="shared" si="26"/>
        <v>0</v>
      </c>
      <c r="O61" s="1054">
        <v>0</v>
      </c>
      <c r="P61" s="1055">
        <v>0</v>
      </c>
      <c r="Q61" s="835">
        <f t="shared" si="27"/>
        <v>0</v>
      </c>
      <c r="R61" s="835">
        <f>3137163-52910+264628-138556</f>
        <v>3210325</v>
      </c>
      <c r="S61" s="813">
        <v>0</v>
      </c>
      <c r="T61" s="813">
        <v>0</v>
      </c>
      <c r="U61" s="813">
        <f t="shared" si="28"/>
        <v>3210325</v>
      </c>
      <c r="V61" s="813">
        <v>0</v>
      </c>
      <c r="W61" s="813">
        <v>0</v>
      </c>
      <c r="X61" s="813">
        <v>0</v>
      </c>
      <c r="Y61" s="813">
        <f t="shared" si="29"/>
        <v>0</v>
      </c>
      <c r="Z61" s="813">
        <f t="shared" si="30"/>
        <v>3210325</v>
      </c>
      <c r="AA61" s="809">
        <f t="shared" si="31"/>
        <v>1085090</v>
      </c>
      <c r="AB61" s="809">
        <f t="shared" si="32"/>
        <v>64207</v>
      </c>
      <c r="AC61" s="813">
        <v>0</v>
      </c>
      <c r="AD61" s="813">
        <v>0</v>
      </c>
      <c r="AE61" s="813">
        <f t="shared" si="33"/>
        <v>0</v>
      </c>
      <c r="AF61" s="813">
        <f t="shared" si="34"/>
        <v>4359622</v>
      </c>
      <c r="AG61" s="836">
        <v>0</v>
      </c>
      <c r="AH61" s="836">
        <v>0</v>
      </c>
      <c r="AI61" s="836">
        <f>10.39-0.46+1.05-0.75</f>
        <v>10.23</v>
      </c>
      <c r="AJ61" s="836">
        <v>0</v>
      </c>
      <c r="AK61" s="836">
        <v>0</v>
      </c>
      <c r="AL61" s="836">
        <f t="shared" si="35"/>
        <v>10.23</v>
      </c>
      <c r="AM61" s="836">
        <f t="shared" si="36"/>
        <v>0</v>
      </c>
      <c r="AN61" s="837">
        <f t="shared" si="37"/>
        <v>10.23</v>
      </c>
      <c r="AO61" s="835">
        <f t="shared" si="38"/>
        <v>4359622</v>
      </c>
      <c r="AP61" s="813">
        <f t="shared" si="39"/>
        <v>3210325</v>
      </c>
      <c r="AQ61" s="813">
        <f t="shared" si="40"/>
        <v>0</v>
      </c>
      <c r="AR61" s="813">
        <f t="shared" si="41"/>
        <v>1085090</v>
      </c>
      <c r="AS61" s="813">
        <f t="shared" si="41"/>
        <v>64207</v>
      </c>
      <c r="AT61" s="813">
        <f t="shared" si="42"/>
        <v>0</v>
      </c>
      <c r="AU61" s="836">
        <f t="shared" si="43"/>
        <v>10.23</v>
      </c>
      <c r="AV61" s="836">
        <f t="shared" si="44"/>
        <v>10.23</v>
      </c>
      <c r="AW61" s="837">
        <f t="shared" si="44"/>
        <v>0</v>
      </c>
    </row>
    <row r="62" spans="1:49" ht="12.95" customHeight="1" x14ac:dyDescent="0.25">
      <c r="A62" s="827">
        <v>12</v>
      </c>
      <c r="B62" s="828">
        <v>4451</v>
      </c>
      <c r="C62" s="828">
        <v>600074927</v>
      </c>
      <c r="D62" s="828">
        <v>49864653</v>
      </c>
      <c r="E62" s="830" t="s">
        <v>356</v>
      </c>
      <c r="F62" s="828">
        <v>3141</v>
      </c>
      <c r="G62" s="831" t="s">
        <v>321</v>
      </c>
      <c r="H62" s="831" t="s">
        <v>284</v>
      </c>
      <c r="I62" s="803">
        <f t="shared" si="25"/>
        <v>4141118</v>
      </c>
      <c r="J62" s="833">
        <v>3025742</v>
      </c>
      <c r="K62" s="805">
        <f>ROUND((J62)*33.8%,0)</f>
        <v>1022701</v>
      </c>
      <c r="L62" s="805">
        <f>ROUND(J62*2%,0)</f>
        <v>60515</v>
      </c>
      <c r="M62" s="833">
        <v>32160</v>
      </c>
      <c r="N62" s="834">
        <f t="shared" si="26"/>
        <v>10.29</v>
      </c>
      <c r="O62" s="1054">
        <v>0</v>
      </c>
      <c r="P62" s="1055">
        <v>10.29</v>
      </c>
      <c r="Q62" s="835">
        <f t="shared" si="27"/>
        <v>0</v>
      </c>
      <c r="R62" s="835">
        <v>0</v>
      </c>
      <c r="S62" s="813">
        <v>0</v>
      </c>
      <c r="T62" s="813">
        <v>0</v>
      </c>
      <c r="U62" s="813">
        <f t="shared" si="28"/>
        <v>0</v>
      </c>
      <c r="V62" s="813">
        <v>0</v>
      </c>
      <c r="W62" s="813">
        <v>0</v>
      </c>
      <c r="X62" s="813">
        <v>0</v>
      </c>
      <c r="Y62" s="813">
        <f t="shared" si="29"/>
        <v>0</v>
      </c>
      <c r="Z62" s="813">
        <f t="shared" si="30"/>
        <v>0</v>
      </c>
      <c r="AA62" s="809">
        <f t="shared" si="31"/>
        <v>0</v>
      </c>
      <c r="AB62" s="809">
        <f t="shared" si="32"/>
        <v>0</v>
      </c>
      <c r="AC62" s="813">
        <v>0</v>
      </c>
      <c r="AD62" s="813">
        <v>0</v>
      </c>
      <c r="AE62" s="813">
        <f t="shared" si="33"/>
        <v>0</v>
      </c>
      <c r="AF62" s="813">
        <f t="shared" si="34"/>
        <v>0</v>
      </c>
      <c r="AG62" s="836">
        <v>0</v>
      </c>
      <c r="AH62" s="836">
        <v>0</v>
      </c>
      <c r="AI62" s="836">
        <v>0</v>
      </c>
      <c r="AJ62" s="836">
        <v>0</v>
      </c>
      <c r="AK62" s="836">
        <v>0</v>
      </c>
      <c r="AL62" s="836">
        <f t="shared" si="35"/>
        <v>0</v>
      </c>
      <c r="AM62" s="836">
        <f t="shared" si="36"/>
        <v>0</v>
      </c>
      <c r="AN62" s="837">
        <f t="shared" si="37"/>
        <v>0</v>
      </c>
      <c r="AO62" s="835">
        <f t="shared" si="38"/>
        <v>4141118</v>
      </c>
      <c r="AP62" s="813">
        <f t="shared" si="39"/>
        <v>3025742</v>
      </c>
      <c r="AQ62" s="813">
        <f t="shared" si="40"/>
        <v>0</v>
      </c>
      <c r="AR62" s="813">
        <f t="shared" si="41"/>
        <v>1022701</v>
      </c>
      <c r="AS62" s="813">
        <f t="shared" si="41"/>
        <v>60515</v>
      </c>
      <c r="AT62" s="813">
        <f t="shared" si="42"/>
        <v>32160</v>
      </c>
      <c r="AU62" s="836">
        <f t="shared" si="43"/>
        <v>10.29</v>
      </c>
      <c r="AV62" s="836">
        <f t="shared" si="44"/>
        <v>0</v>
      </c>
      <c r="AW62" s="837">
        <f t="shared" si="44"/>
        <v>10.29</v>
      </c>
    </row>
    <row r="63" spans="1:49" ht="12.95" customHeight="1" x14ac:dyDescent="0.25">
      <c r="A63" s="827">
        <v>12</v>
      </c>
      <c r="B63" s="828">
        <v>4451</v>
      </c>
      <c r="C63" s="828">
        <v>600074927</v>
      </c>
      <c r="D63" s="828">
        <v>49864653</v>
      </c>
      <c r="E63" s="830" t="s">
        <v>356</v>
      </c>
      <c r="F63" s="828">
        <v>3143</v>
      </c>
      <c r="G63" s="831" t="s">
        <v>635</v>
      </c>
      <c r="H63" s="831" t="s">
        <v>283</v>
      </c>
      <c r="I63" s="803">
        <f t="shared" si="25"/>
        <v>2083055</v>
      </c>
      <c r="J63" s="833">
        <v>1533914</v>
      </c>
      <c r="K63" s="805">
        <f>ROUND((J63)*33.8%,0)</f>
        <v>518463</v>
      </c>
      <c r="L63" s="805">
        <f>ROUND(J63*2%,0)</f>
        <v>30678</v>
      </c>
      <c r="M63" s="833">
        <v>0</v>
      </c>
      <c r="N63" s="834">
        <f t="shared" si="26"/>
        <v>3.25</v>
      </c>
      <c r="O63" s="1054">
        <v>3.25</v>
      </c>
      <c r="P63" s="1055">
        <v>0</v>
      </c>
      <c r="Q63" s="835">
        <f t="shared" si="27"/>
        <v>0</v>
      </c>
      <c r="R63" s="835">
        <v>0</v>
      </c>
      <c r="S63" s="813">
        <v>0</v>
      </c>
      <c r="T63" s="813">
        <v>0</v>
      </c>
      <c r="U63" s="813">
        <f t="shared" si="28"/>
        <v>0</v>
      </c>
      <c r="V63" s="813">
        <v>0</v>
      </c>
      <c r="W63" s="813">
        <v>0</v>
      </c>
      <c r="X63" s="813">
        <v>0</v>
      </c>
      <c r="Y63" s="813">
        <f t="shared" si="29"/>
        <v>0</v>
      </c>
      <c r="Z63" s="813">
        <f t="shared" si="30"/>
        <v>0</v>
      </c>
      <c r="AA63" s="809">
        <f t="shared" si="31"/>
        <v>0</v>
      </c>
      <c r="AB63" s="809">
        <f t="shared" si="32"/>
        <v>0</v>
      </c>
      <c r="AC63" s="813">
        <v>0</v>
      </c>
      <c r="AD63" s="813">
        <v>0</v>
      </c>
      <c r="AE63" s="813">
        <f t="shared" si="33"/>
        <v>0</v>
      </c>
      <c r="AF63" s="813">
        <f t="shared" si="34"/>
        <v>0</v>
      </c>
      <c r="AG63" s="836">
        <v>0</v>
      </c>
      <c r="AH63" s="836">
        <v>0</v>
      </c>
      <c r="AI63" s="836">
        <v>0</v>
      </c>
      <c r="AJ63" s="836">
        <v>0</v>
      </c>
      <c r="AK63" s="836">
        <v>0</v>
      </c>
      <c r="AL63" s="836">
        <f t="shared" si="35"/>
        <v>0</v>
      </c>
      <c r="AM63" s="836">
        <f t="shared" si="36"/>
        <v>0</v>
      </c>
      <c r="AN63" s="837">
        <f t="shared" si="37"/>
        <v>0</v>
      </c>
      <c r="AO63" s="835">
        <f t="shared" si="38"/>
        <v>2083055</v>
      </c>
      <c r="AP63" s="813">
        <f t="shared" si="39"/>
        <v>1533914</v>
      </c>
      <c r="AQ63" s="813">
        <f t="shared" si="40"/>
        <v>0</v>
      </c>
      <c r="AR63" s="813">
        <f t="shared" si="41"/>
        <v>518463</v>
      </c>
      <c r="AS63" s="813">
        <f t="shared" si="41"/>
        <v>30678</v>
      </c>
      <c r="AT63" s="813">
        <f t="shared" si="42"/>
        <v>0</v>
      </c>
      <c r="AU63" s="836">
        <f t="shared" si="43"/>
        <v>3.25</v>
      </c>
      <c r="AV63" s="836">
        <f t="shared" si="44"/>
        <v>3.25</v>
      </c>
      <c r="AW63" s="837">
        <f t="shared" si="44"/>
        <v>0</v>
      </c>
    </row>
    <row r="64" spans="1:49" ht="12.95" customHeight="1" x14ac:dyDescent="0.25">
      <c r="A64" s="827">
        <v>12</v>
      </c>
      <c r="B64" s="828">
        <v>4451</v>
      </c>
      <c r="C64" s="828">
        <v>600074927</v>
      </c>
      <c r="D64" s="828">
        <v>49864653</v>
      </c>
      <c r="E64" s="830" t="s">
        <v>356</v>
      </c>
      <c r="F64" s="828">
        <v>3143</v>
      </c>
      <c r="G64" s="831" t="s">
        <v>636</v>
      </c>
      <c r="H64" s="831" t="s">
        <v>284</v>
      </c>
      <c r="I64" s="803">
        <f t="shared" si="25"/>
        <v>70221</v>
      </c>
      <c r="J64" s="833">
        <v>49500</v>
      </c>
      <c r="K64" s="805">
        <f>ROUND((J64)*33.8%,0)</f>
        <v>16731</v>
      </c>
      <c r="L64" s="805">
        <f>ROUND(J64*2%,0)</f>
        <v>990</v>
      </c>
      <c r="M64" s="833">
        <v>3000</v>
      </c>
      <c r="N64" s="834">
        <f t="shared" si="26"/>
        <v>0.21</v>
      </c>
      <c r="O64" s="1054">
        <v>0</v>
      </c>
      <c r="P64" s="1055">
        <v>0.21</v>
      </c>
      <c r="Q64" s="835">
        <f t="shared" si="27"/>
        <v>0</v>
      </c>
      <c r="R64" s="835">
        <v>0</v>
      </c>
      <c r="S64" s="813">
        <v>0</v>
      </c>
      <c r="T64" s="813">
        <v>0</v>
      </c>
      <c r="U64" s="813">
        <f t="shared" si="28"/>
        <v>0</v>
      </c>
      <c r="V64" s="813">
        <v>0</v>
      </c>
      <c r="W64" s="813">
        <v>0</v>
      </c>
      <c r="X64" s="813">
        <v>0</v>
      </c>
      <c r="Y64" s="813">
        <f t="shared" si="29"/>
        <v>0</v>
      </c>
      <c r="Z64" s="813">
        <f t="shared" si="30"/>
        <v>0</v>
      </c>
      <c r="AA64" s="809">
        <f t="shared" si="31"/>
        <v>0</v>
      </c>
      <c r="AB64" s="809">
        <f t="shared" si="32"/>
        <v>0</v>
      </c>
      <c r="AC64" s="813">
        <v>0</v>
      </c>
      <c r="AD64" s="813">
        <v>0</v>
      </c>
      <c r="AE64" s="813">
        <f t="shared" si="33"/>
        <v>0</v>
      </c>
      <c r="AF64" s="813">
        <f t="shared" si="34"/>
        <v>0</v>
      </c>
      <c r="AG64" s="836">
        <v>0</v>
      </c>
      <c r="AH64" s="836">
        <v>0</v>
      </c>
      <c r="AI64" s="836">
        <v>0</v>
      </c>
      <c r="AJ64" s="836">
        <v>0</v>
      </c>
      <c r="AK64" s="836">
        <v>0</v>
      </c>
      <c r="AL64" s="836">
        <f t="shared" si="35"/>
        <v>0</v>
      </c>
      <c r="AM64" s="836">
        <f t="shared" si="36"/>
        <v>0</v>
      </c>
      <c r="AN64" s="837">
        <f t="shared" si="37"/>
        <v>0</v>
      </c>
      <c r="AO64" s="835">
        <f t="shared" si="38"/>
        <v>70221</v>
      </c>
      <c r="AP64" s="813">
        <f t="shared" si="39"/>
        <v>49500</v>
      </c>
      <c r="AQ64" s="813">
        <f t="shared" si="40"/>
        <v>0</v>
      </c>
      <c r="AR64" s="813">
        <f t="shared" si="41"/>
        <v>16731</v>
      </c>
      <c r="AS64" s="813">
        <f t="shared" si="41"/>
        <v>990</v>
      </c>
      <c r="AT64" s="813">
        <f t="shared" si="42"/>
        <v>3000</v>
      </c>
      <c r="AU64" s="836">
        <f t="shared" si="43"/>
        <v>0.21</v>
      </c>
      <c r="AV64" s="836">
        <f t="shared" si="44"/>
        <v>0</v>
      </c>
      <c r="AW64" s="837">
        <f t="shared" si="44"/>
        <v>0.21</v>
      </c>
    </row>
    <row r="65" spans="1:49" ht="12.95" customHeight="1" x14ac:dyDescent="0.25">
      <c r="A65" s="814">
        <v>12</v>
      </c>
      <c r="B65" s="816">
        <v>4451</v>
      </c>
      <c r="C65" s="816">
        <v>600074927</v>
      </c>
      <c r="D65" s="816">
        <v>49864653</v>
      </c>
      <c r="E65" s="841" t="s">
        <v>357</v>
      </c>
      <c r="F65" s="850"/>
      <c r="G65" s="851"/>
      <c r="H65" s="851"/>
      <c r="I65" s="843">
        <f t="shared" ref="I65:AW65" si="45">SUM(I59:I64)</f>
        <v>39961525</v>
      </c>
      <c r="J65" s="844">
        <f t="shared" si="45"/>
        <v>28964723</v>
      </c>
      <c r="K65" s="844">
        <f t="shared" si="45"/>
        <v>9790077</v>
      </c>
      <c r="L65" s="844">
        <f t="shared" si="45"/>
        <v>579295</v>
      </c>
      <c r="M65" s="844">
        <f t="shared" si="45"/>
        <v>627430</v>
      </c>
      <c r="N65" s="845">
        <f t="shared" si="45"/>
        <v>63.232900000000001</v>
      </c>
      <c r="O65" s="845">
        <f t="shared" si="45"/>
        <v>41.077100000000002</v>
      </c>
      <c r="P65" s="847">
        <f t="shared" si="45"/>
        <v>22.155799999999999</v>
      </c>
      <c r="Q65" s="848">
        <f t="shared" si="45"/>
        <v>-93600</v>
      </c>
      <c r="R65" s="844">
        <f t="shared" si="45"/>
        <v>3210325</v>
      </c>
      <c r="S65" s="844">
        <f t="shared" si="45"/>
        <v>0</v>
      </c>
      <c r="T65" s="844">
        <f t="shared" si="45"/>
        <v>0</v>
      </c>
      <c r="U65" s="844">
        <f t="shared" si="45"/>
        <v>3116725</v>
      </c>
      <c r="V65" s="844">
        <f t="shared" si="45"/>
        <v>93600</v>
      </c>
      <c r="W65" s="844">
        <f t="shared" si="45"/>
        <v>0</v>
      </c>
      <c r="X65" s="844">
        <f t="shared" si="45"/>
        <v>0</v>
      </c>
      <c r="Y65" s="844">
        <f t="shared" si="45"/>
        <v>93600</v>
      </c>
      <c r="Z65" s="844">
        <f t="shared" si="45"/>
        <v>3210325</v>
      </c>
      <c r="AA65" s="844">
        <f t="shared" si="45"/>
        <v>1085090</v>
      </c>
      <c r="AB65" s="844">
        <f t="shared" si="45"/>
        <v>62335</v>
      </c>
      <c r="AC65" s="844">
        <f t="shared" si="45"/>
        <v>0</v>
      </c>
      <c r="AD65" s="844">
        <f t="shared" si="45"/>
        <v>0</v>
      </c>
      <c r="AE65" s="844">
        <f t="shared" si="45"/>
        <v>0</v>
      </c>
      <c r="AF65" s="844">
        <f t="shared" si="45"/>
        <v>4357750</v>
      </c>
      <c r="AG65" s="845">
        <f t="shared" si="45"/>
        <v>-7.0000000000000007E-2</v>
      </c>
      <c r="AH65" s="845">
        <f t="shared" si="45"/>
        <v>0</v>
      </c>
      <c r="AI65" s="845">
        <f t="shared" si="45"/>
        <v>10.23</v>
      </c>
      <c r="AJ65" s="845">
        <f t="shared" si="45"/>
        <v>0</v>
      </c>
      <c r="AK65" s="845">
        <f t="shared" si="45"/>
        <v>0</v>
      </c>
      <c r="AL65" s="845">
        <f t="shared" si="45"/>
        <v>10.16</v>
      </c>
      <c r="AM65" s="845">
        <f t="shared" si="45"/>
        <v>0</v>
      </c>
      <c r="AN65" s="847">
        <f t="shared" si="45"/>
        <v>10.16</v>
      </c>
      <c r="AO65" s="848">
        <f t="shared" si="45"/>
        <v>44319275</v>
      </c>
      <c r="AP65" s="844">
        <f t="shared" si="45"/>
        <v>32081448</v>
      </c>
      <c r="AQ65" s="844">
        <f t="shared" si="45"/>
        <v>93600</v>
      </c>
      <c r="AR65" s="844">
        <f t="shared" si="45"/>
        <v>10875167</v>
      </c>
      <c r="AS65" s="844">
        <f t="shared" si="45"/>
        <v>641630</v>
      </c>
      <c r="AT65" s="844">
        <f t="shared" si="45"/>
        <v>627430</v>
      </c>
      <c r="AU65" s="845">
        <f t="shared" si="45"/>
        <v>73.392899999999983</v>
      </c>
      <c r="AV65" s="845">
        <f t="shared" si="45"/>
        <v>51.237099999999998</v>
      </c>
      <c r="AW65" s="847">
        <f t="shared" si="45"/>
        <v>22.155799999999999</v>
      </c>
    </row>
    <row r="66" spans="1:49" ht="12.95" customHeight="1" x14ac:dyDescent="0.25">
      <c r="A66" s="827">
        <v>13</v>
      </c>
      <c r="B66" s="828">
        <v>4450</v>
      </c>
      <c r="C66" s="828">
        <v>650033841</v>
      </c>
      <c r="D66" s="828">
        <v>72744995</v>
      </c>
      <c r="E66" s="830" t="s">
        <v>358</v>
      </c>
      <c r="F66" s="828">
        <v>3111</v>
      </c>
      <c r="G66" s="831" t="s">
        <v>359</v>
      </c>
      <c r="H66" s="831" t="s">
        <v>283</v>
      </c>
      <c r="I66" s="803">
        <f t="shared" ref="I66:I71" si="46">SUM(J66:M66)</f>
        <v>1518387</v>
      </c>
      <c r="J66" s="833">
        <v>1109821</v>
      </c>
      <c r="K66" s="805">
        <f>ROUND((J66)*33.8%,0)+1</f>
        <v>375120</v>
      </c>
      <c r="L66" s="805">
        <f>ROUND(J66*2%,0)</f>
        <v>22196</v>
      </c>
      <c r="M66" s="833">
        <v>11250</v>
      </c>
      <c r="N66" s="834">
        <f t="shared" ref="N66:N71" si="47">SUM(O66:P66)</f>
        <v>2.4464000000000001</v>
      </c>
      <c r="O66" s="1054">
        <v>1.9355</v>
      </c>
      <c r="P66" s="1055">
        <v>0.51090000000000002</v>
      </c>
      <c r="Q66" s="835">
        <f t="shared" ref="Q66:Q71" si="48">V66*-1</f>
        <v>-20000</v>
      </c>
      <c r="R66" s="835">
        <v>0</v>
      </c>
      <c r="S66" s="813">
        <v>0</v>
      </c>
      <c r="T66" s="813">
        <v>0</v>
      </c>
      <c r="U66" s="813">
        <f t="shared" ref="U66:U71" si="49">SUM(Q66:T66)</f>
        <v>-20000</v>
      </c>
      <c r="V66" s="813">
        <v>20000</v>
      </c>
      <c r="W66" s="813">
        <v>0</v>
      </c>
      <c r="X66" s="813">
        <v>0</v>
      </c>
      <c r="Y66" s="813">
        <f t="shared" ref="Y66:Y71" si="50">SUM(V66:X66)</f>
        <v>20000</v>
      </c>
      <c r="Z66" s="813">
        <f t="shared" ref="Z66:Z71" si="51">U66+Y66</f>
        <v>0</v>
      </c>
      <c r="AA66" s="809">
        <f t="shared" ref="AA66:AA71" si="52">ROUND((U66+V66+W66)*33.8%,0)</f>
        <v>0</v>
      </c>
      <c r="AB66" s="809">
        <f t="shared" ref="AB66:AB71" si="53">ROUND(U66*2%,0)</f>
        <v>-400</v>
      </c>
      <c r="AC66" s="813">
        <v>0</v>
      </c>
      <c r="AD66" s="813">
        <v>0</v>
      </c>
      <c r="AE66" s="813">
        <f t="shared" ref="AE66:AE71" si="54">SUM(AC66:AD66)</f>
        <v>0</v>
      </c>
      <c r="AF66" s="813">
        <f t="shared" ref="AF66:AF71" si="55">Z66+AA66+AB66+AE66</f>
        <v>-400</v>
      </c>
      <c r="AG66" s="836">
        <v>0</v>
      </c>
      <c r="AH66" s="836">
        <v>-0.02</v>
      </c>
      <c r="AI66" s="836">
        <v>0</v>
      </c>
      <c r="AJ66" s="836">
        <v>0</v>
      </c>
      <c r="AK66" s="836">
        <v>0</v>
      </c>
      <c r="AL66" s="836">
        <f t="shared" ref="AL66:AL71" si="56">AG66+AI66+AJ66</f>
        <v>0</v>
      </c>
      <c r="AM66" s="836">
        <f t="shared" ref="AM66:AM71" si="57">AH66+AK66</f>
        <v>-0.02</v>
      </c>
      <c r="AN66" s="837">
        <f t="shared" ref="AN66:AN71" si="58">SUM(AL66:AM66)</f>
        <v>-0.02</v>
      </c>
      <c r="AO66" s="835">
        <f t="shared" ref="AO66:AO78" si="59">I66+AF66</f>
        <v>1517987</v>
      </c>
      <c r="AP66" s="813">
        <f t="shared" ref="AP66:AP78" si="60">J66+U66</f>
        <v>1089821</v>
      </c>
      <c r="AQ66" s="813">
        <f t="shared" ref="AQ66:AQ71" si="61">Y66</f>
        <v>20000</v>
      </c>
      <c r="AR66" s="813">
        <f t="shared" ref="AR66:AS78" si="62">K66+AA66</f>
        <v>375120</v>
      </c>
      <c r="AS66" s="813">
        <f t="shared" si="62"/>
        <v>21796</v>
      </c>
      <c r="AT66" s="813">
        <f t="shared" ref="AT66:AT71" si="63">M66+AE66</f>
        <v>11250</v>
      </c>
      <c r="AU66" s="836">
        <f t="shared" ref="AU66:AU71" si="64">N66+AN66</f>
        <v>2.4264000000000001</v>
      </c>
      <c r="AV66" s="836">
        <f t="shared" ref="AV66:AW71" si="65">O66+AL66</f>
        <v>1.9355</v>
      </c>
      <c r="AW66" s="837">
        <f t="shared" si="65"/>
        <v>0.4909</v>
      </c>
    </row>
    <row r="67" spans="1:49" ht="12.95" customHeight="1" x14ac:dyDescent="0.25">
      <c r="A67" s="827">
        <v>13</v>
      </c>
      <c r="B67" s="828">
        <v>4450</v>
      </c>
      <c r="C67" s="828">
        <v>650033841</v>
      </c>
      <c r="D67" s="828">
        <v>72744995</v>
      </c>
      <c r="E67" s="830" t="s">
        <v>358</v>
      </c>
      <c r="F67" s="828">
        <v>3117</v>
      </c>
      <c r="G67" s="831" t="s">
        <v>335</v>
      </c>
      <c r="H67" s="831" t="s">
        <v>283</v>
      </c>
      <c r="I67" s="803">
        <f t="shared" si="46"/>
        <v>3091263</v>
      </c>
      <c r="J67" s="833">
        <v>2241077</v>
      </c>
      <c r="K67" s="805">
        <f>ROUND((J67)*33.8%,0)</f>
        <v>757484</v>
      </c>
      <c r="L67" s="805">
        <f>ROUND(J67*2%,0)</f>
        <v>44822</v>
      </c>
      <c r="M67" s="833">
        <v>47880</v>
      </c>
      <c r="N67" s="834">
        <f t="shared" si="47"/>
        <v>4.1594999999999995</v>
      </c>
      <c r="O67" s="1054">
        <v>2.9590999999999998</v>
      </c>
      <c r="P67" s="1055">
        <v>1.2004000000000001</v>
      </c>
      <c r="Q67" s="835">
        <f t="shared" si="48"/>
        <v>-4000</v>
      </c>
      <c r="R67" s="835">
        <v>0</v>
      </c>
      <c r="S67" s="813">
        <v>0</v>
      </c>
      <c r="T67" s="813">
        <v>0</v>
      </c>
      <c r="U67" s="813">
        <f t="shared" si="49"/>
        <v>-4000</v>
      </c>
      <c r="V67" s="813">
        <v>4000</v>
      </c>
      <c r="W67" s="813">
        <v>0</v>
      </c>
      <c r="X67" s="813">
        <v>0</v>
      </c>
      <c r="Y67" s="813">
        <f t="shared" si="50"/>
        <v>4000</v>
      </c>
      <c r="Z67" s="813">
        <f t="shared" si="51"/>
        <v>0</v>
      </c>
      <c r="AA67" s="809">
        <f t="shared" si="52"/>
        <v>0</v>
      </c>
      <c r="AB67" s="809">
        <f t="shared" si="53"/>
        <v>-80</v>
      </c>
      <c r="AC67" s="813">
        <v>0</v>
      </c>
      <c r="AD67" s="813">
        <v>0</v>
      </c>
      <c r="AE67" s="813">
        <f t="shared" si="54"/>
        <v>0</v>
      </c>
      <c r="AF67" s="813">
        <f t="shared" si="55"/>
        <v>-80</v>
      </c>
      <c r="AG67" s="836">
        <v>0</v>
      </c>
      <c r="AH67" s="836">
        <v>0</v>
      </c>
      <c r="AI67" s="836">
        <v>0</v>
      </c>
      <c r="AJ67" s="836">
        <v>0</v>
      </c>
      <c r="AK67" s="836">
        <v>0</v>
      </c>
      <c r="AL67" s="836">
        <f t="shared" si="56"/>
        <v>0</v>
      </c>
      <c r="AM67" s="836">
        <f t="shared" si="57"/>
        <v>0</v>
      </c>
      <c r="AN67" s="837">
        <f t="shared" si="58"/>
        <v>0</v>
      </c>
      <c r="AO67" s="835">
        <f t="shared" si="59"/>
        <v>3091183</v>
      </c>
      <c r="AP67" s="813">
        <f t="shared" si="60"/>
        <v>2237077</v>
      </c>
      <c r="AQ67" s="813">
        <f t="shared" si="61"/>
        <v>4000</v>
      </c>
      <c r="AR67" s="813">
        <f t="shared" si="62"/>
        <v>757484</v>
      </c>
      <c r="AS67" s="813">
        <f t="shared" si="62"/>
        <v>44742</v>
      </c>
      <c r="AT67" s="813">
        <f t="shared" si="63"/>
        <v>47880</v>
      </c>
      <c r="AU67" s="836">
        <f t="shared" si="64"/>
        <v>4.1594999999999995</v>
      </c>
      <c r="AV67" s="836">
        <f t="shared" si="65"/>
        <v>2.9590999999999998</v>
      </c>
      <c r="AW67" s="837">
        <f t="shared" si="65"/>
        <v>1.2004000000000001</v>
      </c>
    </row>
    <row r="68" spans="1:49" ht="12.95" customHeight="1" x14ac:dyDescent="0.25">
      <c r="A68" s="827">
        <v>13</v>
      </c>
      <c r="B68" s="828">
        <v>4450</v>
      </c>
      <c r="C68" s="828">
        <v>650033841</v>
      </c>
      <c r="D68" s="828">
        <v>72744995</v>
      </c>
      <c r="E68" s="830" t="s">
        <v>358</v>
      </c>
      <c r="F68" s="828">
        <v>3117</v>
      </c>
      <c r="G68" s="831" t="s">
        <v>325</v>
      </c>
      <c r="H68" s="831" t="s">
        <v>284</v>
      </c>
      <c r="I68" s="803">
        <f t="shared" si="46"/>
        <v>0</v>
      </c>
      <c r="J68" s="833">
        <v>0</v>
      </c>
      <c r="K68" s="805">
        <v>0</v>
      </c>
      <c r="L68" s="805">
        <v>0</v>
      </c>
      <c r="M68" s="833">
        <v>0</v>
      </c>
      <c r="N68" s="834">
        <f t="shared" si="47"/>
        <v>0</v>
      </c>
      <c r="O68" s="1054">
        <v>0</v>
      </c>
      <c r="P68" s="1055">
        <v>0</v>
      </c>
      <c r="Q68" s="835">
        <f t="shared" si="48"/>
        <v>0</v>
      </c>
      <c r="R68" s="835">
        <f>692887+148202</f>
        <v>841089</v>
      </c>
      <c r="S68" s="813">
        <v>0</v>
      </c>
      <c r="T68" s="813">
        <v>0</v>
      </c>
      <c r="U68" s="813">
        <f t="shared" si="49"/>
        <v>841089</v>
      </c>
      <c r="V68" s="813">
        <v>0</v>
      </c>
      <c r="W68" s="813">
        <v>0</v>
      </c>
      <c r="X68" s="813">
        <v>0</v>
      </c>
      <c r="Y68" s="813">
        <f t="shared" si="50"/>
        <v>0</v>
      </c>
      <c r="Z68" s="813">
        <f t="shared" si="51"/>
        <v>841089</v>
      </c>
      <c r="AA68" s="809">
        <f t="shared" si="52"/>
        <v>284288</v>
      </c>
      <c r="AB68" s="809">
        <f t="shared" si="53"/>
        <v>16822</v>
      </c>
      <c r="AC68" s="813">
        <v>0</v>
      </c>
      <c r="AD68" s="813">
        <v>0</v>
      </c>
      <c r="AE68" s="813">
        <f t="shared" si="54"/>
        <v>0</v>
      </c>
      <c r="AF68" s="813">
        <f t="shared" si="55"/>
        <v>1142199</v>
      </c>
      <c r="AG68" s="836">
        <v>0</v>
      </c>
      <c r="AH68" s="836">
        <v>0</v>
      </c>
      <c r="AI68" s="836">
        <f>2+0.42</f>
        <v>2.42</v>
      </c>
      <c r="AJ68" s="836">
        <v>0</v>
      </c>
      <c r="AK68" s="836">
        <v>0</v>
      </c>
      <c r="AL68" s="836">
        <f t="shared" si="56"/>
        <v>2.42</v>
      </c>
      <c r="AM68" s="836">
        <f t="shared" si="57"/>
        <v>0</v>
      </c>
      <c r="AN68" s="837">
        <f t="shared" si="58"/>
        <v>2.42</v>
      </c>
      <c r="AO68" s="835">
        <f t="shared" si="59"/>
        <v>1142199</v>
      </c>
      <c r="AP68" s="813">
        <f t="shared" si="60"/>
        <v>841089</v>
      </c>
      <c r="AQ68" s="813">
        <f t="shared" si="61"/>
        <v>0</v>
      </c>
      <c r="AR68" s="813">
        <f t="shared" si="62"/>
        <v>284288</v>
      </c>
      <c r="AS68" s="813">
        <f t="shared" si="62"/>
        <v>16822</v>
      </c>
      <c r="AT68" s="813">
        <f t="shared" si="63"/>
        <v>0</v>
      </c>
      <c r="AU68" s="836">
        <f t="shared" si="64"/>
        <v>2.42</v>
      </c>
      <c r="AV68" s="836">
        <f t="shared" si="65"/>
        <v>2.42</v>
      </c>
      <c r="AW68" s="837">
        <f t="shared" si="65"/>
        <v>0</v>
      </c>
    </row>
    <row r="69" spans="1:49" ht="12.95" customHeight="1" x14ac:dyDescent="0.25">
      <c r="A69" s="827">
        <v>13</v>
      </c>
      <c r="B69" s="828">
        <v>4450</v>
      </c>
      <c r="C69" s="828">
        <v>650033841</v>
      </c>
      <c r="D69" s="828">
        <v>72744995</v>
      </c>
      <c r="E69" s="830" t="s">
        <v>358</v>
      </c>
      <c r="F69" s="828">
        <v>3141</v>
      </c>
      <c r="G69" s="831" t="s">
        <v>321</v>
      </c>
      <c r="H69" s="831" t="s">
        <v>284</v>
      </c>
      <c r="I69" s="803">
        <f t="shared" si="46"/>
        <v>281433</v>
      </c>
      <c r="J69" s="833">
        <v>205758</v>
      </c>
      <c r="K69" s="805">
        <f>ROUND((J69)*33.8%,0)</f>
        <v>69546</v>
      </c>
      <c r="L69" s="805">
        <f>ROUND(J69*2%,0)</f>
        <v>4115</v>
      </c>
      <c r="M69" s="833">
        <v>2014</v>
      </c>
      <c r="N69" s="834">
        <f t="shared" si="47"/>
        <v>0.7</v>
      </c>
      <c r="O69" s="1054">
        <v>0</v>
      </c>
      <c r="P69" s="1055">
        <v>0.7</v>
      </c>
      <c r="Q69" s="835">
        <f t="shared" si="48"/>
        <v>-12000</v>
      </c>
      <c r="R69" s="835">
        <v>0</v>
      </c>
      <c r="S69" s="813">
        <v>0</v>
      </c>
      <c r="T69" s="813">
        <v>0</v>
      </c>
      <c r="U69" s="813">
        <f t="shared" si="49"/>
        <v>-12000</v>
      </c>
      <c r="V69" s="813">
        <v>12000</v>
      </c>
      <c r="W69" s="813">
        <v>0</v>
      </c>
      <c r="X69" s="813">
        <v>0</v>
      </c>
      <c r="Y69" s="813">
        <f t="shared" si="50"/>
        <v>12000</v>
      </c>
      <c r="Z69" s="813">
        <f t="shared" si="51"/>
        <v>0</v>
      </c>
      <c r="AA69" s="809">
        <f t="shared" si="52"/>
        <v>0</v>
      </c>
      <c r="AB69" s="809">
        <f t="shared" si="53"/>
        <v>-240</v>
      </c>
      <c r="AC69" s="813">
        <v>0</v>
      </c>
      <c r="AD69" s="813">
        <v>0</v>
      </c>
      <c r="AE69" s="813">
        <f t="shared" si="54"/>
        <v>0</v>
      </c>
      <c r="AF69" s="813">
        <f t="shared" si="55"/>
        <v>-240</v>
      </c>
      <c r="AG69" s="836">
        <v>0</v>
      </c>
      <c r="AH69" s="836">
        <v>-0.02</v>
      </c>
      <c r="AI69" s="836">
        <v>0</v>
      </c>
      <c r="AJ69" s="836">
        <v>0</v>
      </c>
      <c r="AK69" s="836">
        <v>0</v>
      </c>
      <c r="AL69" s="836">
        <f t="shared" si="56"/>
        <v>0</v>
      </c>
      <c r="AM69" s="836">
        <f t="shared" si="57"/>
        <v>-0.02</v>
      </c>
      <c r="AN69" s="837">
        <f t="shared" si="58"/>
        <v>-0.02</v>
      </c>
      <c r="AO69" s="835">
        <f t="shared" si="59"/>
        <v>281193</v>
      </c>
      <c r="AP69" s="813">
        <f t="shared" si="60"/>
        <v>193758</v>
      </c>
      <c r="AQ69" s="813">
        <f t="shared" si="61"/>
        <v>12000</v>
      </c>
      <c r="AR69" s="813">
        <f t="shared" si="62"/>
        <v>69546</v>
      </c>
      <c r="AS69" s="813">
        <f t="shared" si="62"/>
        <v>3875</v>
      </c>
      <c r="AT69" s="813">
        <f t="shared" si="63"/>
        <v>2014</v>
      </c>
      <c r="AU69" s="836">
        <f t="shared" si="64"/>
        <v>0.67999999999999994</v>
      </c>
      <c r="AV69" s="836">
        <f t="shared" si="65"/>
        <v>0</v>
      </c>
      <c r="AW69" s="837">
        <f t="shared" si="65"/>
        <v>0.67999999999999994</v>
      </c>
    </row>
    <row r="70" spans="1:49" ht="12.95" customHeight="1" x14ac:dyDescent="0.25">
      <c r="A70" s="827">
        <v>13</v>
      </c>
      <c r="B70" s="828">
        <v>4450</v>
      </c>
      <c r="C70" s="828">
        <v>650033841</v>
      </c>
      <c r="D70" s="828">
        <v>72744995</v>
      </c>
      <c r="E70" s="830" t="s">
        <v>358</v>
      </c>
      <c r="F70" s="828">
        <v>3143</v>
      </c>
      <c r="G70" s="831" t="s">
        <v>635</v>
      </c>
      <c r="H70" s="831" t="s">
        <v>283</v>
      </c>
      <c r="I70" s="803">
        <f t="shared" si="46"/>
        <v>408321</v>
      </c>
      <c r="J70" s="833">
        <v>300678</v>
      </c>
      <c r="K70" s="805">
        <f>ROUND((J70)*33.8%,0)</f>
        <v>101629</v>
      </c>
      <c r="L70" s="805">
        <f>ROUND(J70*2%,0)</f>
        <v>6014</v>
      </c>
      <c r="M70" s="833">
        <v>0</v>
      </c>
      <c r="N70" s="834">
        <f t="shared" si="47"/>
        <v>0.66669999999999996</v>
      </c>
      <c r="O70" s="1054">
        <v>0.66669999999999996</v>
      </c>
      <c r="P70" s="1055">
        <v>0</v>
      </c>
      <c r="Q70" s="835">
        <f t="shared" si="48"/>
        <v>0</v>
      </c>
      <c r="R70" s="835">
        <v>0</v>
      </c>
      <c r="S70" s="813">
        <v>0</v>
      </c>
      <c r="T70" s="813">
        <v>0</v>
      </c>
      <c r="U70" s="813">
        <f t="shared" si="49"/>
        <v>0</v>
      </c>
      <c r="V70" s="813">
        <v>0</v>
      </c>
      <c r="W70" s="813">
        <v>0</v>
      </c>
      <c r="X70" s="813">
        <v>0</v>
      </c>
      <c r="Y70" s="813">
        <f t="shared" si="50"/>
        <v>0</v>
      </c>
      <c r="Z70" s="813">
        <f t="shared" si="51"/>
        <v>0</v>
      </c>
      <c r="AA70" s="809">
        <f t="shared" si="52"/>
        <v>0</v>
      </c>
      <c r="AB70" s="809">
        <f t="shared" si="53"/>
        <v>0</v>
      </c>
      <c r="AC70" s="813">
        <v>0</v>
      </c>
      <c r="AD70" s="813">
        <v>0</v>
      </c>
      <c r="AE70" s="813">
        <f t="shared" si="54"/>
        <v>0</v>
      </c>
      <c r="AF70" s="813">
        <f t="shared" si="55"/>
        <v>0</v>
      </c>
      <c r="AG70" s="836">
        <v>0</v>
      </c>
      <c r="AH70" s="836">
        <v>0</v>
      </c>
      <c r="AI70" s="836">
        <v>0</v>
      </c>
      <c r="AJ70" s="836">
        <v>0</v>
      </c>
      <c r="AK70" s="836">
        <v>0</v>
      </c>
      <c r="AL70" s="836">
        <f t="shared" si="56"/>
        <v>0</v>
      </c>
      <c r="AM70" s="836">
        <f t="shared" si="57"/>
        <v>0</v>
      </c>
      <c r="AN70" s="837">
        <f t="shared" si="58"/>
        <v>0</v>
      </c>
      <c r="AO70" s="835">
        <f t="shared" si="59"/>
        <v>408321</v>
      </c>
      <c r="AP70" s="813">
        <f t="shared" si="60"/>
        <v>300678</v>
      </c>
      <c r="AQ70" s="813">
        <f t="shared" si="61"/>
        <v>0</v>
      </c>
      <c r="AR70" s="813">
        <f t="shared" si="62"/>
        <v>101629</v>
      </c>
      <c r="AS70" s="813">
        <f t="shared" si="62"/>
        <v>6014</v>
      </c>
      <c r="AT70" s="813">
        <f t="shared" si="63"/>
        <v>0</v>
      </c>
      <c r="AU70" s="836">
        <f t="shared" si="64"/>
        <v>0.66669999999999996</v>
      </c>
      <c r="AV70" s="836">
        <f t="shared" si="65"/>
        <v>0.66669999999999996</v>
      </c>
      <c r="AW70" s="837">
        <f t="shared" si="65"/>
        <v>0</v>
      </c>
    </row>
    <row r="71" spans="1:49" ht="12.95" customHeight="1" x14ac:dyDescent="0.25">
      <c r="A71" s="827">
        <v>13</v>
      </c>
      <c r="B71" s="828">
        <v>4450</v>
      </c>
      <c r="C71" s="828">
        <v>650033841</v>
      </c>
      <c r="D71" s="828">
        <v>72744995</v>
      </c>
      <c r="E71" s="830" t="s">
        <v>358</v>
      </c>
      <c r="F71" s="828">
        <v>3143</v>
      </c>
      <c r="G71" s="831" t="s">
        <v>636</v>
      </c>
      <c r="H71" s="831" t="s">
        <v>284</v>
      </c>
      <c r="I71" s="803">
        <f t="shared" si="46"/>
        <v>14747</v>
      </c>
      <c r="J71" s="833">
        <v>10395</v>
      </c>
      <c r="K71" s="805">
        <f>ROUND((J71)*33.8%,0)</f>
        <v>3514</v>
      </c>
      <c r="L71" s="805">
        <f>ROUND(J71*2%,0)</f>
        <v>208</v>
      </c>
      <c r="M71" s="833">
        <v>630</v>
      </c>
      <c r="N71" s="834">
        <f t="shared" si="47"/>
        <v>0.04</v>
      </c>
      <c r="O71" s="1054">
        <v>0</v>
      </c>
      <c r="P71" s="1055">
        <v>0.04</v>
      </c>
      <c r="Q71" s="835">
        <f t="shared" si="48"/>
        <v>0</v>
      </c>
      <c r="R71" s="835">
        <v>0</v>
      </c>
      <c r="S71" s="813">
        <v>0</v>
      </c>
      <c r="T71" s="813">
        <v>0</v>
      </c>
      <c r="U71" s="813">
        <f t="shared" si="49"/>
        <v>0</v>
      </c>
      <c r="V71" s="813">
        <v>0</v>
      </c>
      <c r="W71" s="813">
        <v>0</v>
      </c>
      <c r="X71" s="813">
        <v>0</v>
      </c>
      <c r="Y71" s="813">
        <f t="shared" si="50"/>
        <v>0</v>
      </c>
      <c r="Z71" s="813">
        <f t="shared" si="51"/>
        <v>0</v>
      </c>
      <c r="AA71" s="809">
        <f t="shared" si="52"/>
        <v>0</v>
      </c>
      <c r="AB71" s="809">
        <f t="shared" si="53"/>
        <v>0</v>
      </c>
      <c r="AC71" s="813">
        <v>0</v>
      </c>
      <c r="AD71" s="813">
        <v>0</v>
      </c>
      <c r="AE71" s="813">
        <f t="shared" si="54"/>
        <v>0</v>
      </c>
      <c r="AF71" s="813">
        <f t="shared" si="55"/>
        <v>0</v>
      </c>
      <c r="AG71" s="836">
        <v>0</v>
      </c>
      <c r="AH71" s="836">
        <v>0</v>
      </c>
      <c r="AI71" s="836">
        <v>0</v>
      </c>
      <c r="AJ71" s="836">
        <v>0</v>
      </c>
      <c r="AK71" s="836">
        <v>0</v>
      </c>
      <c r="AL71" s="836">
        <f t="shared" si="56"/>
        <v>0</v>
      </c>
      <c r="AM71" s="836">
        <f t="shared" si="57"/>
        <v>0</v>
      </c>
      <c r="AN71" s="837">
        <f t="shared" si="58"/>
        <v>0</v>
      </c>
      <c r="AO71" s="835">
        <f t="shared" si="59"/>
        <v>14747</v>
      </c>
      <c r="AP71" s="813">
        <f t="shared" si="60"/>
        <v>10395</v>
      </c>
      <c r="AQ71" s="813">
        <f t="shared" si="61"/>
        <v>0</v>
      </c>
      <c r="AR71" s="813">
        <f t="shared" si="62"/>
        <v>3514</v>
      </c>
      <c r="AS71" s="813">
        <f t="shared" si="62"/>
        <v>208</v>
      </c>
      <c r="AT71" s="813">
        <f t="shared" si="63"/>
        <v>630</v>
      </c>
      <c r="AU71" s="836">
        <f t="shared" si="64"/>
        <v>0.04</v>
      </c>
      <c r="AV71" s="836">
        <f t="shared" si="65"/>
        <v>0</v>
      </c>
      <c r="AW71" s="837">
        <f t="shared" si="65"/>
        <v>0.04</v>
      </c>
    </row>
    <row r="72" spans="1:49" ht="12.95" customHeight="1" x14ac:dyDescent="0.25">
      <c r="A72" s="814">
        <v>13</v>
      </c>
      <c r="B72" s="816">
        <v>4450</v>
      </c>
      <c r="C72" s="816">
        <v>650033841</v>
      </c>
      <c r="D72" s="816">
        <v>72744995</v>
      </c>
      <c r="E72" s="841" t="s">
        <v>360</v>
      </c>
      <c r="F72" s="850"/>
      <c r="G72" s="851"/>
      <c r="H72" s="851"/>
      <c r="I72" s="843">
        <f t="shared" ref="I72:AW72" si="66">SUM(I66:I71)</f>
        <v>5314151</v>
      </c>
      <c r="J72" s="844">
        <f t="shared" si="66"/>
        <v>3867729</v>
      </c>
      <c r="K72" s="844">
        <f t="shared" si="66"/>
        <v>1307293</v>
      </c>
      <c r="L72" s="844">
        <f t="shared" si="66"/>
        <v>77355</v>
      </c>
      <c r="M72" s="844">
        <f t="shared" si="66"/>
        <v>61774</v>
      </c>
      <c r="N72" s="845">
        <f t="shared" si="66"/>
        <v>8.0125999999999991</v>
      </c>
      <c r="O72" s="845">
        <f t="shared" si="66"/>
        <v>5.5612999999999992</v>
      </c>
      <c r="P72" s="847">
        <f t="shared" si="66"/>
        <v>2.4512999999999998</v>
      </c>
      <c r="Q72" s="848">
        <f t="shared" si="66"/>
        <v>-36000</v>
      </c>
      <c r="R72" s="844">
        <f t="shared" si="66"/>
        <v>841089</v>
      </c>
      <c r="S72" s="844">
        <f t="shared" si="66"/>
        <v>0</v>
      </c>
      <c r="T72" s="844">
        <f t="shared" si="66"/>
        <v>0</v>
      </c>
      <c r="U72" s="844">
        <f t="shared" si="66"/>
        <v>805089</v>
      </c>
      <c r="V72" s="844">
        <f t="shared" si="66"/>
        <v>36000</v>
      </c>
      <c r="W72" s="844">
        <f t="shared" si="66"/>
        <v>0</v>
      </c>
      <c r="X72" s="844">
        <f t="shared" si="66"/>
        <v>0</v>
      </c>
      <c r="Y72" s="844">
        <f t="shared" si="66"/>
        <v>36000</v>
      </c>
      <c r="Z72" s="844">
        <f t="shared" si="66"/>
        <v>841089</v>
      </c>
      <c r="AA72" s="844">
        <f t="shared" si="66"/>
        <v>284288</v>
      </c>
      <c r="AB72" s="844">
        <f t="shared" si="66"/>
        <v>16102</v>
      </c>
      <c r="AC72" s="844">
        <f t="shared" si="66"/>
        <v>0</v>
      </c>
      <c r="AD72" s="844">
        <f t="shared" si="66"/>
        <v>0</v>
      </c>
      <c r="AE72" s="844">
        <f t="shared" si="66"/>
        <v>0</v>
      </c>
      <c r="AF72" s="844">
        <f t="shared" si="66"/>
        <v>1141479</v>
      </c>
      <c r="AG72" s="845">
        <f t="shared" si="66"/>
        <v>0</v>
      </c>
      <c r="AH72" s="845">
        <f t="shared" si="66"/>
        <v>-0.04</v>
      </c>
      <c r="AI72" s="845">
        <f t="shared" si="66"/>
        <v>2.42</v>
      </c>
      <c r="AJ72" s="845">
        <f t="shared" si="66"/>
        <v>0</v>
      </c>
      <c r="AK72" s="845">
        <f t="shared" si="66"/>
        <v>0</v>
      </c>
      <c r="AL72" s="845">
        <f t="shared" si="66"/>
        <v>2.42</v>
      </c>
      <c r="AM72" s="845">
        <f t="shared" si="66"/>
        <v>-0.04</v>
      </c>
      <c r="AN72" s="847">
        <f t="shared" si="66"/>
        <v>2.38</v>
      </c>
      <c r="AO72" s="848">
        <f t="shared" si="66"/>
        <v>6455630</v>
      </c>
      <c r="AP72" s="844">
        <f t="shared" si="66"/>
        <v>4672818</v>
      </c>
      <c r="AQ72" s="844">
        <f t="shared" si="66"/>
        <v>36000</v>
      </c>
      <c r="AR72" s="844">
        <f t="shared" si="66"/>
        <v>1591581</v>
      </c>
      <c r="AS72" s="844">
        <f t="shared" si="66"/>
        <v>93457</v>
      </c>
      <c r="AT72" s="844">
        <f t="shared" si="66"/>
        <v>61774</v>
      </c>
      <c r="AU72" s="845">
        <f t="shared" si="66"/>
        <v>10.3926</v>
      </c>
      <c r="AV72" s="845">
        <f t="shared" si="66"/>
        <v>7.9812999999999992</v>
      </c>
      <c r="AW72" s="847">
        <f t="shared" si="66"/>
        <v>2.4112999999999998</v>
      </c>
    </row>
    <row r="73" spans="1:49" ht="12.95" customHeight="1" x14ac:dyDescent="0.25">
      <c r="A73" s="827">
        <v>14</v>
      </c>
      <c r="B73" s="828">
        <v>4430</v>
      </c>
      <c r="C73" s="828">
        <v>600074862</v>
      </c>
      <c r="D73" s="828">
        <v>70695024</v>
      </c>
      <c r="E73" s="830" t="s">
        <v>361</v>
      </c>
      <c r="F73" s="828">
        <v>3111</v>
      </c>
      <c r="G73" s="831" t="s">
        <v>359</v>
      </c>
      <c r="H73" s="831" t="s">
        <v>283</v>
      </c>
      <c r="I73" s="803">
        <f t="shared" ref="I73:I78" si="67">SUM(J73:M73)</f>
        <v>961720</v>
      </c>
      <c r="J73" s="833">
        <v>701230</v>
      </c>
      <c r="K73" s="805">
        <f>ROUND((J73)*33.8%,0)-1</f>
        <v>237015</v>
      </c>
      <c r="L73" s="805">
        <f t="shared" ref="L73:L78" si="68">ROUND(J73*2%,0)</f>
        <v>14025</v>
      </c>
      <c r="M73" s="833">
        <v>9450</v>
      </c>
      <c r="N73" s="834">
        <f t="shared" ref="N73:N78" si="69">SUM(O73:P73)</f>
        <v>1.7690000000000001</v>
      </c>
      <c r="O73" s="1054">
        <v>1.2581</v>
      </c>
      <c r="P73" s="1055">
        <v>0.51090000000000002</v>
      </c>
      <c r="Q73" s="835">
        <f t="shared" ref="Q73:Q78" si="70">V73*-1</f>
        <v>0</v>
      </c>
      <c r="R73" s="835">
        <v>0</v>
      </c>
      <c r="S73" s="813">
        <v>0</v>
      </c>
      <c r="T73" s="813">
        <v>317049</v>
      </c>
      <c r="U73" s="813">
        <f t="shared" ref="U73:U78" si="71">SUM(Q73:T73)</f>
        <v>317049</v>
      </c>
      <c r="V73" s="813">
        <v>0</v>
      </c>
      <c r="W73" s="813">
        <v>0</v>
      </c>
      <c r="X73" s="813">
        <v>0</v>
      </c>
      <c r="Y73" s="813">
        <f t="shared" ref="Y73:Y78" si="72">SUM(V73:X73)</f>
        <v>0</v>
      </c>
      <c r="Z73" s="813">
        <f t="shared" ref="Z73:Z78" si="73">U73+Y73</f>
        <v>317049</v>
      </c>
      <c r="AA73" s="809">
        <f t="shared" ref="AA73:AA78" si="74">ROUND((U73+V73+W73)*33.8%,0)</f>
        <v>107163</v>
      </c>
      <c r="AB73" s="809">
        <f t="shared" ref="AB73:AB78" si="75">ROUND(U73*2%,0)</f>
        <v>6341</v>
      </c>
      <c r="AC73" s="813">
        <v>0</v>
      </c>
      <c r="AD73" s="813">
        <v>0</v>
      </c>
      <c r="AE73" s="813">
        <f t="shared" ref="AE73:AE78" si="76">SUM(AC73:AD73)</f>
        <v>0</v>
      </c>
      <c r="AF73" s="813">
        <f t="shared" ref="AF73:AF78" si="77">Z73+AA73+AB73+AE73</f>
        <v>430553</v>
      </c>
      <c r="AG73" s="836">
        <v>0</v>
      </c>
      <c r="AH73" s="836">
        <v>0</v>
      </c>
      <c r="AI73" s="836">
        <v>0</v>
      </c>
      <c r="AJ73" s="836">
        <v>0.68</v>
      </c>
      <c r="AK73" s="836">
        <v>0</v>
      </c>
      <c r="AL73" s="836">
        <f t="shared" ref="AL73:AL78" si="78">AG73+AI73+AJ73</f>
        <v>0.68</v>
      </c>
      <c r="AM73" s="836">
        <f t="shared" ref="AM73:AM78" si="79">AH73+AK73</f>
        <v>0</v>
      </c>
      <c r="AN73" s="837">
        <f t="shared" ref="AN73:AN78" si="80">SUM(AL73:AM73)</f>
        <v>0.68</v>
      </c>
      <c r="AO73" s="835">
        <f t="shared" si="59"/>
        <v>1392273</v>
      </c>
      <c r="AP73" s="813">
        <f t="shared" si="60"/>
        <v>1018279</v>
      </c>
      <c r="AQ73" s="813">
        <v>0</v>
      </c>
      <c r="AR73" s="813">
        <f t="shared" si="62"/>
        <v>344178</v>
      </c>
      <c r="AS73" s="813">
        <v>20366</v>
      </c>
      <c r="AT73" s="813">
        <v>9450</v>
      </c>
      <c r="AU73" s="836">
        <f t="shared" ref="AU73:AU78" si="81">N73+AN73</f>
        <v>2.4490000000000003</v>
      </c>
      <c r="AV73" s="836">
        <f t="shared" ref="AV73:AW78" si="82">O73+AL73</f>
        <v>1.9380999999999999</v>
      </c>
      <c r="AW73" s="837">
        <f t="shared" si="82"/>
        <v>0.51090000000000002</v>
      </c>
    </row>
    <row r="74" spans="1:49" ht="12.95" customHeight="1" x14ac:dyDescent="0.25">
      <c r="A74" s="827">
        <v>14</v>
      </c>
      <c r="B74" s="828">
        <v>4430</v>
      </c>
      <c r="C74" s="828">
        <v>600074862</v>
      </c>
      <c r="D74" s="828">
        <v>70695024</v>
      </c>
      <c r="E74" s="830" t="s">
        <v>361</v>
      </c>
      <c r="F74" s="828">
        <v>3117</v>
      </c>
      <c r="G74" s="831" t="s">
        <v>320</v>
      </c>
      <c r="H74" s="831" t="s">
        <v>283</v>
      </c>
      <c r="I74" s="803">
        <f t="shared" si="67"/>
        <v>2526588</v>
      </c>
      <c r="J74" s="833">
        <v>1831560</v>
      </c>
      <c r="K74" s="805">
        <f>ROUND((J74)*33.8%,0)</f>
        <v>619067</v>
      </c>
      <c r="L74" s="805">
        <f t="shared" si="68"/>
        <v>36631</v>
      </c>
      <c r="M74" s="833">
        <v>39330</v>
      </c>
      <c r="N74" s="834">
        <f t="shared" si="69"/>
        <v>3.6044999999999998</v>
      </c>
      <c r="O74" s="1054">
        <v>2.5373999999999999</v>
      </c>
      <c r="P74" s="1055">
        <v>1.0670999999999999</v>
      </c>
      <c r="Q74" s="835">
        <f t="shared" si="70"/>
        <v>0</v>
      </c>
      <c r="R74" s="835">
        <v>0</v>
      </c>
      <c r="S74" s="813">
        <v>0</v>
      </c>
      <c r="T74" s="813">
        <v>0</v>
      </c>
      <c r="U74" s="813">
        <f t="shared" si="71"/>
        <v>0</v>
      </c>
      <c r="V74" s="813">
        <v>0</v>
      </c>
      <c r="W74" s="813">
        <v>0</v>
      </c>
      <c r="X74" s="813">
        <v>0</v>
      </c>
      <c r="Y74" s="813">
        <f t="shared" si="72"/>
        <v>0</v>
      </c>
      <c r="Z74" s="813">
        <f t="shared" si="73"/>
        <v>0</v>
      </c>
      <c r="AA74" s="809">
        <f t="shared" si="74"/>
        <v>0</v>
      </c>
      <c r="AB74" s="809">
        <f t="shared" si="75"/>
        <v>0</v>
      </c>
      <c r="AC74" s="813">
        <v>0</v>
      </c>
      <c r="AD74" s="813">
        <v>0</v>
      </c>
      <c r="AE74" s="813">
        <f t="shared" si="76"/>
        <v>0</v>
      </c>
      <c r="AF74" s="813">
        <f t="shared" si="77"/>
        <v>0</v>
      </c>
      <c r="AG74" s="836">
        <v>0</v>
      </c>
      <c r="AH74" s="836">
        <v>0</v>
      </c>
      <c r="AI74" s="836">
        <v>0</v>
      </c>
      <c r="AJ74" s="836">
        <v>0</v>
      </c>
      <c r="AK74" s="836">
        <v>0</v>
      </c>
      <c r="AL74" s="836">
        <f t="shared" si="78"/>
        <v>0</v>
      </c>
      <c r="AM74" s="836">
        <f t="shared" si="79"/>
        <v>0</v>
      </c>
      <c r="AN74" s="837">
        <f t="shared" si="80"/>
        <v>0</v>
      </c>
      <c r="AO74" s="835">
        <f t="shared" si="59"/>
        <v>2526588</v>
      </c>
      <c r="AP74" s="813">
        <f t="shared" si="60"/>
        <v>1831560</v>
      </c>
      <c r="AQ74" s="813">
        <v>0</v>
      </c>
      <c r="AR74" s="813">
        <f t="shared" si="62"/>
        <v>619067</v>
      </c>
      <c r="AS74" s="813">
        <v>36631</v>
      </c>
      <c r="AT74" s="813">
        <v>39330</v>
      </c>
      <c r="AU74" s="836">
        <f t="shared" si="81"/>
        <v>3.6044999999999998</v>
      </c>
      <c r="AV74" s="836">
        <f t="shared" si="82"/>
        <v>2.5373999999999999</v>
      </c>
      <c r="AW74" s="837">
        <f t="shared" si="82"/>
        <v>1.0670999999999999</v>
      </c>
    </row>
    <row r="75" spans="1:49" ht="12.95" customHeight="1" x14ac:dyDescent="0.25">
      <c r="A75" s="827">
        <v>14</v>
      </c>
      <c r="B75" s="828">
        <v>4430</v>
      </c>
      <c r="C75" s="828">
        <v>600074862</v>
      </c>
      <c r="D75" s="828">
        <v>70695024</v>
      </c>
      <c r="E75" s="830" t="s">
        <v>361</v>
      </c>
      <c r="F75" s="828">
        <v>3117</v>
      </c>
      <c r="G75" s="831" t="s">
        <v>325</v>
      </c>
      <c r="H75" s="831" t="s">
        <v>284</v>
      </c>
      <c r="I75" s="803">
        <f t="shared" si="67"/>
        <v>0</v>
      </c>
      <c r="J75" s="833">
        <v>0</v>
      </c>
      <c r="K75" s="805">
        <f>ROUND((J75)*33.8%,0)</f>
        <v>0</v>
      </c>
      <c r="L75" s="805">
        <f t="shared" si="68"/>
        <v>0</v>
      </c>
      <c r="M75" s="833">
        <v>0</v>
      </c>
      <c r="N75" s="834">
        <f t="shared" si="69"/>
        <v>0</v>
      </c>
      <c r="O75" s="1054">
        <v>0</v>
      </c>
      <c r="P75" s="1055">
        <v>0</v>
      </c>
      <c r="Q75" s="835">
        <f t="shared" si="70"/>
        <v>0</v>
      </c>
      <c r="R75" s="835">
        <v>0</v>
      </c>
      <c r="S75" s="813">
        <v>0</v>
      </c>
      <c r="T75" s="813">
        <v>0</v>
      </c>
      <c r="U75" s="813">
        <f t="shared" si="71"/>
        <v>0</v>
      </c>
      <c r="V75" s="813">
        <v>0</v>
      </c>
      <c r="W75" s="813">
        <v>0</v>
      </c>
      <c r="X75" s="813">
        <v>0</v>
      </c>
      <c r="Y75" s="813">
        <f t="shared" si="72"/>
        <v>0</v>
      </c>
      <c r="Z75" s="813">
        <f t="shared" si="73"/>
        <v>0</v>
      </c>
      <c r="AA75" s="809">
        <f t="shared" si="74"/>
        <v>0</v>
      </c>
      <c r="AB75" s="809">
        <f t="shared" si="75"/>
        <v>0</v>
      </c>
      <c r="AC75" s="813">
        <v>0</v>
      </c>
      <c r="AD75" s="813">
        <v>0</v>
      </c>
      <c r="AE75" s="813">
        <f t="shared" si="76"/>
        <v>0</v>
      </c>
      <c r="AF75" s="813">
        <f t="shared" si="77"/>
        <v>0</v>
      </c>
      <c r="AG75" s="836">
        <v>0</v>
      </c>
      <c r="AH75" s="836">
        <v>0</v>
      </c>
      <c r="AI75" s="836">
        <v>0</v>
      </c>
      <c r="AJ75" s="836">
        <v>0</v>
      </c>
      <c r="AK75" s="836">
        <v>0</v>
      </c>
      <c r="AL75" s="836">
        <f t="shared" si="78"/>
        <v>0</v>
      </c>
      <c r="AM75" s="836">
        <f t="shared" si="79"/>
        <v>0</v>
      </c>
      <c r="AN75" s="837">
        <f t="shared" si="80"/>
        <v>0</v>
      </c>
      <c r="AO75" s="835">
        <f t="shared" si="59"/>
        <v>0</v>
      </c>
      <c r="AP75" s="813">
        <f t="shared" si="60"/>
        <v>0</v>
      </c>
      <c r="AQ75" s="813">
        <v>0</v>
      </c>
      <c r="AR75" s="813">
        <f t="shared" si="62"/>
        <v>0</v>
      </c>
      <c r="AS75" s="813">
        <v>0</v>
      </c>
      <c r="AT75" s="813">
        <v>0</v>
      </c>
      <c r="AU75" s="836">
        <f t="shared" si="81"/>
        <v>0</v>
      </c>
      <c r="AV75" s="836">
        <f t="shared" si="82"/>
        <v>0</v>
      </c>
      <c r="AW75" s="837">
        <f t="shared" si="82"/>
        <v>0</v>
      </c>
    </row>
    <row r="76" spans="1:49" ht="12.95" customHeight="1" x14ac:dyDescent="0.25">
      <c r="A76" s="827">
        <v>14</v>
      </c>
      <c r="B76" s="828">
        <v>4430</v>
      </c>
      <c r="C76" s="828">
        <v>600074862</v>
      </c>
      <c r="D76" s="828">
        <v>70695024</v>
      </c>
      <c r="E76" s="830" t="s">
        <v>361</v>
      </c>
      <c r="F76" s="828">
        <v>3141</v>
      </c>
      <c r="G76" s="831" t="s">
        <v>321</v>
      </c>
      <c r="H76" s="831" t="s">
        <v>284</v>
      </c>
      <c r="I76" s="803">
        <f t="shared" si="67"/>
        <v>598284</v>
      </c>
      <c r="J76" s="833">
        <v>438683</v>
      </c>
      <c r="K76" s="805">
        <f>ROUND((J76)*33.8%,0)</f>
        <v>148275</v>
      </c>
      <c r="L76" s="805">
        <f t="shared" si="68"/>
        <v>8774</v>
      </c>
      <c r="M76" s="833">
        <v>2552</v>
      </c>
      <c r="N76" s="834">
        <f t="shared" si="69"/>
        <v>1.49</v>
      </c>
      <c r="O76" s="1054">
        <v>0</v>
      </c>
      <c r="P76" s="1055">
        <v>1.49</v>
      </c>
      <c r="Q76" s="835">
        <f t="shared" si="70"/>
        <v>0</v>
      </c>
      <c r="R76" s="835">
        <v>0</v>
      </c>
      <c r="S76" s="813">
        <v>0</v>
      </c>
      <c r="T76" s="813">
        <v>0</v>
      </c>
      <c r="U76" s="813">
        <f t="shared" si="71"/>
        <v>0</v>
      </c>
      <c r="V76" s="813">
        <v>0</v>
      </c>
      <c r="W76" s="813">
        <v>0</v>
      </c>
      <c r="X76" s="813">
        <v>0</v>
      </c>
      <c r="Y76" s="813">
        <f t="shared" si="72"/>
        <v>0</v>
      </c>
      <c r="Z76" s="813">
        <f t="shared" si="73"/>
        <v>0</v>
      </c>
      <c r="AA76" s="809">
        <f t="shared" si="74"/>
        <v>0</v>
      </c>
      <c r="AB76" s="809">
        <f t="shared" si="75"/>
        <v>0</v>
      </c>
      <c r="AC76" s="813">
        <v>0</v>
      </c>
      <c r="AD76" s="813">
        <v>0</v>
      </c>
      <c r="AE76" s="813">
        <f t="shared" si="76"/>
        <v>0</v>
      </c>
      <c r="AF76" s="813">
        <f t="shared" si="77"/>
        <v>0</v>
      </c>
      <c r="AG76" s="836">
        <v>0</v>
      </c>
      <c r="AH76" s="836">
        <v>0</v>
      </c>
      <c r="AI76" s="836">
        <v>0</v>
      </c>
      <c r="AJ76" s="836">
        <v>0</v>
      </c>
      <c r="AK76" s="836">
        <v>0</v>
      </c>
      <c r="AL76" s="836">
        <f t="shared" si="78"/>
        <v>0</v>
      </c>
      <c r="AM76" s="836">
        <f t="shared" si="79"/>
        <v>0</v>
      </c>
      <c r="AN76" s="837">
        <f t="shared" si="80"/>
        <v>0</v>
      </c>
      <c r="AO76" s="835">
        <f t="shared" si="59"/>
        <v>598284</v>
      </c>
      <c r="AP76" s="813">
        <f t="shared" si="60"/>
        <v>438683</v>
      </c>
      <c r="AQ76" s="813">
        <v>0</v>
      </c>
      <c r="AR76" s="813">
        <f t="shared" si="62"/>
        <v>148275</v>
      </c>
      <c r="AS76" s="813">
        <v>8774</v>
      </c>
      <c r="AT76" s="813">
        <v>2552</v>
      </c>
      <c r="AU76" s="836">
        <f t="shared" si="81"/>
        <v>1.49</v>
      </c>
      <c r="AV76" s="836">
        <f t="shared" si="82"/>
        <v>0</v>
      </c>
      <c r="AW76" s="837">
        <f t="shared" si="82"/>
        <v>1.49</v>
      </c>
    </row>
    <row r="77" spans="1:49" ht="12.95" customHeight="1" x14ac:dyDescent="0.25">
      <c r="A77" s="827">
        <v>14</v>
      </c>
      <c r="B77" s="828">
        <v>4430</v>
      </c>
      <c r="C77" s="828">
        <v>600074862</v>
      </c>
      <c r="D77" s="828">
        <v>70695024</v>
      </c>
      <c r="E77" s="830" t="s">
        <v>361</v>
      </c>
      <c r="F77" s="828">
        <v>3143</v>
      </c>
      <c r="G77" s="831" t="s">
        <v>635</v>
      </c>
      <c r="H77" s="831" t="s">
        <v>283</v>
      </c>
      <c r="I77" s="803">
        <f t="shared" si="67"/>
        <v>452793</v>
      </c>
      <c r="J77" s="833">
        <v>333426</v>
      </c>
      <c r="K77" s="805">
        <f>ROUND((J77)*33.8%,0)</f>
        <v>112698</v>
      </c>
      <c r="L77" s="805">
        <f t="shared" si="68"/>
        <v>6669</v>
      </c>
      <c r="M77" s="833">
        <v>0</v>
      </c>
      <c r="N77" s="834">
        <f t="shared" si="69"/>
        <v>0.71430000000000005</v>
      </c>
      <c r="O77" s="1054">
        <v>0.71430000000000005</v>
      </c>
      <c r="P77" s="1055">
        <v>0</v>
      </c>
      <c r="Q77" s="835">
        <f t="shared" si="70"/>
        <v>0</v>
      </c>
      <c r="R77" s="835">
        <v>0</v>
      </c>
      <c r="S77" s="813">
        <v>0</v>
      </c>
      <c r="T77" s="813">
        <v>154975</v>
      </c>
      <c r="U77" s="813">
        <f t="shared" si="71"/>
        <v>154975</v>
      </c>
      <c r="V77" s="813">
        <v>0</v>
      </c>
      <c r="W77" s="813">
        <v>0</v>
      </c>
      <c r="X77" s="813">
        <v>0</v>
      </c>
      <c r="Y77" s="813">
        <f t="shared" si="72"/>
        <v>0</v>
      </c>
      <c r="Z77" s="813">
        <f t="shared" si="73"/>
        <v>154975</v>
      </c>
      <c r="AA77" s="809">
        <f t="shared" si="74"/>
        <v>52382</v>
      </c>
      <c r="AB77" s="809">
        <f t="shared" si="75"/>
        <v>3100</v>
      </c>
      <c r="AC77" s="813">
        <v>0</v>
      </c>
      <c r="AD77" s="813">
        <v>0</v>
      </c>
      <c r="AE77" s="813">
        <f t="shared" si="76"/>
        <v>0</v>
      </c>
      <c r="AF77" s="813">
        <f t="shared" si="77"/>
        <v>210457</v>
      </c>
      <c r="AG77" s="836">
        <v>0</v>
      </c>
      <c r="AH77" s="836">
        <v>0</v>
      </c>
      <c r="AI77" s="836">
        <v>0</v>
      </c>
      <c r="AJ77" s="836">
        <v>0.33</v>
      </c>
      <c r="AK77" s="836">
        <v>0</v>
      </c>
      <c r="AL77" s="836">
        <f t="shared" si="78"/>
        <v>0.33</v>
      </c>
      <c r="AM77" s="836">
        <f t="shared" si="79"/>
        <v>0</v>
      </c>
      <c r="AN77" s="837">
        <f t="shared" si="80"/>
        <v>0.33</v>
      </c>
      <c r="AO77" s="835">
        <f t="shared" si="59"/>
        <v>663250</v>
      </c>
      <c r="AP77" s="813">
        <f t="shared" si="60"/>
        <v>488401</v>
      </c>
      <c r="AQ77" s="813">
        <v>0</v>
      </c>
      <c r="AR77" s="813">
        <f t="shared" si="62"/>
        <v>165080</v>
      </c>
      <c r="AS77" s="813">
        <v>9769</v>
      </c>
      <c r="AT77" s="813">
        <v>0</v>
      </c>
      <c r="AU77" s="836">
        <f t="shared" si="81"/>
        <v>1.0443</v>
      </c>
      <c r="AV77" s="836">
        <f t="shared" si="82"/>
        <v>1.0443</v>
      </c>
      <c r="AW77" s="837">
        <f t="shared" si="82"/>
        <v>0</v>
      </c>
    </row>
    <row r="78" spans="1:49" ht="12.95" customHeight="1" x14ac:dyDescent="0.25">
      <c r="A78" s="827">
        <v>14</v>
      </c>
      <c r="B78" s="828">
        <v>4430</v>
      </c>
      <c r="C78" s="828">
        <v>600074862</v>
      </c>
      <c r="D78" s="828">
        <v>70695024</v>
      </c>
      <c r="E78" s="830" t="s">
        <v>361</v>
      </c>
      <c r="F78" s="828">
        <v>3143</v>
      </c>
      <c r="G78" s="831" t="s">
        <v>636</v>
      </c>
      <c r="H78" s="831" t="s">
        <v>284</v>
      </c>
      <c r="I78" s="803">
        <f t="shared" si="67"/>
        <v>15449</v>
      </c>
      <c r="J78" s="833">
        <v>10890</v>
      </c>
      <c r="K78" s="805">
        <f>ROUND((J78)*33.8%,0)</f>
        <v>3681</v>
      </c>
      <c r="L78" s="805">
        <f t="shared" si="68"/>
        <v>218</v>
      </c>
      <c r="M78" s="833">
        <v>660</v>
      </c>
      <c r="N78" s="834">
        <f t="shared" si="69"/>
        <v>0.05</v>
      </c>
      <c r="O78" s="1054">
        <v>0</v>
      </c>
      <c r="P78" s="1055">
        <v>0.05</v>
      </c>
      <c r="Q78" s="835">
        <f t="shared" si="70"/>
        <v>0</v>
      </c>
      <c r="R78" s="835">
        <v>0</v>
      </c>
      <c r="S78" s="813">
        <v>0</v>
      </c>
      <c r="T78" s="813">
        <v>0</v>
      </c>
      <c r="U78" s="813">
        <f t="shared" si="71"/>
        <v>0</v>
      </c>
      <c r="V78" s="813">
        <v>0</v>
      </c>
      <c r="W78" s="813">
        <v>0</v>
      </c>
      <c r="X78" s="813">
        <v>0</v>
      </c>
      <c r="Y78" s="813">
        <f t="shared" si="72"/>
        <v>0</v>
      </c>
      <c r="Z78" s="813">
        <f t="shared" si="73"/>
        <v>0</v>
      </c>
      <c r="AA78" s="809">
        <f t="shared" si="74"/>
        <v>0</v>
      </c>
      <c r="AB78" s="809">
        <f t="shared" si="75"/>
        <v>0</v>
      </c>
      <c r="AC78" s="813">
        <v>0</v>
      </c>
      <c r="AD78" s="813">
        <v>0</v>
      </c>
      <c r="AE78" s="813">
        <f t="shared" si="76"/>
        <v>0</v>
      </c>
      <c r="AF78" s="813">
        <f t="shared" si="77"/>
        <v>0</v>
      </c>
      <c r="AG78" s="836">
        <v>0</v>
      </c>
      <c r="AH78" s="836">
        <v>0</v>
      </c>
      <c r="AI78" s="836">
        <v>0</v>
      </c>
      <c r="AJ78" s="836">
        <v>0</v>
      </c>
      <c r="AK78" s="836">
        <v>0</v>
      </c>
      <c r="AL78" s="836">
        <f t="shared" si="78"/>
        <v>0</v>
      </c>
      <c r="AM78" s="836">
        <f t="shared" si="79"/>
        <v>0</v>
      </c>
      <c r="AN78" s="837">
        <f t="shared" si="80"/>
        <v>0</v>
      </c>
      <c r="AO78" s="835">
        <f t="shared" si="59"/>
        <v>15449</v>
      </c>
      <c r="AP78" s="813">
        <f t="shared" si="60"/>
        <v>10890</v>
      </c>
      <c r="AQ78" s="813">
        <v>0</v>
      </c>
      <c r="AR78" s="813">
        <f t="shared" si="62"/>
        <v>3681</v>
      </c>
      <c r="AS78" s="813">
        <v>218</v>
      </c>
      <c r="AT78" s="813">
        <v>660</v>
      </c>
      <c r="AU78" s="836">
        <f t="shared" si="81"/>
        <v>0.05</v>
      </c>
      <c r="AV78" s="836">
        <f t="shared" si="82"/>
        <v>0</v>
      </c>
      <c r="AW78" s="837">
        <f t="shared" si="82"/>
        <v>0.05</v>
      </c>
    </row>
    <row r="79" spans="1:49" ht="12.95" customHeight="1" x14ac:dyDescent="0.25">
      <c r="A79" s="814">
        <v>14</v>
      </c>
      <c r="B79" s="816">
        <v>4430</v>
      </c>
      <c r="C79" s="816">
        <v>600074862</v>
      </c>
      <c r="D79" s="816">
        <v>70695024</v>
      </c>
      <c r="E79" s="841" t="s">
        <v>362</v>
      </c>
      <c r="F79" s="850"/>
      <c r="G79" s="851"/>
      <c r="H79" s="851"/>
      <c r="I79" s="843">
        <f t="shared" ref="I79:AW79" si="83">SUM(I73:I78)</f>
        <v>4554834</v>
      </c>
      <c r="J79" s="844">
        <f t="shared" si="83"/>
        <v>3315789</v>
      </c>
      <c r="K79" s="844">
        <f t="shared" si="83"/>
        <v>1120736</v>
      </c>
      <c r="L79" s="844">
        <f t="shared" si="83"/>
        <v>66317</v>
      </c>
      <c r="M79" s="844">
        <f t="shared" si="83"/>
        <v>51992</v>
      </c>
      <c r="N79" s="845">
        <f t="shared" si="83"/>
        <v>7.6277999999999997</v>
      </c>
      <c r="O79" s="845">
        <f t="shared" si="83"/>
        <v>4.5097999999999994</v>
      </c>
      <c r="P79" s="847">
        <f t="shared" si="83"/>
        <v>3.1179999999999994</v>
      </c>
      <c r="Q79" s="848">
        <f t="shared" si="83"/>
        <v>0</v>
      </c>
      <c r="R79" s="844">
        <f t="shared" si="83"/>
        <v>0</v>
      </c>
      <c r="S79" s="844">
        <f t="shared" si="83"/>
        <v>0</v>
      </c>
      <c r="T79" s="844">
        <f t="shared" si="83"/>
        <v>472024</v>
      </c>
      <c r="U79" s="844">
        <f t="shared" si="83"/>
        <v>472024</v>
      </c>
      <c r="V79" s="844">
        <f t="shared" si="83"/>
        <v>0</v>
      </c>
      <c r="W79" s="844">
        <f t="shared" si="83"/>
        <v>0</v>
      </c>
      <c r="X79" s="844">
        <f t="shared" si="83"/>
        <v>0</v>
      </c>
      <c r="Y79" s="844">
        <f t="shared" si="83"/>
        <v>0</v>
      </c>
      <c r="Z79" s="844">
        <f t="shared" si="83"/>
        <v>472024</v>
      </c>
      <c r="AA79" s="844">
        <f t="shared" si="83"/>
        <v>159545</v>
      </c>
      <c r="AB79" s="844">
        <f t="shared" si="83"/>
        <v>9441</v>
      </c>
      <c r="AC79" s="844">
        <f t="shared" si="83"/>
        <v>0</v>
      </c>
      <c r="AD79" s="844">
        <f t="shared" si="83"/>
        <v>0</v>
      </c>
      <c r="AE79" s="844">
        <f t="shared" si="83"/>
        <v>0</v>
      </c>
      <c r="AF79" s="844">
        <f t="shared" si="83"/>
        <v>641010</v>
      </c>
      <c r="AG79" s="845">
        <f t="shared" si="83"/>
        <v>0</v>
      </c>
      <c r="AH79" s="845">
        <f t="shared" si="83"/>
        <v>0</v>
      </c>
      <c r="AI79" s="845">
        <f t="shared" si="83"/>
        <v>0</v>
      </c>
      <c r="AJ79" s="845">
        <f t="shared" si="83"/>
        <v>1.01</v>
      </c>
      <c r="AK79" s="845">
        <f t="shared" si="83"/>
        <v>0</v>
      </c>
      <c r="AL79" s="845">
        <f t="shared" si="83"/>
        <v>1.01</v>
      </c>
      <c r="AM79" s="845">
        <f t="shared" si="83"/>
        <v>0</v>
      </c>
      <c r="AN79" s="847">
        <f t="shared" si="83"/>
        <v>1.01</v>
      </c>
      <c r="AO79" s="848">
        <f t="shared" si="83"/>
        <v>5195844</v>
      </c>
      <c r="AP79" s="848">
        <f t="shared" si="83"/>
        <v>3787813</v>
      </c>
      <c r="AQ79" s="848">
        <f t="shared" si="83"/>
        <v>0</v>
      </c>
      <c r="AR79" s="848">
        <f t="shared" si="83"/>
        <v>1280281</v>
      </c>
      <c r="AS79" s="848">
        <f t="shared" si="83"/>
        <v>75758</v>
      </c>
      <c r="AT79" s="848">
        <f t="shared" si="83"/>
        <v>51992</v>
      </c>
      <c r="AU79" s="845">
        <f t="shared" si="83"/>
        <v>8.6378000000000004</v>
      </c>
      <c r="AV79" s="845">
        <f t="shared" si="83"/>
        <v>5.5198</v>
      </c>
      <c r="AW79" s="847">
        <f t="shared" si="83"/>
        <v>3.1179999999999994</v>
      </c>
    </row>
    <row r="80" spans="1:49" ht="12.95" customHeight="1" x14ac:dyDescent="0.25">
      <c r="A80" s="827">
        <v>15</v>
      </c>
      <c r="B80" s="828">
        <v>4433</v>
      </c>
      <c r="C80" s="828">
        <v>600075001</v>
      </c>
      <c r="D80" s="828">
        <v>70695440</v>
      </c>
      <c r="E80" s="830" t="s">
        <v>363</v>
      </c>
      <c r="F80" s="828">
        <v>3111</v>
      </c>
      <c r="G80" s="831" t="s">
        <v>331</v>
      </c>
      <c r="H80" s="831" t="s">
        <v>283</v>
      </c>
      <c r="I80" s="803">
        <f t="shared" ref="I80:I85" si="84">SUM(J80:M80)</f>
        <v>1531710</v>
      </c>
      <c r="J80" s="803">
        <v>1120626</v>
      </c>
      <c r="K80" s="805">
        <f>ROUND((J80)*33.8%,0)-1</f>
        <v>378771</v>
      </c>
      <c r="L80" s="805">
        <f>ROUND(J80*2%,0)</f>
        <v>22413</v>
      </c>
      <c r="M80" s="833">
        <v>9900</v>
      </c>
      <c r="N80" s="834">
        <f t="shared" ref="N80:N85" si="85">SUM(O80:P80)</f>
        <v>2.5108999999999999</v>
      </c>
      <c r="O80" s="1054">
        <v>2</v>
      </c>
      <c r="P80" s="1055">
        <v>0.51090000000000002</v>
      </c>
      <c r="Q80" s="835">
        <f t="shared" ref="Q80:Q85" si="86">V80*-1</f>
        <v>0</v>
      </c>
      <c r="R80" s="835">
        <v>0</v>
      </c>
      <c r="S80" s="813">
        <v>0</v>
      </c>
      <c r="T80" s="813">
        <v>0</v>
      </c>
      <c r="U80" s="813">
        <f t="shared" ref="U80:U85" si="87">SUM(Q80:T80)</f>
        <v>0</v>
      </c>
      <c r="V80" s="813">
        <v>0</v>
      </c>
      <c r="W80" s="813">
        <v>0</v>
      </c>
      <c r="X80" s="813">
        <v>0</v>
      </c>
      <c r="Y80" s="813">
        <f t="shared" ref="Y80:Y85" si="88">SUM(V80:X80)</f>
        <v>0</v>
      </c>
      <c r="Z80" s="813">
        <f t="shared" ref="Z80:Z85" si="89">U80+Y80</f>
        <v>0</v>
      </c>
      <c r="AA80" s="809">
        <f t="shared" ref="AA80:AA85" si="90">ROUND((U80+V80+W80)*33.8%,0)</f>
        <v>0</v>
      </c>
      <c r="AB80" s="809">
        <f t="shared" ref="AB80:AB85" si="91">ROUND(U80*2%,0)</f>
        <v>0</v>
      </c>
      <c r="AC80" s="813">
        <v>0</v>
      </c>
      <c r="AD80" s="813">
        <v>0</v>
      </c>
      <c r="AE80" s="813">
        <f t="shared" ref="AE80:AE85" si="92">SUM(AC80:AD80)</f>
        <v>0</v>
      </c>
      <c r="AF80" s="813">
        <f t="shared" ref="AF80:AF85" si="93">Z80+AA80+AB80+AE80</f>
        <v>0</v>
      </c>
      <c r="AG80" s="836">
        <v>0</v>
      </c>
      <c r="AH80" s="836">
        <v>0</v>
      </c>
      <c r="AI80" s="836">
        <v>0</v>
      </c>
      <c r="AJ80" s="836">
        <v>0</v>
      </c>
      <c r="AK80" s="836">
        <v>0</v>
      </c>
      <c r="AL80" s="836">
        <f t="shared" ref="AL80:AL85" si="94">AG80+AI80+AJ80</f>
        <v>0</v>
      </c>
      <c r="AM80" s="836">
        <f t="shared" ref="AM80:AM85" si="95">AH80+AK80</f>
        <v>0</v>
      </c>
      <c r="AN80" s="837">
        <f t="shared" ref="AN80:AN85" si="96">SUM(AL80:AM80)</f>
        <v>0</v>
      </c>
      <c r="AO80" s="835">
        <f t="shared" ref="AO80:AO85" si="97">I80+AF80</f>
        <v>1531710</v>
      </c>
      <c r="AP80" s="813">
        <f t="shared" ref="AP80:AP85" si="98">J80+U80</f>
        <v>1120626</v>
      </c>
      <c r="AQ80" s="813">
        <f t="shared" ref="AQ80:AQ85" si="99">Y80</f>
        <v>0</v>
      </c>
      <c r="AR80" s="813">
        <f t="shared" ref="AR80:AS85" si="100">K80+AA80</f>
        <v>378771</v>
      </c>
      <c r="AS80" s="813">
        <f t="shared" si="100"/>
        <v>22413</v>
      </c>
      <c r="AT80" s="813">
        <f t="shared" ref="AT80:AT85" si="101">M80+AE80</f>
        <v>9900</v>
      </c>
      <c r="AU80" s="836">
        <f t="shared" ref="AU80:AU85" si="102">N80+AN80</f>
        <v>2.5108999999999999</v>
      </c>
      <c r="AV80" s="836">
        <f t="shared" ref="AV80:AW85" si="103">O80+AL80</f>
        <v>2</v>
      </c>
      <c r="AW80" s="837">
        <f t="shared" si="103"/>
        <v>0.51090000000000002</v>
      </c>
    </row>
    <row r="81" spans="1:49" ht="12.95" customHeight="1" x14ac:dyDescent="0.25">
      <c r="A81" s="827">
        <v>15</v>
      </c>
      <c r="B81" s="828">
        <v>4433</v>
      </c>
      <c r="C81" s="828">
        <v>600075001</v>
      </c>
      <c r="D81" s="828">
        <v>70695440</v>
      </c>
      <c r="E81" s="830" t="s">
        <v>363</v>
      </c>
      <c r="F81" s="828">
        <v>3117</v>
      </c>
      <c r="G81" s="831" t="s">
        <v>335</v>
      </c>
      <c r="H81" s="831" t="s">
        <v>283</v>
      </c>
      <c r="I81" s="803">
        <f t="shared" si="84"/>
        <v>1717683</v>
      </c>
      <c r="J81" s="833">
        <v>1249752</v>
      </c>
      <c r="K81" s="805">
        <f>ROUND((J81)*33.8%,0)</f>
        <v>422416</v>
      </c>
      <c r="L81" s="805">
        <f>ROUND(J81*2%,0)</f>
        <v>24995</v>
      </c>
      <c r="M81" s="833">
        <v>20520</v>
      </c>
      <c r="N81" s="834">
        <f t="shared" si="85"/>
        <v>2.3086000000000002</v>
      </c>
      <c r="O81" s="1054">
        <v>1.5455000000000001</v>
      </c>
      <c r="P81" s="1055">
        <v>0.76310000000000011</v>
      </c>
      <c r="Q81" s="835">
        <f t="shared" si="86"/>
        <v>0</v>
      </c>
      <c r="R81" s="835">
        <v>0</v>
      </c>
      <c r="S81" s="813">
        <v>0</v>
      </c>
      <c r="T81" s="813">
        <v>0</v>
      </c>
      <c r="U81" s="813">
        <f t="shared" si="87"/>
        <v>0</v>
      </c>
      <c r="V81" s="813">
        <v>0</v>
      </c>
      <c r="W81" s="813">
        <v>0</v>
      </c>
      <c r="X81" s="813">
        <v>0</v>
      </c>
      <c r="Y81" s="813">
        <f t="shared" si="88"/>
        <v>0</v>
      </c>
      <c r="Z81" s="813">
        <f t="shared" si="89"/>
        <v>0</v>
      </c>
      <c r="AA81" s="809">
        <f t="shared" si="90"/>
        <v>0</v>
      </c>
      <c r="AB81" s="809">
        <f t="shared" si="91"/>
        <v>0</v>
      </c>
      <c r="AC81" s="813">
        <v>0</v>
      </c>
      <c r="AD81" s="813">
        <v>0</v>
      </c>
      <c r="AE81" s="813">
        <f t="shared" si="92"/>
        <v>0</v>
      </c>
      <c r="AF81" s="813">
        <f t="shared" si="93"/>
        <v>0</v>
      </c>
      <c r="AG81" s="836">
        <v>0</v>
      </c>
      <c r="AH81" s="836">
        <v>0</v>
      </c>
      <c r="AI81" s="836">
        <v>0</v>
      </c>
      <c r="AJ81" s="836">
        <v>0</v>
      </c>
      <c r="AK81" s="836">
        <v>0</v>
      </c>
      <c r="AL81" s="836">
        <f t="shared" si="94"/>
        <v>0</v>
      </c>
      <c r="AM81" s="836">
        <f t="shared" si="95"/>
        <v>0</v>
      </c>
      <c r="AN81" s="837">
        <f t="shared" si="96"/>
        <v>0</v>
      </c>
      <c r="AO81" s="835">
        <f t="shared" si="97"/>
        <v>1717683</v>
      </c>
      <c r="AP81" s="813">
        <f t="shared" si="98"/>
        <v>1249752</v>
      </c>
      <c r="AQ81" s="813">
        <f t="shared" si="99"/>
        <v>0</v>
      </c>
      <c r="AR81" s="813">
        <f t="shared" si="100"/>
        <v>422416</v>
      </c>
      <c r="AS81" s="813">
        <f t="shared" si="100"/>
        <v>24995</v>
      </c>
      <c r="AT81" s="813">
        <f t="shared" si="101"/>
        <v>20520</v>
      </c>
      <c r="AU81" s="836">
        <f t="shared" si="102"/>
        <v>2.3086000000000002</v>
      </c>
      <c r="AV81" s="836">
        <f t="shared" si="103"/>
        <v>1.5455000000000001</v>
      </c>
      <c r="AW81" s="837">
        <f t="shared" si="103"/>
        <v>0.76310000000000011</v>
      </c>
    </row>
    <row r="82" spans="1:49" ht="12.95" customHeight="1" x14ac:dyDescent="0.25">
      <c r="A82" s="827">
        <v>15</v>
      </c>
      <c r="B82" s="828">
        <v>4433</v>
      </c>
      <c r="C82" s="828">
        <v>600075001</v>
      </c>
      <c r="D82" s="828">
        <v>70695440</v>
      </c>
      <c r="E82" s="830" t="s">
        <v>363</v>
      </c>
      <c r="F82" s="828">
        <v>3117</v>
      </c>
      <c r="G82" s="831" t="s">
        <v>325</v>
      </c>
      <c r="H82" s="831" t="s">
        <v>284</v>
      </c>
      <c r="I82" s="803">
        <f t="shared" si="84"/>
        <v>0</v>
      </c>
      <c r="J82" s="833">
        <v>0</v>
      </c>
      <c r="K82" s="805">
        <v>0</v>
      </c>
      <c r="L82" s="805">
        <v>0</v>
      </c>
      <c r="M82" s="833">
        <v>0</v>
      </c>
      <c r="N82" s="834">
        <f t="shared" si="85"/>
        <v>0</v>
      </c>
      <c r="O82" s="1054">
        <v>0</v>
      </c>
      <c r="P82" s="1055">
        <v>0</v>
      </c>
      <c r="Q82" s="835">
        <f t="shared" si="86"/>
        <v>0</v>
      </c>
      <c r="R82" s="835">
        <v>127021</v>
      </c>
      <c r="S82" s="813">
        <v>0</v>
      </c>
      <c r="T82" s="813">
        <v>0</v>
      </c>
      <c r="U82" s="813">
        <f t="shared" si="87"/>
        <v>127021</v>
      </c>
      <c r="V82" s="813">
        <v>0</v>
      </c>
      <c r="W82" s="813">
        <v>0</v>
      </c>
      <c r="X82" s="813">
        <v>0</v>
      </c>
      <c r="Y82" s="813">
        <f t="shared" si="88"/>
        <v>0</v>
      </c>
      <c r="Z82" s="813">
        <f t="shared" si="89"/>
        <v>127021</v>
      </c>
      <c r="AA82" s="809">
        <f t="shared" si="90"/>
        <v>42933</v>
      </c>
      <c r="AB82" s="809">
        <f t="shared" si="91"/>
        <v>2540</v>
      </c>
      <c r="AC82" s="813">
        <v>0</v>
      </c>
      <c r="AD82" s="813">
        <v>0</v>
      </c>
      <c r="AE82" s="813">
        <f t="shared" si="92"/>
        <v>0</v>
      </c>
      <c r="AF82" s="813">
        <f t="shared" si="93"/>
        <v>172494</v>
      </c>
      <c r="AG82" s="836">
        <v>0</v>
      </c>
      <c r="AH82" s="836">
        <v>0</v>
      </c>
      <c r="AI82" s="836">
        <v>0.5</v>
      </c>
      <c r="AJ82" s="836">
        <v>0</v>
      </c>
      <c r="AK82" s="836">
        <v>0</v>
      </c>
      <c r="AL82" s="836">
        <f t="shared" si="94"/>
        <v>0.5</v>
      </c>
      <c r="AM82" s="836">
        <f t="shared" si="95"/>
        <v>0</v>
      </c>
      <c r="AN82" s="837">
        <f t="shared" si="96"/>
        <v>0.5</v>
      </c>
      <c r="AO82" s="835">
        <f t="shared" si="97"/>
        <v>172494</v>
      </c>
      <c r="AP82" s="813">
        <f t="shared" si="98"/>
        <v>127021</v>
      </c>
      <c r="AQ82" s="813">
        <f t="shared" si="99"/>
        <v>0</v>
      </c>
      <c r="AR82" s="813">
        <f t="shared" si="100"/>
        <v>42933</v>
      </c>
      <c r="AS82" s="813">
        <f t="shared" si="100"/>
        <v>2540</v>
      </c>
      <c r="AT82" s="813">
        <f t="shared" si="101"/>
        <v>0</v>
      </c>
      <c r="AU82" s="836">
        <f t="shared" si="102"/>
        <v>0.5</v>
      </c>
      <c r="AV82" s="836">
        <f t="shared" si="103"/>
        <v>0.5</v>
      </c>
      <c r="AW82" s="837">
        <f t="shared" si="103"/>
        <v>0</v>
      </c>
    </row>
    <row r="83" spans="1:49" ht="12.95" customHeight="1" x14ac:dyDescent="0.25">
      <c r="A83" s="827">
        <v>15</v>
      </c>
      <c r="B83" s="828">
        <v>4433</v>
      </c>
      <c r="C83" s="828">
        <v>600075001</v>
      </c>
      <c r="D83" s="828">
        <v>70695440</v>
      </c>
      <c r="E83" s="830" t="s">
        <v>363</v>
      </c>
      <c r="F83" s="828">
        <v>3141</v>
      </c>
      <c r="G83" s="831" t="s">
        <v>321</v>
      </c>
      <c r="H83" s="831" t="s">
        <v>284</v>
      </c>
      <c r="I83" s="803">
        <f t="shared" si="84"/>
        <v>485019</v>
      </c>
      <c r="J83" s="833">
        <v>355705</v>
      </c>
      <c r="K83" s="805">
        <f>ROUND((J83)*33.8%,0)</f>
        <v>120228</v>
      </c>
      <c r="L83" s="805">
        <f>ROUND(J83*2%,0)</f>
        <v>7114</v>
      </c>
      <c r="M83" s="833">
        <v>1972</v>
      </c>
      <c r="N83" s="834">
        <f t="shared" si="85"/>
        <v>1.21</v>
      </c>
      <c r="O83" s="1054">
        <v>0</v>
      </c>
      <c r="P83" s="1055">
        <v>1.21</v>
      </c>
      <c r="Q83" s="835">
        <f t="shared" si="86"/>
        <v>0</v>
      </c>
      <c r="R83" s="835">
        <v>0</v>
      </c>
      <c r="S83" s="813">
        <v>0</v>
      </c>
      <c r="T83" s="813">
        <v>0</v>
      </c>
      <c r="U83" s="813">
        <f t="shared" si="87"/>
        <v>0</v>
      </c>
      <c r="V83" s="813">
        <v>0</v>
      </c>
      <c r="W83" s="813">
        <v>0</v>
      </c>
      <c r="X83" s="813">
        <v>0</v>
      </c>
      <c r="Y83" s="813">
        <f t="shared" si="88"/>
        <v>0</v>
      </c>
      <c r="Z83" s="813">
        <f t="shared" si="89"/>
        <v>0</v>
      </c>
      <c r="AA83" s="809">
        <f t="shared" si="90"/>
        <v>0</v>
      </c>
      <c r="AB83" s="809">
        <f t="shared" si="91"/>
        <v>0</v>
      </c>
      <c r="AC83" s="813">
        <v>0</v>
      </c>
      <c r="AD83" s="813">
        <v>0</v>
      </c>
      <c r="AE83" s="813">
        <f t="shared" si="92"/>
        <v>0</v>
      </c>
      <c r="AF83" s="813">
        <f t="shared" si="93"/>
        <v>0</v>
      </c>
      <c r="AG83" s="836">
        <v>0</v>
      </c>
      <c r="AH83" s="836">
        <v>0</v>
      </c>
      <c r="AI83" s="836">
        <v>0</v>
      </c>
      <c r="AJ83" s="836">
        <v>0</v>
      </c>
      <c r="AK83" s="836">
        <v>0</v>
      </c>
      <c r="AL83" s="836">
        <f t="shared" si="94"/>
        <v>0</v>
      </c>
      <c r="AM83" s="836">
        <f t="shared" si="95"/>
        <v>0</v>
      </c>
      <c r="AN83" s="837">
        <f t="shared" si="96"/>
        <v>0</v>
      </c>
      <c r="AO83" s="835">
        <f t="shared" si="97"/>
        <v>485019</v>
      </c>
      <c r="AP83" s="813">
        <f t="shared" si="98"/>
        <v>355705</v>
      </c>
      <c r="AQ83" s="813">
        <f t="shared" si="99"/>
        <v>0</v>
      </c>
      <c r="AR83" s="813">
        <f t="shared" si="100"/>
        <v>120228</v>
      </c>
      <c r="AS83" s="813">
        <f t="shared" si="100"/>
        <v>7114</v>
      </c>
      <c r="AT83" s="813">
        <f t="shared" si="101"/>
        <v>1972</v>
      </c>
      <c r="AU83" s="836">
        <f t="shared" si="102"/>
        <v>1.21</v>
      </c>
      <c r="AV83" s="836">
        <f t="shared" si="103"/>
        <v>0</v>
      </c>
      <c r="AW83" s="837">
        <f t="shared" si="103"/>
        <v>1.21</v>
      </c>
    </row>
    <row r="84" spans="1:49" ht="12.95" customHeight="1" x14ac:dyDescent="0.25">
      <c r="A84" s="827">
        <v>15</v>
      </c>
      <c r="B84" s="828">
        <v>4433</v>
      </c>
      <c r="C84" s="828">
        <v>600075001</v>
      </c>
      <c r="D84" s="828">
        <v>70695440</v>
      </c>
      <c r="E84" s="830" t="s">
        <v>363</v>
      </c>
      <c r="F84" s="828">
        <v>3143</v>
      </c>
      <c r="G84" s="831" t="s">
        <v>635</v>
      </c>
      <c r="H84" s="831" t="s">
        <v>283</v>
      </c>
      <c r="I84" s="803">
        <f t="shared" si="84"/>
        <v>237482</v>
      </c>
      <c r="J84" s="833">
        <v>174876</v>
      </c>
      <c r="K84" s="805">
        <f>ROUND((J84)*33.8%,0)</f>
        <v>59108</v>
      </c>
      <c r="L84" s="805">
        <f>ROUND(J84*2%,0)</f>
        <v>3498</v>
      </c>
      <c r="M84" s="833">
        <v>0</v>
      </c>
      <c r="N84" s="834">
        <f t="shared" si="85"/>
        <v>0.5</v>
      </c>
      <c r="O84" s="1054">
        <v>0.5</v>
      </c>
      <c r="P84" s="1055">
        <v>0</v>
      </c>
      <c r="Q84" s="835">
        <f t="shared" si="86"/>
        <v>0</v>
      </c>
      <c r="R84" s="835">
        <v>0</v>
      </c>
      <c r="S84" s="813">
        <v>0</v>
      </c>
      <c r="T84" s="813">
        <v>0</v>
      </c>
      <c r="U84" s="813">
        <f t="shared" si="87"/>
        <v>0</v>
      </c>
      <c r="V84" s="813">
        <v>0</v>
      </c>
      <c r="W84" s="813">
        <v>0</v>
      </c>
      <c r="X84" s="813">
        <v>0</v>
      </c>
      <c r="Y84" s="813">
        <f t="shared" si="88"/>
        <v>0</v>
      </c>
      <c r="Z84" s="813">
        <f t="shared" si="89"/>
        <v>0</v>
      </c>
      <c r="AA84" s="809">
        <f t="shared" si="90"/>
        <v>0</v>
      </c>
      <c r="AB84" s="809">
        <f t="shared" si="91"/>
        <v>0</v>
      </c>
      <c r="AC84" s="813">
        <v>0</v>
      </c>
      <c r="AD84" s="813">
        <v>0</v>
      </c>
      <c r="AE84" s="813">
        <f t="shared" si="92"/>
        <v>0</v>
      </c>
      <c r="AF84" s="813">
        <f t="shared" si="93"/>
        <v>0</v>
      </c>
      <c r="AG84" s="836">
        <v>0</v>
      </c>
      <c r="AH84" s="836">
        <v>0</v>
      </c>
      <c r="AI84" s="836">
        <v>0</v>
      </c>
      <c r="AJ84" s="836">
        <v>0</v>
      </c>
      <c r="AK84" s="836">
        <v>0</v>
      </c>
      <c r="AL84" s="836">
        <f t="shared" si="94"/>
        <v>0</v>
      </c>
      <c r="AM84" s="836">
        <f t="shared" si="95"/>
        <v>0</v>
      </c>
      <c r="AN84" s="837">
        <f t="shared" si="96"/>
        <v>0</v>
      </c>
      <c r="AO84" s="835">
        <f t="shared" si="97"/>
        <v>237482</v>
      </c>
      <c r="AP84" s="813">
        <f t="shared" si="98"/>
        <v>174876</v>
      </c>
      <c r="AQ84" s="813">
        <f t="shared" si="99"/>
        <v>0</v>
      </c>
      <c r="AR84" s="813">
        <f t="shared" si="100"/>
        <v>59108</v>
      </c>
      <c r="AS84" s="813">
        <f t="shared" si="100"/>
        <v>3498</v>
      </c>
      <c r="AT84" s="813">
        <f t="shared" si="101"/>
        <v>0</v>
      </c>
      <c r="AU84" s="836">
        <f t="shared" si="102"/>
        <v>0.5</v>
      </c>
      <c r="AV84" s="836">
        <f t="shared" si="103"/>
        <v>0.5</v>
      </c>
      <c r="AW84" s="837">
        <f t="shared" si="103"/>
        <v>0</v>
      </c>
    </row>
    <row r="85" spans="1:49" ht="12.95" customHeight="1" x14ac:dyDescent="0.25">
      <c r="A85" s="827">
        <v>15</v>
      </c>
      <c r="B85" s="828">
        <v>4433</v>
      </c>
      <c r="C85" s="828">
        <v>600075001</v>
      </c>
      <c r="D85" s="828">
        <v>70695440</v>
      </c>
      <c r="E85" s="830" t="s">
        <v>363</v>
      </c>
      <c r="F85" s="828">
        <v>3143</v>
      </c>
      <c r="G85" s="831" t="s">
        <v>636</v>
      </c>
      <c r="H85" s="831" t="s">
        <v>284</v>
      </c>
      <c r="I85" s="803">
        <f t="shared" si="84"/>
        <v>7724</v>
      </c>
      <c r="J85" s="833">
        <v>5445</v>
      </c>
      <c r="K85" s="805">
        <f>ROUND((J85)*33.8%,0)</f>
        <v>1840</v>
      </c>
      <c r="L85" s="805">
        <f>ROUND(J85*2%,0)</f>
        <v>109</v>
      </c>
      <c r="M85" s="833">
        <v>330</v>
      </c>
      <c r="N85" s="834">
        <f t="shared" si="85"/>
        <v>0.02</v>
      </c>
      <c r="O85" s="1054">
        <v>0</v>
      </c>
      <c r="P85" s="1055">
        <v>0.02</v>
      </c>
      <c r="Q85" s="835">
        <f t="shared" si="86"/>
        <v>0</v>
      </c>
      <c r="R85" s="835">
        <v>0</v>
      </c>
      <c r="S85" s="813">
        <v>0</v>
      </c>
      <c r="T85" s="813">
        <v>0</v>
      </c>
      <c r="U85" s="813">
        <f t="shared" si="87"/>
        <v>0</v>
      </c>
      <c r="V85" s="813">
        <v>0</v>
      </c>
      <c r="W85" s="813">
        <v>0</v>
      </c>
      <c r="X85" s="813">
        <v>0</v>
      </c>
      <c r="Y85" s="813">
        <f t="shared" si="88"/>
        <v>0</v>
      </c>
      <c r="Z85" s="813">
        <f t="shared" si="89"/>
        <v>0</v>
      </c>
      <c r="AA85" s="809">
        <f t="shared" si="90"/>
        <v>0</v>
      </c>
      <c r="AB85" s="809">
        <f t="shared" si="91"/>
        <v>0</v>
      </c>
      <c r="AC85" s="813">
        <v>0</v>
      </c>
      <c r="AD85" s="813">
        <v>0</v>
      </c>
      <c r="AE85" s="813">
        <f t="shared" si="92"/>
        <v>0</v>
      </c>
      <c r="AF85" s="813">
        <f t="shared" si="93"/>
        <v>0</v>
      </c>
      <c r="AG85" s="836">
        <v>0</v>
      </c>
      <c r="AH85" s="836">
        <v>0</v>
      </c>
      <c r="AI85" s="836">
        <v>0</v>
      </c>
      <c r="AJ85" s="836">
        <v>0</v>
      </c>
      <c r="AK85" s="836">
        <v>0</v>
      </c>
      <c r="AL85" s="836">
        <f t="shared" si="94"/>
        <v>0</v>
      </c>
      <c r="AM85" s="836">
        <f t="shared" si="95"/>
        <v>0</v>
      </c>
      <c r="AN85" s="837">
        <f t="shared" si="96"/>
        <v>0</v>
      </c>
      <c r="AO85" s="835">
        <f t="shared" si="97"/>
        <v>7724</v>
      </c>
      <c r="AP85" s="813">
        <f t="shared" si="98"/>
        <v>5445</v>
      </c>
      <c r="AQ85" s="813">
        <f t="shared" si="99"/>
        <v>0</v>
      </c>
      <c r="AR85" s="813">
        <f t="shared" si="100"/>
        <v>1840</v>
      </c>
      <c r="AS85" s="813">
        <f t="shared" si="100"/>
        <v>109</v>
      </c>
      <c r="AT85" s="813">
        <f t="shared" si="101"/>
        <v>330</v>
      </c>
      <c r="AU85" s="836">
        <f t="shared" si="102"/>
        <v>0.02</v>
      </c>
      <c r="AV85" s="836">
        <f t="shared" si="103"/>
        <v>0</v>
      </c>
      <c r="AW85" s="837">
        <f t="shared" si="103"/>
        <v>0.02</v>
      </c>
    </row>
    <row r="86" spans="1:49" ht="12.95" customHeight="1" x14ac:dyDescent="0.25">
      <c r="A86" s="814">
        <v>15</v>
      </c>
      <c r="B86" s="816">
        <v>4433</v>
      </c>
      <c r="C86" s="816">
        <v>600075001</v>
      </c>
      <c r="D86" s="816">
        <v>70695440</v>
      </c>
      <c r="E86" s="841" t="s">
        <v>364</v>
      </c>
      <c r="F86" s="850"/>
      <c r="G86" s="851"/>
      <c r="H86" s="851"/>
      <c r="I86" s="843">
        <f t="shared" ref="I86:AW86" si="104">SUM(I80:I85)</f>
        <v>3979618</v>
      </c>
      <c r="J86" s="844">
        <f t="shared" si="104"/>
        <v>2906404</v>
      </c>
      <c r="K86" s="844">
        <f t="shared" si="104"/>
        <v>982363</v>
      </c>
      <c r="L86" s="844">
        <f t="shared" si="104"/>
        <v>58129</v>
      </c>
      <c r="M86" s="844">
        <f t="shared" si="104"/>
        <v>32722</v>
      </c>
      <c r="N86" s="845">
        <f t="shared" si="104"/>
        <v>6.5494999999999992</v>
      </c>
      <c r="O86" s="845">
        <f t="shared" si="104"/>
        <v>4.0455000000000005</v>
      </c>
      <c r="P86" s="847">
        <f t="shared" si="104"/>
        <v>2.504</v>
      </c>
      <c r="Q86" s="848">
        <f t="shared" si="104"/>
        <v>0</v>
      </c>
      <c r="R86" s="844">
        <f t="shared" si="104"/>
        <v>127021</v>
      </c>
      <c r="S86" s="844">
        <f t="shared" si="104"/>
        <v>0</v>
      </c>
      <c r="T86" s="844">
        <f t="shared" si="104"/>
        <v>0</v>
      </c>
      <c r="U86" s="844">
        <f t="shared" si="104"/>
        <v>127021</v>
      </c>
      <c r="V86" s="844">
        <f t="shared" si="104"/>
        <v>0</v>
      </c>
      <c r="W86" s="844">
        <f t="shared" si="104"/>
        <v>0</v>
      </c>
      <c r="X86" s="844">
        <f t="shared" si="104"/>
        <v>0</v>
      </c>
      <c r="Y86" s="844">
        <f t="shared" si="104"/>
        <v>0</v>
      </c>
      <c r="Z86" s="844">
        <f t="shared" si="104"/>
        <v>127021</v>
      </c>
      <c r="AA86" s="844">
        <f t="shared" si="104"/>
        <v>42933</v>
      </c>
      <c r="AB86" s="844">
        <f t="shared" si="104"/>
        <v>2540</v>
      </c>
      <c r="AC86" s="844">
        <f t="shared" si="104"/>
        <v>0</v>
      </c>
      <c r="AD86" s="844">
        <f t="shared" si="104"/>
        <v>0</v>
      </c>
      <c r="AE86" s="844">
        <f t="shared" si="104"/>
        <v>0</v>
      </c>
      <c r="AF86" s="844">
        <f t="shared" si="104"/>
        <v>172494</v>
      </c>
      <c r="AG86" s="845">
        <f t="shared" si="104"/>
        <v>0</v>
      </c>
      <c r="AH86" s="845">
        <f t="shared" si="104"/>
        <v>0</v>
      </c>
      <c r="AI86" s="845">
        <f t="shared" si="104"/>
        <v>0.5</v>
      </c>
      <c r="AJ86" s="845">
        <f t="shared" si="104"/>
        <v>0</v>
      </c>
      <c r="AK86" s="845">
        <f t="shared" si="104"/>
        <v>0</v>
      </c>
      <c r="AL86" s="845">
        <f t="shared" si="104"/>
        <v>0.5</v>
      </c>
      <c r="AM86" s="845">
        <f t="shared" si="104"/>
        <v>0</v>
      </c>
      <c r="AN86" s="847">
        <f t="shared" si="104"/>
        <v>0.5</v>
      </c>
      <c r="AO86" s="848">
        <f t="shared" si="104"/>
        <v>4152112</v>
      </c>
      <c r="AP86" s="844">
        <f t="shared" si="104"/>
        <v>3033425</v>
      </c>
      <c r="AQ86" s="844">
        <f t="shared" si="104"/>
        <v>0</v>
      </c>
      <c r="AR86" s="844">
        <f t="shared" si="104"/>
        <v>1025296</v>
      </c>
      <c r="AS86" s="844">
        <f t="shared" si="104"/>
        <v>60669</v>
      </c>
      <c r="AT86" s="844">
        <f t="shared" si="104"/>
        <v>32722</v>
      </c>
      <c r="AU86" s="845">
        <f t="shared" si="104"/>
        <v>7.0494999999999992</v>
      </c>
      <c r="AV86" s="845">
        <f t="shared" si="104"/>
        <v>4.5455000000000005</v>
      </c>
      <c r="AW86" s="847">
        <f t="shared" si="104"/>
        <v>2.504</v>
      </c>
    </row>
    <row r="87" spans="1:49" ht="12.95" customHeight="1" x14ac:dyDescent="0.25">
      <c r="A87" s="827">
        <v>16</v>
      </c>
      <c r="B87" s="828">
        <v>4487</v>
      </c>
      <c r="C87" s="828">
        <v>600074854</v>
      </c>
      <c r="D87" s="828">
        <v>70698503</v>
      </c>
      <c r="E87" s="830" t="s">
        <v>365</v>
      </c>
      <c r="F87" s="828">
        <v>3111</v>
      </c>
      <c r="G87" s="831" t="s">
        <v>331</v>
      </c>
      <c r="H87" s="831" t="s">
        <v>283</v>
      </c>
      <c r="I87" s="803">
        <f t="shared" ref="I87:I92" si="105">SUM(J87:M87)</f>
        <v>2358541</v>
      </c>
      <c r="J87" s="833">
        <v>1726835</v>
      </c>
      <c r="K87" s="805">
        <f>ROUND((J87)*33.8%,0)-1</f>
        <v>583669</v>
      </c>
      <c r="L87" s="805">
        <f>ROUND(J87*2%,0)</f>
        <v>34537</v>
      </c>
      <c r="M87" s="833">
        <v>13500</v>
      </c>
      <c r="N87" s="834">
        <f t="shared" ref="N87:N92" si="106">SUM(O87:P87)</f>
        <v>4.2218</v>
      </c>
      <c r="O87" s="1054">
        <v>3.3</v>
      </c>
      <c r="P87" s="1055">
        <v>0.92179999999999995</v>
      </c>
      <c r="Q87" s="835">
        <f t="shared" ref="Q87:Q92" si="107">V87*-1</f>
        <v>0</v>
      </c>
      <c r="R87" s="835">
        <v>0</v>
      </c>
      <c r="S87" s="813">
        <v>0</v>
      </c>
      <c r="T87" s="813">
        <v>0</v>
      </c>
      <c r="U87" s="813">
        <f t="shared" ref="U87:U92" si="108">SUM(Q87:T87)</f>
        <v>0</v>
      </c>
      <c r="V87" s="813">
        <v>0</v>
      </c>
      <c r="W87" s="813">
        <v>0</v>
      </c>
      <c r="X87" s="813">
        <v>0</v>
      </c>
      <c r="Y87" s="813">
        <f t="shared" ref="Y87:Y92" si="109">SUM(V87:X87)</f>
        <v>0</v>
      </c>
      <c r="Z87" s="813">
        <f t="shared" ref="Z87:Z92" si="110">U87+Y87</f>
        <v>0</v>
      </c>
      <c r="AA87" s="809">
        <f t="shared" ref="AA87:AA92" si="111">ROUND((U87+V87+W87)*33.8%,0)</f>
        <v>0</v>
      </c>
      <c r="AB87" s="809">
        <f t="shared" ref="AB87:AB92" si="112">ROUND(U87*2%,0)</f>
        <v>0</v>
      </c>
      <c r="AC87" s="813">
        <v>0</v>
      </c>
      <c r="AD87" s="813">
        <v>0</v>
      </c>
      <c r="AE87" s="813">
        <f t="shared" ref="AE87:AE92" si="113">SUM(AC87:AD87)</f>
        <v>0</v>
      </c>
      <c r="AF87" s="813">
        <f t="shared" ref="AF87:AF92" si="114">Z87+AA87+AB87+AE87</f>
        <v>0</v>
      </c>
      <c r="AG87" s="836">
        <v>0</v>
      </c>
      <c r="AH87" s="836">
        <v>0</v>
      </c>
      <c r="AI87" s="836">
        <v>0</v>
      </c>
      <c r="AJ87" s="836">
        <v>0</v>
      </c>
      <c r="AK87" s="836">
        <v>0</v>
      </c>
      <c r="AL87" s="836">
        <f t="shared" ref="AL87:AL92" si="115">AG87+AI87+AJ87</f>
        <v>0</v>
      </c>
      <c r="AM87" s="836">
        <f t="shared" ref="AM87:AM92" si="116">AH87+AK87</f>
        <v>0</v>
      </c>
      <c r="AN87" s="837">
        <f t="shared" ref="AN87:AN92" si="117">SUM(AL87:AM87)</f>
        <v>0</v>
      </c>
      <c r="AO87" s="835">
        <f t="shared" ref="AO87:AO92" si="118">I87+AF87</f>
        <v>2358541</v>
      </c>
      <c r="AP87" s="813">
        <f t="shared" ref="AP87:AP92" si="119">J87+U87</f>
        <v>1726835</v>
      </c>
      <c r="AQ87" s="813">
        <f t="shared" ref="AQ87:AQ92" si="120">Y87</f>
        <v>0</v>
      </c>
      <c r="AR87" s="813">
        <f t="shared" ref="AR87:AS92" si="121">K87+AA87</f>
        <v>583669</v>
      </c>
      <c r="AS87" s="813">
        <f t="shared" si="121"/>
        <v>34537</v>
      </c>
      <c r="AT87" s="813">
        <f t="shared" ref="AT87:AT92" si="122">M87+AE87</f>
        <v>13500</v>
      </c>
      <c r="AU87" s="836">
        <f t="shared" ref="AU87:AU92" si="123">N87+AN87</f>
        <v>4.2218</v>
      </c>
      <c r="AV87" s="836">
        <f t="shared" ref="AV87:AW92" si="124">O87+AL87</f>
        <v>3.3</v>
      </c>
      <c r="AW87" s="837">
        <f t="shared" si="124"/>
        <v>0.92179999999999995</v>
      </c>
    </row>
    <row r="88" spans="1:49" ht="12.95" customHeight="1" x14ac:dyDescent="0.25">
      <c r="A88" s="827">
        <v>16</v>
      </c>
      <c r="B88" s="828">
        <v>4487</v>
      </c>
      <c r="C88" s="828">
        <v>600074854</v>
      </c>
      <c r="D88" s="828">
        <v>70698503</v>
      </c>
      <c r="E88" s="830" t="s">
        <v>365</v>
      </c>
      <c r="F88" s="828">
        <v>3117</v>
      </c>
      <c r="G88" s="831" t="s">
        <v>335</v>
      </c>
      <c r="H88" s="831" t="s">
        <v>283</v>
      </c>
      <c r="I88" s="803">
        <f t="shared" si="105"/>
        <v>4481788</v>
      </c>
      <c r="J88" s="833">
        <v>3234807</v>
      </c>
      <c r="K88" s="805">
        <f>ROUND((J88)*33.8%,0)</f>
        <v>1093365</v>
      </c>
      <c r="L88" s="805">
        <f>ROUND(J88*2%,0)</f>
        <v>64696</v>
      </c>
      <c r="M88" s="833">
        <v>88920</v>
      </c>
      <c r="N88" s="834">
        <f t="shared" si="106"/>
        <v>6.5289000000000001</v>
      </c>
      <c r="O88" s="1054">
        <v>4.5545999999999998</v>
      </c>
      <c r="P88" s="1055">
        <v>1.9742999999999999</v>
      </c>
      <c r="Q88" s="835">
        <f t="shared" si="107"/>
        <v>-16000</v>
      </c>
      <c r="R88" s="835">
        <v>0</v>
      </c>
      <c r="S88" s="813">
        <v>0</v>
      </c>
      <c r="T88" s="813">
        <v>0</v>
      </c>
      <c r="U88" s="813">
        <f t="shared" si="108"/>
        <v>-16000</v>
      </c>
      <c r="V88" s="813">
        <v>16000</v>
      </c>
      <c r="W88" s="813">
        <v>0</v>
      </c>
      <c r="X88" s="813">
        <v>0</v>
      </c>
      <c r="Y88" s="813">
        <f t="shared" si="109"/>
        <v>16000</v>
      </c>
      <c r="Z88" s="813">
        <f t="shared" si="110"/>
        <v>0</v>
      </c>
      <c r="AA88" s="809">
        <f t="shared" si="111"/>
        <v>0</v>
      </c>
      <c r="AB88" s="809">
        <f t="shared" si="112"/>
        <v>-320</v>
      </c>
      <c r="AC88" s="813">
        <v>0</v>
      </c>
      <c r="AD88" s="813">
        <v>0</v>
      </c>
      <c r="AE88" s="813">
        <f t="shared" si="113"/>
        <v>0</v>
      </c>
      <c r="AF88" s="813">
        <f t="shared" si="114"/>
        <v>-320</v>
      </c>
      <c r="AG88" s="836">
        <v>0</v>
      </c>
      <c r="AH88" s="836">
        <v>-7.0000000000000007E-2</v>
      </c>
      <c r="AI88" s="836">
        <v>0</v>
      </c>
      <c r="AJ88" s="836">
        <v>0</v>
      </c>
      <c r="AK88" s="836">
        <v>0</v>
      </c>
      <c r="AL88" s="836">
        <f t="shared" si="115"/>
        <v>0</v>
      </c>
      <c r="AM88" s="836">
        <f t="shared" si="116"/>
        <v>-7.0000000000000007E-2</v>
      </c>
      <c r="AN88" s="837">
        <f t="shared" si="117"/>
        <v>-7.0000000000000007E-2</v>
      </c>
      <c r="AO88" s="835">
        <f t="shared" si="118"/>
        <v>4481468</v>
      </c>
      <c r="AP88" s="813">
        <f t="shared" si="119"/>
        <v>3218807</v>
      </c>
      <c r="AQ88" s="813">
        <f t="shared" si="120"/>
        <v>16000</v>
      </c>
      <c r="AR88" s="813">
        <f t="shared" si="121"/>
        <v>1093365</v>
      </c>
      <c r="AS88" s="813">
        <f t="shared" si="121"/>
        <v>64376</v>
      </c>
      <c r="AT88" s="813">
        <f t="shared" si="122"/>
        <v>88920</v>
      </c>
      <c r="AU88" s="836">
        <f t="shared" si="123"/>
        <v>6.4588999999999999</v>
      </c>
      <c r="AV88" s="836">
        <f t="shared" si="124"/>
        <v>4.5545999999999998</v>
      </c>
      <c r="AW88" s="837">
        <f t="shared" si="124"/>
        <v>1.9042999999999999</v>
      </c>
    </row>
    <row r="89" spans="1:49" ht="12.95" customHeight="1" x14ac:dyDescent="0.25">
      <c r="A89" s="827">
        <v>16</v>
      </c>
      <c r="B89" s="828">
        <v>4487</v>
      </c>
      <c r="C89" s="828">
        <v>600074854</v>
      </c>
      <c r="D89" s="828">
        <v>70698503</v>
      </c>
      <c r="E89" s="830" t="s">
        <v>365</v>
      </c>
      <c r="F89" s="828">
        <v>3117</v>
      </c>
      <c r="G89" s="831" t="s">
        <v>325</v>
      </c>
      <c r="H89" s="831" t="s">
        <v>284</v>
      </c>
      <c r="I89" s="803">
        <f t="shared" si="105"/>
        <v>0</v>
      </c>
      <c r="J89" s="833">
        <v>0</v>
      </c>
      <c r="K89" s="805">
        <v>0</v>
      </c>
      <c r="L89" s="805">
        <v>0</v>
      </c>
      <c r="M89" s="833">
        <v>0</v>
      </c>
      <c r="N89" s="834">
        <f t="shared" si="106"/>
        <v>0</v>
      </c>
      <c r="O89" s="1054">
        <v>0</v>
      </c>
      <c r="P89" s="1055">
        <v>0</v>
      </c>
      <c r="Q89" s="835">
        <f t="shared" si="107"/>
        <v>0</v>
      </c>
      <c r="R89" s="835">
        <f>995051+144351</f>
        <v>1139402</v>
      </c>
      <c r="S89" s="813">
        <v>0</v>
      </c>
      <c r="T89" s="813">
        <v>0</v>
      </c>
      <c r="U89" s="813">
        <f t="shared" si="108"/>
        <v>1139402</v>
      </c>
      <c r="V89" s="813">
        <v>0</v>
      </c>
      <c r="W89" s="813">
        <v>0</v>
      </c>
      <c r="X89" s="813">
        <v>0</v>
      </c>
      <c r="Y89" s="813">
        <f t="shared" si="109"/>
        <v>0</v>
      </c>
      <c r="Z89" s="813">
        <f t="shared" si="110"/>
        <v>1139402</v>
      </c>
      <c r="AA89" s="809">
        <f t="shared" si="111"/>
        <v>385118</v>
      </c>
      <c r="AB89" s="809">
        <f t="shared" si="112"/>
        <v>22788</v>
      </c>
      <c r="AC89" s="813">
        <v>0</v>
      </c>
      <c r="AD89" s="813">
        <v>0</v>
      </c>
      <c r="AE89" s="813">
        <f t="shared" si="113"/>
        <v>0</v>
      </c>
      <c r="AF89" s="813">
        <f t="shared" si="114"/>
        <v>1547308</v>
      </c>
      <c r="AG89" s="836">
        <v>0</v>
      </c>
      <c r="AH89" s="836">
        <v>0</v>
      </c>
      <c r="AI89" s="836">
        <f>3.14+0.41</f>
        <v>3.5500000000000003</v>
      </c>
      <c r="AJ89" s="836">
        <v>0</v>
      </c>
      <c r="AK89" s="836">
        <v>0</v>
      </c>
      <c r="AL89" s="836">
        <f t="shared" si="115"/>
        <v>3.5500000000000003</v>
      </c>
      <c r="AM89" s="836">
        <f t="shared" si="116"/>
        <v>0</v>
      </c>
      <c r="AN89" s="837">
        <f t="shared" si="117"/>
        <v>3.5500000000000003</v>
      </c>
      <c r="AO89" s="835">
        <f t="shared" si="118"/>
        <v>1547308</v>
      </c>
      <c r="AP89" s="813">
        <f t="shared" si="119"/>
        <v>1139402</v>
      </c>
      <c r="AQ89" s="813">
        <f t="shared" si="120"/>
        <v>0</v>
      </c>
      <c r="AR89" s="813">
        <f t="shared" si="121"/>
        <v>385118</v>
      </c>
      <c r="AS89" s="813">
        <f t="shared" si="121"/>
        <v>22788</v>
      </c>
      <c r="AT89" s="813">
        <f t="shared" si="122"/>
        <v>0</v>
      </c>
      <c r="AU89" s="836">
        <f t="shared" si="123"/>
        <v>3.5500000000000003</v>
      </c>
      <c r="AV89" s="836">
        <f t="shared" si="124"/>
        <v>3.5500000000000003</v>
      </c>
      <c r="AW89" s="837">
        <f t="shared" si="124"/>
        <v>0</v>
      </c>
    </row>
    <row r="90" spans="1:49" ht="12.95" customHeight="1" x14ac:dyDescent="0.25">
      <c r="A90" s="827">
        <v>16</v>
      </c>
      <c r="B90" s="828">
        <v>4487</v>
      </c>
      <c r="C90" s="828">
        <v>600074854</v>
      </c>
      <c r="D90" s="828">
        <v>70698503</v>
      </c>
      <c r="E90" s="830" t="s">
        <v>365</v>
      </c>
      <c r="F90" s="828">
        <v>3141</v>
      </c>
      <c r="G90" s="831" t="s">
        <v>321</v>
      </c>
      <c r="H90" s="831" t="s">
        <v>284</v>
      </c>
      <c r="I90" s="803">
        <f t="shared" si="105"/>
        <v>916832</v>
      </c>
      <c r="J90" s="833">
        <v>671803</v>
      </c>
      <c r="K90" s="805">
        <f>ROUND((J90)*33.8%,0)</f>
        <v>227069</v>
      </c>
      <c r="L90" s="805">
        <f>ROUND(J90*2%,0)</f>
        <v>13436</v>
      </c>
      <c r="M90" s="833">
        <v>4524</v>
      </c>
      <c r="N90" s="834">
        <f t="shared" si="106"/>
        <v>2.29</v>
      </c>
      <c r="O90" s="1054">
        <v>0</v>
      </c>
      <c r="P90" s="1055">
        <v>2.29</v>
      </c>
      <c r="Q90" s="835">
        <f t="shared" si="107"/>
        <v>0</v>
      </c>
      <c r="R90" s="835">
        <v>0</v>
      </c>
      <c r="S90" s="813">
        <v>0</v>
      </c>
      <c r="T90" s="813">
        <v>0</v>
      </c>
      <c r="U90" s="813">
        <f t="shared" si="108"/>
        <v>0</v>
      </c>
      <c r="V90" s="813">
        <v>0</v>
      </c>
      <c r="W90" s="813">
        <v>0</v>
      </c>
      <c r="X90" s="813">
        <v>0</v>
      </c>
      <c r="Y90" s="813">
        <f t="shared" si="109"/>
        <v>0</v>
      </c>
      <c r="Z90" s="813">
        <f t="shared" si="110"/>
        <v>0</v>
      </c>
      <c r="AA90" s="809">
        <f t="shared" si="111"/>
        <v>0</v>
      </c>
      <c r="AB90" s="809">
        <f t="shared" si="112"/>
        <v>0</v>
      </c>
      <c r="AC90" s="813">
        <v>0</v>
      </c>
      <c r="AD90" s="813">
        <v>0</v>
      </c>
      <c r="AE90" s="813">
        <f t="shared" si="113"/>
        <v>0</v>
      </c>
      <c r="AF90" s="813">
        <f t="shared" si="114"/>
        <v>0</v>
      </c>
      <c r="AG90" s="836">
        <v>0</v>
      </c>
      <c r="AH90" s="836">
        <v>0</v>
      </c>
      <c r="AI90" s="836">
        <v>0</v>
      </c>
      <c r="AJ90" s="836">
        <v>0</v>
      </c>
      <c r="AK90" s="836">
        <v>0</v>
      </c>
      <c r="AL90" s="836">
        <f t="shared" si="115"/>
        <v>0</v>
      </c>
      <c r="AM90" s="836">
        <f t="shared" si="116"/>
        <v>0</v>
      </c>
      <c r="AN90" s="837">
        <f t="shared" si="117"/>
        <v>0</v>
      </c>
      <c r="AO90" s="835">
        <f t="shared" si="118"/>
        <v>916832</v>
      </c>
      <c r="AP90" s="813">
        <f t="shared" si="119"/>
        <v>671803</v>
      </c>
      <c r="AQ90" s="813">
        <f t="shared" si="120"/>
        <v>0</v>
      </c>
      <c r="AR90" s="813">
        <f t="shared" si="121"/>
        <v>227069</v>
      </c>
      <c r="AS90" s="813">
        <f t="shared" si="121"/>
        <v>13436</v>
      </c>
      <c r="AT90" s="813">
        <f t="shared" si="122"/>
        <v>4524</v>
      </c>
      <c r="AU90" s="836">
        <f t="shared" si="123"/>
        <v>2.29</v>
      </c>
      <c r="AV90" s="836">
        <f t="shared" si="124"/>
        <v>0</v>
      </c>
      <c r="AW90" s="837">
        <f t="shared" si="124"/>
        <v>2.29</v>
      </c>
    </row>
    <row r="91" spans="1:49" ht="12.95" customHeight="1" x14ac:dyDescent="0.25">
      <c r="A91" s="827">
        <v>16</v>
      </c>
      <c r="B91" s="828">
        <v>4487</v>
      </c>
      <c r="C91" s="828">
        <v>600074854</v>
      </c>
      <c r="D91" s="828">
        <v>70698503</v>
      </c>
      <c r="E91" s="830" t="s">
        <v>365</v>
      </c>
      <c r="F91" s="828">
        <v>3143</v>
      </c>
      <c r="G91" s="831" t="s">
        <v>635</v>
      </c>
      <c r="H91" s="831" t="s">
        <v>283</v>
      </c>
      <c r="I91" s="803">
        <f t="shared" si="105"/>
        <v>648890</v>
      </c>
      <c r="J91" s="833">
        <v>477827</v>
      </c>
      <c r="K91" s="805">
        <f>ROUND((J91)*33.8%,0)</f>
        <v>161506</v>
      </c>
      <c r="L91" s="805">
        <f>ROUND(J91*2%,0)</f>
        <v>9557</v>
      </c>
      <c r="M91" s="833">
        <v>0</v>
      </c>
      <c r="N91" s="834">
        <f t="shared" si="106"/>
        <v>1</v>
      </c>
      <c r="O91" s="1054">
        <v>1</v>
      </c>
      <c r="P91" s="1055">
        <v>0</v>
      </c>
      <c r="Q91" s="835">
        <f t="shared" si="107"/>
        <v>0</v>
      </c>
      <c r="R91" s="835">
        <v>0</v>
      </c>
      <c r="S91" s="813">
        <v>0</v>
      </c>
      <c r="T91" s="813">
        <v>0</v>
      </c>
      <c r="U91" s="813">
        <f t="shared" si="108"/>
        <v>0</v>
      </c>
      <c r="V91" s="813">
        <v>0</v>
      </c>
      <c r="W91" s="813">
        <v>0</v>
      </c>
      <c r="X91" s="813">
        <v>0</v>
      </c>
      <c r="Y91" s="813">
        <f t="shared" si="109"/>
        <v>0</v>
      </c>
      <c r="Z91" s="813">
        <f t="shared" si="110"/>
        <v>0</v>
      </c>
      <c r="AA91" s="809">
        <f t="shared" si="111"/>
        <v>0</v>
      </c>
      <c r="AB91" s="809">
        <f t="shared" si="112"/>
        <v>0</v>
      </c>
      <c r="AC91" s="813">
        <v>0</v>
      </c>
      <c r="AD91" s="813">
        <v>0</v>
      </c>
      <c r="AE91" s="813">
        <f t="shared" si="113"/>
        <v>0</v>
      </c>
      <c r="AF91" s="813">
        <f t="shared" si="114"/>
        <v>0</v>
      </c>
      <c r="AG91" s="836">
        <v>0</v>
      </c>
      <c r="AH91" s="836">
        <v>0</v>
      </c>
      <c r="AI91" s="836">
        <v>0</v>
      </c>
      <c r="AJ91" s="836">
        <v>0</v>
      </c>
      <c r="AK91" s="836">
        <v>0</v>
      </c>
      <c r="AL91" s="836">
        <f t="shared" si="115"/>
        <v>0</v>
      </c>
      <c r="AM91" s="836">
        <f t="shared" si="116"/>
        <v>0</v>
      </c>
      <c r="AN91" s="837">
        <f t="shared" si="117"/>
        <v>0</v>
      </c>
      <c r="AO91" s="835">
        <f t="shared" si="118"/>
        <v>648890</v>
      </c>
      <c r="AP91" s="813">
        <f t="shared" si="119"/>
        <v>477827</v>
      </c>
      <c r="AQ91" s="813">
        <f t="shared" si="120"/>
        <v>0</v>
      </c>
      <c r="AR91" s="813">
        <f t="shared" si="121"/>
        <v>161506</v>
      </c>
      <c r="AS91" s="813">
        <f t="shared" si="121"/>
        <v>9557</v>
      </c>
      <c r="AT91" s="813">
        <f t="shared" si="122"/>
        <v>0</v>
      </c>
      <c r="AU91" s="836">
        <f t="shared" si="123"/>
        <v>1</v>
      </c>
      <c r="AV91" s="836">
        <f t="shared" si="124"/>
        <v>1</v>
      </c>
      <c r="AW91" s="837">
        <f t="shared" si="124"/>
        <v>0</v>
      </c>
    </row>
    <row r="92" spans="1:49" ht="12.95" customHeight="1" x14ac:dyDescent="0.25">
      <c r="A92" s="827">
        <v>16</v>
      </c>
      <c r="B92" s="828">
        <v>4487</v>
      </c>
      <c r="C92" s="828">
        <v>600074854</v>
      </c>
      <c r="D92" s="828">
        <v>70698503</v>
      </c>
      <c r="E92" s="830" t="s">
        <v>365</v>
      </c>
      <c r="F92" s="828">
        <v>3143</v>
      </c>
      <c r="G92" s="831" t="s">
        <v>636</v>
      </c>
      <c r="H92" s="831" t="s">
        <v>284</v>
      </c>
      <c r="I92" s="803">
        <f t="shared" si="105"/>
        <v>21066</v>
      </c>
      <c r="J92" s="833">
        <v>14850</v>
      </c>
      <c r="K92" s="805">
        <f>ROUND((J92)*33.8%,0)</f>
        <v>5019</v>
      </c>
      <c r="L92" s="805">
        <f>ROUND(J92*2%,0)</f>
        <v>297</v>
      </c>
      <c r="M92" s="833">
        <v>900</v>
      </c>
      <c r="N92" s="834">
        <f t="shared" si="106"/>
        <v>0.06</v>
      </c>
      <c r="O92" s="1054">
        <v>0</v>
      </c>
      <c r="P92" s="1055">
        <v>0.06</v>
      </c>
      <c r="Q92" s="835">
        <f t="shared" si="107"/>
        <v>0</v>
      </c>
      <c r="R92" s="835">
        <v>0</v>
      </c>
      <c r="S92" s="813">
        <v>0</v>
      </c>
      <c r="T92" s="813">
        <v>0</v>
      </c>
      <c r="U92" s="813">
        <f t="shared" si="108"/>
        <v>0</v>
      </c>
      <c r="V92" s="813">
        <v>0</v>
      </c>
      <c r="W92" s="813">
        <v>0</v>
      </c>
      <c r="X92" s="813">
        <v>0</v>
      </c>
      <c r="Y92" s="813">
        <f t="shared" si="109"/>
        <v>0</v>
      </c>
      <c r="Z92" s="813">
        <f t="shared" si="110"/>
        <v>0</v>
      </c>
      <c r="AA92" s="809">
        <f t="shared" si="111"/>
        <v>0</v>
      </c>
      <c r="AB92" s="809">
        <f t="shared" si="112"/>
        <v>0</v>
      </c>
      <c r="AC92" s="813">
        <v>0</v>
      </c>
      <c r="AD92" s="813">
        <v>0</v>
      </c>
      <c r="AE92" s="813">
        <f t="shared" si="113"/>
        <v>0</v>
      </c>
      <c r="AF92" s="813">
        <f t="shared" si="114"/>
        <v>0</v>
      </c>
      <c r="AG92" s="836">
        <v>0</v>
      </c>
      <c r="AH92" s="836">
        <v>0</v>
      </c>
      <c r="AI92" s="836">
        <v>0</v>
      </c>
      <c r="AJ92" s="836">
        <v>0</v>
      </c>
      <c r="AK92" s="836">
        <v>0</v>
      </c>
      <c r="AL92" s="836">
        <f t="shared" si="115"/>
        <v>0</v>
      </c>
      <c r="AM92" s="836">
        <f t="shared" si="116"/>
        <v>0</v>
      </c>
      <c r="AN92" s="837">
        <f t="shared" si="117"/>
        <v>0</v>
      </c>
      <c r="AO92" s="835">
        <f t="shared" si="118"/>
        <v>21066</v>
      </c>
      <c r="AP92" s="813">
        <f t="shared" si="119"/>
        <v>14850</v>
      </c>
      <c r="AQ92" s="813">
        <f t="shared" si="120"/>
        <v>0</v>
      </c>
      <c r="AR92" s="813">
        <f t="shared" si="121"/>
        <v>5019</v>
      </c>
      <c r="AS92" s="813">
        <f t="shared" si="121"/>
        <v>297</v>
      </c>
      <c r="AT92" s="813">
        <f t="shared" si="122"/>
        <v>900</v>
      </c>
      <c r="AU92" s="836">
        <f t="shared" si="123"/>
        <v>0.06</v>
      </c>
      <c r="AV92" s="836">
        <f t="shared" si="124"/>
        <v>0</v>
      </c>
      <c r="AW92" s="837">
        <f t="shared" si="124"/>
        <v>0.06</v>
      </c>
    </row>
    <row r="93" spans="1:49" ht="12.95" customHeight="1" x14ac:dyDescent="0.25">
      <c r="A93" s="814">
        <v>16</v>
      </c>
      <c r="B93" s="816">
        <v>4487</v>
      </c>
      <c r="C93" s="816">
        <v>600074854</v>
      </c>
      <c r="D93" s="816">
        <v>70698503</v>
      </c>
      <c r="E93" s="841" t="s">
        <v>366</v>
      </c>
      <c r="F93" s="850"/>
      <c r="G93" s="851"/>
      <c r="H93" s="851"/>
      <c r="I93" s="843">
        <f t="shared" ref="I93:AW93" si="125">SUM(I87:I92)</f>
        <v>8427117</v>
      </c>
      <c r="J93" s="844">
        <f t="shared" si="125"/>
        <v>6126122</v>
      </c>
      <c r="K93" s="844">
        <f t="shared" si="125"/>
        <v>2070628</v>
      </c>
      <c r="L93" s="844">
        <f t="shared" si="125"/>
        <v>122523</v>
      </c>
      <c r="M93" s="844">
        <f t="shared" si="125"/>
        <v>107844</v>
      </c>
      <c r="N93" s="845">
        <f t="shared" si="125"/>
        <v>14.100700000000002</v>
      </c>
      <c r="O93" s="845">
        <f t="shared" si="125"/>
        <v>8.8545999999999996</v>
      </c>
      <c r="P93" s="847">
        <f t="shared" si="125"/>
        <v>5.2460999999999993</v>
      </c>
      <c r="Q93" s="848">
        <f t="shared" si="125"/>
        <v>-16000</v>
      </c>
      <c r="R93" s="844">
        <f t="shared" si="125"/>
        <v>1139402</v>
      </c>
      <c r="S93" s="844">
        <f t="shared" si="125"/>
        <v>0</v>
      </c>
      <c r="T93" s="844">
        <f t="shared" si="125"/>
        <v>0</v>
      </c>
      <c r="U93" s="844">
        <f t="shared" si="125"/>
        <v>1123402</v>
      </c>
      <c r="V93" s="844">
        <f t="shared" si="125"/>
        <v>16000</v>
      </c>
      <c r="W93" s="844">
        <f t="shared" si="125"/>
        <v>0</v>
      </c>
      <c r="X93" s="844">
        <f t="shared" si="125"/>
        <v>0</v>
      </c>
      <c r="Y93" s="844">
        <f t="shared" si="125"/>
        <v>16000</v>
      </c>
      <c r="Z93" s="844">
        <f t="shared" si="125"/>
        <v>1139402</v>
      </c>
      <c r="AA93" s="844">
        <f t="shared" si="125"/>
        <v>385118</v>
      </c>
      <c r="AB93" s="844">
        <f t="shared" si="125"/>
        <v>22468</v>
      </c>
      <c r="AC93" s="844">
        <f t="shared" si="125"/>
        <v>0</v>
      </c>
      <c r="AD93" s="844">
        <f t="shared" si="125"/>
        <v>0</v>
      </c>
      <c r="AE93" s="844">
        <f t="shared" si="125"/>
        <v>0</v>
      </c>
      <c r="AF93" s="844">
        <f t="shared" si="125"/>
        <v>1546988</v>
      </c>
      <c r="AG93" s="845">
        <f t="shared" si="125"/>
        <v>0</v>
      </c>
      <c r="AH93" s="845">
        <f t="shared" si="125"/>
        <v>-7.0000000000000007E-2</v>
      </c>
      <c r="AI93" s="845">
        <f t="shared" si="125"/>
        <v>3.5500000000000003</v>
      </c>
      <c r="AJ93" s="845">
        <f t="shared" si="125"/>
        <v>0</v>
      </c>
      <c r="AK93" s="845">
        <f t="shared" si="125"/>
        <v>0</v>
      </c>
      <c r="AL93" s="845">
        <f t="shared" si="125"/>
        <v>3.5500000000000003</v>
      </c>
      <c r="AM93" s="845">
        <f t="shared" si="125"/>
        <v>-7.0000000000000007E-2</v>
      </c>
      <c r="AN93" s="847">
        <f t="shared" si="125"/>
        <v>3.4800000000000004</v>
      </c>
      <c r="AO93" s="848">
        <f t="shared" si="125"/>
        <v>9974105</v>
      </c>
      <c r="AP93" s="844">
        <f t="shared" si="125"/>
        <v>7249524</v>
      </c>
      <c r="AQ93" s="844">
        <f t="shared" si="125"/>
        <v>16000</v>
      </c>
      <c r="AR93" s="844">
        <f t="shared" si="125"/>
        <v>2455746</v>
      </c>
      <c r="AS93" s="844">
        <f t="shared" si="125"/>
        <v>144991</v>
      </c>
      <c r="AT93" s="844">
        <f t="shared" si="125"/>
        <v>107844</v>
      </c>
      <c r="AU93" s="845">
        <f t="shared" si="125"/>
        <v>17.5807</v>
      </c>
      <c r="AV93" s="845">
        <f t="shared" si="125"/>
        <v>12.4046</v>
      </c>
      <c r="AW93" s="847">
        <f t="shared" si="125"/>
        <v>5.176099999999999</v>
      </c>
    </row>
    <row r="94" spans="1:49" ht="12.95" customHeight="1" x14ac:dyDescent="0.25">
      <c r="A94" s="827">
        <v>17</v>
      </c>
      <c r="B94" s="828">
        <v>4488</v>
      </c>
      <c r="C94" s="828">
        <v>600074803</v>
      </c>
      <c r="D94" s="828">
        <v>72742089</v>
      </c>
      <c r="E94" s="830" t="s">
        <v>367</v>
      </c>
      <c r="F94" s="828">
        <v>3111</v>
      </c>
      <c r="G94" s="831" t="s">
        <v>331</v>
      </c>
      <c r="H94" s="831" t="s">
        <v>283</v>
      </c>
      <c r="I94" s="803">
        <f t="shared" ref="I94:I99" si="126">SUM(J94:M94)</f>
        <v>1479139</v>
      </c>
      <c r="J94" s="833">
        <v>1082245</v>
      </c>
      <c r="K94" s="805">
        <f>ROUND((J94)*33.8%,0)</f>
        <v>365799</v>
      </c>
      <c r="L94" s="805">
        <f>ROUND(J94*2%,0)</f>
        <v>21645</v>
      </c>
      <c r="M94" s="833">
        <v>9450</v>
      </c>
      <c r="N94" s="834">
        <f t="shared" ref="N94:N99" si="127">SUM(O94:P94)</f>
        <v>2.5108999999999999</v>
      </c>
      <c r="O94" s="1054">
        <v>2</v>
      </c>
      <c r="P94" s="1055">
        <v>0.51090000000000002</v>
      </c>
      <c r="Q94" s="835">
        <f t="shared" ref="Q94:Q99" si="128">V94*-1</f>
        <v>0</v>
      </c>
      <c r="R94" s="835">
        <v>0</v>
      </c>
      <c r="S94" s="813">
        <v>0</v>
      </c>
      <c r="T94" s="813">
        <v>0</v>
      </c>
      <c r="U94" s="813">
        <f t="shared" ref="U94:U99" si="129">SUM(Q94:T94)</f>
        <v>0</v>
      </c>
      <c r="V94" s="813">
        <v>0</v>
      </c>
      <c r="W94" s="813">
        <v>0</v>
      </c>
      <c r="X94" s="813">
        <v>0</v>
      </c>
      <c r="Y94" s="813">
        <f t="shared" ref="Y94:Y99" si="130">SUM(V94:X94)</f>
        <v>0</v>
      </c>
      <c r="Z94" s="813">
        <f t="shared" ref="Z94:Z99" si="131">U94+Y94</f>
        <v>0</v>
      </c>
      <c r="AA94" s="809">
        <f t="shared" ref="AA94:AA99" si="132">ROUND((U94+V94+W94)*33.8%,0)</f>
        <v>0</v>
      </c>
      <c r="AB94" s="809">
        <f t="shared" ref="AB94:AB99" si="133">ROUND(U94*2%,0)</f>
        <v>0</v>
      </c>
      <c r="AC94" s="813">
        <v>0</v>
      </c>
      <c r="AD94" s="813">
        <v>0</v>
      </c>
      <c r="AE94" s="813">
        <f t="shared" ref="AE94:AE99" si="134">SUM(AC94:AD94)</f>
        <v>0</v>
      </c>
      <c r="AF94" s="813">
        <f t="shared" ref="AF94:AF99" si="135">Z94+AA94+AB94+AE94</f>
        <v>0</v>
      </c>
      <c r="AG94" s="836">
        <v>0</v>
      </c>
      <c r="AH94" s="836">
        <v>0</v>
      </c>
      <c r="AI94" s="836">
        <v>0</v>
      </c>
      <c r="AJ94" s="836">
        <v>0</v>
      </c>
      <c r="AK94" s="836">
        <v>0</v>
      </c>
      <c r="AL94" s="836">
        <f t="shared" ref="AL94:AL99" si="136">AG94+AI94+AJ94</f>
        <v>0</v>
      </c>
      <c r="AM94" s="836">
        <f t="shared" ref="AM94:AM99" si="137">AH94+AK94</f>
        <v>0</v>
      </c>
      <c r="AN94" s="837">
        <f t="shared" ref="AN94:AN99" si="138">SUM(AL94:AM94)</f>
        <v>0</v>
      </c>
      <c r="AO94" s="835">
        <f t="shared" ref="AO94:AO99" si="139">I94+AF94</f>
        <v>1479139</v>
      </c>
      <c r="AP94" s="813">
        <f t="shared" ref="AP94:AP99" si="140">J94+U94</f>
        <v>1082245</v>
      </c>
      <c r="AQ94" s="813">
        <f t="shared" ref="AQ94:AQ99" si="141">Y94</f>
        <v>0</v>
      </c>
      <c r="AR94" s="813">
        <f t="shared" ref="AR94:AS99" si="142">K94+AA94</f>
        <v>365799</v>
      </c>
      <c r="AS94" s="813">
        <f t="shared" si="142"/>
        <v>21645</v>
      </c>
      <c r="AT94" s="813">
        <f t="shared" ref="AT94:AT99" si="143">M94+AE94</f>
        <v>9450</v>
      </c>
      <c r="AU94" s="836">
        <f t="shared" ref="AU94:AU99" si="144">N94+AN94</f>
        <v>2.5108999999999999</v>
      </c>
      <c r="AV94" s="836">
        <f t="shared" ref="AV94:AW99" si="145">O94+AL94</f>
        <v>2</v>
      </c>
      <c r="AW94" s="837">
        <f t="shared" si="145"/>
        <v>0.51090000000000002</v>
      </c>
    </row>
    <row r="95" spans="1:49" ht="12.95" customHeight="1" x14ac:dyDescent="0.25">
      <c r="A95" s="827">
        <v>17</v>
      </c>
      <c r="B95" s="828">
        <v>4488</v>
      </c>
      <c r="C95" s="828">
        <v>600074803</v>
      </c>
      <c r="D95" s="828">
        <v>72742089</v>
      </c>
      <c r="E95" s="830" t="s">
        <v>367</v>
      </c>
      <c r="F95" s="828">
        <v>3117</v>
      </c>
      <c r="G95" s="831" t="s">
        <v>335</v>
      </c>
      <c r="H95" s="831" t="s">
        <v>283</v>
      </c>
      <c r="I95" s="803">
        <f t="shared" si="126"/>
        <v>3344640</v>
      </c>
      <c r="J95" s="833">
        <v>2420103</v>
      </c>
      <c r="K95" s="805">
        <f>ROUND((J95)*33.8%,0)</f>
        <v>817995</v>
      </c>
      <c r="L95" s="805">
        <f>ROUND(J95*2%,0)</f>
        <v>48402</v>
      </c>
      <c r="M95" s="833">
        <v>58140</v>
      </c>
      <c r="N95" s="834">
        <f t="shared" si="127"/>
        <v>4.7469999999999999</v>
      </c>
      <c r="O95" s="1054">
        <v>3.3182</v>
      </c>
      <c r="P95" s="1055">
        <v>1.4288000000000001</v>
      </c>
      <c r="Q95" s="835">
        <f t="shared" si="128"/>
        <v>-12000</v>
      </c>
      <c r="R95" s="835">
        <v>0</v>
      </c>
      <c r="S95" s="813">
        <v>0</v>
      </c>
      <c r="T95" s="813">
        <v>0</v>
      </c>
      <c r="U95" s="813">
        <f t="shared" si="129"/>
        <v>-12000</v>
      </c>
      <c r="V95" s="813">
        <v>12000</v>
      </c>
      <c r="W95" s="813">
        <v>0</v>
      </c>
      <c r="X95" s="813">
        <v>0</v>
      </c>
      <c r="Y95" s="813">
        <f t="shared" si="130"/>
        <v>12000</v>
      </c>
      <c r="Z95" s="813">
        <f t="shared" si="131"/>
        <v>0</v>
      </c>
      <c r="AA95" s="809">
        <f t="shared" si="132"/>
        <v>0</v>
      </c>
      <c r="AB95" s="809">
        <f t="shared" si="133"/>
        <v>-240</v>
      </c>
      <c r="AC95" s="813">
        <v>0</v>
      </c>
      <c r="AD95" s="813">
        <v>0</v>
      </c>
      <c r="AE95" s="813">
        <f t="shared" si="134"/>
        <v>0</v>
      </c>
      <c r="AF95" s="813">
        <f t="shared" si="135"/>
        <v>-240</v>
      </c>
      <c r="AG95" s="836">
        <v>-0.01</v>
      </c>
      <c r="AH95" s="836">
        <v>-0.03</v>
      </c>
      <c r="AI95" s="836">
        <v>0</v>
      </c>
      <c r="AJ95" s="836">
        <v>0</v>
      </c>
      <c r="AK95" s="836">
        <v>0</v>
      </c>
      <c r="AL95" s="836">
        <f t="shared" si="136"/>
        <v>-0.01</v>
      </c>
      <c r="AM95" s="836">
        <f t="shared" si="137"/>
        <v>-0.03</v>
      </c>
      <c r="AN95" s="837">
        <f t="shared" si="138"/>
        <v>-0.04</v>
      </c>
      <c r="AO95" s="835">
        <f t="shared" si="139"/>
        <v>3344400</v>
      </c>
      <c r="AP95" s="813">
        <f t="shared" si="140"/>
        <v>2408103</v>
      </c>
      <c r="AQ95" s="813">
        <f t="shared" si="141"/>
        <v>12000</v>
      </c>
      <c r="AR95" s="813">
        <f t="shared" si="142"/>
        <v>817995</v>
      </c>
      <c r="AS95" s="813">
        <f t="shared" si="142"/>
        <v>48162</v>
      </c>
      <c r="AT95" s="813">
        <f t="shared" si="143"/>
        <v>58140</v>
      </c>
      <c r="AU95" s="836">
        <f t="shared" si="144"/>
        <v>4.7069999999999999</v>
      </c>
      <c r="AV95" s="836">
        <f t="shared" si="145"/>
        <v>3.3082000000000003</v>
      </c>
      <c r="AW95" s="837">
        <f t="shared" si="145"/>
        <v>1.3988</v>
      </c>
    </row>
    <row r="96" spans="1:49" ht="12.95" customHeight="1" x14ac:dyDescent="0.25">
      <c r="A96" s="827">
        <v>17</v>
      </c>
      <c r="B96" s="828">
        <v>4488</v>
      </c>
      <c r="C96" s="828">
        <v>600074803</v>
      </c>
      <c r="D96" s="828">
        <v>72742089</v>
      </c>
      <c r="E96" s="830" t="s">
        <v>367</v>
      </c>
      <c r="F96" s="828">
        <v>3117</v>
      </c>
      <c r="G96" s="831" t="s">
        <v>325</v>
      </c>
      <c r="H96" s="831" t="s">
        <v>284</v>
      </c>
      <c r="I96" s="803">
        <f t="shared" si="126"/>
        <v>0</v>
      </c>
      <c r="J96" s="833">
        <v>0</v>
      </c>
      <c r="K96" s="805">
        <v>0</v>
      </c>
      <c r="L96" s="805">
        <v>0</v>
      </c>
      <c r="M96" s="833">
        <v>0</v>
      </c>
      <c r="N96" s="834">
        <f t="shared" si="127"/>
        <v>0</v>
      </c>
      <c r="O96" s="1054">
        <v>0</v>
      </c>
      <c r="P96" s="1055">
        <v>0</v>
      </c>
      <c r="Q96" s="835">
        <f t="shared" si="128"/>
        <v>0</v>
      </c>
      <c r="R96" s="835">
        <v>259833</v>
      </c>
      <c r="S96" s="813">
        <v>0</v>
      </c>
      <c r="T96" s="813">
        <v>0</v>
      </c>
      <c r="U96" s="813">
        <f t="shared" si="129"/>
        <v>259833</v>
      </c>
      <c r="V96" s="813">
        <v>0</v>
      </c>
      <c r="W96" s="813">
        <v>0</v>
      </c>
      <c r="X96" s="813">
        <v>0</v>
      </c>
      <c r="Y96" s="813">
        <f t="shared" si="130"/>
        <v>0</v>
      </c>
      <c r="Z96" s="813">
        <f t="shared" si="131"/>
        <v>259833</v>
      </c>
      <c r="AA96" s="809">
        <f t="shared" si="132"/>
        <v>87824</v>
      </c>
      <c r="AB96" s="809">
        <f t="shared" si="133"/>
        <v>5197</v>
      </c>
      <c r="AC96" s="813">
        <v>0</v>
      </c>
      <c r="AD96" s="813">
        <v>0</v>
      </c>
      <c r="AE96" s="813">
        <f t="shared" si="134"/>
        <v>0</v>
      </c>
      <c r="AF96" s="813">
        <f t="shared" si="135"/>
        <v>352854</v>
      </c>
      <c r="AG96" s="836">
        <v>0</v>
      </c>
      <c r="AH96" s="836">
        <v>0</v>
      </c>
      <c r="AI96" s="836">
        <v>0.75</v>
      </c>
      <c r="AJ96" s="836">
        <v>0</v>
      </c>
      <c r="AK96" s="836">
        <v>0</v>
      </c>
      <c r="AL96" s="836">
        <f t="shared" si="136"/>
        <v>0.75</v>
      </c>
      <c r="AM96" s="836">
        <f t="shared" si="137"/>
        <v>0</v>
      </c>
      <c r="AN96" s="837">
        <f t="shared" si="138"/>
        <v>0.75</v>
      </c>
      <c r="AO96" s="835">
        <f t="shared" si="139"/>
        <v>352854</v>
      </c>
      <c r="AP96" s="813">
        <f t="shared" si="140"/>
        <v>259833</v>
      </c>
      <c r="AQ96" s="813">
        <f t="shared" si="141"/>
        <v>0</v>
      </c>
      <c r="AR96" s="813">
        <f t="shared" si="142"/>
        <v>87824</v>
      </c>
      <c r="AS96" s="813">
        <f t="shared" si="142"/>
        <v>5197</v>
      </c>
      <c r="AT96" s="813">
        <f t="shared" si="143"/>
        <v>0</v>
      </c>
      <c r="AU96" s="836">
        <f t="shared" si="144"/>
        <v>0.75</v>
      </c>
      <c r="AV96" s="836">
        <f t="shared" si="145"/>
        <v>0.75</v>
      </c>
      <c r="AW96" s="837">
        <f t="shared" si="145"/>
        <v>0</v>
      </c>
    </row>
    <row r="97" spans="1:49" ht="12.95" customHeight="1" x14ac:dyDescent="0.25">
      <c r="A97" s="827">
        <v>17</v>
      </c>
      <c r="B97" s="828">
        <v>4488</v>
      </c>
      <c r="C97" s="828">
        <v>600074803</v>
      </c>
      <c r="D97" s="828">
        <v>72742089</v>
      </c>
      <c r="E97" s="830" t="s">
        <v>367</v>
      </c>
      <c r="F97" s="828">
        <v>3141</v>
      </c>
      <c r="G97" s="831" t="s">
        <v>321</v>
      </c>
      <c r="H97" s="831" t="s">
        <v>284</v>
      </c>
      <c r="I97" s="803">
        <f t="shared" si="126"/>
        <v>272954</v>
      </c>
      <c r="J97" s="833">
        <v>199542</v>
      </c>
      <c r="K97" s="805">
        <f>ROUND((J97)*33.8%,0)</f>
        <v>67445</v>
      </c>
      <c r="L97" s="805">
        <f>ROUND(J97*2%,0)</f>
        <v>3991</v>
      </c>
      <c r="M97" s="833">
        <v>1976</v>
      </c>
      <c r="N97" s="834">
        <f t="shared" si="127"/>
        <v>0.68</v>
      </c>
      <c r="O97" s="1054">
        <v>0</v>
      </c>
      <c r="P97" s="1055">
        <v>0.68</v>
      </c>
      <c r="Q97" s="835">
        <f t="shared" si="128"/>
        <v>0</v>
      </c>
      <c r="R97" s="835">
        <v>0</v>
      </c>
      <c r="S97" s="813">
        <v>0</v>
      </c>
      <c r="T97" s="813">
        <v>0</v>
      </c>
      <c r="U97" s="813">
        <f t="shared" si="129"/>
        <v>0</v>
      </c>
      <c r="V97" s="813">
        <v>0</v>
      </c>
      <c r="W97" s="813">
        <v>0</v>
      </c>
      <c r="X97" s="813">
        <v>0</v>
      </c>
      <c r="Y97" s="813">
        <f t="shared" si="130"/>
        <v>0</v>
      </c>
      <c r="Z97" s="813">
        <f t="shared" si="131"/>
        <v>0</v>
      </c>
      <c r="AA97" s="809">
        <f t="shared" si="132"/>
        <v>0</v>
      </c>
      <c r="AB97" s="809">
        <f t="shared" si="133"/>
        <v>0</v>
      </c>
      <c r="AC97" s="813">
        <v>0</v>
      </c>
      <c r="AD97" s="813">
        <v>0</v>
      </c>
      <c r="AE97" s="813">
        <f t="shared" si="134"/>
        <v>0</v>
      </c>
      <c r="AF97" s="813">
        <f t="shared" si="135"/>
        <v>0</v>
      </c>
      <c r="AG97" s="836">
        <v>0</v>
      </c>
      <c r="AH97" s="836">
        <v>0</v>
      </c>
      <c r="AI97" s="836">
        <v>0</v>
      </c>
      <c r="AJ97" s="836">
        <v>0</v>
      </c>
      <c r="AK97" s="836">
        <v>0</v>
      </c>
      <c r="AL97" s="836">
        <f t="shared" si="136"/>
        <v>0</v>
      </c>
      <c r="AM97" s="836">
        <f t="shared" si="137"/>
        <v>0</v>
      </c>
      <c r="AN97" s="837">
        <f t="shared" si="138"/>
        <v>0</v>
      </c>
      <c r="AO97" s="835">
        <f t="shared" si="139"/>
        <v>272954</v>
      </c>
      <c r="AP97" s="813">
        <f t="shared" si="140"/>
        <v>199542</v>
      </c>
      <c r="AQ97" s="813">
        <f t="shared" si="141"/>
        <v>0</v>
      </c>
      <c r="AR97" s="813">
        <f t="shared" si="142"/>
        <v>67445</v>
      </c>
      <c r="AS97" s="813">
        <f t="shared" si="142"/>
        <v>3991</v>
      </c>
      <c r="AT97" s="813">
        <f t="shared" si="143"/>
        <v>1976</v>
      </c>
      <c r="AU97" s="836">
        <f t="shared" si="144"/>
        <v>0.68</v>
      </c>
      <c r="AV97" s="836">
        <f t="shared" si="145"/>
        <v>0</v>
      </c>
      <c r="AW97" s="837">
        <f t="shared" si="145"/>
        <v>0.68</v>
      </c>
    </row>
    <row r="98" spans="1:49" ht="12.95" customHeight="1" x14ac:dyDescent="0.25">
      <c r="A98" s="827">
        <v>17</v>
      </c>
      <c r="B98" s="828">
        <v>4488</v>
      </c>
      <c r="C98" s="828">
        <v>600074803</v>
      </c>
      <c r="D98" s="828">
        <v>72742089</v>
      </c>
      <c r="E98" s="830" t="s">
        <v>367</v>
      </c>
      <c r="F98" s="828">
        <v>3143</v>
      </c>
      <c r="G98" s="831" t="s">
        <v>635</v>
      </c>
      <c r="H98" s="831" t="s">
        <v>283</v>
      </c>
      <c r="I98" s="803">
        <f t="shared" si="126"/>
        <v>584881</v>
      </c>
      <c r="J98" s="833">
        <v>430693</v>
      </c>
      <c r="K98" s="805">
        <f>ROUND((J98)*33.8%,0)</f>
        <v>145574</v>
      </c>
      <c r="L98" s="805">
        <f>ROUND(J98*2%,0)</f>
        <v>8614</v>
      </c>
      <c r="M98" s="833">
        <v>0</v>
      </c>
      <c r="N98" s="834">
        <f t="shared" si="127"/>
        <v>0.86209999999999998</v>
      </c>
      <c r="O98" s="1054">
        <v>0.86209999999999998</v>
      </c>
      <c r="P98" s="1055">
        <v>0</v>
      </c>
      <c r="Q98" s="835">
        <f t="shared" si="128"/>
        <v>0</v>
      </c>
      <c r="R98" s="835">
        <v>0</v>
      </c>
      <c r="S98" s="813">
        <v>0</v>
      </c>
      <c r="T98" s="813">
        <v>0</v>
      </c>
      <c r="U98" s="813">
        <f t="shared" si="129"/>
        <v>0</v>
      </c>
      <c r="V98" s="813">
        <v>0</v>
      </c>
      <c r="W98" s="813">
        <v>0</v>
      </c>
      <c r="X98" s="813">
        <v>0</v>
      </c>
      <c r="Y98" s="813">
        <f t="shared" si="130"/>
        <v>0</v>
      </c>
      <c r="Z98" s="813">
        <f t="shared" si="131"/>
        <v>0</v>
      </c>
      <c r="AA98" s="809">
        <f t="shared" si="132"/>
        <v>0</v>
      </c>
      <c r="AB98" s="809">
        <f t="shared" si="133"/>
        <v>0</v>
      </c>
      <c r="AC98" s="813">
        <v>0</v>
      </c>
      <c r="AD98" s="813">
        <v>0</v>
      </c>
      <c r="AE98" s="813">
        <f t="shared" si="134"/>
        <v>0</v>
      </c>
      <c r="AF98" s="813">
        <f t="shared" si="135"/>
        <v>0</v>
      </c>
      <c r="AG98" s="836">
        <v>0</v>
      </c>
      <c r="AH98" s="836">
        <v>0</v>
      </c>
      <c r="AI98" s="836">
        <v>0</v>
      </c>
      <c r="AJ98" s="836">
        <v>0</v>
      </c>
      <c r="AK98" s="836">
        <v>0</v>
      </c>
      <c r="AL98" s="836">
        <f t="shared" si="136"/>
        <v>0</v>
      </c>
      <c r="AM98" s="836">
        <f t="shared" si="137"/>
        <v>0</v>
      </c>
      <c r="AN98" s="837">
        <f t="shared" si="138"/>
        <v>0</v>
      </c>
      <c r="AO98" s="835">
        <f t="shared" si="139"/>
        <v>584881</v>
      </c>
      <c r="AP98" s="813">
        <f t="shared" si="140"/>
        <v>430693</v>
      </c>
      <c r="AQ98" s="813">
        <f t="shared" si="141"/>
        <v>0</v>
      </c>
      <c r="AR98" s="813">
        <f t="shared" si="142"/>
        <v>145574</v>
      </c>
      <c r="AS98" s="813">
        <f t="shared" si="142"/>
        <v>8614</v>
      </c>
      <c r="AT98" s="813">
        <f t="shared" si="143"/>
        <v>0</v>
      </c>
      <c r="AU98" s="836">
        <f t="shared" si="144"/>
        <v>0.86209999999999998</v>
      </c>
      <c r="AV98" s="836">
        <f t="shared" si="145"/>
        <v>0.86209999999999998</v>
      </c>
      <c r="AW98" s="837">
        <f t="shared" si="145"/>
        <v>0</v>
      </c>
    </row>
    <row r="99" spans="1:49" ht="12.95" customHeight="1" x14ac:dyDescent="0.25">
      <c r="A99" s="827">
        <v>17</v>
      </c>
      <c r="B99" s="828">
        <v>4488</v>
      </c>
      <c r="C99" s="828">
        <v>600074803</v>
      </c>
      <c r="D99" s="828">
        <v>72742089</v>
      </c>
      <c r="E99" s="830" t="s">
        <v>367</v>
      </c>
      <c r="F99" s="828">
        <v>3143</v>
      </c>
      <c r="G99" s="831" t="s">
        <v>636</v>
      </c>
      <c r="H99" s="831" t="s">
        <v>284</v>
      </c>
      <c r="I99" s="803">
        <f t="shared" si="126"/>
        <v>17556</v>
      </c>
      <c r="J99" s="833">
        <v>12375</v>
      </c>
      <c r="K99" s="805">
        <f>ROUND((J99)*33.8%,0)</f>
        <v>4183</v>
      </c>
      <c r="L99" s="805">
        <f>ROUND(J99*2%,0)</f>
        <v>248</v>
      </c>
      <c r="M99" s="833">
        <v>750</v>
      </c>
      <c r="N99" s="834">
        <f t="shared" si="127"/>
        <v>0.05</v>
      </c>
      <c r="O99" s="1054">
        <v>0</v>
      </c>
      <c r="P99" s="1055">
        <v>0.05</v>
      </c>
      <c r="Q99" s="835">
        <f t="shared" si="128"/>
        <v>0</v>
      </c>
      <c r="R99" s="835">
        <v>0</v>
      </c>
      <c r="S99" s="813">
        <v>0</v>
      </c>
      <c r="T99" s="813">
        <v>0</v>
      </c>
      <c r="U99" s="813">
        <f t="shared" si="129"/>
        <v>0</v>
      </c>
      <c r="V99" s="813">
        <v>0</v>
      </c>
      <c r="W99" s="813">
        <v>0</v>
      </c>
      <c r="X99" s="813">
        <v>0</v>
      </c>
      <c r="Y99" s="813">
        <f t="shared" si="130"/>
        <v>0</v>
      </c>
      <c r="Z99" s="813">
        <f t="shared" si="131"/>
        <v>0</v>
      </c>
      <c r="AA99" s="809">
        <f t="shared" si="132"/>
        <v>0</v>
      </c>
      <c r="AB99" s="809">
        <f t="shared" si="133"/>
        <v>0</v>
      </c>
      <c r="AC99" s="813">
        <v>0</v>
      </c>
      <c r="AD99" s="813">
        <v>0</v>
      </c>
      <c r="AE99" s="813">
        <f t="shared" si="134"/>
        <v>0</v>
      </c>
      <c r="AF99" s="813">
        <f t="shared" si="135"/>
        <v>0</v>
      </c>
      <c r="AG99" s="836">
        <v>0</v>
      </c>
      <c r="AH99" s="836">
        <v>0</v>
      </c>
      <c r="AI99" s="836">
        <v>0</v>
      </c>
      <c r="AJ99" s="836">
        <v>0</v>
      </c>
      <c r="AK99" s="836">
        <v>0</v>
      </c>
      <c r="AL99" s="836">
        <f t="shared" si="136"/>
        <v>0</v>
      </c>
      <c r="AM99" s="836">
        <f t="shared" si="137"/>
        <v>0</v>
      </c>
      <c r="AN99" s="837">
        <f t="shared" si="138"/>
        <v>0</v>
      </c>
      <c r="AO99" s="835">
        <f t="shared" si="139"/>
        <v>17556</v>
      </c>
      <c r="AP99" s="813">
        <f t="shared" si="140"/>
        <v>12375</v>
      </c>
      <c r="AQ99" s="813">
        <f t="shared" si="141"/>
        <v>0</v>
      </c>
      <c r="AR99" s="813">
        <f t="shared" si="142"/>
        <v>4183</v>
      </c>
      <c r="AS99" s="813">
        <f t="shared" si="142"/>
        <v>248</v>
      </c>
      <c r="AT99" s="813">
        <f t="shared" si="143"/>
        <v>750</v>
      </c>
      <c r="AU99" s="836">
        <f t="shared" si="144"/>
        <v>0.05</v>
      </c>
      <c r="AV99" s="836">
        <f t="shared" si="145"/>
        <v>0</v>
      </c>
      <c r="AW99" s="837">
        <f t="shared" si="145"/>
        <v>0.05</v>
      </c>
    </row>
    <row r="100" spans="1:49" ht="12.95" customHeight="1" x14ac:dyDescent="0.25">
      <c r="A100" s="814">
        <v>17</v>
      </c>
      <c r="B100" s="816">
        <v>4488</v>
      </c>
      <c r="C100" s="816">
        <v>600074803</v>
      </c>
      <c r="D100" s="816">
        <v>72742089</v>
      </c>
      <c r="E100" s="841" t="s">
        <v>368</v>
      </c>
      <c r="F100" s="850"/>
      <c r="G100" s="851"/>
      <c r="H100" s="851"/>
      <c r="I100" s="843">
        <f t="shared" ref="I100:AW100" si="146">SUM(I94:I99)</f>
        <v>5699170</v>
      </c>
      <c r="J100" s="844">
        <f t="shared" si="146"/>
        <v>4144958</v>
      </c>
      <c r="K100" s="844">
        <f t="shared" si="146"/>
        <v>1400996</v>
      </c>
      <c r="L100" s="844">
        <f t="shared" si="146"/>
        <v>82900</v>
      </c>
      <c r="M100" s="844">
        <f t="shared" si="146"/>
        <v>70316</v>
      </c>
      <c r="N100" s="845">
        <f t="shared" si="146"/>
        <v>8.85</v>
      </c>
      <c r="O100" s="845">
        <f t="shared" si="146"/>
        <v>6.1802999999999999</v>
      </c>
      <c r="P100" s="847">
        <f t="shared" si="146"/>
        <v>2.6697000000000002</v>
      </c>
      <c r="Q100" s="848">
        <f t="shared" si="146"/>
        <v>-12000</v>
      </c>
      <c r="R100" s="844">
        <f t="shared" si="146"/>
        <v>259833</v>
      </c>
      <c r="S100" s="844">
        <f t="shared" si="146"/>
        <v>0</v>
      </c>
      <c r="T100" s="844">
        <f t="shared" si="146"/>
        <v>0</v>
      </c>
      <c r="U100" s="844">
        <f t="shared" si="146"/>
        <v>247833</v>
      </c>
      <c r="V100" s="844">
        <f t="shared" si="146"/>
        <v>12000</v>
      </c>
      <c r="W100" s="844">
        <f t="shared" si="146"/>
        <v>0</v>
      </c>
      <c r="X100" s="844">
        <f t="shared" si="146"/>
        <v>0</v>
      </c>
      <c r="Y100" s="844">
        <f t="shared" si="146"/>
        <v>12000</v>
      </c>
      <c r="Z100" s="844">
        <f t="shared" si="146"/>
        <v>259833</v>
      </c>
      <c r="AA100" s="844">
        <f t="shared" si="146"/>
        <v>87824</v>
      </c>
      <c r="AB100" s="844">
        <f t="shared" si="146"/>
        <v>4957</v>
      </c>
      <c r="AC100" s="844">
        <f t="shared" si="146"/>
        <v>0</v>
      </c>
      <c r="AD100" s="844">
        <f t="shared" si="146"/>
        <v>0</v>
      </c>
      <c r="AE100" s="844">
        <f t="shared" si="146"/>
        <v>0</v>
      </c>
      <c r="AF100" s="844">
        <f t="shared" si="146"/>
        <v>352614</v>
      </c>
      <c r="AG100" s="845">
        <f t="shared" si="146"/>
        <v>-0.01</v>
      </c>
      <c r="AH100" s="845">
        <f t="shared" si="146"/>
        <v>-0.03</v>
      </c>
      <c r="AI100" s="845">
        <f t="shared" si="146"/>
        <v>0.75</v>
      </c>
      <c r="AJ100" s="845">
        <f t="shared" si="146"/>
        <v>0</v>
      </c>
      <c r="AK100" s="845">
        <f t="shared" si="146"/>
        <v>0</v>
      </c>
      <c r="AL100" s="845">
        <f t="shared" si="146"/>
        <v>0.74</v>
      </c>
      <c r="AM100" s="845">
        <f t="shared" si="146"/>
        <v>-0.03</v>
      </c>
      <c r="AN100" s="847">
        <f t="shared" si="146"/>
        <v>0.71</v>
      </c>
      <c r="AO100" s="848">
        <f t="shared" si="146"/>
        <v>6051784</v>
      </c>
      <c r="AP100" s="844">
        <f t="shared" si="146"/>
        <v>4392791</v>
      </c>
      <c r="AQ100" s="844">
        <f t="shared" si="146"/>
        <v>12000</v>
      </c>
      <c r="AR100" s="844">
        <f t="shared" si="146"/>
        <v>1488820</v>
      </c>
      <c r="AS100" s="844">
        <f t="shared" si="146"/>
        <v>87857</v>
      </c>
      <c r="AT100" s="844">
        <f t="shared" si="146"/>
        <v>70316</v>
      </c>
      <c r="AU100" s="845">
        <f t="shared" si="146"/>
        <v>9.56</v>
      </c>
      <c r="AV100" s="845">
        <f t="shared" si="146"/>
        <v>6.9203000000000001</v>
      </c>
      <c r="AW100" s="847">
        <f t="shared" si="146"/>
        <v>2.6396999999999999</v>
      </c>
    </row>
    <row r="101" spans="1:49" ht="12.95" customHeight="1" x14ac:dyDescent="0.25">
      <c r="A101" s="827">
        <v>18</v>
      </c>
      <c r="B101" s="828">
        <v>4434</v>
      </c>
      <c r="C101" s="828">
        <v>650025768</v>
      </c>
      <c r="D101" s="828">
        <v>72744481</v>
      </c>
      <c r="E101" s="830" t="s">
        <v>369</v>
      </c>
      <c r="F101" s="828">
        <v>3111</v>
      </c>
      <c r="G101" s="831" t="s">
        <v>331</v>
      </c>
      <c r="H101" s="831" t="s">
        <v>283</v>
      </c>
      <c r="I101" s="803">
        <f t="shared" ref="I101:I106" si="147">SUM(J101:M101)</f>
        <v>3071079</v>
      </c>
      <c r="J101" s="833">
        <v>2245566</v>
      </c>
      <c r="K101" s="805">
        <f>ROUND((J101)*33.8%,0)+1</f>
        <v>759002</v>
      </c>
      <c r="L101" s="805">
        <f>ROUND(J101*2%,0)</f>
        <v>44911</v>
      </c>
      <c r="M101" s="833">
        <v>21600</v>
      </c>
      <c r="N101" s="834">
        <f t="shared" ref="N101:N106" si="148">SUM(O101:P101)</f>
        <v>4.9953000000000003</v>
      </c>
      <c r="O101" s="1054">
        <v>3.9735</v>
      </c>
      <c r="P101" s="1055">
        <v>1.0218</v>
      </c>
      <c r="Q101" s="835">
        <f t="shared" ref="Q101:Q106" si="149">V101*-1</f>
        <v>-8000</v>
      </c>
      <c r="R101" s="835">
        <v>0</v>
      </c>
      <c r="S101" s="813">
        <v>0</v>
      </c>
      <c r="T101" s="813">
        <v>0</v>
      </c>
      <c r="U101" s="813">
        <f t="shared" ref="U101:U106" si="150">SUM(Q101:T101)</f>
        <v>-8000</v>
      </c>
      <c r="V101" s="813">
        <v>8000</v>
      </c>
      <c r="W101" s="813">
        <v>0</v>
      </c>
      <c r="X101" s="813">
        <v>0</v>
      </c>
      <c r="Y101" s="813">
        <f t="shared" ref="Y101:Y106" si="151">SUM(V101:X101)</f>
        <v>8000</v>
      </c>
      <c r="Z101" s="813">
        <f t="shared" ref="Z101:Z106" si="152">U101+Y101</f>
        <v>0</v>
      </c>
      <c r="AA101" s="809">
        <f t="shared" ref="AA101:AA106" si="153">ROUND((U101+V101+W101)*33.8%,0)</f>
        <v>0</v>
      </c>
      <c r="AB101" s="809">
        <f t="shared" ref="AB101:AB106" si="154">ROUND(U101*2%,0)</f>
        <v>-160</v>
      </c>
      <c r="AC101" s="813">
        <v>0</v>
      </c>
      <c r="AD101" s="813">
        <v>0</v>
      </c>
      <c r="AE101" s="813">
        <f t="shared" ref="AE101:AE106" si="155">SUM(AC101:AD101)</f>
        <v>0</v>
      </c>
      <c r="AF101" s="813">
        <f t="shared" ref="AF101:AF106" si="156">Z101+AA101+AB101+AE101</f>
        <v>-160</v>
      </c>
      <c r="AG101" s="836">
        <v>0</v>
      </c>
      <c r="AH101" s="836">
        <v>0</v>
      </c>
      <c r="AI101" s="836">
        <v>0</v>
      </c>
      <c r="AJ101" s="836">
        <v>0</v>
      </c>
      <c r="AK101" s="836">
        <v>0</v>
      </c>
      <c r="AL101" s="836">
        <f t="shared" ref="AL101:AL106" si="157">AG101+AI101+AJ101</f>
        <v>0</v>
      </c>
      <c r="AM101" s="836">
        <f t="shared" ref="AM101:AM106" si="158">AH101+AK101</f>
        <v>0</v>
      </c>
      <c r="AN101" s="837">
        <f t="shared" ref="AN101:AN106" si="159">SUM(AL101:AM101)</f>
        <v>0</v>
      </c>
      <c r="AO101" s="835">
        <f t="shared" ref="AO101:AO106" si="160">I101+AF101</f>
        <v>3070919</v>
      </c>
      <c r="AP101" s="813">
        <f t="shared" ref="AP101:AP106" si="161">J101+U101</f>
        <v>2237566</v>
      </c>
      <c r="AQ101" s="813">
        <f t="shared" ref="AQ101:AQ106" si="162">Y101</f>
        <v>8000</v>
      </c>
      <c r="AR101" s="813">
        <f t="shared" ref="AR101:AS106" si="163">K101+AA101</f>
        <v>759002</v>
      </c>
      <c r="AS101" s="813">
        <f t="shared" si="163"/>
        <v>44751</v>
      </c>
      <c r="AT101" s="813">
        <f t="shared" ref="AT101:AT106" si="164">M101+AE101</f>
        <v>21600</v>
      </c>
      <c r="AU101" s="836">
        <f t="shared" ref="AU101:AU106" si="165">N101+AN101</f>
        <v>4.9953000000000003</v>
      </c>
      <c r="AV101" s="836">
        <f t="shared" ref="AV101:AW106" si="166">O101+AL101</f>
        <v>3.9735</v>
      </c>
      <c r="AW101" s="837">
        <f t="shared" si="166"/>
        <v>1.0218</v>
      </c>
    </row>
    <row r="102" spans="1:49" ht="12.95" customHeight="1" x14ac:dyDescent="0.25">
      <c r="A102" s="827">
        <v>18</v>
      </c>
      <c r="B102" s="828">
        <v>4434</v>
      </c>
      <c r="C102" s="828">
        <v>650025768</v>
      </c>
      <c r="D102" s="828">
        <v>72744481</v>
      </c>
      <c r="E102" s="830" t="s">
        <v>369</v>
      </c>
      <c r="F102" s="828">
        <v>3113</v>
      </c>
      <c r="G102" s="831" t="s">
        <v>335</v>
      </c>
      <c r="H102" s="831" t="s">
        <v>283</v>
      </c>
      <c r="I102" s="803">
        <f t="shared" si="147"/>
        <v>12257794</v>
      </c>
      <c r="J102" s="833">
        <v>8852124</v>
      </c>
      <c r="K102" s="805">
        <f>ROUND((J102)*33.8%,0)</f>
        <v>2992018</v>
      </c>
      <c r="L102" s="805">
        <f>ROUND(J102*2%,0)</f>
        <v>177042</v>
      </c>
      <c r="M102" s="833">
        <v>236610</v>
      </c>
      <c r="N102" s="834">
        <f t="shared" si="148"/>
        <v>17.746600000000001</v>
      </c>
      <c r="O102" s="1054">
        <v>12.6364</v>
      </c>
      <c r="P102" s="1055">
        <v>5.1101999999999999</v>
      </c>
      <c r="Q102" s="835">
        <f t="shared" si="149"/>
        <v>-104000</v>
      </c>
      <c r="R102" s="835">
        <v>0</v>
      </c>
      <c r="S102" s="813">
        <v>0</v>
      </c>
      <c r="T102" s="813">
        <v>0</v>
      </c>
      <c r="U102" s="813">
        <f t="shared" si="150"/>
        <v>-104000</v>
      </c>
      <c r="V102" s="813">
        <v>104000</v>
      </c>
      <c r="W102" s="813">
        <v>0</v>
      </c>
      <c r="X102" s="813">
        <v>0</v>
      </c>
      <c r="Y102" s="813">
        <f t="shared" si="151"/>
        <v>104000</v>
      </c>
      <c r="Z102" s="813">
        <f t="shared" si="152"/>
        <v>0</v>
      </c>
      <c r="AA102" s="809">
        <f t="shared" si="153"/>
        <v>0</v>
      </c>
      <c r="AB102" s="809">
        <f t="shared" si="154"/>
        <v>-2080</v>
      </c>
      <c r="AC102" s="813">
        <v>0</v>
      </c>
      <c r="AD102" s="813">
        <v>0</v>
      </c>
      <c r="AE102" s="813">
        <f t="shared" si="155"/>
        <v>0</v>
      </c>
      <c r="AF102" s="813">
        <f t="shared" si="156"/>
        <v>-2080</v>
      </c>
      <c r="AG102" s="836">
        <v>0</v>
      </c>
      <c r="AH102" s="836">
        <v>-0.4</v>
      </c>
      <c r="AI102" s="836">
        <v>0</v>
      </c>
      <c r="AJ102" s="836">
        <v>0</v>
      </c>
      <c r="AK102" s="836">
        <v>0</v>
      </c>
      <c r="AL102" s="836">
        <f t="shared" si="157"/>
        <v>0</v>
      </c>
      <c r="AM102" s="836">
        <f t="shared" si="158"/>
        <v>-0.4</v>
      </c>
      <c r="AN102" s="837">
        <f t="shared" si="159"/>
        <v>-0.4</v>
      </c>
      <c r="AO102" s="835">
        <f t="shared" si="160"/>
        <v>12255714</v>
      </c>
      <c r="AP102" s="813">
        <f t="shared" si="161"/>
        <v>8748124</v>
      </c>
      <c r="AQ102" s="813">
        <f t="shared" si="162"/>
        <v>104000</v>
      </c>
      <c r="AR102" s="813">
        <f t="shared" si="163"/>
        <v>2992018</v>
      </c>
      <c r="AS102" s="813">
        <f t="shared" si="163"/>
        <v>174962</v>
      </c>
      <c r="AT102" s="813">
        <f t="shared" si="164"/>
        <v>236610</v>
      </c>
      <c r="AU102" s="836">
        <f t="shared" si="165"/>
        <v>17.346600000000002</v>
      </c>
      <c r="AV102" s="836">
        <f t="shared" si="166"/>
        <v>12.6364</v>
      </c>
      <c r="AW102" s="837">
        <f t="shared" si="166"/>
        <v>4.7101999999999995</v>
      </c>
    </row>
    <row r="103" spans="1:49" ht="12.95" customHeight="1" x14ac:dyDescent="0.25">
      <c r="A103" s="827">
        <v>18</v>
      </c>
      <c r="B103" s="828">
        <v>4434</v>
      </c>
      <c r="C103" s="828">
        <v>650025768</v>
      </c>
      <c r="D103" s="828">
        <v>72744481</v>
      </c>
      <c r="E103" s="830" t="s">
        <v>369</v>
      </c>
      <c r="F103" s="828">
        <v>3113</v>
      </c>
      <c r="G103" s="831" t="s">
        <v>325</v>
      </c>
      <c r="H103" s="831" t="s">
        <v>284</v>
      </c>
      <c r="I103" s="803">
        <f t="shared" si="147"/>
        <v>0</v>
      </c>
      <c r="J103" s="833">
        <v>0</v>
      </c>
      <c r="K103" s="805">
        <v>0</v>
      </c>
      <c r="L103" s="805">
        <v>0</v>
      </c>
      <c r="M103" s="833">
        <v>0</v>
      </c>
      <c r="N103" s="834">
        <f t="shared" si="148"/>
        <v>0</v>
      </c>
      <c r="O103" s="1054">
        <v>0</v>
      </c>
      <c r="P103" s="1055">
        <v>0</v>
      </c>
      <c r="Q103" s="835">
        <f t="shared" si="149"/>
        <v>0</v>
      </c>
      <c r="R103" s="835">
        <v>1820750</v>
      </c>
      <c r="S103" s="813">
        <v>0</v>
      </c>
      <c r="T103" s="813">
        <v>0</v>
      </c>
      <c r="U103" s="813">
        <f t="shared" si="150"/>
        <v>1820750</v>
      </c>
      <c r="V103" s="813">
        <v>0</v>
      </c>
      <c r="W103" s="813">
        <v>0</v>
      </c>
      <c r="X103" s="813">
        <v>0</v>
      </c>
      <c r="Y103" s="813">
        <f t="shared" si="151"/>
        <v>0</v>
      </c>
      <c r="Z103" s="813">
        <f t="shared" si="152"/>
        <v>1820750</v>
      </c>
      <c r="AA103" s="809">
        <f t="shared" si="153"/>
        <v>615414</v>
      </c>
      <c r="AB103" s="809">
        <f t="shared" si="154"/>
        <v>36415</v>
      </c>
      <c r="AC103" s="813">
        <v>0</v>
      </c>
      <c r="AD103" s="813">
        <v>0</v>
      </c>
      <c r="AE103" s="813">
        <f t="shared" si="155"/>
        <v>0</v>
      </c>
      <c r="AF103" s="813">
        <f t="shared" si="156"/>
        <v>2472579</v>
      </c>
      <c r="AG103" s="836">
        <v>0</v>
      </c>
      <c r="AH103" s="836">
        <v>0</v>
      </c>
      <c r="AI103" s="836">
        <v>5.39</v>
      </c>
      <c r="AJ103" s="836">
        <v>0</v>
      </c>
      <c r="AK103" s="836">
        <v>0</v>
      </c>
      <c r="AL103" s="836">
        <f t="shared" si="157"/>
        <v>5.39</v>
      </c>
      <c r="AM103" s="836">
        <f t="shared" si="158"/>
        <v>0</v>
      </c>
      <c r="AN103" s="837">
        <f t="shared" si="159"/>
        <v>5.39</v>
      </c>
      <c r="AO103" s="835">
        <f t="shared" si="160"/>
        <v>2472579</v>
      </c>
      <c r="AP103" s="813">
        <f t="shared" si="161"/>
        <v>1820750</v>
      </c>
      <c r="AQ103" s="813">
        <f t="shared" si="162"/>
        <v>0</v>
      </c>
      <c r="AR103" s="813">
        <f t="shared" si="163"/>
        <v>615414</v>
      </c>
      <c r="AS103" s="813">
        <f t="shared" si="163"/>
        <v>36415</v>
      </c>
      <c r="AT103" s="813">
        <f t="shared" si="164"/>
        <v>0</v>
      </c>
      <c r="AU103" s="836">
        <f t="shared" si="165"/>
        <v>5.39</v>
      </c>
      <c r="AV103" s="836">
        <f t="shared" si="166"/>
        <v>5.39</v>
      </c>
      <c r="AW103" s="837">
        <f t="shared" si="166"/>
        <v>0</v>
      </c>
    </row>
    <row r="104" spans="1:49" ht="12.95" customHeight="1" x14ac:dyDescent="0.25">
      <c r="A104" s="827">
        <v>18</v>
      </c>
      <c r="B104" s="828">
        <v>4434</v>
      </c>
      <c r="C104" s="828">
        <v>650025768</v>
      </c>
      <c r="D104" s="828">
        <v>72744481</v>
      </c>
      <c r="E104" s="830" t="s">
        <v>369</v>
      </c>
      <c r="F104" s="828">
        <v>3141</v>
      </c>
      <c r="G104" s="831" t="s">
        <v>321</v>
      </c>
      <c r="H104" s="831" t="s">
        <v>284</v>
      </c>
      <c r="I104" s="803">
        <f t="shared" si="147"/>
        <v>1656519</v>
      </c>
      <c r="J104" s="833">
        <v>1211964</v>
      </c>
      <c r="K104" s="805">
        <f>ROUND((J104)*33.8%,0)</f>
        <v>409644</v>
      </c>
      <c r="L104" s="805">
        <f>ROUND(J104*2%,0)</f>
        <v>24239</v>
      </c>
      <c r="M104" s="833">
        <v>10672</v>
      </c>
      <c r="N104" s="834">
        <f t="shared" si="148"/>
        <v>4.12</v>
      </c>
      <c r="O104" s="1054">
        <v>0</v>
      </c>
      <c r="P104" s="1055">
        <v>4.12</v>
      </c>
      <c r="Q104" s="835">
        <f t="shared" si="149"/>
        <v>-32000</v>
      </c>
      <c r="R104" s="835">
        <v>0</v>
      </c>
      <c r="S104" s="813">
        <v>0</v>
      </c>
      <c r="T104" s="813">
        <v>0</v>
      </c>
      <c r="U104" s="813">
        <f t="shared" si="150"/>
        <v>-32000</v>
      </c>
      <c r="V104" s="813">
        <v>32000</v>
      </c>
      <c r="W104" s="813">
        <v>0</v>
      </c>
      <c r="X104" s="813">
        <v>0</v>
      </c>
      <c r="Y104" s="813">
        <f t="shared" si="151"/>
        <v>32000</v>
      </c>
      <c r="Z104" s="813">
        <f t="shared" si="152"/>
        <v>0</v>
      </c>
      <c r="AA104" s="809">
        <f t="shared" si="153"/>
        <v>0</v>
      </c>
      <c r="AB104" s="809">
        <f t="shared" si="154"/>
        <v>-640</v>
      </c>
      <c r="AC104" s="813">
        <v>0</v>
      </c>
      <c r="AD104" s="813">
        <v>0</v>
      </c>
      <c r="AE104" s="813">
        <f t="shared" si="155"/>
        <v>0</v>
      </c>
      <c r="AF104" s="813">
        <f t="shared" si="156"/>
        <v>-640</v>
      </c>
      <c r="AG104" s="836">
        <v>0</v>
      </c>
      <c r="AH104" s="836">
        <v>-7.0000000000000007E-2</v>
      </c>
      <c r="AI104" s="836">
        <v>0</v>
      </c>
      <c r="AJ104" s="836">
        <v>0</v>
      </c>
      <c r="AK104" s="836">
        <v>0</v>
      </c>
      <c r="AL104" s="836">
        <f t="shared" si="157"/>
        <v>0</v>
      </c>
      <c r="AM104" s="836">
        <f t="shared" si="158"/>
        <v>-7.0000000000000007E-2</v>
      </c>
      <c r="AN104" s="837">
        <f t="shared" si="159"/>
        <v>-7.0000000000000007E-2</v>
      </c>
      <c r="AO104" s="835">
        <f t="shared" si="160"/>
        <v>1655879</v>
      </c>
      <c r="AP104" s="813">
        <f t="shared" si="161"/>
        <v>1179964</v>
      </c>
      <c r="AQ104" s="813">
        <f t="shared" si="162"/>
        <v>32000</v>
      </c>
      <c r="AR104" s="813">
        <f t="shared" si="163"/>
        <v>409644</v>
      </c>
      <c r="AS104" s="813">
        <f t="shared" si="163"/>
        <v>23599</v>
      </c>
      <c r="AT104" s="813">
        <f t="shared" si="164"/>
        <v>10672</v>
      </c>
      <c r="AU104" s="836">
        <f t="shared" si="165"/>
        <v>4.05</v>
      </c>
      <c r="AV104" s="836">
        <f t="shared" si="166"/>
        <v>0</v>
      </c>
      <c r="AW104" s="837">
        <f t="shared" si="166"/>
        <v>4.05</v>
      </c>
    </row>
    <row r="105" spans="1:49" ht="12.95" customHeight="1" x14ac:dyDescent="0.25">
      <c r="A105" s="827">
        <v>18</v>
      </c>
      <c r="B105" s="828">
        <v>4434</v>
      </c>
      <c r="C105" s="828">
        <v>650025768</v>
      </c>
      <c r="D105" s="828">
        <v>72744481</v>
      </c>
      <c r="E105" s="830" t="s">
        <v>369</v>
      </c>
      <c r="F105" s="828">
        <v>3143</v>
      </c>
      <c r="G105" s="831" t="s">
        <v>635</v>
      </c>
      <c r="H105" s="831" t="s">
        <v>283</v>
      </c>
      <c r="I105" s="803">
        <f t="shared" si="147"/>
        <v>1250118</v>
      </c>
      <c r="J105" s="833">
        <v>920558</v>
      </c>
      <c r="K105" s="805">
        <f>ROUND((J105)*33.8%,0)</f>
        <v>311149</v>
      </c>
      <c r="L105" s="805">
        <f>ROUND(J105*2%,0)</f>
        <v>18411</v>
      </c>
      <c r="M105" s="833">
        <v>0</v>
      </c>
      <c r="N105" s="834">
        <f t="shared" si="148"/>
        <v>2</v>
      </c>
      <c r="O105" s="1054">
        <v>2</v>
      </c>
      <c r="P105" s="1055">
        <v>0</v>
      </c>
      <c r="Q105" s="835">
        <f t="shared" si="149"/>
        <v>-27200</v>
      </c>
      <c r="R105" s="835">
        <v>0</v>
      </c>
      <c r="S105" s="813">
        <v>0</v>
      </c>
      <c r="T105" s="813">
        <v>0</v>
      </c>
      <c r="U105" s="813">
        <f t="shared" si="150"/>
        <v>-27200</v>
      </c>
      <c r="V105" s="813">
        <v>27200</v>
      </c>
      <c r="W105" s="813">
        <v>0</v>
      </c>
      <c r="X105" s="813">
        <v>0</v>
      </c>
      <c r="Y105" s="813">
        <f t="shared" si="151"/>
        <v>27200</v>
      </c>
      <c r="Z105" s="813">
        <f t="shared" si="152"/>
        <v>0</v>
      </c>
      <c r="AA105" s="809">
        <f t="shared" si="153"/>
        <v>0</v>
      </c>
      <c r="AB105" s="809">
        <f t="shared" si="154"/>
        <v>-544</v>
      </c>
      <c r="AC105" s="813">
        <v>0</v>
      </c>
      <c r="AD105" s="813">
        <v>0</v>
      </c>
      <c r="AE105" s="813">
        <f t="shared" si="155"/>
        <v>0</v>
      </c>
      <c r="AF105" s="813">
        <f t="shared" si="156"/>
        <v>-544</v>
      </c>
      <c r="AG105" s="836">
        <v>0</v>
      </c>
      <c r="AH105" s="836">
        <v>-0.08</v>
      </c>
      <c r="AI105" s="836">
        <v>0</v>
      </c>
      <c r="AJ105" s="836">
        <v>0</v>
      </c>
      <c r="AK105" s="836">
        <v>0</v>
      </c>
      <c r="AL105" s="836">
        <f t="shared" si="157"/>
        <v>0</v>
      </c>
      <c r="AM105" s="836">
        <f t="shared" si="158"/>
        <v>-0.08</v>
      </c>
      <c r="AN105" s="837">
        <f t="shared" si="159"/>
        <v>-0.08</v>
      </c>
      <c r="AO105" s="835">
        <f t="shared" si="160"/>
        <v>1249574</v>
      </c>
      <c r="AP105" s="813">
        <f t="shared" si="161"/>
        <v>893358</v>
      </c>
      <c r="AQ105" s="813">
        <f t="shared" si="162"/>
        <v>27200</v>
      </c>
      <c r="AR105" s="813">
        <f t="shared" si="163"/>
        <v>311149</v>
      </c>
      <c r="AS105" s="813">
        <f t="shared" si="163"/>
        <v>17867</v>
      </c>
      <c r="AT105" s="813">
        <f t="shared" si="164"/>
        <v>0</v>
      </c>
      <c r="AU105" s="836">
        <f t="shared" si="165"/>
        <v>1.92</v>
      </c>
      <c r="AV105" s="836">
        <f t="shared" si="166"/>
        <v>2</v>
      </c>
      <c r="AW105" s="837">
        <f t="shared" si="166"/>
        <v>-0.08</v>
      </c>
    </row>
    <row r="106" spans="1:49" ht="12.95" customHeight="1" x14ac:dyDescent="0.25">
      <c r="A106" s="827">
        <v>18</v>
      </c>
      <c r="B106" s="828">
        <v>4434</v>
      </c>
      <c r="C106" s="828">
        <v>650025768</v>
      </c>
      <c r="D106" s="828">
        <v>72744481</v>
      </c>
      <c r="E106" s="830" t="s">
        <v>369</v>
      </c>
      <c r="F106" s="828">
        <v>3143</v>
      </c>
      <c r="G106" s="831" t="s">
        <v>636</v>
      </c>
      <c r="H106" s="831" t="s">
        <v>284</v>
      </c>
      <c r="I106" s="803">
        <f t="shared" si="147"/>
        <v>30195</v>
      </c>
      <c r="J106" s="833">
        <v>21285</v>
      </c>
      <c r="K106" s="805">
        <f>ROUND((J106)*33.8%,0)</f>
        <v>7194</v>
      </c>
      <c r="L106" s="805">
        <f>ROUND(J106*2%,0)</f>
        <v>426</v>
      </c>
      <c r="M106" s="833">
        <v>1290</v>
      </c>
      <c r="N106" s="834">
        <f t="shared" si="148"/>
        <v>0.09</v>
      </c>
      <c r="O106" s="1054">
        <v>0</v>
      </c>
      <c r="P106" s="1055">
        <v>0.09</v>
      </c>
      <c r="Q106" s="835">
        <f t="shared" si="149"/>
        <v>0</v>
      </c>
      <c r="R106" s="835">
        <v>0</v>
      </c>
      <c r="S106" s="813">
        <v>0</v>
      </c>
      <c r="T106" s="813">
        <v>0</v>
      </c>
      <c r="U106" s="813">
        <f t="shared" si="150"/>
        <v>0</v>
      </c>
      <c r="V106" s="813">
        <v>0</v>
      </c>
      <c r="W106" s="813">
        <v>0</v>
      </c>
      <c r="X106" s="813">
        <v>0</v>
      </c>
      <c r="Y106" s="813">
        <f t="shared" si="151"/>
        <v>0</v>
      </c>
      <c r="Z106" s="813">
        <f t="shared" si="152"/>
        <v>0</v>
      </c>
      <c r="AA106" s="809">
        <f t="shared" si="153"/>
        <v>0</v>
      </c>
      <c r="AB106" s="809">
        <f t="shared" si="154"/>
        <v>0</v>
      </c>
      <c r="AC106" s="813">
        <v>0</v>
      </c>
      <c r="AD106" s="813">
        <v>0</v>
      </c>
      <c r="AE106" s="813">
        <f t="shared" si="155"/>
        <v>0</v>
      </c>
      <c r="AF106" s="813">
        <f t="shared" si="156"/>
        <v>0</v>
      </c>
      <c r="AG106" s="836">
        <v>0</v>
      </c>
      <c r="AH106" s="836">
        <v>0</v>
      </c>
      <c r="AI106" s="836">
        <v>0</v>
      </c>
      <c r="AJ106" s="836">
        <v>0</v>
      </c>
      <c r="AK106" s="836">
        <v>0</v>
      </c>
      <c r="AL106" s="836">
        <f t="shared" si="157"/>
        <v>0</v>
      </c>
      <c r="AM106" s="836">
        <f t="shared" si="158"/>
        <v>0</v>
      </c>
      <c r="AN106" s="837">
        <f t="shared" si="159"/>
        <v>0</v>
      </c>
      <c r="AO106" s="835">
        <f t="shared" si="160"/>
        <v>30195</v>
      </c>
      <c r="AP106" s="813">
        <f t="shared" si="161"/>
        <v>21285</v>
      </c>
      <c r="AQ106" s="813">
        <f t="shared" si="162"/>
        <v>0</v>
      </c>
      <c r="AR106" s="813">
        <f t="shared" si="163"/>
        <v>7194</v>
      </c>
      <c r="AS106" s="813">
        <f t="shared" si="163"/>
        <v>426</v>
      </c>
      <c r="AT106" s="813">
        <f t="shared" si="164"/>
        <v>1290</v>
      </c>
      <c r="AU106" s="836">
        <f t="shared" si="165"/>
        <v>0.09</v>
      </c>
      <c r="AV106" s="836">
        <f t="shared" si="166"/>
        <v>0</v>
      </c>
      <c r="AW106" s="837">
        <f t="shared" si="166"/>
        <v>0.09</v>
      </c>
    </row>
    <row r="107" spans="1:49" ht="12.95" customHeight="1" x14ac:dyDescent="0.25">
      <c r="A107" s="814">
        <v>18</v>
      </c>
      <c r="B107" s="816">
        <v>4434</v>
      </c>
      <c r="C107" s="816">
        <v>650025768</v>
      </c>
      <c r="D107" s="816">
        <v>72744481</v>
      </c>
      <c r="E107" s="853" t="s">
        <v>370</v>
      </c>
      <c r="F107" s="854"/>
      <c r="G107" s="855"/>
      <c r="H107" s="855"/>
      <c r="I107" s="843">
        <f t="shared" ref="I107:AW107" si="167">SUM(I101:I106)</f>
        <v>18265705</v>
      </c>
      <c r="J107" s="844">
        <f t="shared" si="167"/>
        <v>13251497</v>
      </c>
      <c r="K107" s="844">
        <f t="shared" si="167"/>
        <v>4479007</v>
      </c>
      <c r="L107" s="844">
        <f t="shared" si="167"/>
        <v>265029</v>
      </c>
      <c r="M107" s="844">
        <f t="shared" si="167"/>
        <v>270172</v>
      </c>
      <c r="N107" s="845">
        <f t="shared" si="167"/>
        <v>28.951900000000002</v>
      </c>
      <c r="O107" s="845">
        <f t="shared" si="167"/>
        <v>18.6099</v>
      </c>
      <c r="P107" s="847">
        <f t="shared" si="167"/>
        <v>10.341999999999999</v>
      </c>
      <c r="Q107" s="848">
        <f t="shared" si="167"/>
        <v>-171200</v>
      </c>
      <c r="R107" s="844">
        <f t="shared" si="167"/>
        <v>1820750</v>
      </c>
      <c r="S107" s="844">
        <f t="shared" si="167"/>
        <v>0</v>
      </c>
      <c r="T107" s="844">
        <f t="shared" si="167"/>
        <v>0</v>
      </c>
      <c r="U107" s="844">
        <f t="shared" si="167"/>
        <v>1649550</v>
      </c>
      <c r="V107" s="844">
        <f t="shared" si="167"/>
        <v>171200</v>
      </c>
      <c r="W107" s="844">
        <f t="shared" si="167"/>
        <v>0</v>
      </c>
      <c r="X107" s="844">
        <f t="shared" si="167"/>
        <v>0</v>
      </c>
      <c r="Y107" s="844">
        <f t="shared" si="167"/>
        <v>171200</v>
      </c>
      <c r="Z107" s="844">
        <f t="shared" si="167"/>
        <v>1820750</v>
      </c>
      <c r="AA107" s="844">
        <f t="shared" si="167"/>
        <v>615414</v>
      </c>
      <c r="AB107" s="844">
        <f t="shared" si="167"/>
        <v>32991</v>
      </c>
      <c r="AC107" s="844">
        <f t="shared" si="167"/>
        <v>0</v>
      </c>
      <c r="AD107" s="844">
        <f t="shared" si="167"/>
        <v>0</v>
      </c>
      <c r="AE107" s="844">
        <f t="shared" si="167"/>
        <v>0</v>
      </c>
      <c r="AF107" s="844">
        <f t="shared" si="167"/>
        <v>2469155</v>
      </c>
      <c r="AG107" s="845">
        <f t="shared" si="167"/>
        <v>0</v>
      </c>
      <c r="AH107" s="845">
        <f t="shared" si="167"/>
        <v>-0.55000000000000004</v>
      </c>
      <c r="AI107" s="845">
        <f t="shared" si="167"/>
        <v>5.39</v>
      </c>
      <c r="AJ107" s="845">
        <f t="shared" si="167"/>
        <v>0</v>
      </c>
      <c r="AK107" s="845">
        <f t="shared" si="167"/>
        <v>0</v>
      </c>
      <c r="AL107" s="845">
        <f t="shared" si="167"/>
        <v>5.39</v>
      </c>
      <c r="AM107" s="845">
        <f t="shared" si="167"/>
        <v>-0.55000000000000004</v>
      </c>
      <c r="AN107" s="847">
        <f t="shared" si="167"/>
        <v>4.839999999999999</v>
      </c>
      <c r="AO107" s="848">
        <f t="shared" si="167"/>
        <v>20734860</v>
      </c>
      <c r="AP107" s="844">
        <f t="shared" si="167"/>
        <v>14901047</v>
      </c>
      <c r="AQ107" s="844">
        <f t="shared" si="167"/>
        <v>171200</v>
      </c>
      <c r="AR107" s="844">
        <f t="shared" si="167"/>
        <v>5094421</v>
      </c>
      <c r="AS107" s="844">
        <f t="shared" si="167"/>
        <v>298020</v>
      </c>
      <c r="AT107" s="844">
        <f t="shared" si="167"/>
        <v>270172</v>
      </c>
      <c r="AU107" s="845">
        <f t="shared" si="167"/>
        <v>33.791900000000005</v>
      </c>
      <c r="AV107" s="845">
        <f t="shared" si="167"/>
        <v>23.9999</v>
      </c>
      <c r="AW107" s="847">
        <f t="shared" si="167"/>
        <v>9.7919999999999998</v>
      </c>
    </row>
    <row r="108" spans="1:49" ht="12.95" customHeight="1" x14ac:dyDescent="0.25">
      <c r="A108" s="827">
        <v>19</v>
      </c>
      <c r="B108" s="828">
        <v>4441</v>
      </c>
      <c r="C108" s="828">
        <v>600074668</v>
      </c>
      <c r="D108" s="828">
        <v>46750495</v>
      </c>
      <c r="E108" s="856" t="s">
        <v>371</v>
      </c>
      <c r="F108" s="857">
        <v>3111</v>
      </c>
      <c r="G108" s="831" t="s">
        <v>331</v>
      </c>
      <c r="H108" s="831" t="s">
        <v>283</v>
      </c>
      <c r="I108" s="803">
        <f t="shared" ref="I108:I113" si="168">SUM(J108:M108)</f>
        <v>3741908</v>
      </c>
      <c r="J108" s="833">
        <v>2738224</v>
      </c>
      <c r="K108" s="805">
        <f>ROUND((J108)*33.8%,0)</f>
        <v>925520</v>
      </c>
      <c r="L108" s="805">
        <f>ROUND(J108*2%,0)</f>
        <v>54764</v>
      </c>
      <c r="M108" s="833">
        <v>23400</v>
      </c>
      <c r="N108" s="834">
        <f t="shared" ref="N108:N113" si="169">SUM(O108:P108)</f>
        <v>6.8666999999999998</v>
      </c>
      <c r="O108" s="1054">
        <v>5.4839000000000002</v>
      </c>
      <c r="P108" s="1055">
        <v>1.3828</v>
      </c>
      <c r="Q108" s="835">
        <f t="shared" ref="Q108:Q113" si="170">V108*-1</f>
        <v>0</v>
      </c>
      <c r="R108" s="835">
        <v>0</v>
      </c>
      <c r="S108" s="813">
        <v>0</v>
      </c>
      <c r="T108" s="813">
        <v>0</v>
      </c>
      <c r="U108" s="813">
        <f t="shared" ref="U108:U113" si="171">SUM(Q108:T108)</f>
        <v>0</v>
      </c>
      <c r="V108" s="813">
        <v>0</v>
      </c>
      <c r="W108" s="813">
        <v>0</v>
      </c>
      <c r="X108" s="813">
        <v>0</v>
      </c>
      <c r="Y108" s="813">
        <f t="shared" ref="Y108:Y113" si="172">SUM(V108:X108)</f>
        <v>0</v>
      </c>
      <c r="Z108" s="813">
        <f t="shared" ref="Z108:Z113" si="173">U108+Y108</f>
        <v>0</v>
      </c>
      <c r="AA108" s="809">
        <f t="shared" ref="AA108:AA113" si="174">ROUND((U108+V108+W108)*33.8%,0)</f>
        <v>0</v>
      </c>
      <c r="AB108" s="809">
        <f t="shared" ref="AB108:AB113" si="175">ROUND(U108*2%,0)</f>
        <v>0</v>
      </c>
      <c r="AC108" s="813">
        <v>0</v>
      </c>
      <c r="AD108" s="813">
        <v>0</v>
      </c>
      <c r="AE108" s="813">
        <f t="shared" ref="AE108:AE113" si="176">SUM(AC108:AD108)</f>
        <v>0</v>
      </c>
      <c r="AF108" s="813">
        <f t="shared" ref="AF108:AF113" si="177">Z108+AA108+AB108+AE108</f>
        <v>0</v>
      </c>
      <c r="AG108" s="836">
        <v>0</v>
      </c>
      <c r="AH108" s="836">
        <v>0</v>
      </c>
      <c r="AI108" s="836">
        <v>0</v>
      </c>
      <c r="AJ108" s="836">
        <v>0</v>
      </c>
      <c r="AK108" s="836">
        <v>0</v>
      </c>
      <c r="AL108" s="836">
        <f t="shared" ref="AL108:AL113" si="178">AG108+AI108+AJ108</f>
        <v>0</v>
      </c>
      <c r="AM108" s="836">
        <f t="shared" ref="AM108:AM113" si="179">AH108+AK108</f>
        <v>0</v>
      </c>
      <c r="AN108" s="837">
        <f t="shared" ref="AN108:AN113" si="180">SUM(AL108:AM108)</f>
        <v>0</v>
      </c>
      <c r="AO108" s="835">
        <f t="shared" ref="AO108:AO113" si="181">I108+AF108</f>
        <v>3741908</v>
      </c>
      <c r="AP108" s="813">
        <f t="shared" ref="AP108:AP113" si="182">J108+U108</f>
        <v>2738224</v>
      </c>
      <c r="AQ108" s="813">
        <f t="shared" ref="AQ108:AQ113" si="183">Y108</f>
        <v>0</v>
      </c>
      <c r="AR108" s="813">
        <f t="shared" ref="AR108:AS113" si="184">K108+AA108</f>
        <v>925520</v>
      </c>
      <c r="AS108" s="813">
        <f t="shared" si="184"/>
        <v>54764</v>
      </c>
      <c r="AT108" s="813">
        <f t="shared" ref="AT108:AT113" si="185">M108+AE108</f>
        <v>23400</v>
      </c>
      <c r="AU108" s="836">
        <f t="shared" ref="AU108:AU113" si="186">N108+AN108</f>
        <v>6.8666999999999998</v>
      </c>
      <c r="AV108" s="836">
        <f t="shared" ref="AV108:AW113" si="187">O108+AL108</f>
        <v>5.4839000000000002</v>
      </c>
      <c r="AW108" s="837">
        <f t="shared" si="187"/>
        <v>1.3828</v>
      </c>
    </row>
    <row r="109" spans="1:49" ht="12.95" customHeight="1" x14ac:dyDescent="0.25">
      <c r="A109" s="827">
        <v>19</v>
      </c>
      <c r="B109" s="828">
        <v>4441</v>
      </c>
      <c r="C109" s="828">
        <v>600074668</v>
      </c>
      <c r="D109" s="828">
        <v>46750495</v>
      </c>
      <c r="E109" s="856" t="s">
        <v>371</v>
      </c>
      <c r="F109" s="857">
        <v>3117</v>
      </c>
      <c r="G109" s="831" t="s">
        <v>335</v>
      </c>
      <c r="H109" s="831" t="s">
        <v>283</v>
      </c>
      <c r="I109" s="803">
        <f t="shared" si="168"/>
        <v>4174666</v>
      </c>
      <c r="J109" s="833">
        <v>3012427</v>
      </c>
      <c r="K109" s="805">
        <f>ROUND((J109)*33.8%,0)</f>
        <v>1018200</v>
      </c>
      <c r="L109" s="805">
        <f>ROUND(J109*2%,0)</f>
        <v>60249</v>
      </c>
      <c r="M109" s="833">
        <v>83790</v>
      </c>
      <c r="N109" s="834">
        <f t="shared" si="169"/>
        <v>6.2671999999999999</v>
      </c>
      <c r="O109" s="1054">
        <v>4.1818</v>
      </c>
      <c r="P109" s="1055">
        <v>2.0853999999999999</v>
      </c>
      <c r="Q109" s="835">
        <f t="shared" si="170"/>
        <v>-40000</v>
      </c>
      <c r="R109" s="835">
        <v>0</v>
      </c>
      <c r="S109" s="813">
        <v>0</v>
      </c>
      <c r="T109" s="813">
        <v>0</v>
      </c>
      <c r="U109" s="813">
        <f t="shared" si="171"/>
        <v>-40000</v>
      </c>
      <c r="V109" s="813">
        <v>40000</v>
      </c>
      <c r="W109" s="813">
        <v>0</v>
      </c>
      <c r="X109" s="813">
        <v>0</v>
      </c>
      <c r="Y109" s="813">
        <f t="shared" si="172"/>
        <v>40000</v>
      </c>
      <c r="Z109" s="813">
        <f t="shared" si="173"/>
        <v>0</v>
      </c>
      <c r="AA109" s="809">
        <f t="shared" si="174"/>
        <v>0</v>
      </c>
      <c r="AB109" s="809">
        <f t="shared" si="175"/>
        <v>-800</v>
      </c>
      <c r="AC109" s="813">
        <v>0</v>
      </c>
      <c r="AD109" s="813">
        <v>0</v>
      </c>
      <c r="AE109" s="813">
        <f t="shared" si="176"/>
        <v>0</v>
      </c>
      <c r="AF109" s="813">
        <f t="shared" si="177"/>
        <v>-800</v>
      </c>
      <c r="AG109" s="836">
        <v>-0.04</v>
      </c>
      <c r="AH109" s="836">
        <v>-7.0000000000000007E-2</v>
      </c>
      <c r="AI109" s="836">
        <v>0</v>
      </c>
      <c r="AJ109" s="836">
        <v>0</v>
      </c>
      <c r="AK109" s="836">
        <v>0</v>
      </c>
      <c r="AL109" s="836">
        <f t="shared" si="178"/>
        <v>-0.04</v>
      </c>
      <c r="AM109" s="836">
        <f t="shared" si="179"/>
        <v>-7.0000000000000007E-2</v>
      </c>
      <c r="AN109" s="837">
        <f t="shared" si="180"/>
        <v>-0.11000000000000001</v>
      </c>
      <c r="AO109" s="835">
        <f t="shared" si="181"/>
        <v>4173866</v>
      </c>
      <c r="AP109" s="813">
        <f t="shared" si="182"/>
        <v>2972427</v>
      </c>
      <c r="AQ109" s="813">
        <f t="shared" si="183"/>
        <v>40000</v>
      </c>
      <c r="AR109" s="813">
        <f t="shared" si="184"/>
        <v>1018200</v>
      </c>
      <c r="AS109" s="813">
        <f t="shared" si="184"/>
        <v>59449</v>
      </c>
      <c r="AT109" s="813">
        <f t="shared" si="185"/>
        <v>83790</v>
      </c>
      <c r="AU109" s="836">
        <f t="shared" si="186"/>
        <v>6.1571999999999996</v>
      </c>
      <c r="AV109" s="836">
        <f t="shared" si="187"/>
        <v>4.1417999999999999</v>
      </c>
      <c r="AW109" s="837">
        <f t="shared" si="187"/>
        <v>2.0154000000000001</v>
      </c>
    </row>
    <row r="110" spans="1:49" ht="12.95" customHeight="1" x14ac:dyDescent="0.25">
      <c r="A110" s="827">
        <v>19</v>
      </c>
      <c r="B110" s="828">
        <v>4441</v>
      </c>
      <c r="C110" s="828">
        <v>600074668</v>
      </c>
      <c r="D110" s="828">
        <v>46750495</v>
      </c>
      <c r="E110" s="856" t="s">
        <v>371</v>
      </c>
      <c r="F110" s="857">
        <v>3117</v>
      </c>
      <c r="G110" s="831" t="s">
        <v>325</v>
      </c>
      <c r="H110" s="831" t="s">
        <v>284</v>
      </c>
      <c r="I110" s="803">
        <f t="shared" si="168"/>
        <v>0</v>
      </c>
      <c r="J110" s="833">
        <v>0</v>
      </c>
      <c r="K110" s="805">
        <v>0</v>
      </c>
      <c r="L110" s="805">
        <v>0</v>
      </c>
      <c r="M110" s="833">
        <v>0</v>
      </c>
      <c r="N110" s="834">
        <f t="shared" si="169"/>
        <v>0</v>
      </c>
      <c r="O110" s="1054">
        <v>0</v>
      </c>
      <c r="P110" s="1055">
        <v>0</v>
      </c>
      <c r="Q110" s="835">
        <f t="shared" si="170"/>
        <v>0</v>
      </c>
      <c r="R110" s="835">
        <v>331089</v>
      </c>
      <c r="S110" s="813">
        <v>0</v>
      </c>
      <c r="T110" s="813">
        <v>0</v>
      </c>
      <c r="U110" s="813">
        <f t="shared" si="171"/>
        <v>331089</v>
      </c>
      <c r="V110" s="813">
        <v>0</v>
      </c>
      <c r="W110" s="813">
        <v>0</v>
      </c>
      <c r="X110" s="813">
        <v>0</v>
      </c>
      <c r="Y110" s="813">
        <f t="shared" si="172"/>
        <v>0</v>
      </c>
      <c r="Z110" s="813">
        <f t="shared" si="173"/>
        <v>331089</v>
      </c>
      <c r="AA110" s="809">
        <f t="shared" si="174"/>
        <v>111908</v>
      </c>
      <c r="AB110" s="809">
        <f t="shared" si="175"/>
        <v>6622</v>
      </c>
      <c r="AC110" s="813">
        <v>0</v>
      </c>
      <c r="AD110" s="813">
        <v>0</v>
      </c>
      <c r="AE110" s="813">
        <f t="shared" si="176"/>
        <v>0</v>
      </c>
      <c r="AF110" s="813">
        <f t="shared" si="177"/>
        <v>449619</v>
      </c>
      <c r="AG110" s="836">
        <v>0</v>
      </c>
      <c r="AH110" s="836">
        <v>0</v>
      </c>
      <c r="AI110" s="836">
        <v>0.94</v>
      </c>
      <c r="AJ110" s="836">
        <v>0</v>
      </c>
      <c r="AK110" s="836">
        <v>0</v>
      </c>
      <c r="AL110" s="836">
        <f t="shared" si="178"/>
        <v>0.94</v>
      </c>
      <c r="AM110" s="836">
        <f t="shared" si="179"/>
        <v>0</v>
      </c>
      <c r="AN110" s="837">
        <f t="shared" si="180"/>
        <v>0.94</v>
      </c>
      <c r="AO110" s="835">
        <f t="shared" si="181"/>
        <v>449619</v>
      </c>
      <c r="AP110" s="813">
        <f t="shared" si="182"/>
        <v>331089</v>
      </c>
      <c r="AQ110" s="813">
        <f t="shared" si="183"/>
        <v>0</v>
      </c>
      <c r="AR110" s="813">
        <f t="shared" si="184"/>
        <v>111908</v>
      </c>
      <c r="AS110" s="813">
        <f t="shared" si="184"/>
        <v>6622</v>
      </c>
      <c r="AT110" s="813">
        <f t="shared" si="185"/>
        <v>0</v>
      </c>
      <c r="AU110" s="836">
        <f t="shared" si="186"/>
        <v>0.94</v>
      </c>
      <c r="AV110" s="836">
        <f t="shared" si="187"/>
        <v>0.94</v>
      </c>
      <c r="AW110" s="837">
        <f t="shared" si="187"/>
        <v>0</v>
      </c>
    </row>
    <row r="111" spans="1:49" ht="12.95" customHeight="1" x14ac:dyDescent="0.25">
      <c r="A111" s="827">
        <v>19</v>
      </c>
      <c r="B111" s="828">
        <v>4441</v>
      </c>
      <c r="C111" s="828">
        <v>600074668</v>
      </c>
      <c r="D111" s="828">
        <v>46750495</v>
      </c>
      <c r="E111" s="856" t="s">
        <v>371</v>
      </c>
      <c r="F111" s="857">
        <v>3141</v>
      </c>
      <c r="G111" s="831" t="s">
        <v>321</v>
      </c>
      <c r="H111" s="831" t="s">
        <v>284</v>
      </c>
      <c r="I111" s="803">
        <f t="shared" si="168"/>
        <v>1134665</v>
      </c>
      <c r="J111" s="833">
        <v>831227</v>
      </c>
      <c r="K111" s="805">
        <f>ROUND((J111)*33.8%,0)</f>
        <v>280955</v>
      </c>
      <c r="L111" s="805">
        <f>ROUND(J111*2%,0)</f>
        <v>16625</v>
      </c>
      <c r="M111" s="833">
        <v>5858</v>
      </c>
      <c r="N111" s="834">
        <f t="shared" si="169"/>
        <v>2.83</v>
      </c>
      <c r="O111" s="1054">
        <v>0</v>
      </c>
      <c r="P111" s="1055">
        <v>2.83</v>
      </c>
      <c r="Q111" s="835">
        <f t="shared" si="170"/>
        <v>0</v>
      </c>
      <c r="R111" s="835">
        <v>0</v>
      </c>
      <c r="S111" s="813">
        <v>0</v>
      </c>
      <c r="T111" s="813">
        <v>0</v>
      </c>
      <c r="U111" s="813">
        <f t="shared" si="171"/>
        <v>0</v>
      </c>
      <c r="V111" s="813">
        <v>0</v>
      </c>
      <c r="W111" s="813">
        <v>0</v>
      </c>
      <c r="X111" s="813">
        <v>0</v>
      </c>
      <c r="Y111" s="813">
        <f t="shared" si="172"/>
        <v>0</v>
      </c>
      <c r="Z111" s="813">
        <f t="shared" si="173"/>
        <v>0</v>
      </c>
      <c r="AA111" s="809">
        <f t="shared" si="174"/>
        <v>0</v>
      </c>
      <c r="AB111" s="809">
        <f t="shared" si="175"/>
        <v>0</v>
      </c>
      <c r="AC111" s="813">
        <v>0</v>
      </c>
      <c r="AD111" s="813">
        <v>0</v>
      </c>
      <c r="AE111" s="813">
        <f t="shared" si="176"/>
        <v>0</v>
      </c>
      <c r="AF111" s="813">
        <f t="shared" si="177"/>
        <v>0</v>
      </c>
      <c r="AG111" s="836">
        <v>0</v>
      </c>
      <c r="AH111" s="836">
        <v>0</v>
      </c>
      <c r="AI111" s="836">
        <v>0</v>
      </c>
      <c r="AJ111" s="836">
        <v>0</v>
      </c>
      <c r="AK111" s="836">
        <v>0</v>
      </c>
      <c r="AL111" s="836">
        <f t="shared" si="178"/>
        <v>0</v>
      </c>
      <c r="AM111" s="836">
        <f t="shared" si="179"/>
        <v>0</v>
      </c>
      <c r="AN111" s="837">
        <f t="shared" si="180"/>
        <v>0</v>
      </c>
      <c r="AO111" s="835">
        <f t="shared" si="181"/>
        <v>1134665</v>
      </c>
      <c r="AP111" s="813">
        <f t="shared" si="182"/>
        <v>831227</v>
      </c>
      <c r="AQ111" s="813">
        <f t="shared" si="183"/>
        <v>0</v>
      </c>
      <c r="AR111" s="813">
        <f t="shared" si="184"/>
        <v>280955</v>
      </c>
      <c r="AS111" s="813">
        <f t="shared" si="184"/>
        <v>16625</v>
      </c>
      <c r="AT111" s="813">
        <f t="shared" si="185"/>
        <v>5858</v>
      </c>
      <c r="AU111" s="836">
        <f t="shared" si="186"/>
        <v>2.83</v>
      </c>
      <c r="AV111" s="836">
        <f t="shared" si="187"/>
        <v>0</v>
      </c>
      <c r="AW111" s="837">
        <f t="shared" si="187"/>
        <v>2.83</v>
      </c>
    </row>
    <row r="112" spans="1:49" ht="12.95" customHeight="1" x14ac:dyDescent="0.25">
      <c r="A112" s="827">
        <v>19</v>
      </c>
      <c r="B112" s="828">
        <v>4441</v>
      </c>
      <c r="C112" s="828">
        <v>600074668</v>
      </c>
      <c r="D112" s="828">
        <v>46750495</v>
      </c>
      <c r="E112" s="856" t="s">
        <v>371</v>
      </c>
      <c r="F112" s="857">
        <v>3143</v>
      </c>
      <c r="G112" s="831" t="s">
        <v>635</v>
      </c>
      <c r="H112" s="831" t="s">
        <v>283</v>
      </c>
      <c r="I112" s="803">
        <f t="shared" si="168"/>
        <v>722617</v>
      </c>
      <c r="J112" s="833">
        <v>532119</v>
      </c>
      <c r="K112" s="805">
        <f>ROUND((J112)*33.8%,0)</f>
        <v>179856</v>
      </c>
      <c r="L112" s="805">
        <f>ROUND(J112*2%,0)</f>
        <v>10642</v>
      </c>
      <c r="M112" s="833">
        <v>0</v>
      </c>
      <c r="N112" s="834">
        <f t="shared" si="169"/>
        <v>1.0536000000000001</v>
      </c>
      <c r="O112" s="1054">
        <v>1.0536000000000001</v>
      </c>
      <c r="P112" s="1055">
        <v>0</v>
      </c>
      <c r="Q112" s="835">
        <f t="shared" si="170"/>
        <v>0</v>
      </c>
      <c r="R112" s="835">
        <v>0</v>
      </c>
      <c r="S112" s="813">
        <v>0</v>
      </c>
      <c r="T112" s="813">
        <v>0</v>
      </c>
      <c r="U112" s="813">
        <f t="shared" si="171"/>
        <v>0</v>
      </c>
      <c r="V112" s="813">
        <v>0</v>
      </c>
      <c r="W112" s="813">
        <v>0</v>
      </c>
      <c r="X112" s="813">
        <v>0</v>
      </c>
      <c r="Y112" s="813">
        <f t="shared" si="172"/>
        <v>0</v>
      </c>
      <c r="Z112" s="813">
        <f t="shared" si="173"/>
        <v>0</v>
      </c>
      <c r="AA112" s="809">
        <f t="shared" si="174"/>
        <v>0</v>
      </c>
      <c r="AB112" s="809">
        <f t="shared" si="175"/>
        <v>0</v>
      </c>
      <c r="AC112" s="813">
        <v>0</v>
      </c>
      <c r="AD112" s="813">
        <v>0</v>
      </c>
      <c r="AE112" s="813">
        <f t="shared" si="176"/>
        <v>0</v>
      </c>
      <c r="AF112" s="813">
        <f t="shared" si="177"/>
        <v>0</v>
      </c>
      <c r="AG112" s="836">
        <v>0</v>
      </c>
      <c r="AH112" s="836">
        <v>0</v>
      </c>
      <c r="AI112" s="836">
        <v>0</v>
      </c>
      <c r="AJ112" s="836">
        <v>0</v>
      </c>
      <c r="AK112" s="836">
        <v>0</v>
      </c>
      <c r="AL112" s="836">
        <f t="shared" si="178"/>
        <v>0</v>
      </c>
      <c r="AM112" s="836">
        <f t="shared" si="179"/>
        <v>0</v>
      </c>
      <c r="AN112" s="837">
        <f t="shared" si="180"/>
        <v>0</v>
      </c>
      <c r="AO112" s="835">
        <f t="shared" si="181"/>
        <v>722617</v>
      </c>
      <c r="AP112" s="813">
        <f t="shared" si="182"/>
        <v>532119</v>
      </c>
      <c r="AQ112" s="813">
        <f t="shared" si="183"/>
        <v>0</v>
      </c>
      <c r="AR112" s="813">
        <f t="shared" si="184"/>
        <v>179856</v>
      </c>
      <c r="AS112" s="813">
        <f t="shared" si="184"/>
        <v>10642</v>
      </c>
      <c r="AT112" s="813">
        <f t="shared" si="185"/>
        <v>0</v>
      </c>
      <c r="AU112" s="836">
        <f t="shared" si="186"/>
        <v>1.0536000000000001</v>
      </c>
      <c r="AV112" s="836">
        <f t="shared" si="187"/>
        <v>1.0536000000000001</v>
      </c>
      <c r="AW112" s="837">
        <f t="shared" si="187"/>
        <v>0</v>
      </c>
    </row>
    <row r="113" spans="1:51" ht="12.95" customHeight="1" x14ac:dyDescent="0.25">
      <c r="A113" s="827">
        <v>19</v>
      </c>
      <c r="B113" s="828">
        <v>4441</v>
      </c>
      <c r="C113" s="828">
        <v>600074668</v>
      </c>
      <c r="D113" s="828">
        <v>46750495</v>
      </c>
      <c r="E113" s="856" t="s">
        <v>371</v>
      </c>
      <c r="F113" s="857">
        <v>3143</v>
      </c>
      <c r="G113" s="831" t="s">
        <v>636</v>
      </c>
      <c r="H113" s="831" t="s">
        <v>284</v>
      </c>
      <c r="I113" s="803">
        <f t="shared" si="168"/>
        <v>21066</v>
      </c>
      <c r="J113" s="833">
        <v>14850</v>
      </c>
      <c r="K113" s="805">
        <f>ROUND((J113)*33.8%,0)</f>
        <v>5019</v>
      </c>
      <c r="L113" s="805">
        <f>ROUND(J113*2%,0)</f>
        <v>297</v>
      </c>
      <c r="M113" s="833">
        <v>900</v>
      </c>
      <c r="N113" s="834">
        <f t="shared" si="169"/>
        <v>0.06</v>
      </c>
      <c r="O113" s="1054">
        <v>0</v>
      </c>
      <c r="P113" s="1055">
        <v>0.06</v>
      </c>
      <c r="Q113" s="835">
        <f t="shared" si="170"/>
        <v>0</v>
      </c>
      <c r="R113" s="835">
        <v>0</v>
      </c>
      <c r="S113" s="813">
        <v>0</v>
      </c>
      <c r="T113" s="813">
        <v>0</v>
      </c>
      <c r="U113" s="813">
        <f t="shared" si="171"/>
        <v>0</v>
      </c>
      <c r="V113" s="813">
        <v>0</v>
      </c>
      <c r="W113" s="813">
        <v>0</v>
      </c>
      <c r="X113" s="813">
        <v>0</v>
      </c>
      <c r="Y113" s="813">
        <f t="shared" si="172"/>
        <v>0</v>
      </c>
      <c r="Z113" s="813">
        <f t="shared" si="173"/>
        <v>0</v>
      </c>
      <c r="AA113" s="809">
        <f t="shared" si="174"/>
        <v>0</v>
      </c>
      <c r="AB113" s="809">
        <f t="shared" si="175"/>
        <v>0</v>
      </c>
      <c r="AC113" s="813">
        <v>0</v>
      </c>
      <c r="AD113" s="813">
        <v>0</v>
      </c>
      <c r="AE113" s="813">
        <f t="shared" si="176"/>
        <v>0</v>
      </c>
      <c r="AF113" s="813">
        <f t="shared" si="177"/>
        <v>0</v>
      </c>
      <c r="AG113" s="836">
        <v>0</v>
      </c>
      <c r="AH113" s="836">
        <v>0</v>
      </c>
      <c r="AI113" s="836">
        <v>0</v>
      </c>
      <c r="AJ113" s="836">
        <v>0</v>
      </c>
      <c r="AK113" s="836">
        <v>0</v>
      </c>
      <c r="AL113" s="836">
        <f t="shared" si="178"/>
        <v>0</v>
      </c>
      <c r="AM113" s="836">
        <f t="shared" si="179"/>
        <v>0</v>
      </c>
      <c r="AN113" s="837">
        <f t="shared" si="180"/>
        <v>0</v>
      </c>
      <c r="AO113" s="835">
        <f t="shared" si="181"/>
        <v>21066</v>
      </c>
      <c r="AP113" s="813">
        <f t="shared" si="182"/>
        <v>14850</v>
      </c>
      <c r="AQ113" s="813">
        <f t="shared" si="183"/>
        <v>0</v>
      </c>
      <c r="AR113" s="813">
        <f t="shared" si="184"/>
        <v>5019</v>
      </c>
      <c r="AS113" s="813">
        <f t="shared" si="184"/>
        <v>297</v>
      </c>
      <c r="AT113" s="813">
        <f t="shared" si="185"/>
        <v>900</v>
      </c>
      <c r="AU113" s="836">
        <f t="shared" si="186"/>
        <v>0.06</v>
      </c>
      <c r="AV113" s="836">
        <f t="shared" si="187"/>
        <v>0</v>
      </c>
      <c r="AW113" s="837">
        <f t="shared" si="187"/>
        <v>0.06</v>
      </c>
    </row>
    <row r="114" spans="1:51" ht="12.95" customHeight="1" x14ac:dyDescent="0.25">
      <c r="A114" s="814">
        <v>19</v>
      </c>
      <c r="B114" s="816">
        <v>4441</v>
      </c>
      <c r="C114" s="816">
        <v>600074668</v>
      </c>
      <c r="D114" s="816">
        <v>46750495</v>
      </c>
      <c r="E114" s="853" t="s">
        <v>372</v>
      </c>
      <c r="F114" s="854"/>
      <c r="G114" s="855"/>
      <c r="H114" s="855"/>
      <c r="I114" s="843">
        <f t="shared" ref="I114:AW114" si="188">SUM(I108:I113)</f>
        <v>9794922</v>
      </c>
      <c r="J114" s="844">
        <f t="shared" si="188"/>
        <v>7128847</v>
      </c>
      <c r="K114" s="844">
        <f t="shared" si="188"/>
        <v>2409550</v>
      </c>
      <c r="L114" s="844">
        <f t="shared" si="188"/>
        <v>142577</v>
      </c>
      <c r="M114" s="844">
        <f t="shared" si="188"/>
        <v>113948</v>
      </c>
      <c r="N114" s="845">
        <f t="shared" si="188"/>
        <v>17.077500000000001</v>
      </c>
      <c r="O114" s="845">
        <f t="shared" si="188"/>
        <v>10.7193</v>
      </c>
      <c r="P114" s="847">
        <f t="shared" si="188"/>
        <v>6.3581999999999992</v>
      </c>
      <c r="Q114" s="848">
        <f t="shared" si="188"/>
        <v>-40000</v>
      </c>
      <c r="R114" s="844">
        <f t="shared" si="188"/>
        <v>331089</v>
      </c>
      <c r="S114" s="844">
        <f t="shared" si="188"/>
        <v>0</v>
      </c>
      <c r="T114" s="844">
        <f t="shared" si="188"/>
        <v>0</v>
      </c>
      <c r="U114" s="844">
        <f t="shared" si="188"/>
        <v>291089</v>
      </c>
      <c r="V114" s="844">
        <f t="shared" si="188"/>
        <v>40000</v>
      </c>
      <c r="W114" s="844">
        <f t="shared" si="188"/>
        <v>0</v>
      </c>
      <c r="X114" s="844">
        <f t="shared" si="188"/>
        <v>0</v>
      </c>
      <c r="Y114" s="844">
        <f t="shared" si="188"/>
        <v>40000</v>
      </c>
      <c r="Z114" s="844">
        <f t="shared" si="188"/>
        <v>331089</v>
      </c>
      <c r="AA114" s="844">
        <f t="shared" si="188"/>
        <v>111908</v>
      </c>
      <c r="AB114" s="844">
        <f t="shared" si="188"/>
        <v>5822</v>
      </c>
      <c r="AC114" s="844">
        <f t="shared" si="188"/>
        <v>0</v>
      </c>
      <c r="AD114" s="844">
        <f t="shared" si="188"/>
        <v>0</v>
      </c>
      <c r="AE114" s="844">
        <f t="shared" si="188"/>
        <v>0</v>
      </c>
      <c r="AF114" s="844">
        <f t="shared" si="188"/>
        <v>448819</v>
      </c>
      <c r="AG114" s="845">
        <f t="shared" si="188"/>
        <v>-0.04</v>
      </c>
      <c r="AH114" s="845">
        <f t="shared" si="188"/>
        <v>-7.0000000000000007E-2</v>
      </c>
      <c r="AI114" s="845">
        <f t="shared" si="188"/>
        <v>0.94</v>
      </c>
      <c r="AJ114" s="845">
        <f t="shared" si="188"/>
        <v>0</v>
      </c>
      <c r="AK114" s="845">
        <f t="shared" si="188"/>
        <v>0</v>
      </c>
      <c r="AL114" s="845">
        <f t="shared" si="188"/>
        <v>0.89999999999999991</v>
      </c>
      <c r="AM114" s="845">
        <f t="shared" si="188"/>
        <v>-7.0000000000000007E-2</v>
      </c>
      <c r="AN114" s="847">
        <f t="shared" si="188"/>
        <v>0.83</v>
      </c>
      <c r="AO114" s="848">
        <f t="shared" si="188"/>
        <v>10243741</v>
      </c>
      <c r="AP114" s="844">
        <f t="shared" si="188"/>
        <v>7419936</v>
      </c>
      <c r="AQ114" s="844">
        <f t="shared" si="188"/>
        <v>40000</v>
      </c>
      <c r="AR114" s="844">
        <f t="shared" si="188"/>
        <v>2521458</v>
      </c>
      <c r="AS114" s="844">
        <f t="shared" si="188"/>
        <v>148399</v>
      </c>
      <c r="AT114" s="844">
        <f t="shared" si="188"/>
        <v>113948</v>
      </c>
      <c r="AU114" s="845">
        <f t="shared" si="188"/>
        <v>17.907499999999999</v>
      </c>
      <c r="AV114" s="845">
        <f t="shared" si="188"/>
        <v>11.619299999999999</v>
      </c>
      <c r="AW114" s="847">
        <f t="shared" si="188"/>
        <v>6.2881999999999998</v>
      </c>
    </row>
    <row r="115" spans="1:51" ht="12.95" customHeight="1" x14ac:dyDescent="0.25">
      <c r="A115" s="827">
        <v>20</v>
      </c>
      <c r="B115" s="828">
        <v>4428</v>
      </c>
      <c r="C115" s="828">
        <v>600074242</v>
      </c>
      <c r="D115" s="828">
        <v>71010513</v>
      </c>
      <c r="E115" s="856" t="s">
        <v>373</v>
      </c>
      <c r="F115" s="857">
        <v>3111</v>
      </c>
      <c r="G115" s="831" t="s">
        <v>331</v>
      </c>
      <c r="H115" s="831" t="s">
        <v>283</v>
      </c>
      <c r="I115" s="803">
        <f>SUM(J115:M115)</f>
        <v>1652981</v>
      </c>
      <c r="J115" s="833">
        <v>1210590</v>
      </c>
      <c r="K115" s="805">
        <f>ROUND((J115)*33.8%,0)</f>
        <v>409179</v>
      </c>
      <c r="L115" s="805">
        <f>ROUND(J115*2%,0)</f>
        <v>24212</v>
      </c>
      <c r="M115" s="833">
        <v>9000</v>
      </c>
      <c r="N115" s="834">
        <f>SUM(O115:P115)</f>
        <v>2.7848999999999999</v>
      </c>
      <c r="O115" s="1054">
        <v>2</v>
      </c>
      <c r="P115" s="1055">
        <v>0.78489999999999993</v>
      </c>
      <c r="Q115" s="835">
        <f>V115*-1</f>
        <v>0</v>
      </c>
      <c r="R115" s="835">
        <v>0</v>
      </c>
      <c r="S115" s="813">
        <v>0</v>
      </c>
      <c r="T115" s="813">
        <v>0</v>
      </c>
      <c r="U115" s="813">
        <f>SUM(Q115:T115)</f>
        <v>0</v>
      </c>
      <c r="V115" s="813">
        <v>0</v>
      </c>
      <c r="W115" s="813">
        <v>0</v>
      </c>
      <c r="X115" s="813">
        <v>0</v>
      </c>
      <c r="Y115" s="813">
        <f>SUM(V115:X115)</f>
        <v>0</v>
      </c>
      <c r="Z115" s="813">
        <f>U115+Y115</f>
        <v>0</v>
      </c>
      <c r="AA115" s="809">
        <f>ROUND((U115+V115+W115)*33.8%,0)</f>
        <v>0</v>
      </c>
      <c r="AB115" s="809">
        <f>ROUND(U115*2%,0)</f>
        <v>0</v>
      </c>
      <c r="AC115" s="813">
        <v>0</v>
      </c>
      <c r="AD115" s="813">
        <v>0</v>
      </c>
      <c r="AE115" s="813">
        <f>SUM(AC115:AD115)</f>
        <v>0</v>
      </c>
      <c r="AF115" s="813">
        <f>Z115+AA115+AB115+AE115</f>
        <v>0</v>
      </c>
      <c r="AG115" s="836">
        <v>0</v>
      </c>
      <c r="AH115" s="836">
        <v>0</v>
      </c>
      <c r="AI115" s="836">
        <v>0</v>
      </c>
      <c r="AJ115" s="836">
        <v>0</v>
      </c>
      <c r="AK115" s="836">
        <v>0</v>
      </c>
      <c r="AL115" s="836">
        <f>AG115+AI115+AJ115</f>
        <v>0</v>
      </c>
      <c r="AM115" s="836">
        <f>AH115+AK115</f>
        <v>0</v>
      </c>
      <c r="AN115" s="837">
        <f>SUM(AL115:AM115)</f>
        <v>0</v>
      </c>
      <c r="AO115" s="835">
        <f>I115+AF115</f>
        <v>1652981</v>
      </c>
      <c r="AP115" s="813">
        <f>J115+U115</f>
        <v>1210590</v>
      </c>
      <c r="AQ115" s="813">
        <f>Y115</f>
        <v>0</v>
      </c>
      <c r="AR115" s="813">
        <f>K115+AA115</f>
        <v>409179</v>
      </c>
      <c r="AS115" s="813">
        <f>L115+AB115</f>
        <v>24212</v>
      </c>
      <c r="AT115" s="813">
        <f>M115+AE115</f>
        <v>9000</v>
      </c>
      <c r="AU115" s="836">
        <f>N115+AN115</f>
        <v>2.7848999999999999</v>
      </c>
      <c r="AV115" s="836">
        <f>O115+AL115</f>
        <v>2</v>
      </c>
      <c r="AW115" s="837">
        <f>P115+AM115</f>
        <v>0.78489999999999993</v>
      </c>
    </row>
    <row r="116" spans="1:51" ht="12.95" customHeight="1" x14ac:dyDescent="0.25">
      <c r="A116" s="827">
        <v>20</v>
      </c>
      <c r="B116" s="828">
        <v>4428</v>
      </c>
      <c r="C116" s="828">
        <v>600074242</v>
      </c>
      <c r="D116" s="828">
        <v>71010513</v>
      </c>
      <c r="E116" s="856" t="s">
        <v>373</v>
      </c>
      <c r="F116" s="857">
        <v>3141</v>
      </c>
      <c r="G116" s="858" t="s">
        <v>321</v>
      </c>
      <c r="H116" s="831" t="s">
        <v>284</v>
      </c>
      <c r="I116" s="803">
        <f>SUM(J116:M116)</f>
        <v>627920</v>
      </c>
      <c r="J116" s="833">
        <v>460378</v>
      </c>
      <c r="K116" s="805">
        <f>ROUND((J116)*33.8%,0)</f>
        <v>155608</v>
      </c>
      <c r="L116" s="805">
        <f>ROUND(J116*2%,0)</f>
        <v>9208</v>
      </c>
      <c r="M116" s="833">
        <v>2726</v>
      </c>
      <c r="N116" s="834">
        <f>SUM(O116:P116)</f>
        <v>1.57</v>
      </c>
      <c r="O116" s="1054">
        <v>0</v>
      </c>
      <c r="P116" s="1055">
        <v>1.57</v>
      </c>
      <c r="Q116" s="835">
        <f>V116*-1</f>
        <v>0</v>
      </c>
      <c r="R116" s="835">
        <v>0</v>
      </c>
      <c r="S116" s="813">
        <v>0</v>
      </c>
      <c r="T116" s="813">
        <v>0</v>
      </c>
      <c r="U116" s="813">
        <f>SUM(Q116:T116)</f>
        <v>0</v>
      </c>
      <c r="V116" s="813">
        <v>0</v>
      </c>
      <c r="W116" s="813">
        <v>0</v>
      </c>
      <c r="X116" s="813">
        <v>0</v>
      </c>
      <c r="Y116" s="813">
        <f>SUM(V116:X116)</f>
        <v>0</v>
      </c>
      <c r="Z116" s="813">
        <f>U116+Y116</f>
        <v>0</v>
      </c>
      <c r="AA116" s="809">
        <f>ROUND((U116+V116+W116)*33.8%,0)</f>
        <v>0</v>
      </c>
      <c r="AB116" s="809">
        <f>ROUND(U116*2%,0)</f>
        <v>0</v>
      </c>
      <c r="AC116" s="813">
        <v>0</v>
      </c>
      <c r="AD116" s="813">
        <v>0</v>
      </c>
      <c r="AE116" s="813">
        <f>SUM(AC116:AD116)</f>
        <v>0</v>
      </c>
      <c r="AF116" s="813">
        <f>Z116+AA116+AB116+AE116</f>
        <v>0</v>
      </c>
      <c r="AG116" s="836">
        <v>0</v>
      </c>
      <c r="AH116" s="836">
        <v>0</v>
      </c>
      <c r="AI116" s="836">
        <v>0</v>
      </c>
      <c r="AJ116" s="836">
        <v>0</v>
      </c>
      <c r="AK116" s="836">
        <v>0</v>
      </c>
      <c r="AL116" s="836">
        <f>AG116+AI116+AJ116</f>
        <v>0</v>
      </c>
      <c r="AM116" s="836">
        <f>AH116+AK116</f>
        <v>0</v>
      </c>
      <c r="AN116" s="837">
        <f>SUM(AL116:AM116)</f>
        <v>0</v>
      </c>
      <c r="AO116" s="835">
        <f>I116+AF116</f>
        <v>627920</v>
      </c>
      <c r="AP116" s="813">
        <f>J116+U116</f>
        <v>460378</v>
      </c>
      <c r="AQ116" s="813">
        <f>Y116</f>
        <v>0</v>
      </c>
      <c r="AR116" s="813">
        <f>K116+AA116</f>
        <v>155608</v>
      </c>
      <c r="AS116" s="813">
        <f>L116+AB116</f>
        <v>9208</v>
      </c>
      <c r="AT116" s="813">
        <f>M116+AE116</f>
        <v>2726</v>
      </c>
      <c r="AU116" s="836">
        <f>N116+AN116</f>
        <v>1.57</v>
      </c>
      <c r="AV116" s="836">
        <f>O116+AL116</f>
        <v>0</v>
      </c>
      <c r="AW116" s="837">
        <f>P116+AM116</f>
        <v>1.57</v>
      </c>
    </row>
    <row r="117" spans="1:51" ht="12.95" customHeight="1" x14ac:dyDescent="0.25">
      <c r="A117" s="814">
        <v>20</v>
      </c>
      <c r="B117" s="816">
        <v>4428</v>
      </c>
      <c r="C117" s="816">
        <v>600074242</v>
      </c>
      <c r="D117" s="816">
        <v>71010513</v>
      </c>
      <c r="E117" s="853" t="s">
        <v>374</v>
      </c>
      <c r="F117" s="854"/>
      <c r="G117" s="855"/>
      <c r="H117" s="855"/>
      <c r="I117" s="843">
        <f t="shared" ref="I117:AW117" si="189">SUM(I115:I116)</f>
        <v>2280901</v>
      </c>
      <c r="J117" s="844">
        <f t="shared" si="189"/>
        <v>1670968</v>
      </c>
      <c r="K117" s="844">
        <f t="shared" si="189"/>
        <v>564787</v>
      </c>
      <c r="L117" s="844">
        <f t="shared" si="189"/>
        <v>33420</v>
      </c>
      <c r="M117" s="844">
        <f t="shared" si="189"/>
        <v>11726</v>
      </c>
      <c r="N117" s="845">
        <f t="shared" si="189"/>
        <v>4.3548999999999998</v>
      </c>
      <c r="O117" s="845">
        <f t="shared" si="189"/>
        <v>2</v>
      </c>
      <c r="P117" s="847">
        <f t="shared" si="189"/>
        <v>2.3548999999999998</v>
      </c>
      <c r="Q117" s="848">
        <f t="shared" si="189"/>
        <v>0</v>
      </c>
      <c r="R117" s="844">
        <f t="shared" si="189"/>
        <v>0</v>
      </c>
      <c r="S117" s="844">
        <f t="shared" si="189"/>
        <v>0</v>
      </c>
      <c r="T117" s="844">
        <f t="shared" si="189"/>
        <v>0</v>
      </c>
      <c r="U117" s="844">
        <f t="shared" si="189"/>
        <v>0</v>
      </c>
      <c r="V117" s="844">
        <f t="shared" si="189"/>
        <v>0</v>
      </c>
      <c r="W117" s="844">
        <f t="shared" si="189"/>
        <v>0</v>
      </c>
      <c r="X117" s="844">
        <f t="shared" si="189"/>
        <v>0</v>
      </c>
      <c r="Y117" s="844">
        <f t="shared" si="189"/>
        <v>0</v>
      </c>
      <c r="Z117" s="844">
        <f t="shared" si="189"/>
        <v>0</v>
      </c>
      <c r="AA117" s="844">
        <f t="shared" si="189"/>
        <v>0</v>
      </c>
      <c r="AB117" s="844">
        <f t="shared" si="189"/>
        <v>0</v>
      </c>
      <c r="AC117" s="844">
        <f t="shared" si="189"/>
        <v>0</v>
      </c>
      <c r="AD117" s="844">
        <f t="shared" si="189"/>
        <v>0</v>
      </c>
      <c r="AE117" s="844">
        <f t="shared" si="189"/>
        <v>0</v>
      </c>
      <c r="AF117" s="844">
        <f t="shared" si="189"/>
        <v>0</v>
      </c>
      <c r="AG117" s="845">
        <f t="shared" si="189"/>
        <v>0</v>
      </c>
      <c r="AH117" s="845">
        <f t="shared" si="189"/>
        <v>0</v>
      </c>
      <c r="AI117" s="845">
        <f t="shared" si="189"/>
        <v>0</v>
      </c>
      <c r="AJ117" s="845">
        <f t="shared" si="189"/>
        <v>0</v>
      </c>
      <c r="AK117" s="845">
        <f t="shared" si="189"/>
        <v>0</v>
      </c>
      <c r="AL117" s="845">
        <f t="shared" si="189"/>
        <v>0</v>
      </c>
      <c r="AM117" s="845">
        <f t="shared" si="189"/>
        <v>0</v>
      </c>
      <c r="AN117" s="847">
        <f t="shared" si="189"/>
        <v>0</v>
      </c>
      <c r="AO117" s="848">
        <f t="shared" si="189"/>
        <v>2280901</v>
      </c>
      <c r="AP117" s="844">
        <f t="shared" si="189"/>
        <v>1670968</v>
      </c>
      <c r="AQ117" s="844">
        <f t="shared" si="189"/>
        <v>0</v>
      </c>
      <c r="AR117" s="844">
        <f t="shared" si="189"/>
        <v>564787</v>
      </c>
      <c r="AS117" s="844">
        <f t="shared" si="189"/>
        <v>33420</v>
      </c>
      <c r="AT117" s="844">
        <f t="shared" si="189"/>
        <v>11726</v>
      </c>
      <c r="AU117" s="845">
        <f t="shared" si="189"/>
        <v>4.3548999999999998</v>
      </c>
      <c r="AV117" s="845">
        <f t="shared" si="189"/>
        <v>2</v>
      </c>
      <c r="AW117" s="847">
        <f t="shared" si="189"/>
        <v>2.3548999999999998</v>
      </c>
    </row>
    <row r="118" spans="1:51" ht="12.95" customHeight="1" x14ac:dyDescent="0.25">
      <c r="A118" s="827">
        <v>21</v>
      </c>
      <c r="B118" s="828">
        <v>4463</v>
      </c>
      <c r="C118" s="828">
        <v>600074684</v>
      </c>
      <c r="D118" s="828">
        <v>71010467</v>
      </c>
      <c r="E118" s="856" t="s">
        <v>375</v>
      </c>
      <c r="F118" s="857">
        <v>3117</v>
      </c>
      <c r="G118" s="858" t="s">
        <v>335</v>
      </c>
      <c r="H118" s="831" t="s">
        <v>283</v>
      </c>
      <c r="I118" s="803">
        <f>SUM(J118:M118)</f>
        <v>2865678</v>
      </c>
      <c r="J118" s="833">
        <v>2077480</v>
      </c>
      <c r="K118" s="805">
        <f>ROUND((J118)*33.8%,0)</f>
        <v>702188</v>
      </c>
      <c r="L118" s="805">
        <f>ROUND(J118*2%,0)</f>
        <v>41550</v>
      </c>
      <c r="M118" s="833">
        <v>44460</v>
      </c>
      <c r="N118" s="834">
        <f>SUM(O118:P118)</f>
        <v>3.6208</v>
      </c>
      <c r="O118" s="1054">
        <v>2.6818</v>
      </c>
      <c r="P118" s="1055">
        <v>0.93900000000000006</v>
      </c>
      <c r="Q118" s="835">
        <f>V118*-1</f>
        <v>0</v>
      </c>
      <c r="R118" s="835">
        <v>0</v>
      </c>
      <c r="S118" s="813">
        <v>0</v>
      </c>
      <c r="T118" s="813">
        <v>0</v>
      </c>
      <c r="U118" s="813">
        <f>SUM(Q118:T118)</f>
        <v>0</v>
      </c>
      <c r="V118" s="813">
        <v>0</v>
      </c>
      <c r="W118" s="813">
        <v>0</v>
      </c>
      <c r="X118" s="813">
        <v>0</v>
      </c>
      <c r="Y118" s="813">
        <f>SUM(V118:X118)</f>
        <v>0</v>
      </c>
      <c r="Z118" s="813">
        <f>U118+Y118</f>
        <v>0</v>
      </c>
      <c r="AA118" s="809">
        <f>ROUND((U118+V118+W118)*33.8%,0)</f>
        <v>0</v>
      </c>
      <c r="AB118" s="809">
        <f>ROUND(U118*2%,0)</f>
        <v>0</v>
      </c>
      <c r="AC118" s="813">
        <v>0</v>
      </c>
      <c r="AD118" s="813">
        <v>0</v>
      </c>
      <c r="AE118" s="813">
        <f>SUM(AC118:AD118)</f>
        <v>0</v>
      </c>
      <c r="AF118" s="813">
        <f>Z118+AA118+AB118+AE118</f>
        <v>0</v>
      </c>
      <c r="AG118" s="836">
        <v>0</v>
      </c>
      <c r="AH118" s="836">
        <v>0</v>
      </c>
      <c r="AI118" s="836">
        <v>0</v>
      </c>
      <c r="AJ118" s="836">
        <v>0</v>
      </c>
      <c r="AK118" s="836">
        <v>0</v>
      </c>
      <c r="AL118" s="836">
        <f>AG118+AI118+AJ118</f>
        <v>0</v>
      </c>
      <c r="AM118" s="836">
        <f>AH118+AK118</f>
        <v>0</v>
      </c>
      <c r="AN118" s="837">
        <f>SUM(AL118:AM118)</f>
        <v>0</v>
      </c>
      <c r="AO118" s="835">
        <f>I118+AF118</f>
        <v>2865678</v>
      </c>
      <c r="AP118" s="813">
        <f>J118+U118</f>
        <v>2077480</v>
      </c>
      <c r="AQ118" s="813">
        <f>Y118</f>
        <v>0</v>
      </c>
      <c r="AR118" s="813">
        <f t="shared" ref="AR118:AS121" si="190">K118+AA118</f>
        <v>702188</v>
      </c>
      <c r="AS118" s="813">
        <f t="shared" si="190"/>
        <v>41550</v>
      </c>
      <c r="AT118" s="813">
        <f>M118+AE118</f>
        <v>44460</v>
      </c>
      <c r="AU118" s="836">
        <f>N118+AN118</f>
        <v>3.6208</v>
      </c>
      <c r="AV118" s="836">
        <f t="shared" ref="AV118:AW121" si="191">O118+AL118</f>
        <v>2.6818</v>
      </c>
      <c r="AW118" s="837">
        <f t="shared" si="191"/>
        <v>0.93900000000000006</v>
      </c>
    </row>
    <row r="119" spans="1:51" ht="12.95" customHeight="1" x14ac:dyDescent="0.25">
      <c r="A119" s="827">
        <v>21</v>
      </c>
      <c r="B119" s="828">
        <v>4463</v>
      </c>
      <c r="C119" s="828">
        <v>600074684</v>
      </c>
      <c r="D119" s="828">
        <v>71010467</v>
      </c>
      <c r="E119" s="856" t="s">
        <v>375</v>
      </c>
      <c r="F119" s="857">
        <v>3117</v>
      </c>
      <c r="G119" s="831" t="s">
        <v>325</v>
      </c>
      <c r="H119" s="831" t="s">
        <v>284</v>
      </c>
      <c r="I119" s="803">
        <f>SUM(J119:M119)</f>
        <v>0</v>
      </c>
      <c r="J119" s="833">
        <v>0</v>
      </c>
      <c r="K119" s="805">
        <f>ROUND((J119)*33.8%,0)</f>
        <v>0</v>
      </c>
      <c r="L119" s="805">
        <f>ROUND(J119*2%,0)</f>
        <v>0</v>
      </c>
      <c r="M119" s="833">
        <v>0</v>
      </c>
      <c r="N119" s="834">
        <f>SUM(O119:P119)</f>
        <v>0</v>
      </c>
      <c r="O119" s="1054">
        <v>0</v>
      </c>
      <c r="P119" s="1055">
        <v>0</v>
      </c>
      <c r="Q119" s="835">
        <f>V119*-1</f>
        <v>0</v>
      </c>
      <c r="R119" s="835">
        <v>0</v>
      </c>
      <c r="S119" s="813">
        <v>0</v>
      </c>
      <c r="T119" s="813">
        <v>0</v>
      </c>
      <c r="U119" s="813">
        <f>SUM(Q119:T119)</f>
        <v>0</v>
      </c>
      <c r="V119" s="813">
        <v>0</v>
      </c>
      <c r="W119" s="813">
        <v>0</v>
      </c>
      <c r="X119" s="813">
        <v>0</v>
      </c>
      <c r="Y119" s="813">
        <f>SUM(V119:X119)</f>
        <v>0</v>
      </c>
      <c r="Z119" s="813">
        <f>U119+Y119</f>
        <v>0</v>
      </c>
      <c r="AA119" s="809">
        <f>ROUND((U119+V119+W119)*33.8%,0)</f>
        <v>0</v>
      </c>
      <c r="AB119" s="809">
        <f>ROUND(U119*2%,0)</f>
        <v>0</v>
      </c>
      <c r="AC119" s="813">
        <v>0</v>
      </c>
      <c r="AD119" s="813">
        <v>0</v>
      </c>
      <c r="AE119" s="813">
        <f>SUM(AC119:AD119)</f>
        <v>0</v>
      </c>
      <c r="AF119" s="813">
        <f>Z119+AA119+AB119+AE119</f>
        <v>0</v>
      </c>
      <c r="AG119" s="836">
        <v>0</v>
      </c>
      <c r="AH119" s="836">
        <v>0</v>
      </c>
      <c r="AI119" s="836">
        <v>0</v>
      </c>
      <c r="AJ119" s="836">
        <v>0</v>
      </c>
      <c r="AK119" s="836">
        <v>0</v>
      </c>
      <c r="AL119" s="836">
        <f>AG119+AI119+AJ119</f>
        <v>0</v>
      </c>
      <c r="AM119" s="836">
        <f>AH119+AK119</f>
        <v>0</v>
      </c>
      <c r="AN119" s="837">
        <f>SUM(AL119:AM119)</f>
        <v>0</v>
      </c>
      <c r="AO119" s="835">
        <f>I119+AF119</f>
        <v>0</v>
      </c>
      <c r="AP119" s="813">
        <f>J119+U119</f>
        <v>0</v>
      </c>
      <c r="AQ119" s="813">
        <f>Y119</f>
        <v>0</v>
      </c>
      <c r="AR119" s="813">
        <f t="shared" si="190"/>
        <v>0</v>
      </c>
      <c r="AS119" s="813">
        <f t="shared" si="190"/>
        <v>0</v>
      </c>
      <c r="AT119" s="813">
        <f>M119+AE119</f>
        <v>0</v>
      </c>
      <c r="AU119" s="836">
        <f>N119+AN119</f>
        <v>0</v>
      </c>
      <c r="AV119" s="836">
        <f t="shared" si="191"/>
        <v>0</v>
      </c>
      <c r="AW119" s="837">
        <f t="shared" si="191"/>
        <v>0</v>
      </c>
    </row>
    <row r="120" spans="1:51" ht="12.95" customHeight="1" x14ac:dyDescent="0.25">
      <c r="A120" s="827">
        <v>21</v>
      </c>
      <c r="B120" s="828">
        <v>4463</v>
      </c>
      <c r="C120" s="828">
        <v>600074684</v>
      </c>
      <c r="D120" s="828">
        <v>71010467</v>
      </c>
      <c r="E120" s="856" t="s">
        <v>375</v>
      </c>
      <c r="F120" s="857">
        <v>3143</v>
      </c>
      <c r="G120" s="831" t="s">
        <v>635</v>
      </c>
      <c r="H120" s="831" t="s">
        <v>283</v>
      </c>
      <c r="I120" s="803">
        <f>SUM(J120:M120)</f>
        <v>592662</v>
      </c>
      <c r="J120" s="833">
        <v>436423</v>
      </c>
      <c r="K120" s="805">
        <f>ROUND((J120)*33.8%,0)</f>
        <v>147511</v>
      </c>
      <c r="L120" s="805">
        <f>ROUND(J120*2%,0)</f>
        <v>8728</v>
      </c>
      <c r="M120" s="833">
        <v>0</v>
      </c>
      <c r="N120" s="834">
        <f>SUM(O120:P120)</f>
        <v>0.85709999999999997</v>
      </c>
      <c r="O120" s="1054">
        <v>0.85709999999999997</v>
      </c>
      <c r="P120" s="1055">
        <v>0</v>
      </c>
      <c r="Q120" s="835">
        <f>V120*-1</f>
        <v>0</v>
      </c>
      <c r="R120" s="835">
        <v>0</v>
      </c>
      <c r="S120" s="813">
        <v>0</v>
      </c>
      <c r="T120" s="813">
        <v>0</v>
      </c>
      <c r="U120" s="813">
        <f>SUM(Q120:T120)</f>
        <v>0</v>
      </c>
      <c r="V120" s="813">
        <v>0</v>
      </c>
      <c r="W120" s="813">
        <v>0</v>
      </c>
      <c r="X120" s="813">
        <v>0</v>
      </c>
      <c r="Y120" s="813">
        <f>SUM(V120:X120)</f>
        <v>0</v>
      </c>
      <c r="Z120" s="813">
        <f>U120+Y120</f>
        <v>0</v>
      </c>
      <c r="AA120" s="809">
        <f>ROUND((U120+V120+W120)*33.8%,0)</f>
        <v>0</v>
      </c>
      <c r="AB120" s="809">
        <f>ROUND(U120*2%,0)</f>
        <v>0</v>
      </c>
      <c r="AC120" s="813">
        <v>0</v>
      </c>
      <c r="AD120" s="813">
        <v>0</v>
      </c>
      <c r="AE120" s="813">
        <f>SUM(AC120:AD120)</f>
        <v>0</v>
      </c>
      <c r="AF120" s="813">
        <f>Z120+AA120+AB120+AE120</f>
        <v>0</v>
      </c>
      <c r="AG120" s="836">
        <v>0</v>
      </c>
      <c r="AH120" s="836">
        <v>0</v>
      </c>
      <c r="AI120" s="836">
        <v>0</v>
      </c>
      <c r="AJ120" s="836">
        <v>0</v>
      </c>
      <c r="AK120" s="836">
        <v>0</v>
      </c>
      <c r="AL120" s="836">
        <f>AG120+AI120+AJ120</f>
        <v>0</v>
      </c>
      <c r="AM120" s="836">
        <f>AH120+AK120</f>
        <v>0</v>
      </c>
      <c r="AN120" s="837">
        <f>SUM(AL120:AM120)</f>
        <v>0</v>
      </c>
      <c r="AO120" s="835">
        <f>I120+AF120</f>
        <v>592662</v>
      </c>
      <c r="AP120" s="813">
        <f>J120+U120</f>
        <v>436423</v>
      </c>
      <c r="AQ120" s="813">
        <f>Y120</f>
        <v>0</v>
      </c>
      <c r="AR120" s="813">
        <f t="shared" si="190"/>
        <v>147511</v>
      </c>
      <c r="AS120" s="813">
        <f t="shared" si="190"/>
        <v>8728</v>
      </c>
      <c r="AT120" s="813">
        <f>M120+AE120</f>
        <v>0</v>
      </c>
      <c r="AU120" s="836">
        <f>N120+AN120</f>
        <v>0.85709999999999997</v>
      </c>
      <c r="AV120" s="836">
        <f t="shared" si="191"/>
        <v>0.85709999999999997</v>
      </c>
      <c r="AW120" s="837">
        <f t="shared" si="191"/>
        <v>0</v>
      </c>
    </row>
    <row r="121" spans="1:51" ht="12.95" customHeight="1" x14ac:dyDescent="0.25">
      <c r="A121" s="827">
        <v>21</v>
      </c>
      <c r="B121" s="828">
        <v>4463</v>
      </c>
      <c r="C121" s="828">
        <v>600074684</v>
      </c>
      <c r="D121" s="828">
        <v>71010467</v>
      </c>
      <c r="E121" s="856" t="s">
        <v>375</v>
      </c>
      <c r="F121" s="857">
        <v>3143</v>
      </c>
      <c r="G121" s="831" t="s">
        <v>636</v>
      </c>
      <c r="H121" s="831" t="s">
        <v>284</v>
      </c>
      <c r="I121" s="803">
        <f>SUM(J121:M121)</f>
        <v>17556</v>
      </c>
      <c r="J121" s="833">
        <v>12375</v>
      </c>
      <c r="K121" s="805">
        <f>ROUND((J121)*33.8%,0)</f>
        <v>4183</v>
      </c>
      <c r="L121" s="805">
        <f>ROUND(J121*2%,0)</f>
        <v>248</v>
      </c>
      <c r="M121" s="833">
        <v>750</v>
      </c>
      <c r="N121" s="834">
        <f>SUM(O121:P121)</f>
        <v>0.05</v>
      </c>
      <c r="O121" s="1054">
        <v>0</v>
      </c>
      <c r="P121" s="1055">
        <v>0.05</v>
      </c>
      <c r="Q121" s="835">
        <f>V121*-1</f>
        <v>0</v>
      </c>
      <c r="R121" s="835">
        <v>0</v>
      </c>
      <c r="S121" s="813">
        <v>0</v>
      </c>
      <c r="T121" s="813">
        <v>0</v>
      </c>
      <c r="U121" s="813">
        <f>SUM(Q121:T121)</f>
        <v>0</v>
      </c>
      <c r="V121" s="813">
        <v>0</v>
      </c>
      <c r="W121" s="813">
        <v>0</v>
      </c>
      <c r="X121" s="813">
        <v>0</v>
      </c>
      <c r="Y121" s="813">
        <f>SUM(V121:X121)</f>
        <v>0</v>
      </c>
      <c r="Z121" s="813">
        <f>U121+Y121</f>
        <v>0</v>
      </c>
      <c r="AA121" s="809">
        <f>ROUND((U121+V121+W121)*33.8%,0)</f>
        <v>0</v>
      </c>
      <c r="AB121" s="809">
        <f>ROUND(U121*2%,0)</f>
        <v>0</v>
      </c>
      <c r="AC121" s="813">
        <v>0</v>
      </c>
      <c r="AD121" s="813">
        <v>0</v>
      </c>
      <c r="AE121" s="813">
        <f>SUM(AC121:AD121)</f>
        <v>0</v>
      </c>
      <c r="AF121" s="813">
        <f>Z121+AA121+AB121+AE121</f>
        <v>0</v>
      </c>
      <c r="AG121" s="836">
        <v>0</v>
      </c>
      <c r="AH121" s="836">
        <v>0</v>
      </c>
      <c r="AI121" s="836">
        <v>0</v>
      </c>
      <c r="AJ121" s="836">
        <v>0</v>
      </c>
      <c r="AK121" s="836">
        <v>0</v>
      </c>
      <c r="AL121" s="836">
        <f>AG121+AI121+AJ121</f>
        <v>0</v>
      </c>
      <c r="AM121" s="836">
        <f>AH121+AK121</f>
        <v>0</v>
      </c>
      <c r="AN121" s="837">
        <f>SUM(AL121:AM121)</f>
        <v>0</v>
      </c>
      <c r="AO121" s="835">
        <f>I121+AF121</f>
        <v>17556</v>
      </c>
      <c r="AP121" s="813">
        <f>J121+U121</f>
        <v>12375</v>
      </c>
      <c r="AQ121" s="813">
        <f>Y121</f>
        <v>0</v>
      </c>
      <c r="AR121" s="813">
        <f t="shared" si="190"/>
        <v>4183</v>
      </c>
      <c r="AS121" s="813">
        <f t="shared" si="190"/>
        <v>248</v>
      </c>
      <c r="AT121" s="813">
        <f>M121+AE121</f>
        <v>750</v>
      </c>
      <c r="AU121" s="836">
        <f>N121+AN121</f>
        <v>0.05</v>
      </c>
      <c r="AV121" s="836">
        <f t="shared" si="191"/>
        <v>0</v>
      </c>
      <c r="AW121" s="837">
        <f t="shared" si="191"/>
        <v>0.05</v>
      </c>
    </row>
    <row r="122" spans="1:51" ht="12.95" customHeight="1" thickBot="1" x14ac:dyDescent="0.3">
      <c r="A122" s="859">
        <v>21</v>
      </c>
      <c r="B122" s="860">
        <v>4463</v>
      </c>
      <c r="C122" s="860">
        <v>600074684</v>
      </c>
      <c r="D122" s="860">
        <v>71010467</v>
      </c>
      <c r="E122" s="853" t="s">
        <v>376</v>
      </c>
      <c r="F122" s="854"/>
      <c r="G122" s="855"/>
      <c r="H122" s="855"/>
      <c r="I122" s="861">
        <f t="shared" ref="I122:AW122" si="192">SUM(I118:I121)</f>
        <v>3475896</v>
      </c>
      <c r="J122" s="862">
        <f t="shared" si="192"/>
        <v>2526278</v>
      </c>
      <c r="K122" s="862">
        <f t="shared" si="192"/>
        <v>853882</v>
      </c>
      <c r="L122" s="862">
        <f t="shared" si="192"/>
        <v>50526</v>
      </c>
      <c r="M122" s="862">
        <f t="shared" si="192"/>
        <v>45210</v>
      </c>
      <c r="N122" s="863">
        <f t="shared" si="192"/>
        <v>4.5278999999999998</v>
      </c>
      <c r="O122" s="863">
        <f t="shared" si="192"/>
        <v>3.5388999999999999</v>
      </c>
      <c r="P122" s="865">
        <f t="shared" si="192"/>
        <v>0.9890000000000001</v>
      </c>
      <c r="Q122" s="864">
        <f t="shared" si="192"/>
        <v>0</v>
      </c>
      <c r="R122" s="862">
        <f t="shared" si="192"/>
        <v>0</v>
      </c>
      <c r="S122" s="862">
        <f t="shared" si="192"/>
        <v>0</v>
      </c>
      <c r="T122" s="862">
        <f t="shared" si="192"/>
        <v>0</v>
      </c>
      <c r="U122" s="862">
        <f t="shared" si="192"/>
        <v>0</v>
      </c>
      <c r="V122" s="862">
        <f t="shared" si="192"/>
        <v>0</v>
      </c>
      <c r="W122" s="862">
        <f t="shared" si="192"/>
        <v>0</v>
      </c>
      <c r="X122" s="862">
        <f t="shared" si="192"/>
        <v>0</v>
      </c>
      <c r="Y122" s="862">
        <f t="shared" si="192"/>
        <v>0</v>
      </c>
      <c r="Z122" s="862">
        <f t="shared" si="192"/>
        <v>0</v>
      </c>
      <c r="AA122" s="862">
        <f t="shared" si="192"/>
        <v>0</v>
      </c>
      <c r="AB122" s="862">
        <f t="shared" si="192"/>
        <v>0</v>
      </c>
      <c r="AC122" s="862">
        <f t="shared" si="192"/>
        <v>0</v>
      </c>
      <c r="AD122" s="862">
        <f t="shared" si="192"/>
        <v>0</v>
      </c>
      <c r="AE122" s="862">
        <f t="shared" si="192"/>
        <v>0</v>
      </c>
      <c r="AF122" s="862">
        <f t="shared" si="192"/>
        <v>0</v>
      </c>
      <c r="AG122" s="863">
        <f t="shared" si="192"/>
        <v>0</v>
      </c>
      <c r="AH122" s="863">
        <f t="shared" si="192"/>
        <v>0</v>
      </c>
      <c r="AI122" s="863">
        <f t="shared" si="192"/>
        <v>0</v>
      </c>
      <c r="AJ122" s="863">
        <f t="shared" si="192"/>
        <v>0</v>
      </c>
      <c r="AK122" s="863">
        <f t="shared" si="192"/>
        <v>0</v>
      </c>
      <c r="AL122" s="863">
        <f t="shared" si="192"/>
        <v>0</v>
      </c>
      <c r="AM122" s="863">
        <f t="shared" si="192"/>
        <v>0</v>
      </c>
      <c r="AN122" s="865">
        <f t="shared" si="192"/>
        <v>0</v>
      </c>
      <c r="AO122" s="864">
        <f t="shared" si="192"/>
        <v>3475896</v>
      </c>
      <c r="AP122" s="862">
        <f t="shared" si="192"/>
        <v>2526278</v>
      </c>
      <c r="AQ122" s="862">
        <f t="shared" si="192"/>
        <v>0</v>
      </c>
      <c r="AR122" s="862">
        <f t="shared" si="192"/>
        <v>853882</v>
      </c>
      <c r="AS122" s="862">
        <f t="shared" si="192"/>
        <v>50526</v>
      </c>
      <c r="AT122" s="862">
        <f t="shared" si="192"/>
        <v>45210</v>
      </c>
      <c r="AU122" s="863">
        <f t="shared" si="192"/>
        <v>4.5278999999999998</v>
      </c>
      <c r="AV122" s="863">
        <f t="shared" si="192"/>
        <v>3.5388999999999999</v>
      </c>
      <c r="AW122" s="865">
        <f t="shared" si="192"/>
        <v>0.9890000000000001</v>
      </c>
    </row>
    <row r="123" spans="1:51" ht="14.25" customHeight="1" thickBot="1" x14ac:dyDescent="0.3">
      <c r="A123" s="866"/>
      <c r="B123" s="867"/>
      <c r="C123" s="868"/>
      <c r="D123" s="867"/>
      <c r="E123" s="869" t="s">
        <v>803</v>
      </c>
      <c r="F123" s="868"/>
      <c r="G123" s="870"/>
      <c r="H123" s="871"/>
      <c r="I123" s="872">
        <f t="shared" ref="I123:AW123" si="193">I122+I117+I114+I107+I100+I93+I86+I79+I72+I65+I58+I56+I50+I46+I44+I42+I36+I30+I24+I18+I13</f>
        <v>295968309</v>
      </c>
      <c r="J123" s="873">
        <f t="shared" si="193"/>
        <v>214808181</v>
      </c>
      <c r="K123" s="873">
        <f t="shared" si="193"/>
        <v>72605160</v>
      </c>
      <c r="L123" s="873">
        <f t="shared" si="193"/>
        <v>4296170</v>
      </c>
      <c r="M123" s="873">
        <f t="shared" si="193"/>
        <v>4258798</v>
      </c>
      <c r="N123" s="874">
        <f t="shared" si="193"/>
        <v>457.68309999999997</v>
      </c>
      <c r="O123" s="874">
        <f t="shared" si="193"/>
        <v>306.46800000000002</v>
      </c>
      <c r="P123" s="876">
        <f t="shared" si="193"/>
        <v>151.21510000000001</v>
      </c>
      <c r="Q123" s="875">
        <f t="shared" si="193"/>
        <v>-727960</v>
      </c>
      <c r="R123" s="873">
        <f t="shared" si="193"/>
        <v>12793455</v>
      </c>
      <c r="S123" s="873">
        <f t="shared" si="193"/>
        <v>0</v>
      </c>
      <c r="T123" s="873">
        <f t="shared" si="193"/>
        <v>472024</v>
      </c>
      <c r="U123" s="873">
        <f t="shared" si="193"/>
        <v>12537519</v>
      </c>
      <c r="V123" s="873">
        <f t="shared" si="193"/>
        <v>727960</v>
      </c>
      <c r="W123" s="873">
        <f t="shared" si="193"/>
        <v>0</v>
      </c>
      <c r="X123" s="873">
        <f t="shared" si="193"/>
        <v>0</v>
      </c>
      <c r="Y123" s="873">
        <f t="shared" si="193"/>
        <v>727960</v>
      </c>
      <c r="Z123" s="873">
        <f t="shared" si="193"/>
        <v>13265479</v>
      </c>
      <c r="AA123" s="873">
        <f t="shared" si="193"/>
        <v>4483733</v>
      </c>
      <c r="AB123" s="873">
        <f t="shared" si="193"/>
        <v>250752</v>
      </c>
      <c r="AC123" s="873">
        <f t="shared" si="193"/>
        <v>24000</v>
      </c>
      <c r="AD123" s="873">
        <f t="shared" si="193"/>
        <v>0</v>
      </c>
      <c r="AE123" s="873">
        <f t="shared" si="193"/>
        <v>24000</v>
      </c>
      <c r="AF123" s="873">
        <f t="shared" si="193"/>
        <v>18023964</v>
      </c>
      <c r="AG123" s="874">
        <f t="shared" si="193"/>
        <v>-0.44000000000000006</v>
      </c>
      <c r="AH123" s="874">
        <f t="shared" si="193"/>
        <v>-1.1600000000000004</v>
      </c>
      <c r="AI123" s="874">
        <f t="shared" si="193"/>
        <v>38.530000000000008</v>
      </c>
      <c r="AJ123" s="874">
        <f t="shared" si="193"/>
        <v>1.01</v>
      </c>
      <c r="AK123" s="874">
        <f t="shared" si="193"/>
        <v>0</v>
      </c>
      <c r="AL123" s="874">
        <f t="shared" si="193"/>
        <v>39.100000000000016</v>
      </c>
      <c r="AM123" s="874">
        <f t="shared" si="193"/>
        <v>-1.1600000000000004</v>
      </c>
      <c r="AN123" s="876">
        <f t="shared" si="193"/>
        <v>37.940000000000012</v>
      </c>
      <c r="AO123" s="875">
        <f t="shared" si="193"/>
        <v>313992273</v>
      </c>
      <c r="AP123" s="873">
        <f t="shared" si="193"/>
        <v>227345700</v>
      </c>
      <c r="AQ123" s="873">
        <f t="shared" si="193"/>
        <v>727960</v>
      </c>
      <c r="AR123" s="873">
        <f t="shared" si="193"/>
        <v>77088893</v>
      </c>
      <c r="AS123" s="873">
        <f t="shared" si="193"/>
        <v>4546922</v>
      </c>
      <c r="AT123" s="873">
        <f t="shared" si="193"/>
        <v>4282798</v>
      </c>
      <c r="AU123" s="874">
        <f t="shared" si="193"/>
        <v>495.62309999999997</v>
      </c>
      <c r="AV123" s="874">
        <f t="shared" si="193"/>
        <v>345.56799999999998</v>
      </c>
      <c r="AW123" s="876">
        <f t="shared" si="193"/>
        <v>150.05510000000001</v>
      </c>
    </row>
    <row r="124" spans="1:51" ht="12.75" customHeight="1" x14ac:dyDescent="0.25">
      <c r="B124" s="878"/>
      <c r="D124" s="878"/>
      <c r="E124" s="879"/>
      <c r="I124" s="880">
        <f>SUM(J123:M123)</f>
        <v>295968309</v>
      </c>
      <c r="J124" s="880"/>
      <c r="K124" s="880"/>
      <c r="L124" s="880"/>
      <c r="M124" s="880"/>
      <c r="N124" s="881">
        <f>SUM(O123:P123)</f>
        <v>457.68310000000002</v>
      </c>
      <c r="O124" s="881"/>
      <c r="P124" s="881"/>
      <c r="Q124" s="881"/>
      <c r="R124" s="881"/>
      <c r="S124" s="881"/>
      <c r="T124" s="881"/>
      <c r="U124" s="882">
        <f>SUM(Q123:T123)</f>
        <v>12537519</v>
      </c>
      <c r="V124" s="883"/>
      <c r="W124" s="883"/>
      <c r="X124" s="883"/>
      <c r="Y124" s="882">
        <f>SUM(V123:X123)</f>
        <v>727960</v>
      </c>
      <c r="Z124" s="882">
        <f>U123+Y123</f>
        <v>13265479</v>
      </c>
      <c r="AA124" s="884"/>
      <c r="AB124" s="884"/>
      <c r="AC124" s="883"/>
      <c r="AD124" s="883"/>
      <c r="AE124" s="882">
        <f>SUM(AC123:AD123)</f>
        <v>24000</v>
      </c>
      <c r="AF124" s="882">
        <f>Z123+AA123+AB123+AE123</f>
        <v>18023964</v>
      </c>
      <c r="AG124" s="885"/>
      <c r="AH124" s="885"/>
      <c r="AI124" s="885"/>
      <c r="AJ124" s="885"/>
      <c r="AK124" s="885"/>
      <c r="AL124" s="886">
        <f>AG123+AI123+AJ123</f>
        <v>39.100000000000009</v>
      </c>
      <c r="AM124" s="886">
        <f>AH123+AK123</f>
        <v>-1.1600000000000004</v>
      </c>
      <c r="AN124" s="886">
        <f>SUM(AL123:AM123)</f>
        <v>37.940000000000012</v>
      </c>
      <c r="AO124" s="880">
        <f>SUM(AP123:AT123)</f>
        <v>313992273</v>
      </c>
      <c r="AP124" s="887"/>
      <c r="AQ124" s="887"/>
      <c r="AR124" s="887"/>
      <c r="AS124" s="887"/>
      <c r="AT124" s="887"/>
      <c r="AU124" s="881">
        <f>SUM(AV123:AW123)</f>
        <v>495.62310000000002</v>
      </c>
      <c r="AV124" s="1127"/>
      <c r="AW124" s="1127"/>
    </row>
    <row r="125" spans="1:51" ht="12.75" customHeight="1" thickBot="1" x14ac:dyDescent="0.3">
      <c r="B125" s="878"/>
      <c r="D125" s="878"/>
      <c r="E125" s="751"/>
      <c r="I125" s="888">
        <f ca="1">SUM(J126:M126)</f>
        <v>295968309</v>
      </c>
      <c r="J125" s="760"/>
      <c r="K125" s="760"/>
      <c r="L125" s="760"/>
      <c r="M125" s="760"/>
      <c r="N125" s="889">
        <f ca="1">SUM(O126:P126)</f>
        <v>457.68309999999997</v>
      </c>
      <c r="O125" s="1112"/>
      <c r="P125" s="1112"/>
      <c r="Q125" s="890"/>
      <c r="R125" s="890"/>
      <c r="S125" s="890"/>
      <c r="T125" s="890"/>
      <c r="U125" s="891">
        <f ca="1">SUM(Q126:T126)</f>
        <v>12537519</v>
      </c>
      <c r="V125" s="892"/>
      <c r="W125" s="892"/>
      <c r="X125" s="892"/>
      <c r="Y125" s="891">
        <f ca="1">SUM(V126:X126)</f>
        <v>727960</v>
      </c>
      <c r="Z125" s="891">
        <f ca="1">U126+Y126</f>
        <v>13265479</v>
      </c>
      <c r="AA125" s="893"/>
      <c r="AB125" s="893"/>
      <c r="AC125" s="892"/>
      <c r="AD125" s="892"/>
      <c r="AE125" s="891">
        <f ca="1">SUM(AC126:AD126)</f>
        <v>24000</v>
      </c>
      <c r="AF125" s="891">
        <f ca="1">Z126+AA126+AB126+AE126</f>
        <v>18023964</v>
      </c>
      <c r="AG125" s="894"/>
      <c r="AH125" s="894"/>
      <c r="AI125" s="894"/>
      <c r="AJ125" s="894"/>
      <c r="AK125" s="894"/>
      <c r="AL125" s="895">
        <f ca="1">AG126+AI126+AJ126</f>
        <v>39.1</v>
      </c>
      <c r="AM125" s="895">
        <f ca="1">AH126+AK126</f>
        <v>-1.1600000000000001</v>
      </c>
      <c r="AN125" s="895">
        <f ca="1">SUM(AL126:AM126)</f>
        <v>37.94</v>
      </c>
      <c r="AO125" s="896">
        <f ca="1">SUM(AP126:AT126)</f>
        <v>313992273</v>
      </c>
      <c r="AP125" s="897"/>
      <c r="AQ125" s="897"/>
      <c r="AR125" s="897"/>
      <c r="AS125" s="897"/>
      <c r="AT125" s="897"/>
      <c r="AU125" s="890">
        <f ca="1">SUM(AV126:AW126)</f>
        <v>495.62309999999991</v>
      </c>
      <c r="AV125" s="1130"/>
      <c r="AW125" s="1130"/>
    </row>
    <row r="126" spans="1:51" s="183" customFormat="1" ht="12.95" customHeight="1" thickBot="1" x14ac:dyDescent="0.3">
      <c r="D126" s="898"/>
      <c r="E126" s="899"/>
      <c r="F126" s="898"/>
      <c r="G126" s="900"/>
      <c r="H126" s="901" t="s">
        <v>0</v>
      </c>
      <c r="I126" s="902">
        <f t="shared" ref="I126:AW126" ca="1" si="194">SUM(I127:I136)</f>
        <v>295968309</v>
      </c>
      <c r="J126" s="903">
        <f t="shared" ca="1" si="194"/>
        <v>214808181</v>
      </c>
      <c r="K126" s="903">
        <f t="shared" ca="1" si="194"/>
        <v>72605160</v>
      </c>
      <c r="L126" s="903">
        <f t="shared" ca="1" si="194"/>
        <v>4296170</v>
      </c>
      <c r="M126" s="903">
        <f t="shared" ca="1" si="194"/>
        <v>4258798</v>
      </c>
      <c r="N126" s="904">
        <f t="shared" ca="1" si="194"/>
        <v>457.68310000000002</v>
      </c>
      <c r="O126" s="904">
        <f t="shared" ca="1" si="194"/>
        <v>306.46800000000002</v>
      </c>
      <c r="P126" s="993">
        <f t="shared" ca="1" si="194"/>
        <v>151.21509999999998</v>
      </c>
      <c r="Q126" s="905">
        <f t="shared" ca="1" si="194"/>
        <v>-727960</v>
      </c>
      <c r="R126" s="905">
        <f t="shared" ca="1" si="194"/>
        <v>12793455</v>
      </c>
      <c r="S126" s="905">
        <f t="shared" ca="1" si="194"/>
        <v>0</v>
      </c>
      <c r="T126" s="905">
        <f t="shared" ca="1" si="194"/>
        <v>472024</v>
      </c>
      <c r="U126" s="905">
        <f t="shared" ca="1" si="194"/>
        <v>12537519</v>
      </c>
      <c r="V126" s="905">
        <f t="shared" ca="1" si="194"/>
        <v>727960</v>
      </c>
      <c r="W126" s="905">
        <f t="shared" ca="1" si="194"/>
        <v>0</v>
      </c>
      <c r="X126" s="905">
        <f t="shared" ca="1" si="194"/>
        <v>0</v>
      </c>
      <c r="Y126" s="905">
        <f t="shared" ca="1" si="194"/>
        <v>727960</v>
      </c>
      <c r="Z126" s="905">
        <f t="shared" ca="1" si="194"/>
        <v>13265479</v>
      </c>
      <c r="AA126" s="905">
        <f t="shared" ca="1" si="194"/>
        <v>4483733</v>
      </c>
      <c r="AB126" s="905">
        <f t="shared" ca="1" si="194"/>
        <v>250752</v>
      </c>
      <c r="AC126" s="905">
        <f t="shared" ca="1" si="194"/>
        <v>24000</v>
      </c>
      <c r="AD126" s="905">
        <f t="shared" ca="1" si="194"/>
        <v>0</v>
      </c>
      <c r="AE126" s="905">
        <f t="shared" ca="1" si="194"/>
        <v>24000</v>
      </c>
      <c r="AF126" s="905">
        <f t="shared" ca="1" si="194"/>
        <v>18023964</v>
      </c>
      <c r="AG126" s="906">
        <f t="shared" ca="1" si="194"/>
        <v>-0.44</v>
      </c>
      <c r="AH126" s="906">
        <f t="shared" ca="1" si="194"/>
        <v>-1.1600000000000001</v>
      </c>
      <c r="AI126" s="906">
        <f t="shared" ca="1" si="194"/>
        <v>38.53</v>
      </c>
      <c r="AJ126" s="906">
        <f t="shared" ca="1" si="194"/>
        <v>1.01</v>
      </c>
      <c r="AK126" s="906">
        <f t="shared" ca="1" si="194"/>
        <v>0</v>
      </c>
      <c r="AL126" s="906">
        <f t="shared" ca="1" si="194"/>
        <v>39.1</v>
      </c>
      <c r="AM126" s="906">
        <f t="shared" ca="1" si="194"/>
        <v>-1.1600000000000001</v>
      </c>
      <c r="AN126" s="907">
        <f t="shared" ca="1" si="194"/>
        <v>37.94</v>
      </c>
      <c r="AO126" s="902">
        <f t="shared" ca="1" si="194"/>
        <v>313992273</v>
      </c>
      <c r="AP126" s="905">
        <f t="shared" ca="1" si="194"/>
        <v>227345700</v>
      </c>
      <c r="AQ126" s="905">
        <f t="shared" ca="1" si="194"/>
        <v>727960</v>
      </c>
      <c r="AR126" s="905">
        <f t="shared" ca="1" si="194"/>
        <v>77088893</v>
      </c>
      <c r="AS126" s="905">
        <f t="shared" ca="1" si="194"/>
        <v>4546922</v>
      </c>
      <c r="AT126" s="905">
        <f t="shared" ca="1" si="194"/>
        <v>4282798</v>
      </c>
      <c r="AU126" s="906">
        <f t="shared" ca="1" si="194"/>
        <v>495.62309999999997</v>
      </c>
      <c r="AV126" s="906">
        <f t="shared" ca="1" si="194"/>
        <v>345.56799999999998</v>
      </c>
      <c r="AW126" s="908">
        <f t="shared" ca="1" si="194"/>
        <v>150.05509999999995</v>
      </c>
    </row>
    <row r="127" spans="1:51" s="183" customFormat="1" ht="12.95" customHeight="1" x14ac:dyDescent="0.25">
      <c r="D127" s="898"/>
      <c r="E127" s="899"/>
      <c r="F127" s="898"/>
      <c r="G127" s="900"/>
      <c r="H127" s="909">
        <v>3111</v>
      </c>
      <c r="I127" s="609">
        <f t="shared" ref="I127:AW127" ca="1" si="195">SUMIF($F$12:$F$427,"=3111",I$12:I$383)</f>
        <v>59732357</v>
      </c>
      <c r="J127" s="608">
        <f t="shared" ca="1" si="195"/>
        <v>43710278</v>
      </c>
      <c r="K127" s="608">
        <f t="shared" ca="1" si="195"/>
        <v>14774073</v>
      </c>
      <c r="L127" s="608">
        <f t="shared" ca="1" si="195"/>
        <v>874206</v>
      </c>
      <c r="M127" s="608">
        <f t="shared" ca="1" si="195"/>
        <v>373800</v>
      </c>
      <c r="N127" s="610">
        <f t="shared" ca="1" si="195"/>
        <v>102.47190000000001</v>
      </c>
      <c r="O127" s="610">
        <f t="shared" ca="1" si="195"/>
        <v>77.081199999999995</v>
      </c>
      <c r="P127" s="611">
        <f t="shared" ca="1" si="195"/>
        <v>25.390699999999999</v>
      </c>
      <c r="Q127" s="620">
        <f t="shared" ca="1" si="195"/>
        <v>-44000</v>
      </c>
      <c r="R127" s="620">
        <f t="shared" ca="1" si="195"/>
        <v>474110</v>
      </c>
      <c r="S127" s="620">
        <f t="shared" ca="1" si="195"/>
        <v>0</v>
      </c>
      <c r="T127" s="620">
        <f t="shared" ca="1" si="195"/>
        <v>317049</v>
      </c>
      <c r="U127" s="620">
        <f t="shared" ca="1" si="195"/>
        <v>747159</v>
      </c>
      <c r="V127" s="620">
        <f t="shared" ca="1" si="195"/>
        <v>44000</v>
      </c>
      <c r="W127" s="620">
        <f t="shared" ca="1" si="195"/>
        <v>0</v>
      </c>
      <c r="X127" s="620">
        <f t="shared" ca="1" si="195"/>
        <v>0</v>
      </c>
      <c r="Y127" s="620">
        <f t="shared" ca="1" si="195"/>
        <v>44000</v>
      </c>
      <c r="Z127" s="620">
        <f t="shared" ca="1" si="195"/>
        <v>791159</v>
      </c>
      <c r="AA127" s="620">
        <f t="shared" ca="1" si="195"/>
        <v>267412</v>
      </c>
      <c r="AB127" s="620">
        <f t="shared" ca="1" si="195"/>
        <v>14943</v>
      </c>
      <c r="AC127" s="620">
        <f t="shared" ca="1" si="195"/>
        <v>5500</v>
      </c>
      <c r="AD127" s="620">
        <f t="shared" ca="1" si="195"/>
        <v>0</v>
      </c>
      <c r="AE127" s="620">
        <f t="shared" ca="1" si="195"/>
        <v>5500</v>
      </c>
      <c r="AF127" s="620">
        <f t="shared" ca="1" si="195"/>
        <v>1079014</v>
      </c>
      <c r="AG127" s="910">
        <f t="shared" ca="1" si="195"/>
        <v>0</v>
      </c>
      <c r="AH127" s="910">
        <f t="shared" ca="1" si="195"/>
        <v>-0.02</v>
      </c>
      <c r="AI127" s="910">
        <f t="shared" ca="1" si="195"/>
        <v>1.49</v>
      </c>
      <c r="AJ127" s="910">
        <f t="shared" ca="1" si="195"/>
        <v>0.68</v>
      </c>
      <c r="AK127" s="910">
        <f t="shared" ca="1" si="195"/>
        <v>0</v>
      </c>
      <c r="AL127" s="910">
        <f t="shared" ca="1" si="195"/>
        <v>2.17</v>
      </c>
      <c r="AM127" s="910">
        <f t="shared" ca="1" si="195"/>
        <v>-0.02</v>
      </c>
      <c r="AN127" s="911">
        <f t="shared" ca="1" si="195"/>
        <v>2.15</v>
      </c>
      <c r="AO127" s="609">
        <f t="shared" ca="1" si="195"/>
        <v>60811371</v>
      </c>
      <c r="AP127" s="620">
        <f t="shared" ca="1" si="195"/>
        <v>44457437</v>
      </c>
      <c r="AQ127" s="620">
        <f t="shared" ca="1" si="195"/>
        <v>44000</v>
      </c>
      <c r="AR127" s="620">
        <f t="shared" ca="1" si="195"/>
        <v>15041485</v>
      </c>
      <c r="AS127" s="620">
        <f t="shared" ca="1" si="195"/>
        <v>889149</v>
      </c>
      <c r="AT127" s="620">
        <f t="shared" ca="1" si="195"/>
        <v>379300</v>
      </c>
      <c r="AU127" s="910">
        <f t="shared" ca="1" si="195"/>
        <v>104.62190000000001</v>
      </c>
      <c r="AV127" s="910">
        <f t="shared" ca="1" si="195"/>
        <v>79.251200000000011</v>
      </c>
      <c r="AW127" s="912">
        <f t="shared" ca="1" si="195"/>
        <v>25.370699999999999</v>
      </c>
      <c r="AY127" s="605"/>
    </row>
    <row r="128" spans="1:51" s="183" customFormat="1" ht="12.95" customHeight="1" x14ac:dyDescent="0.25">
      <c r="D128" s="898"/>
      <c r="E128" s="899"/>
      <c r="F128" s="898"/>
      <c r="G128" s="900"/>
      <c r="H128" s="913">
        <v>3113</v>
      </c>
      <c r="I128" s="579">
        <f t="shared" ref="I128:AW128" si="196">SUMIF($F$12:$F$427,"=3113",I$12:I$427)</f>
        <v>138999506</v>
      </c>
      <c r="J128" s="498">
        <f t="shared" si="196"/>
        <v>100170786</v>
      </c>
      <c r="K128" s="498">
        <f t="shared" si="196"/>
        <v>33857725</v>
      </c>
      <c r="L128" s="498">
        <f t="shared" si="196"/>
        <v>2003415</v>
      </c>
      <c r="M128" s="498">
        <f t="shared" si="196"/>
        <v>2967580</v>
      </c>
      <c r="N128" s="499">
        <f t="shared" si="196"/>
        <v>187.90959999999998</v>
      </c>
      <c r="O128" s="499">
        <f t="shared" si="196"/>
        <v>144.95410000000001</v>
      </c>
      <c r="P128" s="500">
        <f t="shared" si="196"/>
        <v>42.955499999999994</v>
      </c>
      <c r="Q128" s="497">
        <f t="shared" si="196"/>
        <v>-335680</v>
      </c>
      <c r="R128" s="497">
        <f t="shared" si="196"/>
        <v>8561612</v>
      </c>
      <c r="S128" s="497">
        <f t="shared" si="196"/>
        <v>0</v>
      </c>
      <c r="T128" s="497">
        <f t="shared" si="196"/>
        <v>0</v>
      </c>
      <c r="U128" s="497">
        <f t="shared" si="196"/>
        <v>8225932</v>
      </c>
      <c r="V128" s="497">
        <f t="shared" si="196"/>
        <v>335680</v>
      </c>
      <c r="W128" s="497">
        <f t="shared" si="196"/>
        <v>0</v>
      </c>
      <c r="X128" s="497">
        <f t="shared" si="196"/>
        <v>0</v>
      </c>
      <c r="Y128" s="497">
        <f t="shared" si="196"/>
        <v>335680</v>
      </c>
      <c r="Z128" s="497">
        <f t="shared" si="196"/>
        <v>8561612</v>
      </c>
      <c r="AA128" s="497">
        <f t="shared" si="196"/>
        <v>2893825</v>
      </c>
      <c r="AB128" s="497">
        <f t="shared" si="196"/>
        <v>164519</v>
      </c>
      <c r="AC128" s="497">
        <f t="shared" si="196"/>
        <v>5000</v>
      </c>
      <c r="AD128" s="497">
        <f t="shared" si="196"/>
        <v>0</v>
      </c>
      <c r="AE128" s="497">
        <f t="shared" si="196"/>
        <v>5000</v>
      </c>
      <c r="AF128" s="497">
        <f t="shared" si="196"/>
        <v>11624956</v>
      </c>
      <c r="AG128" s="914">
        <f t="shared" si="196"/>
        <v>-0.15000000000000002</v>
      </c>
      <c r="AH128" s="914">
        <f t="shared" si="196"/>
        <v>-0.73</v>
      </c>
      <c r="AI128" s="914">
        <f t="shared" si="196"/>
        <v>25.75</v>
      </c>
      <c r="AJ128" s="914">
        <f t="shared" si="196"/>
        <v>0</v>
      </c>
      <c r="AK128" s="914">
        <f t="shared" si="196"/>
        <v>0</v>
      </c>
      <c r="AL128" s="914">
        <f t="shared" si="196"/>
        <v>25.6</v>
      </c>
      <c r="AM128" s="914">
        <f t="shared" si="196"/>
        <v>-0.73</v>
      </c>
      <c r="AN128" s="915">
        <f t="shared" si="196"/>
        <v>24.870000000000005</v>
      </c>
      <c r="AO128" s="579">
        <f t="shared" si="196"/>
        <v>150624462</v>
      </c>
      <c r="AP128" s="497">
        <f t="shared" si="196"/>
        <v>108396718</v>
      </c>
      <c r="AQ128" s="497">
        <f t="shared" si="196"/>
        <v>335680</v>
      </c>
      <c r="AR128" s="497">
        <f t="shared" si="196"/>
        <v>36751550</v>
      </c>
      <c r="AS128" s="497">
        <f t="shared" si="196"/>
        <v>2167934</v>
      </c>
      <c r="AT128" s="497">
        <f t="shared" si="196"/>
        <v>2972580</v>
      </c>
      <c r="AU128" s="914">
        <f t="shared" si="196"/>
        <v>212.77959999999996</v>
      </c>
      <c r="AV128" s="914">
        <f t="shared" si="196"/>
        <v>170.55410000000001</v>
      </c>
      <c r="AW128" s="916">
        <f t="shared" si="196"/>
        <v>42.225499999999997</v>
      </c>
      <c r="AY128" s="605"/>
    </row>
    <row r="129" spans="4:51" s="183" customFormat="1" ht="12.95" customHeight="1" x14ac:dyDescent="0.25">
      <c r="D129" s="898"/>
      <c r="E129" s="899"/>
      <c r="F129" s="898"/>
      <c r="G129" s="900"/>
      <c r="H129" s="913">
        <v>3114</v>
      </c>
      <c r="I129" s="579">
        <f t="shared" ref="I129:AW129" si="197">SUMIF($F$12:$F$427,"=3114",I$12:I$427)</f>
        <v>9018110</v>
      </c>
      <c r="J129" s="498">
        <f t="shared" si="197"/>
        <v>6564588</v>
      </c>
      <c r="K129" s="498">
        <f t="shared" si="197"/>
        <v>2218830</v>
      </c>
      <c r="L129" s="498">
        <f t="shared" si="197"/>
        <v>131292</v>
      </c>
      <c r="M129" s="498">
        <f t="shared" si="197"/>
        <v>103400</v>
      </c>
      <c r="N129" s="499">
        <f t="shared" si="197"/>
        <v>12.329400000000001</v>
      </c>
      <c r="O129" s="499">
        <f t="shared" si="197"/>
        <v>8.9670000000000005</v>
      </c>
      <c r="P129" s="500">
        <f t="shared" si="197"/>
        <v>3.3624000000000001</v>
      </c>
      <c r="Q129" s="497">
        <f t="shared" si="197"/>
        <v>-24000</v>
      </c>
      <c r="R129" s="497">
        <f t="shared" si="197"/>
        <v>0</v>
      </c>
      <c r="S129" s="497">
        <f t="shared" si="197"/>
        <v>0</v>
      </c>
      <c r="T129" s="497">
        <f t="shared" si="197"/>
        <v>0</v>
      </c>
      <c r="U129" s="497">
        <f t="shared" si="197"/>
        <v>-24000</v>
      </c>
      <c r="V129" s="497">
        <f t="shared" si="197"/>
        <v>24000</v>
      </c>
      <c r="W129" s="497">
        <f t="shared" si="197"/>
        <v>0</v>
      </c>
      <c r="X129" s="497">
        <f t="shared" si="197"/>
        <v>0</v>
      </c>
      <c r="Y129" s="497">
        <f t="shared" si="197"/>
        <v>24000</v>
      </c>
      <c r="Z129" s="497">
        <f t="shared" si="197"/>
        <v>0</v>
      </c>
      <c r="AA129" s="497">
        <f t="shared" si="197"/>
        <v>0</v>
      </c>
      <c r="AB129" s="497">
        <f t="shared" si="197"/>
        <v>-480</v>
      </c>
      <c r="AC129" s="497">
        <f t="shared" si="197"/>
        <v>11500</v>
      </c>
      <c r="AD129" s="497">
        <f t="shared" si="197"/>
        <v>0</v>
      </c>
      <c r="AE129" s="497">
        <f t="shared" si="197"/>
        <v>11500</v>
      </c>
      <c r="AF129" s="497">
        <f t="shared" si="197"/>
        <v>11020</v>
      </c>
      <c r="AG129" s="914">
        <f t="shared" si="197"/>
        <v>0</v>
      </c>
      <c r="AH129" s="914">
        <f t="shared" si="197"/>
        <v>0</v>
      </c>
      <c r="AI129" s="914">
        <f t="shared" si="197"/>
        <v>0</v>
      </c>
      <c r="AJ129" s="914">
        <f t="shared" si="197"/>
        <v>0</v>
      </c>
      <c r="AK129" s="914">
        <f t="shared" si="197"/>
        <v>0</v>
      </c>
      <c r="AL129" s="914">
        <f t="shared" si="197"/>
        <v>0</v>
      </c>
      <c r="AM129" s="914">
        <f t="shared" si="197"/>
        <v>0</v>
      </c>
      <c r="AN129" s="915">
        <f t="shared" si="197"/>
        <v>0</v>
      </c>
      <c r="AO129" s="579">
        <f t="shared" si="197"/>
        <v>9029130</v>
      </c>
      <c r="AP129" s="497">
        <f t="shared" si="197"/>
        <v>6540588</v>
      </c>
      <c r="AQ129" s="497">
        <f t="shared" si="197"/>
        <v>24000</v>
      </c>
      <c r="AR129" s="497">
        <f t="shared" si="197"/>
        <v>2218830</v>
      </c>
      <c r="AS129" s="497">
        <f t="shared" si="197"/>
        <v>130812</v>
      </c>
      <c r="AT129" s="497">
        <f t="shared" si="197"/>
        <v>114900</v>
      </c>
      <c r="AU129" s="914">
        <f t="shared" si="197"/>
        <v>12.329400000000001</v>
      </c>
      <c r="AV129" s="914">
        <f t="shared" si="197"/>
        <v>8.9670000000000005</v>
      </c>
      <c r="AW129" s="916">
        <f t="shared" si="197"/>
        <v>3.3624000000000001</v>
      </c>
      <c r="AY129" s="605"/>
    </row>
    <row r="130" spans="4:51" s="183" customFormat="1" ht="12.95" customHeight="1" x14ac:dyDescent="0.25">
      <c r="D130" s="898"/>
      <c r="E130" s="899"/>
      <c r="F130" s="898"/>
      <c r="G130" s="900"/>
      <c r="H130" s="913">
        <v>3117</v>
      </c>
      <c r="I130" s="579">
        <f t="shared" ref="I130:AW130" si="198">SUMIF($F$12:$F$427,"=3117",I$12:I$427)</f>
        <v>28950027</v>
      </c>
      <c r="J130" s="498">
        <f t="shared" si="198"/>
        <v>20922744</v>
      </c>
      <c r="K130" s="498">
        <f t="shared" si="198"/>
        <v>7071887</v>
      </c>
      <c r="L130" s="498">
        <f t="shared" si="198"/>
        <v>418456</v>
      </c>
      <c r="M130" s="498">
        <f t="shared" si="198"/>
        <v>536940</v>
      </c>
      <c r="N130" s="499">
        <f t="shared" si="198"/>
        <v>40.336900000000007</v>
      </c>
      <c r="O130" s="499">
        <f t="shared" si="198"/>
        <v>28.051099999999998</v>
      </c>
      <c r="P130" s="500">
        <f t="shared" si="198"/>
        <v>12.2858</v>
      </c>
      <c r="Q130" s="497">
        <f t="shared" si="198"/>
        <v>-96000</v>
      </c>
      <c r="R130" s="497">
        <f t="shared" si="198"/>
        <v>3757733</v>
      </c>
      <c r="S130" s="497">
        <f t="shared" si="198"/>
        <v>0</v>
      </c>
      <c r="T130" s="497">
        <f t="shared" si="198"/>
        <v>0</v>
      </c>
      <c r="U130" s="497">
        <f t="shared" si="198"/>
        <v>3661733</v>
      </c>
      <c r="V130" s="497">
        <f t="shared" si="198"/>
        <v>96000</v>
      </c>
      <c r="W130" s="497">
        <f t="shared" si="198"/>
        <v>0</v>
      </c>
      <c r="X130" s="497">
        <f t="shared" si="198"/>
        <v>0</v>
      </c>
      <c r="Y130" s="497">
        <f t="shared" si="198"/>
        <v>96000</v>
      </c>
      <c r="Z130" s="497">
        <f t="shared" si="198"/>
        <v>3757733</v>
      </c>
      <c r="AA130" s="497">
        <f t="shared" si="198"/>
        <v>1270114</v>
      </c>
      <c r="AB130" s="497">
        <f t="shared" si="198"/>
        <v>73235</v>
      </c>
      <c r="AC130" s="497">
        <f t="shared" si="198"/>
        <v>2000</v>
      </c>
      <c r="AD130" s="497">
        <f t="shared" si="198"/>
        <v>0</v>
      </c>
      <c r="AE130" s="497">
        <f t="shared" si="198"/>
        <v>2000</v>
      </c>
      <c r="AF130" s="497">
        <f t="shared" si="198"/>
        <v>5103082</v>
      </c>
      <c r="AG130" s="914">
        <f t="shared" si="198"/>
        <v>-0.05</v>
      </c>
      <c r="AH130" s="914">
        <f t="shared" si="198"/>
        <v>-0.24000000000000002</v>
      </c>
      <c r="AI130" s="914">
        <f t="shared" si="198"/>
        <v>11.29</v>
      </c>
      <c r="AJ130" s="914">
        <f t="shared" si="198"/>
        <v>0</v>
      </c>
      <c r="AK130" s="914">
        <f t="shared" si="198"/>
        <v>0</v>
      </c>
      <c r="AL130" s="914">
        <f t="shared" si="198"/>
        <v>11.24</v>
      </c>
      <c r="AM130" s="914">
        <f t="shared" si="198"/>
        <v>-0.24000000000000002</v>
      </c>
      <c r="AN130" s="915">
        <f t="shared" si="198"/>
        <v>11.000000000000002</v>
      </c>
      <c r="AO130" s="579">
        <f t="shared" si="198"/>
        <v>34053109</v>
      </c>
      <c r="AP130" s="497">
        <f t="shared" si="198"/>
        <v>24584477</v>
      </c>
      <c r="AQ130" s="497">
        <f t="shared" si="198"/>
        <v>96000</v>
      </c>
      <c r="AR130" s="497">
        <f t="shared" si="198"/>
        <v>8342001</v>
      </c>
      <c r="AS130" s="497">
        <f t="shared" si="198"/>
        <v>491691</v>
      </c>
      <c r="AT130" s="497">
        <f t="shared" si="198"/>
        <v>538940</v>
      </c>
      <c r="AU130" s="914">
        <f t="shared" si="198"/>
        <v>51.3369</v>
      </c>
      <c r="AV130" s="914">
        <f t="shared" si="198"/>
        <v>39.2911</v>
      </c>
      <c r="AW130" s="916">
        <f t="shared" si="198"/>
        <v>12.0458</v>
      </c>
      <c r="AY130" s="605"/>
    </row>
    <row r="131" spans="4:51" s="183" customFormat="1" ht="12.95" customHeight="1" x14ac:dyDescent="0.25">
      <c r="D131" s="898"/>
      <c r="E131" s="899"/>
      <c r="F131" s="898"/>
      <c r="G131" s="900"/>
      <c r="H131" s="913">
        <v>3122</v>
      </c>
      <c r="I131" s="579">
        <f t="shared" ref="I131:AW131" si="199">SUMIF($F$12:$F$383,"=3122",I$12:I$383)</f>
        <v>0</v>
      </c>
      <c r="J131" s="498">
        <f t="shared" si="199"/>
        <v>0</v>
      </c>
      <c r="K131" s="498">
        <f t="shared" si="199"/>
        <v>0</v>
      </c>
      <c r="L131" s="498">
        <f t="shared" si="199"/>
        <v>0</v>
      </c>
      <c r="M131" s="498">
        <f t="shared" si="199"/>
        <v>0</v>
      </c>
      <c r="N131" s="499">
        <f t="shared" si="199"/>
        <v>0</v>
      </c>
      <c r="O131" s="499">
        <f t="shared" si="199"/>
        <v>0</v>
      </c>
      <c r="P131" s="500">
        <f t="shared" si="199"/>
        <v>0</v>
      </c>
      <c r="Q131" s="497">
        <f t="shared" si="199"/>
        <v>0</v>
      </c>
      <c r="R131" s="497">
        <f t="shared" si="199"/>
        <v>0</v>
      </c>
      <c r="S131" s="497">
        <f t="shared" si="199"/>
        <v>0</v>
      </c>
      <c r="T131" s="497">
        <f t="shared" si="199"/>
        <v>0</v>
      </c>
      <c r="U131" s="497">
        <f t="shared" si="199"/>
        <v>0</v>
      </c>
      <c r="V131" s="497">
        <f t="shared" si="199"/>
        <v>0</v>
      </c>
      <c r="W131" s="497">
        <f t="shared" si="199"/>
        <v>0</v>
      </c>
      <c r="X131" s="497">
        <f t="shared" si="199"/>
        <v>0</v>
      </c>
      <c r="Y131" s="497">
        <f t="shared" si="199"/>
        <v>0</v>
      </c>
      <c r="Z131" s="497">
        <f t="shared" si="199"/>
        <v>0</v>
      </c>
      <c r="AA131" s="497">
        <f t="shared" si="199"/>
        <v>0</v>
      </c>
      <c r="AB131" s="497">
        <f t="shared" si="199"/>
        <v>0</v>
      </c>
      <c r="AC131" s="497">
        <f t="shared" si="199"/>
        <v>0</v>
      </c>
      <c r="AD131" s="497">
        <f t="shared" si="199"/>
        <v>0</v>
      </c>
      <c r="AE131" s="497">
        <f t="shared" si="199"/>
        <v>0</v>
      </c>
      <c r="AF131" s="497">
        <f t="shared" si="199"/>
        <v>0</v>
      </c>
      <c r="AG131" s="914">
        <f t="shared" si="199"/>
        <v>0</v>
      </c>
      <c r="AH131" s="914">
        <f t="shared" si="199"/>
        <v>0</v>
      </c>
      <c r="AI131" s="914">
        <f t="shared" si="199"/>
        <v>0</v>
      </c>
      <c r="AJ131" s="914">
        <f t="shared" si="199"/>
        <v>0</v>
      </c>
      <c r="AK131" s="914">
        <f t="shared" si="199"/>
        <v>0</v>
      </c>
      <c r="AL131" s="914">
        <f t="shared" si="199"/>
        <v>0</v>
      </c>
      <c r="AM131" s="914">
        <f t="shared" si="199"/>
        <v>0</v>
      </c>
      <c r="AN131" s="915">
        <f t="shared" si="199"/>
        <v>0</v>
      </c>
      <c r="AO131" s="579">
        <f t="shared" si="199"/>
        <v>0</v>
      </c>
      <c r="AP131" s="497">
        <f t="shared" si="199"/>
        <v>0</v>
      </c>
      <c r="AQ131" s="497">
        <f t="shared" si="199"/>
        <v>0</v>
      </c>
      <c r="AR131" s="497">
        <f t="shared" si="199"/>
        <v>0</v>
      </c>
      <c r="AS131" s="497">
        <f t="shared" si="199"/>
        <v>0</v>
      </c>
      <c r="AT131" s="497">
        <f t="shared" si="199"/>
        <v>0</v>
      </c>
      <c r="AU131" s="914">
        <f t="shared" si="199"/>
        <v>0</v>
      </c>
      <c r="AV131" s="914">
        <f t="shared" si="199"/>
        <v>0</v>
      </c>
      <c r="AW131" s="916">
        <f t="shared" si="199"/>
        <v>0</v>
      </c>
      <c r="AY131" s="605"/>
    </row>
    <row r="132" spans="4:51" s="183" customFormat="1" ht="12.95" customHeight="1" x14ac:dyDescent="0.25">
      <c r="D132" s="898"/>
      <c r="E132" s="899"/>
      <c r="F132" s="898"/>
      <c r="G132" s="900"/>
      <c r="H132" s="913">
        <v>3124</v>
      </c>
      <c r="I132" s="579">
        <f t="shared" ref="I132:AW132" si="200">SUMIF($F$12:$F$383,"=3124",I$12:I$383)</f>
        <v>0</v>
      </c>
      <c r="J132" s="498">
        <f t="shared" si="200"/>
        <v>0</v>
      </c>
      <c r="K132" s="498">
        <f t="shared" si="200"/>
        <v>0</v>
      </c>
      <c r="L132" s="498">
        <f t="shared" si="200"/>
        <v>0</v>
      </c>
      <c r="M132" s="498">
        <f t="shared" si="200"/>
        <v>0</v>
      </c>
      <c r="N132" s="499">
        <f t="shared" si="200"/>
        <v>0</v>
      </c>
      <c r="O132" s="499">
        <f t="shared" si="200"/>
        <v>0</v>
      </c>
      <c r="P132" s="500">
        <f t="shared" si="200"/>
        <v>0</v>
      </c>
      <c r="Q132" s="497">
        <f t="shared" si="200"/>
        <v>0</v>
      </c>
      <c r="R132" s="497">
        <f t="shared" si="200"/>
        <v>0</v>
      </c>
      <c r="S132" s="497">
        <f t="shared" si="200"/>
        <v>0</v>
      </c>
      <c r="T132" s="497">
        <f t="shared" si="200"/>
        <v>0</v>
      </c>
      <c r="U132" s="497">
        <f t="shared" si="200"/>
        <v>0</v>
      </c>
      <c r="V132" s="497">
        <f t="shared" si="200"/>
        <v>0</v>
      </c>
      <c r="W132" s="497">
        <f t="shared" si="200"/>
        <v>0</v>
      </c>
      <c r="X132" s="497">
        <f t="shared" si="200"/>
        <v>0</v>
      </c>
      <c r="Y132" s="497">
        <f t="shared" si="200"/>
        <v>0</v>
      </c>
      <c r="Z132" s="497">
        <f t="shared" si="200"/>
        <v>0</v>
      </c>
      <c r="AA132" s="497">
        <f t="shared" si="200"/>
        <v>0</v>
      </c>
      <c r="AB132" s="497">
        <f t="shared" si="200"/>
        <v>0</v>
      </c>
      <c r="AC132" s="497">
        <f t="shared" si="200"/>
        <v>0</v>
      </c>
      <c r="AD132" s="497">
        <f t="shared" si="200"/>
        <v>0</v>
      </c>
      <c r="AE132" s="497">
        <f t="shared" si="200"/>
        <v>0</v>
      </c>
      <c r="AF132" s="497">
        <f t="shared" si="200"/>
        <v>0</v>
      </c>
      <c r="AG132" s="914">
        <f t="shared" si="200"/>
        <v>0</v>
      </c>
      <c r="AH132" s="914">
        <f t="shared" si="200"/>
        <v>0</v>
      </c>
      <c r="AI132" s="914">
        <f t="shared" si="200"/>
        <v>0</v>
      </c>
      <c r="AJ132" s="914">
        <f t="shared" si="200"/>
        <v>0</v>
      </c>
      <c r="AK132" s="914">
        <f t="shared" si="200"/>
        <v>0</v>
      </c>
      <c r="AL132" s="914">
        <f t="shared" si="200"/>
        <v>0</v>
      </c>
      <c r="AM132" s="914">
        <f t="shared" si="200"/>
        <v>0</v>
      </c>
      <c r="AN132" s="915">
        <f t="shared" si="200"/>
        <v>0</v>
      </c>
      <c r="AO132" s="579">
        <f t="shared" si="200"/>
        <v>0</v>
      </c>
      <c r="AP132" s="497">
        <f t="shared" si="200"/>
        <v>0</v>
      </c>
      <c r="AQ132" s="497">
        <f t="shared" si="200"/>
        <v>0</v>
      </c>
      <c r="AR132" s="497">
        <f t="shared" si="200"/>
        <v>0</v>
      </c>
      <c r="AS132" s="497">
        <f t="shared" si="200"/>
        <v>0</v>
      </c>
      <c r="AT132" s="497">
        <f t="shared" si="200"/>
        <v>0</v>
      </c>
      <c r="AU132" s="914">
        <f t="shared" si="200"/>
        <v>0</v>
      </c>
      <c r="AV132" s="914">
        <f t="shared" si="200"/>
        <v>0</v>
      </c>
      <c r="AW132" s="916">
        <f t="shared" si="200"/>
        <v>0</v>
      </c>
      <c r="AY132" s="605"/>
    </row>
    <row r="133" spans="4:51" s="183" customFormat="1" ht="12.95" customHeight="1" x14ac:dyDescent="0.25">
      <c r="D133" s="898"/>
      <c r="E133" s="899"/>
      <c r="F133" s="898"/>
      <c r="G133" s="900"/>
      <c r="H133" s="913">
        <v>3141</v>
      </c>
      <c r="I133" s="579">
        <f t="shared" ref="I133:AW133" si="201">SUMIF($F$12:$F$427,"=3141",I$12:I$427)</f>
        <v>24334019</v>
      </c>
      <c r="J133" s="498">
        <f t="shared" si="201"/>
        <v>17791571</v>
      </c>
      <c r="K133" s="498">
        <f t="shared" si="201"/>
        <v>6013551</v>
      </c>
      <c r="L133" s="498">
        <f t="shared" si="201"/>
        <v>355833</v>
      </c>
      <c r="M133" s="498">
        <f t="shared" si="201"/>
        <v>173064</v>
      </c>
      <c r="N133" s="499">
        <f t="shared" si="201"/>
        <v>60.53</v>
      </c>
      <c r="O133" s="499">
        <f t="shared" si="201"/>
        <v>0</v>
      </c>
      <c r="P133" s="500">
        <f t="shared" si="201"/>
        <v>60.53</v>
      </c>
      <c r="Q133" s="497">
        <f t="shared" si="201"/>
        <v>-45560</v>
      </c>
      <c r="R133" s="497">
        <f t="shared" si="201"/>
        <v>0</v>
      </c>
      <c r="S133" s="497">
        <f t="shared" si="201"/>
        <v>0</v>
      </c>
      <c r="T133" s="497">
        <f t="shared" si="201"/>
        <v>0</v>
      </c>
      <c r="U133" s="497">
        <f t="shared" si="201"/>
        <v>-45560</v>
      </c>
      <c r="V133" s="497">
        <f t="shared" si="201"/>
        <v>45560</v>
      </c>
      <c r="W133" s="497">
        <f t="shared" si="201"/>
        <v>0</v>
      </c>
      <c r="X133" s="497">
        <f t="shared" si="201"/>
        <v>0</v>
      </c>
      <c r="Y133" s="497">
        <f t="shared" si="201"/>
        <v>45560</v>
      </c>
      <c r="Z133" s="497">
        <f t="shared" si="201"/>
        <v>0</v>
      </c>
      <c r="AA133" s="497">
        <f t="shared" si="201"/>
        <v>0</v>
      </c>
      <c r="AB133" s="497">
        <f t="shared" si="201"/>
        <v>-911</v>
      </c>
      <c r="AC133" s="497">
        <f t="shared" si="201"/>
        <v>0</v>
      </c>
      <c r="AD133" s="497">
        <f t="shared" si="201"/>
        <v>0</v>
      </c>
      <c r="AE133" s="497">
        <f t="shared" si="201"/>
        <v>0</v>
      </c>
      <c r="AF133" s="497">
        <f t="shared" si="201"/>
        <v>-911</v>
      </c>
      <c r="AG133" s="914">
        <f t="shared" si="201"/>
        <v>0</v>
      </c>
      <c r="AH133" s="914">
        <f t="shared" si="201"/>
        <v>-9.0000000000000011E-2</v>
      </c>
      <c r="AI133" s="914">
        <f t="shared" si="201"/>
        <v>0</v>
      </c>
      <c r="AJ133" s="914">
        <f t="shared" si="201"/>
        <v>0</v>
      </c>
      <c r="AK133" s="914">
        <f t="shared" si="201"/>
        <v>0</v>
      </c>
      <c r="AL133" s="914">
        <f t="shared" si="201"/>
        <v>0</v>
      </c>
      <c r="AM133" s="914">
        <f t="shared" si="201"/>
        <v>-9.0000000000000011E-2</v>
      </c>
      <c r="AN133" s="915">
        <f t="shared" si="201"/>
        <v>-9.0000000000000011E-2</v>
      </c>
      <c r="AO133" s="579">
        <f t="shared" si="201"/>
        <v>24333108</v>
      </c>
      <c r="AP133" s="497">
        <f t="shared" si="201"/>
        <v>17746011</v>
      </c>
      <c r="AQ133" s="497">
        <f t="shared" si="201"/>
        <v>45560</v>
      </c>
      <c r="AR133" s="497">
        <f t="shared" si="201"/>
        <v>6013551</v>
      </c>
      <c r="AS133" s="497">
        <f t="shared" si="201"/>
        <v>354922</v>
      </c>
      <c r="AT133" s="497">
        <f t="shared" si="201"/>
        <v>173064</v>
      </c>
      <c r="AU133" s="914">
        <f t="shared" si="201"/>
        <v>60.44</v>
      </c>
      <c r="AV133" s="914">
        <f t="shared" si="201"/>
        <v>0</v>
      </c>
      <c r="AW133" s="916">
        <f t="shared" si="201"/>
        <v>60.44</v>
      </c>
      <c r="AY133" s="605"/>
    </row>
    <row r="134" spans="4:51" s="183" customFormat="1" ht="12.95" customHeight="1" x14ac:dyDescent="0.25">
      <c r="D134" s="898"/>
      <c r="E134" s="899"/>
      <c r="F134" s="898"/>
      <c r="G134" s="900"/>
      <c r="H134" s="913">
        <v>3143</v>
      </c>
      <c r="I134" s="579">
        <f t="shared" ref="I134:AW134" si="202">SUMIF($F$12:$F$427,"=3143",I$12:I$427)</f>
        <v>16934623</v>
      </c>
      <c r="J134" s="498">
        <f t="shared" si="202"/>
        <v>12453918</v>
      </c>
      <c r="K134" s="498">
        <f t="shared" si="202"/>
        <v>4209423</v>
      </c>
      <c r="L134" s="498">
        <f t="shared" si="202"/>
        <v>249082</v>
      </c>
      <c r="M134" s="498">
        <f t="shared" si="202"/>
        <v>22200</v>
      </c>
      <c r="N134" s="499">
        <f t="shared" si="202"/>
        <v>27.0764</v>
      </c>
      <c r="O134" s="499">
        <f t="shared" si="202"/>
        <v>25.546399999999998</v>
      </c>
      <c r="P134" s="500">
        <f t="shared" si="202"/>
        <v>1.5300000000000005</v>
      </c>
      <c r="Q134" s="497">
        <f t="shared" si="202"/>
        <v>-50720</v>
      </c>
      <c r="R134" s="497">
        <f t="shared" si="202"/>
        <v>0</v>
      </c>
      <c r="S134" s="497">
        <f t="shared" si="202"/>
        <v>0</v>
      </c>
      <c r="T134" s="497">
        <f t="shared" si="202"/>
        <v>154975</v>
      </c>
      <c r="U134" s="497">
        <f t="shared" si="202"/>
        <v>104255</v>
      </c>
      <c r="V134" s="497">
        <f t="shared" si="202"/>
        <v>50720</v>
      </c>
      <c r="W134" s="497">
        <f t="shared" si="202"/>
        <v>0</v>
      </c>
      <c r="X134" s="497">
        <f t="shared" si="202"/>
        <v>0</v>
      </c>
      <c r="Y134" s="497">
        <f t="shared" si="202"/>
        <v>50720</v>
      </c>
      <c r="Z134" s="497">
        <f t="shared" si="202"/>
        <v>154975</v>
      </c>
      <c r="AA134" s="497">
        <f t="shared" si="202"/>
        <v>52382</v>
      </c>
      <c r="AB134" s="497">
        <f t="shared" si="202"/>
        <v>2086</v>
      </c>
      <c r="AC134" s="497">
        <f t="shared" si="202"/>
        <v>0</v>
      </c>
      <c r="AD134" s="497">
        <f t="shared" si="202"/>
        <v>0</v>
      </c>
      <c r="AE134" s="497">
        <f t="shared" si="202"/>
        <v>0</v>
      </c>
      <c r="AF134" s="497">
        <f t="shared" si="202"/>
        <v>209443</v>
      </c>
      <c r="AG134" s="914">
        <f t="shared" si="202"/>
        <v>0</v>
      </c>
      <c r="AH134" s="914">
        <f t="shared" si="202"/>
        <v>-0.08</v>
      </c>
      <c r="AI134" s="914">
        <f t="shared" si="202"/>
        <v>0</v>
      </c>
      <c r="AJ134" s="914">
        <f t="shared" si="202"/>
        <v>0.33</v>
      </c>
      <c r="AK134" s="914">
        <f t="shared" si="202"/>
        <v>0</v>
      </c>
      <c r="AL134" s="914">
        <f t="shared" si="202"/>
        <v>0.33</v>
      </c>
      <c r="AM134" s="914">
        <f t="shared" si="202"/>
        <v>-0.08</v>
      </c>
      <c r="AN134" s="915">
        <f t="shared" si="202"/>
        <v>0.25</v>
      </c>
      <c r="AO134" s="579">
        <f t="shared" si="202"/>
        <v>17144066</v>
      </c>
      <c r="AP134" s="497">
        <f t="shared" si="202"/>
        <v>12558173</v>
      </c>
      <c r="AQ134" s="497">
        <f t="shared" si="202"/>
        <v>50720</v>
      </c>
      <c r="AR134" s="497">
        <f t="shared" si="202"/>
        <v>4261805</v>
      </c>
      <c r="AS134" s="497">
        <f t="shared" si="202"/>
        <v>251168</v>
      </c>
      <c r="AT134" s="497">
        <f t="shared" si="202"/>
        <v>22200</v>
      </c>
      <c r="AU134" s="914">
        <f t="shared" si="202"/>
        <v>27.326399999999996</v>
      </c>
      <c r="AV134" s="914">
        <f t="shared" si="202"/>
        <v>25.876399999999997</v>
      </c>
      <c r="AW134" s="916">
        <f t="shared" si="202"/>
        <v>1.4500000000000004</v>
      </c>
      <c r="AY134" s="605"/>
    </row>
    <row r="135" spans="4:51" s="183" customFormat="1" ht="12.95" customHeight="1" x14ac:dyDescent="0.25">
      <c r="D135" s="898"/>
      <c r="E135" s="899"/>
      <c r="F135" s="898"/>
      <c r="G135" s="900"/>
      <c r="H135" s="913">
        <v>3231</v>
      </c>
      <c r="I135" s="579">
        <f t="shared" ref="I135:AW135" si="203">SUMIF($F$12:$F$427,"=3231",I$12:I$427)</f>
        <v>12241418</v>
      </c>
      <c r="J135" s="498">
        <f t="shared" si="203"/>
        <v>8983261</v>
      </c>
      <c r="K135" s="498">
        <f t="shared" si="203"/>
        <v>3036342</v>
      </c>
      <c r="L135" s="498">
        <f t="shared" si="203"/>
        <v>179665</v>
      </c>
      <c r="M135" s="498">
        <f t="shared" si="203"/>
        <v>42150</v>
      </c>
      <c r="N135" s="499">
        <f t="shared" si="203"/>
        <v>17.418900000000001</v>
      </c>
      <c r="O135" s="499">
        <f t="shared" si="203"/>
        <v>15.428199999999999</v>
      </c>
      <c r="P135" s="500">
        <f t="shared" si="203"/>
        <v>1.9907000000000001</v>
      </c>
      <c r="Q135" s="497">
        <f t="shared" si="203"/>
        <v>-12000</v>
      </c>
      <c r="R135" s="497">
        <f t="shared" si="203"/>
        <v>0</v>
      </c>
      <c r="S135" s="497">
        <f t="shared" si="203"/>
        <v>0</v>
      </c>
      <c r="T135" s="497">
        <f t="shared" si="203"/>
        <v>0</v>
      </c>
      <c r="U135" s="497">
        <f t="shared" si="203"/>
        <v>-12000</v>
      </c>
      <c r="V135" s="497">
        <f t="shared" si="203"/>
        <v>12000</v>
      </c>
      <c r="W135" s="497">
        <f t="shared" si="203"/>
        <v>0</v>
      </c>
      <c r="X135" s="497">
        <f t="shared" si="203"/>
        <v>0</v>
      </c>
      <c r="Y135" s="497">
        <f t="shared" si="203"/>
        <v>12000</v>
      </c>
      <c r="Z135" s="497">
        <f t="shared" si="203"/>
        <v>0</v>
      </c>
      <c r="AA135" s="497">
        <f t="shared" si="203"/>
        <v>0</v>
      </c>
      <c r="AB135" s="497">
        <f t="shared" si="203"/>
        <v>-240</v>
      </c>
      <c r="AC135" s="497">
        <f t="shared" si="203"/>
        <v>0</v>
      </c>
      <c r="AD135" s="497">
        <f t="shared" si="203"/>
        <v>0</v>
      </c>
      <c r="AE135" s="497">
        <f t="shared" si="203"/>
        <v>0</v>
      </c>
      <c r="AF135" s="497">
        <f t="shared" si="203"/>
        <v>-240</v>
      </c>
      <c r="AG135" s="914">
        <f t="shared" si="203"/>
        <v>0</v>
      </c>
      <c r="AH135" s="914">
        <f t="shared" si="203"/>
        <v>0</v>
      </c>
      <c r="AI135" s="914">
        <f t="shared" si="203"/>
        <v>0</v>
      </c>
      <c r="AJ135" s="914">
        <f t="shared" si="203"/>
        <v>0</v>
      </c>
      <c r="AK135" s="914">
        <f t="shared" si="203"/>
        <v>0</v>
      </c>
      <c r="AL135" s="914">
        <f t="shared" si="203"/>
        <v>0</v>
      </c>
      <c r="AM135" s="914">
        <f t="shared" si="203"/>
        <v>0</v>
      </c>
      <c r="AN135" s="915">
        <f t="shared" si="203"/>
        <v>0</v>
      </c>
      <c r="AO135" s="579">
        <f t="shared" si="203"/>
        <v>12241178</v>
      </c>
      <c r="AP135" s="497">
        <f t="shared" si="203"/>
        <v>8971261</v>
      </c>
      <c r="AQ135" s="497">
        <f t="shared" si="203"/>
        <v>12000</v>
      </c>
      <c r="AR135" s="497">
        <f t="shared" si="203"/>
        <v>3036342</v>
      </c>
      <c r="AS135" s="497">
        <f t="shared" si="203"/>
        <v>179425</v>
      </c>
      <c r="AT135" s="497">
        <f t="shared" si="203"/>
        <v>42150</v>
      </c>
      <c r="AU135" s="914">
        <f t="shared" si="203"/>
        <v>17.418900000000001</v>
      </c>
      <c r="AV135" s="914">
        <f t="shared" si="203"/>
        <v>15.428199999999999</v>
      </c>
      <c r="AW135" s="916">
        <f t="shared" si="203"/>
        <v>1.9907000000000001</v>
      </c>
      <c r="AY135" s="605"/>
    </row>
    <row r="136" spans="4:51" s="183" customFormat="1" ht="12.95" customHeight="1" thickBot="1" x14ac:dyDescent="0.3">
      <c r="D136" s="898"/>
      <c r="E136" s="899"/>
      <c r="F136" s="898"/>
      <c r="G136" s="900"/>
      <c r="H136" s="917">
        <v>3233</v>
      </c>
      <c r="I136" s="918">
        <f t="shared" ref="I136:AW136" si="204">SUMIF($F$12:$F$427,"=3233",I$12:I$427)</f>
        <v>5758249</v>
      </c>
      <c r="J136" s="919">
        <f t="shared" si="204"/>
        <v>4211035</v>
      </c>
      <c r="K136" s="919">
        <f t="shared" si="204"/>
        <v>1423329</v>
      </c>
      <c r="L136" s="919">
        <f t="shared" si="204"/>
        <v>84221</v>
      </c>
      <c r="M136" s="919">
        <f t="shared" si="204"/>
        <v>39664</v>
      </c>
      <c r="N136" s="920">
        <f t="shared" si="204"/>
        <v>9.61</v>
      </c>
      <c r="O136" s="920">
        <f t="shared" si="204"/>
        <v>6.4399999999999995</v>
      </c>
      <c r="P136" s="996">
        <f t="shared" si="204"/>
        <v>3.17</v>
      </c>
      <c r="Q136" s="921">
        <f t="shared" si="204"/>
        <v>-120000</v>
      </c>
      <c r="R136" s="921">
        <f t="shared" si="204"/>
        <v>0</v>
      </c>
      <c r="S136" s="921">
        <f t="shared" si="204"/>
        <v>0</v>
      </c>
      <c r="T136" s="921">
        <f t="shared" si="204"/>
        <v>0</v>
      </c>
      <c r="U136" s="921">
        <f t="shared" si="204"/>
        <v>-120000</v>
      </c>
      <c r="V136" s="921">
        <f t="shared" si="204"/>
        <v>120000</v>
      </c>
      <c r="W136" s="921">
        <f t="shared" si="204"/>
        <v>0</v>
      </c>
      <c r="X136" s="921">
        <f t="shared" si="204"/>
        <v>0</v>
      </c>
      <c r="Y136" s="921">
        <f t="shared" si="204"/>
        <v>120000</v>
      </c>
      <c r="Z136" s="921">
        <f t="shared" si="204"/>
        <v>0</v>
      </c>
      <c r="AA136" s="921">
        <f t="shared" si="204"/>
        <v>0</v>
      </c>
      <c r="AB136" s="921">
        <f t="shared" si="204"/>
        <v>-2400</v>
      </c>
      <c r="AC136" s="921">
        <f t="shared" si="204"/>
        <v>0</v>
      </c>
      <c r="AD136" s="921">
        <f t="shared" si="204"/>
        <v>0</v>
      </c>
      <c r="AE136" s="921">
        <f t="shared" si="204"/>
        <v>0</v>
      </c>
      <c r="AF136" s="921">
        <f t="shared" si="204"/>
        <v>-2400</v>
      </c>
      <c r="AG136" s="922">
        <f t="shared" si="204"/>
        <v>-0.24</v>
      </c>
      <c r="AH136" s="922">
        <f t="shared" si="204"/>
        <v>0</v>
      </c>
      <c r="AI136" s="922">
        <f t="shared" si="204"/>
        <v>0</v>
      </c>
      <c r="AJ136" s="922">
        <f t="shared" si="204"/>
        <v>0</v>
      </c>
      <c r="AK136" s="922">
        <f t="shared" si="204"/>
        <v>0</v>
      </c>
      <c r="AL136" s="922">
        <f t="shared" si="204"/>
        <v>-0.24</v>
      </c>
      <c r="AM136" s="922">
        <f t="shared" si="204"/>
        <v>0</v>
      </c>
      <c r="AN136" s="923">
        <f t="shared" si="204"/>
        <v>-0.24</v>
      </c>
      <c r="AO136" s="918">
        <f t="shared" si="204"/>
        <v>5755849</v>
      </c>
      <c r="AP136" s="921">
        <f t="shared" si="204"/>
        <v>4091035</v>
      </c>
      <c r="AQ136" s="921">
        <f t="shared" si="204"/>
        <v>120000</v>
      </c>
      <c r="AR136" s="921">
        <f t="shared" si="204"/>
        <v>1423329</v>
      </c>
      <c r="AS136" s="921">
        <f t="shared" si="204"/>
        <v>81821</v>
      </c>
      <c r="AT136" s="921">
        <f t="shared" si="204"/>
        <v>39664</v>
      </c>
      <c r="AU136" s="922">
        <f t="shared" si="204"/>
        <v>9.3699999999999992</v>
      </c>
      <c r="AV136" s="922">
        <f t="shared" si="204"/>
        <v>6.1999999999999993</v>
      </c>
      <c r="AW136" s="924">
        <f t="shared" si="204"/>
        <v>3.17</v>
      </c>
      <c r="AY136" s="605"/>
    </row>
    <row r="137" spans="4:51" ht="12.95" customHeight="1" x14ac:dyDescent="0.25">
      <c r="E137" s="751"/>
    </row>
    <row r="138" spans="4:51" ht="12.95" customHeight="1" x14ac:dyDescent="0.25">
      <c r="E138" s="751"/>
    </row>
    <row r="139" spans="4:51" ht="12.95" customHeight="1" x14ac:dyDescent="0.25">
      <c r="E139" s="751"/>
    </row>
    <row r="141" spans="4:51" x14ac:dyDescent="0.25">
      <c r="N141" s="925"/>
      <c r="O141" s="925"/>
      <c r="P141" s="925"/>
    </row>
    <row r="142" spans="4:51" x14ac:dyDescent="0.25">
      <c r="N142" s="925"/>
      <c r="O142" s="925"/>
      <c r="P142" s="925"/>
    </row>
    <row r="143" spans="4:51" x14ac:dyDescent="0.25">
      <c r="N143" s="925"/>
      <c r="O143" s="925"/>
      <c r="P143" s="925"/>
    </row>
  </sheetData>
  <mergeCells count="24">
    <mergeCell ref="AV8:AW9"/>
    <mergeCell ref="A3:E3"/>
    <mergeCell ref="AO6:AW7"/>
    <mergeCell ref="AB7:AB10"/>
    <mergeCell ref="AC7:AE9"/>
    <mergeCell ref="AF7:AF10"/>
    <mergeCell ref="AG7:AN7"/>
    <mergeCell ref="AG8:AH9"/>
    <mergeCell ref="AI8:AI9"/>
    <mergeCell ref="AJ8:AK9"/>
    <mergeCell ref="AL8:AN9"/>
    <mergeCell ref="AO8:AO10"/>
    <mergeCell ref="AP8:AT9"/>
    <mergeCell ref="AU8:AU10"/>
    <mergeCell ref="Z7:Z10"/>
    <mergeCell ref="I8:I10"/>
    <mergeCell ref="AA7:AA10"/>
    <mergeCell ref="I6:P7"/>
    <mergeCell ref="Q6:AN6"/>
    <mergeCell ref="Q7:U9"/>
    <mergeCell ref="V7:Y9"/>
    <mergeCell ref="J8:M9"/>
    <mergeCell ref="N8:N10"/>
    <mergeCell ref="O8:P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Y184"/>
  <sheetViews>
    <sheetView zoomScaleNormal="100" workbookViewId="0">
      <pane xSplit="8" ySplit="11" topLeftCell="X12" activePane="bottomRight" state="frozen"/>
      <selection activeCell="AU1" sqref="AU1:AW1048576"/>
      <selection pane="topRight" activeCell="AU1" sqref="AU1:AW1048576"/>
      <selection pane="bottomLeft" activeCell="AU1" sqref="AU1:AW1048576"/>
      <selection pane="bottomRight" activeCell="AR17" sqref="AR17"/>
    </sheetView>
  </sheetViews>
  <sheetFormatPr defaultColWidth="9.140625" defaultRowHeight="15" x14ac:dyDescent="0.25"/>
  <cols>
    <col min="1" max="1" width="5" style="877" customWidth="1"/>
    <col min="2" max="2" width="7.140625" style="751" bestFit="1" customWidth="1"/>
    <col min="3" max="3" width="9.28515625" style="989" customWidth="1"/>
    <col min="4" max="4" width="7.85546875" style="751" bestFit="1" customWidth="1"/>
    <col min="5" max="5" width="31.28515625" style="751" customWidth="1"/>
    <col min="6" max="6" width="4.42578125" style="751" bestFit="1" customWidth="1"/>
    <col min="7" max="7" width="10.28515625" style="751" bestFit="1" customWidth="1"/>
    <col min="8" max="8" width="8" style="751" customWidth="1"/>
    <col min="9" max="13" width="10.7109375" style="751" customWidth="1"/>
    <col min="14" max="14" width="11.7109375" style="926" customWidth="1"/>
    <col min="15" max="16" width="10.7109375" style="926" customWidth="1"/>
    <col min="17" max="32" width="10.7109375" style="925" customWidth="1"/>
    <col min="33" max="40" width="10.7109375" style="926" customWidth="1"/>
    <col min="41" max="46" width="10.7109375" style="925" customWidth="1"/>
    <col min="47" max="47" width="11.7109375" style="926" customWidth="1"/>
    <col min="48" max="49" width="10.7109375" style="926" customWidth="1"/>
    <col min="50" max="50" width="9.140625" style="927" customWidth="1"/>
    <col min="51" max="51" width="9.140625" style="927"/>
    <col min="52" max="16384" width="9.140625" style="751"/>
  </cols>
  <sheetData>
    <row r="1" spans="1:51" ht="12" customHeight="1" x14ac:dyDescent="0.25">
      <c r="A1" s="742" t="s">
        <v>2</v>
      </c>
      <c r="B1" s="742"/>
      <c r="C1" s="743"/>
      <c r="D1" s="742"/>
      <c r="E1" s="742"/>
      <c r="F1" s="744"/>
      <c r="G1" s="744"/>
      <c r="H1" s="744"/>
      <c r="I1" s="745"/>
      <c r="J1" s="746"/>
      <c r="K1" s="746"/>
      <c r="L1" s="746"/>
      <c r="M1" s="746"/>
      <c r="N1" s="747"/>
      <c r="O1" s="748"/>
      <c r="P1" s="748"/>
      <c r="Q1" s="746"/>
      <c r="R1" s="745"/>
      <c r="S1" s="745"/>
      <c r="T1" s="749"/>
      <c r="U1" s="749"/>
      <c r="V1" s="749"/>
      <c r="W1" s="749"/>
      <c r="X1" s="749"/>
      <c r="Y1" s="749"/>
      <c r="Z1" s="749"/>
      <c r="AA1" s="749"/>
      <c r="AB1" s="749"/>
      <c r="AC1" s="749"/>
      <c r="AD1" s="749"/>
      <c r="AE1" s="749"/>
      <c r="AF1" s="749"/>
      <c r="AG1" s="750"/>
      <c r="AH1" s="750"/>
      <c r="AI1" s="750"/>
      <c r="AJ1" s="747"/>
      <c r="AK1" s="747"/>
      <c r="AL1" s="747"/>
      <c r="AM1" s="747"/>
      <c r="AN1" s="747"/>
      <c r="AO1" s="745"/>
      <c r="AP1" s="745"/>
      <c r="AQ1" s="745"/>
      <c r="AR1" s="745"/>
      <c r="AS1" s="745"/>
      <c r="AT1" s="745"/>
      <c r="AU1" s="747"/>
      <c r="AV1" s="747"/>
      <c r="AW1" s="747"/>
    </row>
    <row r="2" spans="1:51" ht="12" customHeight="1" x14ac:dyDescent="0.25">
      <c r="A2" s="742" t="s">
        <v>3</v>
      </c>
      <c r="B2" s="742"/>
      <c r="C2" s="743"/>
      <c r="D2" s="742"/>
      <c r="E2" s="742"/>
      <c r="F2" s="744"/>
      <c r="G2" s="744"/>
      <c r="H2" s="744"/>
      <c r="I2" s="752"/>
      <c r="J2" s="752"/>
      <c r="K2" s="752"/>
      <c r="L2" s="752"/>
      <c r="M2" s="752"/>
      <c r="N2" s="753"/>
      <c r="O2" s="753"/>
      <c r="P2" s="753"/>
      <c r="Q2" s="752"/>
      <c r="R2" s="752"/>
      <c r="S2" s="752"/>
      <c r="T2" s="752"/>
      <c r="U2" s="752"/>
      <c r="V2" s="752"/>
      <c r="W2" s="752"/>
      <c r="X2" s="752"/>
      <c r="Y2" s="752"/>
      <c r="Z2" s="752"/>
      <c r="AA2" s="752"/>
      <c r="AB2" s="752"/>
      <c r="AC2" s="752"/>
      <c r="AD2" s="752"/>
      <c r="AE2" s="752"/>
      <c r="AF2" s="752"/>
      <c r="AG2" s="753"/>
      <c r="AH2" s="753"/>
      <c r="AI2" s="753"/>
      <c r="AJ2" s="753"/>
      <c r="AK2" s="753"/>
      <c r="AL2" s="753"/>
      <c r="AM2" s="753"/>
      <c r="AN2" s="753"/>
      <c r="AO2" s="752"/>
      <c r="AP2" s="752"/>
      <c r="AQ2" s="752"/>
      <c r="AR2" s="752"/>
      <c r="AS2" s="752"/>
      <c r="AT2" s="752"/>
      <c r="AU2" s="753"/>
      <c r="AV2" s="753"/>
      <c r="AW2" s="747"/>
    </row>
    <row r="3" spans="1:51" ht="12" customHeight="1" x14ac:dyDescent="0.25">
      <c r="A3" s="1281" t="s">
        <v>4</v>
      </c>
      <c r="B3" s="1281"/>
      <c r="C3" s="1281"/>
      <c r="D3" s="1281"/>
      <c r="E3" s="1281"/>
      <c r="F3" s="744"/>
      <c r="G3" s="744"/>
      <c r="H3" s="744"/>
      <c r="I3" s="752"/>
      <c r="J3" s="752"/>
      <c r="K3" s="752"/>
      <c r="L3" s="752"/>
      <c r="M3" s="752"/>
      <c r="N3" s="753"/>
      <c r="O3" s="753"/>
      <c r="P3" s="753"/>
      <c r="Q3" s="754"/>
      <c r="R3" s="754"/>
      <c r="S3" s="754"/>
      <c r="T3" s="754"/>
      <c r="U3" s="754"/>
      <c r="V3" s="754"/>
      <c r="W3" s="754"/>
      <c r="X3" s="754"/>
      <c r="Y3" s="755"/>
      <c r="Z3" s="755"/>
      <c r="AA3" s="755"/>
      <c r="AB3" s="756"/>
      <c r="AC3" s="756"/>
      <c r="AD3" s="756"/>
      <c r="AE3" s="755"/>
      <c r="AF3" s="756"/>
      <c r="AG3" s="757"/>
      <c r="AH3" s="757"/>
      <c r="AI3" s="757"/>
      <c r="AJ3" s="757"/>
      <c r="AK3" s="757"/>
      <c r="AL3" s="757"/>
      <c r="AM3" s="757"/>
      <c r="AN3" s="753"/>
      <c r="AO3" s="752"/>
      <c r="AP3" s="752"/>
      <c r="AQ3" s="752"/>
      <c r="AR3" s="752"/>
      <c r="AS3" s="752"/>
      <c r="AT3" s="752"/>
      <c r="AU3" s="753"/>
      <c r="AV3" s="753"/>
      <c r="AW3" s="747"/>
    </row>
    <row r="4" spans="1:51" ht="12" customHeight="1" x14ac:dyDescent="0.25">
      <c r="A4" s="758"/>
      <c r="B4" s="742"/>
      <c r="C4" s="742"/>
      <c r="D4" s="742"/>
      <c r="E4" s="742"/>
      <c r="F4" s="744"/>
      <c r="G4" s="744"/>
      <c r="H4" s="744"/>
      <c r="I4" s="752"/>
      <c r="J4" s="752"/>
      <c r="K4" s="752"/>
      <c r="L4" s="752"/>
      <c r="M4" s="752"/>
      <c r="N4" s="753"/>
      <c r="O4" s="753"/>
      <c r="P4" s="753"/>
      <c r="Q4" s="754"/>
      <c r="R4" s="754"/>
      <c r="S4" s="754"/>
      <c r="T4" s="754"/>
      <c r="U4" s="754"/>
      <c r="V4" s="754"/>
      <c r="W4" s="754"/>
      <c r="X4" s="754"/>
      <c r="Y4" s="755"/>
      <c r="Z4" s="755"/>
      <c r="AA4" s="755"/>
      <c r="AB4" s="756"/>
      <c r="AC4" s="756"/>
      <c r="AD4" s="756"/>
      <c r="AE4" s="755"/>
      <c r="AF4" s="756"/>
      <c r="AG4" s="757"/>
      <c r="AH4" s="757"/>
      <c r="AI4" s="757"/>
      <c r="AJ4" s="757"/>
      <c r="AK4" s="757"/>
      <c r="AL4" s="757"/>
      <c r="AM4" s="757"/>
      <c r="AN4" s="753"/>
      <c r="AO4" s="752"/>
      <c r="AP4" s="752"/>
      <c r="AQ4" s="752"/>
      <c r="AR4" s="752"/>
      <c r="AS4" s="752"/>
      <c r="AT4" s="752"/>
      <c r="AU4" s="753"/>
      <c r="AV4" s="753"/>
      <c r="AW4" s="747"/>
    </row>
    <row r="5" spans="1:51" ht="16.5" thickBot="1" x14ac:dyDescent="0.3">
      <c r="A5" s="759" t="s">
        <v>838</v>
      </c>
      <c r="B5" s="760"/>
      <c r="C5" s="760"/>
      <c r="D5" s="760"/>
      <c r="E5" s="761"/>
      <c r="F5" s="761"/>
      <c r="G5" s="761"/>
      <c r="H5" s="761"/>
      <c r="I5" s="762"/>
      <c r="J5" s="762"/>
      <c r="K5" s="762"/>
      <c r="L5" s="762"/>
      <c r="M5" s="762"/>
      <c r="N5" s="763"/>
      <c r="O5" s="763"/>
      <c r="P5" s="763"/>
      <c r="Q5" s="754"/>
      <c r="R5" s="754"/>
      <c r="S5" s="754"/>
      <c r="T5" s="754"/>
      <c r="U5" s="745"/>
      <c r="V5" s="754"/>
      <c r="W5" s="754"/>
      <c r="X5" s="754"/>
      <c r="Y5" s="755"/>
      <c r="Z5" s="755"/>
      <c r="AA5" s="755"/>
      <c r="AB5" s="756"/>
      <c r="AC5" s="756"/>
      <c r="AD5" s="756"/>
      <c r="AE5" s="755"/>
      <c r="AF5" s="745"/>
      <c r="AG5" s="747"/>
      <c r="AH5" s="764"/>
      <c r="AI5" s="764"/>
      <c r="AJ5" s="764"/>
      <c r="AK5" s="764"/>
      <c r="AL5" s="764"/>
      <c r="AM5" s="764"/>
      <c r="AN5" s="763"/>
      <c r="AO5" s="762"/>
      <c r="AP5" s="762"/>
      <c r="AQ5" s="762"/>
      <c r="AR5" s="762"/>
      <c r="AS5" s="762"/>
      <c r="AT5" s="762"/>
      <c r="AU5" s="763"/>
      <c r="AV5" s="763"/>
      <c r="AW5" s="747"/>
    </row>
    <row r="6" spans="1:51" x14ac:dyDescent="0.25">
      <c r="A6" s="744"/>
      <c r="B6" s="758"/>
      <c r="C6" s="758"/>
      <c r="D6" s="758"/>
      <c r="E6" s="744"/>
      <c r="F6" s="744"/>
      <c r="G6" s="744"/>
      <c r="H6" s="744"/>
      <c r="I6" s="1252" t="s">
        <v>837</v>
      </c>
      <c r="J6" s="1253"/>
      <c r="K6" s="1253"/>
      <c r="L6" s="1253"/>
      <c r="M6" s="1253"/>
      <c r="N6" s="1253"/>
      <c r="O6" s="1253"/>
      <c r="P6" s="1254"/>
      <c r="Q6" s="1182" t="s">
        <v>839</v>
      </c>
      <c r="R6" s="1183"/>
      <c r="S6" s="1183"/>
      <c r="T6" s="1183"/>
      <c r="U6" s="1183"/>
      <c r="V6" s="1183"/>
      <c r="W6" s="1183"/>
      <c r="X6" s="1183"/>
      <c r="Y6" s="1183"/>
      <c r="Z6" s="1183"/>
      <c r="AA6" s="1183"/>
      <c r="AB6" s="1183"/>
      <c r="AC6" s="1183"/>
      <c r="AD6" s="1183"/>
      <c r="AE6" s="1183"/>
      <c r="AF6" s="1183"/>
      <c r="AG6" s="1183"/>
      <c r="AH6" s="1183"/>
      <c r="AI6" s="1183"/>
      <c r="AJ6" s="1183"/>
      <c r="AK6" s="1183"/>
      <c r="AL6" s="1183"/>
      <c r="AM6" s="1183"/>
      <c r="AN6" s="1184"/>
      <c r="AO6" s="1185" t="s">
        <v>868</v>
      </c>
      <c r="AP6" s="1186"/>
      <c r="AQ6" s="1186"/>
      <c r="AR6" s="1186"/>
      <c r="AS6" s="1186"/>
      <c r="AT6" s="1186"/>
      <c r="AU6" s="1186"/>
      <c r="AV6" s="1186"/>
      <c r="AW6" s="1187"/>
    </row>
    <row r="7" spans="1:51" ht="17.25" customHeight="1" thickBot="1" x14ac:dyDescent="0.3">
      <c r="A7" s="758"/>
      <c r="B7" s="765"/>
      <c r="C7" s="183"/>
      <c r="D7" s="766"/>
      <c r="E7" s="765"/>
      <c r="F7" s="744"/>
      <c r="G7" s="744"/>
      <c r="H7" s="744"/>
      <c r="I7" s="1255"/>
      <c r="J7" s="1256"/>
      <c r="K7" s="1256"/>
      <c r="L7" s="1256"/>
      <c r="M7" s="1256"/>
      <c r="N7" s="1256"/>
      <c r="O7" s="1256"/>
      <c r="P7" s="1257"/>
      <c r="Q7" s="1258" t="s">
        <v>289</v>
      </c>
      <c r="R7" s="1259"/>
      <c r="S7" s="1259"/>
      <c r="T7" s="1259"/>
      <c r="U7" s="1260"/>
      <c r="V7" s="1267" t="s">
        <v>290</v>
      </c>
      <c r="W7" s="1259"/>
      <c r="X7" s="1259"/>
      <c r="Y7" s="1260"/>
      <c r="Z7" s="1249" t="s">
        <v>291</v>
      </c>
      <c r="AA7" s="1249" t="s">
        <v>5</v>
      </c>
      <c r="AB7" s="1249" t="s">
        <v>292</v>
      </c>
      <c r="AC7" s="1282" t="s">
        <v>293</v>
      </c>
      <c r="AD7" s="1283"/>
      <c r="AE7" s="1284"/>
      <c r="AF7" s="1249" t="s">
        <v>315</v>
      </c>
      <c r="AG7" s="1291" t="s">
        <v>294</v>
      </c>
      <c r="AH7" s="1292"/>
      <c r="AI7" s="1292"/>
      <c r="AJ7" s="1292"/>
      <c r="AK7" s="1292"/>
      <c r="AL7" s="1292"/>
      <c r="AM7" s="1292"/>
      <c r="AN7" s="1292"/>
      <c r="AO7" s="1188"/>
      <c r="AP7" s="1189"/>
      <c r="AQ7" s="1189"/>
      <c r="AR7" s="1189"/>
      <c r="AS7" s="1189"/>
      <c r="AT7" s="1189"/>
      <c r="AU7" s="1189"/>
      <c r="AV7" s="1189"/>
      <c r="AW7" s="1190"/>
    </row>
    <row r="8" spans="1:51" ht="12" customHeight="1" x14ac:dyDescent="0.25">
      <c r="A8" s="767"/>
      <c r="B8" s="768"/>
      <c r="C8" s="768"/>
      <c r="D8" s="768"/>
      <c r="E8" s="768"/>
      <c r="F8" s="768"/>
      <c r="G8" s="768"/>
      <c r="H8" s="768"/>
      <c r="I8" s="1168" t="s">
        <v>6</v>
      </c>
      <c r="J8" s="1270" t="s">
        <v>827</v>
      </c>
      <c r="K8" s="1271"/>
      <c r="L8" s="1271"/>
      <c r="M8" s="1272"/>
      <c r="N8" s="1276" t="s">
        <v>286</v>
      </c>
      <c r="O8" s="1270" t="s">
        <v>828</v>
      </c>
      <c r="P8" s="1279"/>
      <c r="Q8" s="1261"/>
      <c r="R8" s="1262"/>
      <c r="S8" s="1262"/>
      <c r="T8" s="1262"/>
      <c r="U8" s="1263"/>
      <c r="V8" s="1268"/>
      <c r="W8" s="1262"/>
      <c r="X8" s="1262"/>
      <c r="Y8" s="1263"/>
      <c r="Z8" s="1250"/>
      <c r="AA8" s="1250"/>
      <c r="AB8" s="1250"/>
      <c r="AC8" s="1285"/>
      <c r="AD8" s="1286"/>
      <c r="AE8" s="1287"/>
      <c r="AF8" s="1250"/>
      <c r="AG8" s="1294" t="s">
        <v>295</v>
      </c>
      <c r="AH8" s="1295"/>
      <c r="AI8" s="1298" t="s">
        <v>296</v>
      </c>
      <c r="AJ8" s="1294" t="s">
        <v>297</v>
      </c>
      <c r="AK8" s="1295"/>
      <c r="AL8" s="1300" t="s">
        <v>298</v>
      </c>
      <c r="AM8" s="1301"/>
      <c r="AN8" s="1301"/>
      <c r="AO8" s="1168" t="s">
        <v>6</v>
      </c>
      <c r="AP8" s="1306" t="s">
        <v>827</v>
      </c>
      <c r="AQ8" s="1307"/>
      <c r="AR8" s="1307"/>
      <c r="AS8" s="1307"/>
      <c r="AT8" s="1308"/>
      <c r="AU8" s="1276" t="s">
        <v>286</v>
      </c>
      <c r="AV8" s="1270" t="s">
        <v>829</v>
      </c>
      <c r="AW8" s="1279"/>
    </row>
    <row r="9" spans="1:51" ht="15.75" thickBot="1" x14ac:dyDescent="0.3">
      <c r="A9" s="769" t="s">
        <v>823</v>
      </c>
      <c r="B9" s="183"/>
      <c r="C9" s="183"/>
      <c r="D9" s="770"/>
      <c r="E9" s="183"/>
      <c r="F9" s="771"/>
      <c r="G9" s="772"/>
      <c r="H9" s="772"/>
      <c r="I9" s="1169"/>
      <c r="J9" s="1273"/>
      <c r="K9" s="1274"/>
      <c r="L9" s="1274"/>
      <c r="M9" s="1275"/>
      <c r="N9" s="1277"/>
      <c r="O9" s="1273"/>
      <c r="P9" s="1280"/>
      <c r="Q9" s="1264"/>
      <c r="R9" s="1265"/>
      <c r="S9" s="1265"/>
      <c r="T9" s="1265"/>
      <c r="U9" s="1266"/>
      <c r="V9" s="1269"/>
      <c r="W9" s="1265"/>
      <c r="X9" s="1265"/>
      <c r="Y9" s="1266"/>
      <c r="Z9" s="1250"/>
      <c r="AA9" s="1250"/>
      <c r="AB9" s="1250"/>
      <c r="AC9" s="1288"/>
      <c r="AD9" s="1289"/>
      <c r="AE9" s="1290"/>
      <c r="AF9" s="1250"/>
      <c r="AG9" s="1296"/>
      <c r="AH9" s="1297"/>
      <c r="AI9" s="1299"/>
      <c r="AJ9" s="1296"/>
      <c r="AK9" s="1297"/>
      <c r="AL9" s="1303"/>
      <c r="AM9" s="1304"/>
      <c r="AN9" s="1304"/>
      <c r="AO9" s="1169"/>
      <c r="AP9" s="1309"/>
      <c r="AQ9" s="1310"/>
      <c r="AR9" s="1310"/>
      <c r="AS9" s="1310"/>
      <c r="AT9" s="1311"/>
      <c r="AU9" s="1277"/>
      <c r="AV9" s="1273"/>
      <c r="AW9" s="1280"/>
    </row>
    <row r="10" spans="1:51" ht="42" customHeight="1" thickBot="1" x14ac:dyDescent="0.3">
      <c r="A10" s="773" t="s">
        <v>800</v>
      </c>
      <c r="B10" s="774" t="s">
        <v>566</v>
      </c>
      <c r="C10" s="774" t="s">
        <v>567</v>
      </c>
      <c r="D10" s="774" t="s">
        <v>270</v>
      </c>
      <c r="E10" s="310" t="s">
        <v>802</v>
      </c>
      <c r="F10" s="774" t="s">
        <v>0</v>
      </c>
      <c r="G10" s="775" t="s">
        <v>271</v>
      </c>
      <c r="H10" s="74" t="s">
        <v>282</v>
      </c>
      <c r="I10" s="1170"/>
      <c r="J10" s="75" t="s">
        <v>280</v>
      </c>
      <c r="K10" s="76" t="s">
        <v>5</v>
      </c>
      <c r="L10" s="76" t="s">
        <v>1</v>
      </c>
      <c r="M10" s="76" t="s">
        <v>7</v>
      </c>
      <c r="N10" s="1278"/>
      <c r="O10" s="782" t="s">
        <v>287</v>
      </c>
      <c r="P10" s="783" t="s">
        <v>288</v>
      </c>
      <c r="Q10" s="776" t="s">
        <v>299</v>
      </c>
      <c r="R10" s="777" t="s">
        <v>296</v>
      </c>
      <c r="S10" s="777" t="s">
        <v>815</v>
      </c>
      <c r="T10" s="777" t="s">
        <v>297</v>
      </c>
      <c r="U10" s="777" t="s">
        <v>791</v>
      </c>
      <c r="V10" s="778" t="s">
        <v>300</v>
      </c>
      <c r="W10" s="777" t="s">
        <v>826</v>
      </c>
      <c r="X10" s="778" t="s">
        <v>301</v>
      </c>
      <c r="Y10" s="777" t="s">
        <v>792</v>
      </c>
      <c r="Z10" s="1251"/>
      <c r="AA10" s="1251"/>
      <c r="AB10" s="1251"/>
      <c r="AC10" s="777" t="s">
        <v>296</v>
      </c>
      <c r="AD10" s="777" t="s">
        <v>302</v>
      </c>
      <c r="AE10" s="777" t="s">
        <v>793</v>
      </c>
      <c r="AF10" s="1251"/>
      <c r="AG10" s="779" t="s">
        <v>287</v>
      </c>
      <c r="AH10" s="780" t="s">
        <v>288</v>
      </c>
      <c r="AI10" s="779" t="s">
        <v>287</v>
      </c>
      <c r="AJ10" s="779" t="s">
        <v>287</v>
      </c>
      <c r="AK10" s="780" t="s">
        <v>288</v>
      </c>
      <c r="AL10" s="779" t="s">
        <v>287</v>
      </c>
      <c r="AM10" s="780" t="s">
        <v>288</v>
      </c>
      <c r="AN10" s="780" t="s">
        <v>311</v>
      </c>
      <c r="AO10" s="1170"/>
      <c r="AP10" s="79" t="s">
        <v>280</v>
      </c>
      <c r="AQ10" s="80" t="s">
        <v>290</v>
      </c>
      <c r="AR10" s="76" t="s">
        <v>5</v>
      </c>
      <c r="AS10" s="76" t="s">
        <v>1</v>
      </c>
      <c r="AT10" s="76" t="s">
        <v>7</v>
      </c>
      <c r="AU10" s="1278"/>
      <c r="AV10" s="782" t="s">
        <v>287</v>
      </c>
      <c r="AW10" s="783" t="s">
        <v>288</v>
      </c>
    </row>
    <row r="11" spans="1:51" s="797" customFormat="1" ht="11.25" customHeight="1" thickBot="1" x14ac:dyDescent="0.25">
      <c r="A11" s="784" t="s">
        <v>568</v>
      </c>
      <c r="B11" s="785" t="s">
        <v>569</v>
      </c>
      <c r="C11" s="785" t="s">
        <v>272</v>
      </c>
      <c r="D11" s="785" t="s">
        <v>273</v>
      </c>
      <c r="E11" s="785" t="s">
        <v>570</v>
      </c>
      <c r="F11" s="785" t="s">
        <v>0</v>
      </c>
      <c r="G11" s="785" t="s">
        <v>571</v>
      </c>
      <c r="H11" s="786" t="s">
        <v>796</v>
      </c>
      <c r="I11" s="787" t="s">
        <v>274</v>
      </c>
      <c r="J11" s="788" t="s">
        <v>275</v>
      </c>
      <c r="K11" s="788" t="s">
        <v>276</v>
      </c>
      <c r="L11" s="788" t="s">
        <v>277</v>
      </c>
      <c r="M11" s="788" t="s">
        <v>278</v>
      </c>
      <c r="N11" s="929" t="s">
        <v>279</v>
      </c>
      <c r="O11" s="795" t="s">
        <v>572</v>
      </c>
      <c r="P11" s="796" t="s">
        <v>573</v>
      </c>
      <c r="Q11" s="930" t="s">
        <v>303</v>
      </c>
      <c r="R11" s="930" t="s">
        <v>303</v>
      </c>
      <c r="S11" s="788" t="s">
        <v>303</v>
      </c>
      <c r="T11" s="788" t="s">
        <v>303</v>
      </c>
      <c r="U11" s="788" t="s">
        <v>303</v>
      </c>
      <c r="V11" s="788" t="s">
        <v>304</v>
      </c>
      <c r="W11" s="788" t="s">
        <v>304</v>
      </c>
      <c r="X11" s="788" t="s">
        <v>305</v>
      </c>
      <c r="Y11" s="788" t="s">
        <v>304</v>
      </c>
      <c r="Z11" s="788" t="s">
        <v>306</v>
      </c>
      <c r="AA11" s="788" t="s">
        <v>307</v>
      </c>
      <c r="AB11" s="788" t="s">
        <v>308</v>
      </c>
      <c r="AC11" s="788" t="s">
        <v>310</v>
      </c>
      <c r="AD11" s="788" t="s">
        <v>309</v>
      </c>
      <c r="AE11" s="788" t="s">
        <v>309</v>
      </c>
      <c r="AF11" s="788" t="s">
        <v>316</v>
      </c>
      <c r="AG11" s="795" t="s">
        <v>312</v>
      </c>
      <c r="AH11" s="795" t="s">
        <v>313</v>
      </c>
      <c r="AI11" s="795" t="s">
        <v>312</v>
      </c>
      <c r="AJ11" s="795" t="s">
        <v>312</v>
      </c>
      <c r="AK11" s="795" t="s">
        <v>313</v>
      </c>
      <c r="AL11" s="795" t="s">
        <v>312</v>
      </c>
      <c r="AM11" s="795" t="s">
        <v>313</v>
      </c>
      <c r="AN11" s="931" t="s">
        <v>314</v>
      </c>
      <c r="AO11" s="932" t="s">
        <v>274</v>
      </c>
      <c r="AP11" s="791" t="s">
        <v>275</v>
      </c>
      <c r="AQ11" s="791" t="s">
        <v>281</v>
      </c>
      <c r="AR11" s="791" t="s">
        <v>276</v>
      </c>
      <c r="AS11" s="791" t="s">
        <v>277</v>
      </c>
      <c r="AT11" s="791" t="s">
        <v>278</v>
      </c>
      <c r="AU11" s="793" t="s">
        <v>279</v>
      </c>
      <c r="AV11" s="793" t="s">
        <v>572</v>
      </c>
      <c r="AW11" s="1043" t="s">
        <v>573</v>
      </c>
      <c r="AX11" s="933"/>
      <c r="AY11" s="933"/>
    </row>
    <row r="12" spans="1:51" ht="13.5" customHeight="1" x14ac:dyDescent="0.25">
      <c r="A12" s="798">
        <v>1</v>
      </c>
      <c r="B12" s="934">
        <v>5489</v>
      </c>
      <c r="C12" s="935">
        <v>600099482</v>
      </c>
      <c r="D12" s="800">
        <v>71166289</v>
      </c>
      <c r="E12" s="936" t="s">
        <v>377</v>
      </c>
      <c r="F12" s="800">
        <v>3111</v>
      </c>
      <c r="G12" s="936" t="s">
        <v>331</v>
      </c>
      <c r="H12" s="937" t="s">
        <v>283</v>
      </c>
      <c r="I12" s="938">
        <f>SUM(J12:M12)</f>
        <v>3276323</v>
      </c>
      <c r="J12" s="804">
        <v>2398691</v>
      </c>
      <c r="K12" s="939">
        <f>ROUND((J12)*33.8%,0)</f>
        <v>810758</v>
      </c>
      <c r="L12" s="939">
        <f>ROUND(J12*2%,0)</f>
        <v>47974</v>
      </c>
      <c r="M12" s="804">
        <v>18900</v>
      </c>
      <c r="N12" s="806">
        <f>SUM(O12:P12)</f>
        <v>5.4897999999999998</v>
      </c>
      <c r="O12" s="1047">
        <v>4</v>
      </c>
      <c r="P12" s="1048">
        <v>1.4898</v>
      </c>
      <c r="Q12" s="940">
        <f>V12*-1</f>
        <v>-9600</v>
      </c>
      <c r="R12" s="941">
        <v>0</v>
      </c>
      <c r="S12" s="941">
        <v>0</v>
      </c>
      <c r="T12" s="941">
        <v>0</v>
      </c>
      <c r="U12" s="941">
        <f>SUM(Q12:T12)</f>
        <v>-9600</v>
      </c>
      <c r="V12" s="941">
        <v>9600</v>
      </c>
      <c r="W12" s="941">
        <v>0</v>
      </c>
      <c r="X12" s="941">
        <v>0</v>
      </c>
      <c r="Y12" s="941">
        <f>SUM(V12:X12)</f>
        <v>9600</v>
      </c>
      <c r="Z12" s="941">
        <f>U12+Y12</f>
        <v>0</v>
      </c>
      <c r="AA12" s="942">
        <f>ROUND((U12+V12+W12)*33.8%,0)</f>
        <v>0</v>
      </c>
      <c r="AB12" s="942">
        <f>ROUND(U12*2%,0)</f>
        <v>-192</v>
      </c>
      <c r="AC12" s="941">
        <v>0</v>
      </c>
      <c r="AD12" s="941">
        <v>0</v>
      </c>
      <c r="AE12" s="941">
        <f>SUM(AC12:AD12)</f>
        <v>0</v>
      </c>
      <c r="AF12" s="941">
        <f>Z12+AA12+AB12+AE12</f>
        <v>-192</v>
      </c>
      <c r="AG12" s="943">
        <v>0</v>
      </c>
      <c r="AH12" s="943">
        <v>-0.04</v>
      </c>
      <c r="AI12" s="943">
        <v>0</v>
      </c>
      <c r="AJ12" s="943">
        <v>0</v>
      </c>
      <c r="AK12" s="943">
        <v>0</v>
      </c>
      <c r="AL12" s="943">
        <f>AG12+AI12+AJ12</f>
        <v>0</v>
      </c>
      <c r="AM12" s="943">
        <f>AH12+AK12</f>
        <v>-0.04</v>
      </c>
      <c r="AN12" s="944">
        <f>SUM(AL12:AM12)</f>
        <v>-0.04</v>
      </c>
      <c r="AO12" s="945">
        <f>I12+AF12</f>
        <v>3276131</v>
      </c>
      <c r="AP12" s="813">
        <f>J12+U12</f>
        <v>2389091</v>
      </c>
      <c r="AQ12" s="813">
        <f>Y12</f>
        <v>9600</v>
      </c>
      <c r="AR12" s="813">
        <f t="shared" ref="AR12:AS27" si="0">K12+AA12</f>
        <v>810758</v>
      </c>
      <c r="AS12" s="813">
        <f t="shared" si="0"/>
        <v>47782</v>
      </c>
      <c r="AT12" s="813">
        <f>M12+AE12</f>
        <v>18900</v>
      </c>
      <c r="AU12" s="836">
        <f>N12+AN12</f>
        <v>5.4497999999999998</v>
      </c>
      <c r="AV12" s="836">
        <f t="shared" ref="AV12:AW27" si="1">O12+AL12</f>
        <v>4</v>
      </c>
      <c r="AW12" s="837">
        <f t="shared" si="1"/>
        <v>1.4498</v>
      </c>
    </row>
    <row r="13" spans="1:51" ht="12.95" customHeight="1" x14ac:dyDescent="0.25">
      <c r="A13" s="827">
        <v>1</v>
      </c>
      <c r="B13" s="946">
        <v>5489</v>
      </c>
      <c r="C13" s="947">
        <v>600099482</v>
      </c>
      <c r="D13" s="828">
        <v>71166289</v>
      </c>
      <c r="E13" s="948" t="s">
        <v>377</v>
      </c>
      <c r="F13" s="828">
        <v>3111</v>
      </c>
      <c r="G13" s="948" t="s">
        <v>325</v>
      </c>
      <c r="H13" s="831" t="s">
        <v>284</v>
      </c>
      <c r="I13" s="803">
        <f>SUM(J13:M13)</f>
        <v>0</v>
      </c>
      <c r="J13" s="833">
        <v>0</v>
      </c>
      <c r="K13" s="805">
        <f>ROUND((J13)*33.8%,0)</f>
        <v>0</v>
      </c>
      <c r="L13" s="805">
        <f>ROUND(J13*2%,0)</f>
        <v>0</v>
      </c>
      <c r="M13" s="833">
        <v>0</v>
      </c>
      <c r="N13" s="834">
        <f>SUM(O13:P13)</f>
        <v>0</v>
      </c>
      <c r="O13" s="1054">
        <v>0</v>
      </c>
      <c r="P13" s="1055">
        <v>0</v>
      </c>
      <c r="Q13" s="940">
        <f>V13*-1</f>
        <v>0</v>
      </c>
      <c r="R13" s="813">
        <v>0</v>
      </c>
      <c r="S13" s="813">
        <v>0</v>
      </c>
      <c r="T13" s="813">
        <v>0</v>
      </c>
      <c r="U13" s="813">
        <f>SUM(Q13:T13)</f>
        <v>0</v>
      </c>
      <c r="V13" s="813">
        <v>0</v>
      </c>
      <c r="W13" s="941">
        <v>0</v>
      </c>
      <c r="X13" s="813">
        <v>0</v>
      </c>
      <c r="Y13" s="813">
        <f>SUM(V13:X13)</f>
        <v>0</v>
      </c>
      <c r="Z13" s="813">
        <f>U13+Y13</f>
        <v>0</v>
      </c>
      <c r="AA13" s="809">
        <f>ROUND((U13+V13+W13)*33.8%,0)</f>
        <v>0</v>
      </c>
      <c r="AB13" s="809">
        <f>ROUND(U13*2%,0)</f>
        <v>0</v>
      </c>
      <c r="AC13" s="813">
        <v>0</v>
      </c>
      <c r="AD13" s="813">
        <v>0</v>
      </c>
      <c r="AE13" s="813">
        <f>SUM(AC13:AD13)</f>
        <v>0</v>
      </c>
      <c r="AF13" s="813">
        <f>Z13+AA13+AB13+AE13</f>
        <v>0</v>
      </c>
      <c r="AG13" s="836">
        <v>0</v>
      </c>
      <c r="AH13" s="836">
        <v>0</v>
      </c>
      <c r="AI13" s="836">
        <v>0</v>
      </c>
      <c r="AJ13" s="836">
        <v>0</v>
      </c>
      <c r="AK13" s="836">
        <v>0</v>
      </c>
      <c r="AL13" s="836">
        <f>AG13+AI13+AJ13</f>
        <v>0</v>
      </c>
      <c r="AM13" s="836">
        <f>AH13+AK13</f>
        <v>0</v>
      </c>
      <c r="AN13" s="949">
        <f>SUM(AL13:AM13)</f>
        <v>0</v>
      </c>
      <c r="AO13" s="945">
        <f t="shared" ref="AO13:AO76" si="2">I13+AF13</f>
        <v>0</v>
      </c>
      <c r="AP13" s="813">
        <f t="shared" ref="AP13:AP76" si="3">J13+U13</f>
        <v>0</v>
      </c>
      <c r="AQ13" s="813">
        <f t="shared" ref="AQ13:AQ76" si="4">Y13</f>
        <v>0</v>
      </c>
      <c r="AR13" s="813">
        <f t="shared" si="0"/>
        <v>0</v>
      </c>
      <c r="AS13" s="813">
        <f t="shared" si="0"/>
        <v>0</v>
      </c>
      <c r="AT13" s="813">
        <f t="shared" ref="AT13:AT76" si="5">M13+AE13</f>
        <v>0</v>
      </c>
      <c r="AU13" s="836">
        <f t="shared" ref="AU13:AU76" si="6">N13+AN13</f>
        <v>0</v>
      </c>
      <c r="AV13" s="836">
        <f t="shared" si="1"/>
        <v>0</v>
      </c>
      <c r="AW13" s="837">
        <f t="shared" si="1"/>
        <v>0</v>
      </c>
    </row>
    <row r="14" spans="1:51" ht="12.95" customHeight="1" x14ac:dyDescent="0.25">
      <c r="A14" s="827">
        <v>1</v>
      </c>
      <c r="B14" s="946">
        <v>5489</v>
      </c>
      <c r="C14" s="947">
        <v>600099482</v>
      </c>
      <c r="D14" s="828">
        <v>71166289</v>
      </c>
      <c r="E14" s="948" t="s">
        <v>377</v>
      </c>
      <c r="F14" s="828">
        <v>3141</v>
      </c>
      <c r="G14" s="948" t="s">
        <v>321</v>
      </c>
      <c r="H14" s="831" t="s">
        <v>284</v>
      </c>
      <c r="I14" s="803">
        <f>SUM(J14:M14)</f>
        <v>564729</v>
      </c>
      <c r="J14" s="833">
        <v>414060</v>
      </c>
      <c r="K14" s="805">
        <f>ROUND((J14)*33.8%,0)</f>
        <v>139952</v>
      </c>
      <c r="L14" s="805">
        <f>ROUND(J14*2%,0)</f>
        <v>8281</v>
      </c>
      <c r="M14" s="833">
        <v>2436</v>
      </c>
      <c r="N14" s="834">
        <f>SUM(O14:P14)</f>
        <v>1.41</v>
      </c>
      <c r="O14" s="1054">
        <v>0</v>
      </c>
      <c r="P14" s="1055">
        <v>1.41</v>
      </c>
      <c r="Q14" s="940">
        <f>V14*-1</f>
        <v>0</v>
      </c>
      <c r="R14" s="813">
        <v>0</v>
      </c>
      <c r="S14" s="813">
        <v>0</v>
      </c>
      <c r="T14" s="813">
        <v>0</v>
      </c>
      <c r="U14" s="813">
        <f>SUM(Q14:T14)</f>
        <v>0</v>
      </c>
      <c r="V14" s="813">
        <v>0</v>
      </c>
      <c r="W14" s="941">
        <v>0</v>
      </c>
      <c r="X14" s="813">
        <v>0</v>
      </c>
      <c r="Y14" s="813">
        <f>SUM(V14:X14)</f>
        <v>0</v>
      </c>
      <c r="Z14" s="813">
        <f>U14+Y14</f>
        <v>0</v>
      </c>
      <c r="AA14" s="809">
        <f>ROUND((U14+V14+W14)*33.8%,0)</f>
        <v>0</v>
      </c>
      <c r="AB14" s="809">
        <f>ROUND(U14*2%,0)</f>
        <v>0</v>
      </c>
      <c r="AC14" s="813">
        <v>0</v>
      </c>
      <c r="AD14" s="813">
        <v>0</v>
      </c>
      <c r="AE14" s="813">
        <f>SUM(AC14:AD14)</f>
        <v>0</v>
      </c>
      <c r="AF14" s="813">
        <f>Z14+AA14+AB14+AE14</f>
        <v>0</v>
      </c>
      <c r="AG14" s="836">
        <v>0</v>
      </c>
      <c r="AH14" s="836">
        <v>0</v>
      </c>
      <c r="AI14" s="836">
        <v>0</v>
      </c>
      <c r="AJ14" s="836">
        <v>0</v>
      </c>
      <c r="AK14" s="836">
        <v>0</v>
      </c>
      <c r="AL14" s="836">
        <f>AG14+AI14+AJ14</f>
        <v>0</v>
      </c>
      <c r="AM14" s="836">
        <f>AH14+AK14</f>
        <v>0</v>
      </c>
      <c r="AN14" s="949">
        <f>SUM(AL14:AM14)</f>
        <v>0</v>
      </c>
      <c r="AO14" s="945">
        <f t="shared" si="2"/>
        <v>564729</v>
      </c>
      <c r="AP14" s="813">
        <f t="shared" si="3"/>
        <v>414060</v>
      </c>
      <c r="AQ14" s="813">
        <f t="shared" si="4"/>
        <v>0</v>
      </c>
      <c r="AR14" s="813">
        <f t="shared" si="0"/>
        <v>139952</v>
      </c>
      <c r="AS14" s="813">
        <f t="shared" si="0"/>
        <v>8281</v>
      </c>
      <c r="AT14" s="813">
        <f t="shared" si="5"/>
        <v>2436</v>
      </c>
      <c r="AU14" s="836">
        <f t="shared" si="6"/>
        <v>1.41</v>
      </c>
      <c r="AV14" s="836">
        <f t="shared" si="1"/>
        <v>0</v>
      </c>
      <c r="AW14" s="837">
        <f t="shared" si="1"/>
        <v>1.41</v>
      </c>
    </row>
    <row r="15" spans="1:51" ht="12.95" customHeight="1" x14ac:dyDescent="0.25">
      <c r="A15" s="950">
        <v>1</v>
      </c>
      <c r="B15" s="951">
        <v>5489</v>
      </c>
      <c r="C15" s="952">
        <v>600099482</v>
      </c>
      <c r="D15" s="951">
        <v>71166289</v>
      </c>
      <c r="E15" s="953" t="s">
        <v>378</v>
      </c>
      <c r="F15" s="816"/>
      <c r="G15" s="953"/>
      <c r="H15" s="842"/>
      <c r="I15" s="954">
        <f t="shared" ref="I15:AW15" si="7">SUM(I12:I14)</f>
        <v>3841052</v>
      </c>
      <c r="J15" s="955">
        <f t="shared" si="7"/>
        <v>2812751</v>
      </c>
      <c r="K15" s="955">
        <f t="shared" si="7"/>
        <v>950710</v>
      </c>
      <c r="L15" s="955">
        <f t="shared" si="7"/>
        <v>56255</v>
      </c>
      <c r="M15" s="955">
        <f t="shared" si="7"/>
        <v>21336</v>
      </c>
      <c r="N15" s="956">
        <f t="shared" si="7"/>
        <v>6.8997999999999999</v>
      </c>
      <c r="O15" s="956">
        <f t="shared" si="7"/>
        <v>4</v>
      </c>
      <c r="P15" s="959">
        <f t="shared" si="7"/>
        <v>2.8997999999999999</v>
      </c>
      <c r="Q15" s="957">
        <f t="shared" si="7"/>
        <v>-9600</v>
      </c>
      <c r="R15" s="955">
        <f t="shared" si="7"/>
        <v>0</v>
      </c>
      <c r="S15" s="955">
        <f t="shared" si="7"/>
        <v>0</v>
      </c>
      <c r="T15" s="955">
        <f t="shared" si="7"/>
        <v>0</v>
      </c>
      <c r="U15" s="955">
        <f t="shared" si="7"/>
        <v>-9600</v>
      </c>
      <c r="V15" s="955">
        <f t="shared" si="7"/>
        <v>9600</v>
      </c>
      <c r="W15" s="955">
        <f t="shared" si="7"/>
        <v>0</v>
      </c>
      <c r="X15" s="955">
        <f t="shared" si="7"/>
        <v>0</v>
      </c>
      <c r="Y15" s="955">
        <f t="shared" si="7"/>
        <v>9600</v>
      </c>
      <c r="Z15" s="955">
        <f t="shared" si="7"/>
        <v>0</v>
      </c>
      <c r="AA15" s="955">
        <f t="shared" si="7"/>
        <v>0</v>
      </c>
      <c r="AB15" s="955">
        <f t="shared" si="7"/>
        <v>-192</v>
      </c>
      <c r="AC15" s="955">
        <f t="shared" si="7"/>
        <v>0</v>
      </c>
      <c r="AD15" s="955">
        <f t="shared" si="7"/>
        <v>0</v>
      </c>
      <c r="AE15" s="955">
        <f t="shared" si="7"/>
        <v>0</v>
      </c>
      <c r="AF15" s="955">
        <f t="shared" si="7"/>
        <v>-192</v>
      </c>
      <c r="AG15" s="956">
        <f t="shared" si="7"/>
        <v>0</v>
      </c>
      <c r="AH15" s="956">
        <f t="shared" si="7"/>
        <v>-0.04</v>
      </c>
      <c r="AI15" s="956">
        <f t="shared" si="7"/>
        <v>0</v>
      </c>
      <c r="AJ15" s="956">
        <f t="shared" si="7"/>
        <v>0</v>
      </c>
      <c r="AK15" s="956">
        <f t="shared" si="7"/>
        <v>0</v>
      </c>
      <c r="AL15" s="956">
        <f t="shared" si="7"/>
        <v>0</v>
      </c>
      <c r="AM15" s="956">
        <f t="shared" si="7"/>
        <v>-0.04</v>
      </c>
      <c r="AN15" s="958">
        <f t="shared" si="7"/>
        <v>-0.04</v>
      </c>
      <c r="AO15" s="954">
        <f t="shared" si="7"/>
        <v>3840860</v>
      </c>
      <c r="AP15" s="955">
        <f t="shared" si="7"/>
        <v>2803151</v>
      </c>
      <c r="AQ15" s="955">
        <f t="shared" si="7"/>
        <v>9600</v>
      </c>
      <c r="AR15" s="955">
        <f t="shared" si="7"/>
        <v>950710</v>
      </c>
      <c r="AS15" s="955">
        <f t="shared" si="7"/>
        <v>56063</v>
      </c>
      <c r="AT15" s="955">
        <f t="shared" si="7"/>
        <v>21336</v>
      </c>
      <c r="AU15" s="956">
        <f t="shared" si="7"/>
        <v>6.8597999999999999</v>
      </c>
      <c r="AV15" s="956">
        <f t="shared" si="7"/>
        <v>4</v>
      </c>
      <c r="AW15" s="959">
        <f t="shared" si="7"/>
        <v>2.8597999999999999</v>
      </c>
    </row>
    <row r="16" spans="1:51" ht="12.95" customHeight="1" x14ac:dyDescent="0.25">
      <c r="A16" s="827">
        <v>2</v>
      </c>
      <c r="B16" s="946">
        <v>5451</v>
      </c>
      <c r="C16" s="947">
        <v>600098893</v>
      </c>
      <c r="D16" s="828">
        <v>70939331</v>
      </c>
      <c r="E16" s="948" t="s">
        <v>379</v>
      </c>
      <c r="F16" s="828">
        <v>3111</v>
      </c>
      <c r="G16" s="948" t="s">
        <v>331</v>
      </c>
      <c r="H16" s="831" t="s">
        <v>283</v>
      </c>
      <c r="I16" s="803">
        <f>SUM(J16:M16)</f>
        <v>9931427</v>
      </c>
      <c r="J16" s="833">
        <v>7264342</v>
      </c>
      <c r="K16" s="805">
        <f>ROUND((J16)*33.8%,0)</f>
        <v>2455348</v>
      </c>
      <c r="L16" s="805">
        <f>ROUND(J16*2%,0)</f>
        <v>145287</v>
      </c>
      <c r="M16" s="833">
        <v>66450</v>
      </c>
      <c r="N16" s="834">
        <f>SUM(O16:P16)</f>
        <v>16.701499999999999</v>
      </c>
      <c r="O16" s="1054">
        <v>12</v>
      </c>
      <c r="P16" s="1055">
        <v>4.7015000000000002</v>
      </c>
      <c r="Q16" s="940">
        <f>V16*-1</f>
        <v>-13600</v>
      </c>
      <c r="R16" s="813">
        <v>0</v>
      </c>
      <c r="S16" s="813">
        <v>0</v>
      </c>
      <c r="T16" s="813">
        <v>0</v>
      </c>
      <c r="U16" s="813">
        <f>SUM(Q16:T16)</f>
        <v>-13600</v>
      </c>
      <c r="V16" s="813">
        <v>13600</v>
      </c>
      <c r="W16" s="941">
        <v>0</v>
      </c>
      <c r="X16" s="813">
        <v>0</v>
      </c>
      <c r="Y16" s="813">
        <f>SUM(V16:X16)</f>
        <v>13600</v>
      </c>
      <c r="Z16" s="813">
        <f>U16+Y16</f>
        <v>0</v>
      </c>
      <c r="AA16" s="809">
        <f>ROUND((U16+V16+W16)*33.8%,0)</f>
        <v>0</v>
      </c>
      <c r="AB16" s="809">
        <f>ROUND(U16*2%,0)</f>
        <v>-272</v>
      </c>
      <c r="AC16" s="813">
        <v>0</v>
      </c>
      <c r="AD16" s="813">
        <v>0</v>
      </c>
      <c r="AE16" s="813">
        <f>SUM(AC16:AD16)</f>
        <v>0</v>
      </c>
      <c r="AF16" s="813">
        <f>Z16+AA16+AB16+AE16</f>
        <v>-272</v>
      </c>
      <c r="AG16" s="836">
        <v>0</v>
      </c>
      <c r="AH16" s="836">
        <v>-0.06</v>
      </c>
      <c r="AI16" s="836">
        <v>0</v>
      </c>
      <c r="AJ16" s="836">
        <v>0</v>
      </c>
      <c r="AK16" s="836">
        <v>0</v>
      </c>
      <c r="AL16" s="836">
        <f>AG16+AI16+AJ16</f>
        <v>0</v>
      </c>
      <c r="AM16" s="836">
        <f>AH16+AK16</f>
        <v>-0.06</v>
      </c>
      <c r="AN16" s="949">
        <f>SUM(AL16:AM16)</f>
        <v>-0.06</v>
      </c>
      <c r="AO16" s="945">
        <f t="shared" si="2"/>
        <v>9931155</v>
      </c>
      <c r="AP16" s="813">
        <f t="shared" si="3"/>
        <v>7250742</v>
      </c>
      <c r="AQ16" s="813">
        <f t="shared" si="4"/>
        <v>13600</v>
      </c>
      <c r="AR16" s="813">
        <f t="shared" si="0"/>
        <v>2455348</v>
      </c>
      <c r="AS16" s="813">
        <f t="shared" si="0"/>
        <v>145015</v>
      </c>
      <c r="AT16" s="813">
        <f t="shared" si="5"/>
        <v>66450</v>
      </c>
      <c r="AU16" s="836">
        <f t="shared" si="6"/>
        <v>16.641500000000001</v>
      </c>
      <c r="AV16" s="836">
        <f t="shared" si="1"/>
        <v>12</v>
      </c>
      <c r="AW16" s="837">
        <f t="shared" si="1"/>
        <v>4.6415000000000006</v>
      </c>
    </row>
    <row r="17" spans="1:49" ht="12.95" customHeight="1" x14ac:dyDescent="0.25">
      <c r="A17" s="827">
        <v>2</v>
      </c>
      <c r="B17" s="946">
        <v>5451</v>
      </c>
      <c r="C17" s="947">
        <v>600098893</v>
      </c>
      <c r="D17" s="828">
        <v>70939331</v>
      </c>
      <c r="E17" s="948" t="s">
        <v>379</v>
      </c>
      <c r="F17" s="828">
        <v>3111</v>
      </c>
      <c r="G17" s="948" t="s">
        <v>319</v>
      </c>
      <c r="H17" s="831" t="s">
        <v>283</v>
      </c>
      <c r="I17" s="803">
        <f>SUM(J17:M17)</f>
        <v>496164</v>
      </c>
      <c r="J17" s="833">
        <v>365364</v>
      </c>
      <c r="K17" s="805">
        <f>ROUND((J17)*33.8%,0)</f>
        <v>123493</v>
      </c>
      <c r="L17" s="805">
        <f>ROUND(J17*2%,0)</f>
        <v>7307</v>
      </c>
      <c r="M17" s="833">
        <v>0</v>
      </c>
      <c r="N17" s="834">
        <f>SUM(O17:P17)</f>
        <v>1</v>
      </c>
      <c r="O17" s="1054">
        <v>1</v>
      </c>
      <c r="P17" s="1055">
        <v>0</v>
      </c>
      <c r="Q17" s="940">
        <f>V17*-1</f>
        <v>0</v>
      </c>
      <c r="R17" s="813">
        <v>0</v>
      </c>
      <c r="S17" s="813">
        <v>0</v>
      </c>
      <c r="T17" s="813">
        <v>0</v>
      </c>
      <c r="U17" s="813">
        <f>SUM(Q17:T17)</f>
        <v>0</v>
      </c>
      <c r="V17" s="813">
        <v>0</v>
      </c>
      <c r="W17" s="941">
        <v>0</v>
      </c>
      <c r="X17" s="813">
        <v>0</v>
      </c>
      <c r="Y17" s="813">
        <f>SUM(V17:X17)</f>
        <v>0</v>
      </c>
      <c r="Z17" s="813">
        <f>U17+Y17</f>
        <v>0</v>
      </c>
      <c r="AA17" s="809">
        <f>ROUND((U17+V17+W17)*33.8%,0)</f>
        <v>0</v>
      </c>
      <c r="AB17" s="809">
        <f>ROUND(U17*2%,0)</f>
        <v>0</v>
      </c>
      <c r="AC17" s="813">
        <v>0</v>
      </c>
      <c r="AD17" s="813">
        <v>0</v>
      </c>
      <c r="AE17" s="813">
        <f>SUM(AC17:AD17)</f>
        <v>0</v>
      </c>
      <c r="AF17" s="813">
        <f>Z17+AA17+AB17+AE17</f>
        <v>0</v>
      </c>
      <c r="AG17" s="836">
        <v>0</v>
      </c>
      <c r="AH17" s="836">
        <v>0</v>
      </c>
      <c r="AI17" s="836">
        <v>0</v>
      </c>
      <c r="AJ17" s="836">
        <v>0</v>
      </c>
      <c r="AK17" s="836">
        <v>0</v>
      </c>
      <c r="AL17" s="836">
        <f>AG17+AI17+AJ17</f>
        <v>0</v>
      </c>
      <c r="AM17" s="836">
        <f>AH17+AK17</f>
        <v>0</v>
      </c>
      <c r="AN17" s="949">
        <f>SUM(AL17:AM17)</f>
        <v>0</v>
      </c>
      <c r="AO17" s="945">
        <f t="shared" si="2"/>
        <v>496164</v>
      </c>
      <c r="AP17" s="813">
        <f t="shared" si="3"/>
        <v>365364</v>
      </c>
      <c r="AQ17" s="813">
        <f t="shared" si="4"/>
        <v>0</v>
      </c>
      <c r="AR17" s="813">
        <f t="shared" si="0"/>
        <v>123493</v>
      </c>
      <c r="AS17" s="813">
        <f t="shared" si="0"/>
        <v>7307</v>
      </c>
      <c r="AT17" s="813">
        <f t="shared" si="5"/>
        <v>0</v>
      </c>
      <c r="AU17" s="836">
        <f t="shared" si="6"/>
        <v>1</v>
      </c>
      <c r="AV17" s="836">
        <f t="shared" si="1"/>
        <v>1</v>
      </c>
      <c r="AW17" s="837">
        <f t="shared" si="1"/>
        <v>0</v>
      </c>
    </row>
    <row r="18" spans="1:49" ht="12.95" customHeight="1" x14ac:dyDescent="0.25">
      <c r="A18" s="827">
        <v>2</v>
      </c>
      <c r="B18" s="946">
        <v>5451</v>
      </c>
      <c r="C18" s="947">
        <v>600098893</v>
      </c>
      <c r="D18" s="828">
        <v>70939331</v>
      </c>
      <c r="E18" s="948" t="s">
        <v>379</v>
      </c>
      <c r="F18" s="828">
        <v>3141</v>
      </c>
      <c r="G18" s="948" t="s">
        <v>321</v>
      </c>
      <c r="H18" s="831" t="s">
        <v>284</v>
      </c>
      <c r="I18" s="803">
        <f>SUM(J18:M18)</f>
        <v>1444361</v>
      </c>
      <c r="J18" s="833">
        <v>1057724</v>
      </c>
      <c r="K18" s="805">
        <f>ROUND((J18)*33.8%,0)</f>
        <v>357511</v>
      </c>
      <c r="L18" s="805">
        <f>ROUND(J18*2%,0)</f>
        <v>21154</v>
      </c>
      <c r="M18" s="833">
        <v>7972</v>
      </c>
      <c r="N18" s="834">
        <f>SUM(O18:P18)</f>
        <v>3.59</v>
      </c>
      <c r="O18" s="1054">
        <v>0</v>
      </c>
      <c r="P18" s="1055">
        <v>3.59</v>
      </c>
      <c r="Q18" s="940">
        <f>V18*-1</f>
        <v>0</v>
      </c>
      <c r="R18" s="813">
        <v>0</v>
      </c>
      <c r="S18" s="813">
        <v>0</v>
      </c>
      <c r="T18" s="813">
        <v>0</v>
      </c>
      <c r="U18" s="813">
        <f>SUM(Q18:T18)</f>
        <v>0</v>
      </c>
      <c r="V18" s="813">
        <v>0</v>
      </c>
      <c r="W18" s="941">
        <v>0</v>
      </c>
      <c r="X18" s="813">
        <v>0</v>
      </c>
      <c r="Y18" s="813">
        <f>SUM(V18:X18)</f>
        <v>0</v>
      </c>
      <c r="Z18" s="813">
        <f>U18+Y18</f>
        <v>0</v>
      </c>
      <c r="AA18" s="809">
        <f>ROUND((U18+V18+W18)*33.8%,0)</f>
        <v>0</v>
      </c>
      <c r="AB18" s="809">
        <f>ROUND(U18*2%,0)</f>
        <v>0</v>
      </c>
      <c r="AC18" s="813">
        <v>0</v>
      </c>
      <c r="AD18" s="813">
        <v>0</v>
      </c>
      <c r="AE18" s="813">
        <f>SUM(AC18:AD18)</f>
        <v>0</v>
      </c>
      <c r="AF18" s="813">
        <f>Z18+AA18+AB18+AE18</f>
        <v>0</v>
      </c>
      <c r="AG18" s="836">
        <v>0</v>
      </c>
      <c r="AH18" s="836">
        <v>0</v>
      </c>
      <c r="AI18" s="836">
        <v>0</v>
      </c>
      <c r="AJ18" s="836">
        <v>0</v>
      </c>
      <c r="AK18" s="836">
        <v>0</v>
      </c>
      <c r="AL18" s="836">
        <f>AG18+AI18+AJ18</f>
        <v>0</v>
      </c>
      <c r="AM18" s="836">
        <f>AH18+AK18</f>
        <v>0</v>
      </c>
      <c r="AN18" s="949">
        <f>SUM(AL18:AM18)</f>
        <v>0</v>
      </c>
      <c r="AO18" s="945">
        <f t="shared" si="2"/>
        <v>1444361</v>
      </c>
      <c r="AP18" s="813">
        <f t="shared" si="3"/>
        <v>1057724</v>
      </c>
      <c r="AQ18" s="813">
        <f t="shared" si="4"/>
        <v>0</v>
      </c>
      <c r="AR18" s="813">
        <f t="shared" si="0"/>
        <v>357511</v>
      </c>
      <c r="AS18" s="813">
        <f t="shared" si="0"/>
        <v>21154</v>
      </c>
      <c r="AT18" s="813">
        <f t="shared" si="5"/>
        <v>7972</v>
      </c>
      <c r="AU18" s="836">
        <f t="shared" si="6"/>
        <v>3.59</v>
      </c>
      <c r="AV18" s="836">
        <f t="shared" si="1"/>
        <v>0</v>
      </c>
      <c r="AW18" s="837">
        <f t="shared" si="1"/>
        <v>3.59</v>
      </c>
    </row>
    <row r="19" spans="1:49" ht="12.95" customHeight="1" x14ac:dyDescent="0.25">
      <c r="A19" s="950">
        <v>2</v>
      </c>
      <c r="B19" s="951">
        <v>5451</v>
      </c>
      <c r="C19" s="952">
        <v>600098893</v>
      </c>
      <c r="D19" s="951">
        <v>70939331</v>
      </c>
      <c r="E19" s="953" t="s">
        <v>380</v>
      </c>
      <c r="F19" s="816"/>
      <c r="G19" s="953"/>
      <c r="H19" s="842"/>
      <c r="I19" s="954">
        <f t="shared" ref="I19:AW19" si="8">SUM(I16:I18)</f>
        <v>11871952</v>
      </c>
      <c r="J19" s="955">
        <f t="shared" si="8"/>
        <v>8687430</v>
      </c>
      <c r="K19" s="955">
        <f t="shared" si="8"/>
        <v>2936352</v>
      </c>
      <c r="L19" s="955">
        <f t="shared" si="8"/>
        <v>173748</v>
      </c>
      <c r="M19" s="955">
        <f t="shared" si="8"/>
        <v>74422</v>
      </c>
      <c r="N19" s="956">
        <f t="shared" si="8"/>
        <v>21.291499999999999</v>
      </c>
      <c r="O19" s="956">
        <f t="shared" si="8"/>
        <v>13</v>
      </c>
      <c r="P19" s="959">
        <f t="shared" si="8"/>
        <v>8.2914999999999992</v>
      </c>
      <c r="Q19" s="957">
        <f t="shared" si="8"/>
        <v>-13600</v>
      </c>
      <c r="R19" s="955">
        <f t="shared" si="8"/>
        <v>0</v>
      </c>
      <c r="S19" s="955">
        <f t="shared" si="8"/>
        <v>0</v>
      </c>
      <c r="T19" s="955">
        <f t="shared" si="8"/>
        <v>0</v>
      </c>
      <c r="U19" s="955">
        <f t="shared" si="8"/>
        <v>-13600</v>
      </c>
      <c r="V19" s="955">
        <f t="shared" si="8"/>
        <v>13600</v>
      </c>
      <c r="W19" s="955">
        <f t="shared" si="8"/>
        <v>0</v>
      </c>
      <c r="X19" s="955">
        <f t="shared" si="8"/>
        <v>0</v>
      </c>
      <c r="Y19" s="955">
        <f t="shared" si="8"/>
        <v>13600</v>
      </c>
      <c r="Z19" s="955">
        <f t="shared" si="8"/>
        <v>0</v>
      </c>
      <c r="AA19" s="955">
        <f t="shared" si="8"/>
        <v>0</v>
      </c>
      <c r="AB19" s="955">
        <f t="shared" si="8"/>
        <v>-272</v>
      </c>
      <c r="AC19" s="955">
        <f t="shared" si="8"/>
        <v>0</v>
      </c>
      <c r="AD19" s="955">
        <f t="shared" si="8"/>
        <v>0</v>
      </c>
      <c r="AE19" s="955">
        <f t="shared" si="8"/>
        <v>0</v>
      </c>
      <c r="AF19" s="955">
        <f t="shared" si="8"/>
        <v>-272</v>
      </c>
      <c r="AG19" s="956">
        <f t="shared" si="8"/>
        <v>0</v>
      </c>
      <c r="AH19" s="956">
        <f t="shared" si="8"/>
        <v>-0.06</v>
      </c>
      <c r="AI19" s="956">
        <f t="shared" si="8"/>
        <v>0</v>
      </c>
      <c r="AJ19" s="956">
        <f t="shared" si="8"/>
        <v>0</v>
      </c>
      <c r="AK19" s="956">
        <f t="shared" si="8"/>
        <v>0</v>
      </c>
      <c r="AL19" s="956">
        <f t="shared" si="8"/>
        <v>0</v>
      </c>
      <c r="AM19" s="956">
        <f t="shared" si="8"/>
        <v>-0.06</v>
      </c>
      <c r="AN19" s="958">
        <f t="shared" si="8"/>
        <v>-0.06</v>
      </c>
      <c r="AO19" s="954">
        <f t="shared" si="8"/>
        <v>11871680</v>
      </c>
      <c r="AP19" s="955">
        <f t="shared" si="8"/>
        <v>8673830</v>
      </c>
      <c r="AQ19" s="955">
        <f t="shared" si="8"/>
        <v>13600</v>
      </c>
      <c r="AR19" s="955">
        <f t="shared" si="8"/>
        <v>2936352</v>
      </c>
      <c r="AS19" s="955">
        <f t="shared" si="8"/>
        <v>173476</v>
      </c>
      <c r="AT19" s="955">
        <f t="shared" si="8"/>
        <v>74422</v>
      </c>
      <c r="AU19" s="956">
        <f t="shared" si="8"/>
        <v>21.2315</v>
      </c>
      <c r="AV19" s="956">
        <f t="shared" si="8"/>
        <v>13</v>
      </c>
      <c r="AW19" s="959">
        <f t="shared" si="8"/>
        <v>8.2315000000000005</v>
      </c>
    </row>
    <row r="20" spans="1:49" ht="12.95" customHeight="1" x14ac:dyDescent="0.25">
      <c r="A20" s="827">
        <v>3</v>
      </c>
      <c r="B20" s="946">
        <v>5450</v>
      </c>
      <c r="C20" s="947">
        <v>600098834</v>
      </c>
      <c r="D20" s="828">
        <v>70939322</v>
      </c>
      <c r="E20" s="948" t="s">
        <v>830</v>
      </c>
      <c r="F20" s="828">
        <v>3111</v>
      </c>
      <c r="G20" s="948" t="s">
        <v>331</v>
      </c>
      <c r="H20" s="831" t="s">
        <v>283</v>
      </c>
      <c r="I20" s="803">
        <f>SUM(J20:M20)</f>
        <v>5903363</v>
      </c>
      <c r="J20" s="833">
        <v>4321917</v>
      </c>
      <c r="K20" s="805">
        <f>ROUND((J20)*33.8%,0)</f>
        <v>1460808</v>
      </c>
      <c r="L20" s="805">
        <f>ROUND(J20*2%,0)</f>
        <v>86438</v>
      </c>
      <c r="M20" s="833">
        <v>34200</v>
      </c>
      <c r="N20" s="834">
        <f>SUM(O20:P20)</f>
        <v>10.4682</v>
      </c>
      <c r="O20" s="1054">
        <v>7.4</v>
      </c>
      <c r="P20" s="1055">
        <v>3.0682</v>
      </c>
      <c r="Q20" s="940">
        <f>V20*-1</f>
        <v>-20000</v>
      </c>
      <c r="R20" s="813">
        <v>0</v>
      </c>
      <c r="S20" s="813">
        <v>0</v>
      </c>
      <c r="T20" s="813">
        <v>0</v>
      </c>
      <c r="U20" s="813">
        <f>SUM(Q20:T20)</f>
        <v>-20000</v>
      </c>
      <c r="V20" s="813">
        <v>20000</v>
      </c>
      <c r="W20" s="941">
        <v>0</v>
      </c>
      <c r="X20" s="813">
        <v>0</v>
      </c>
      <c r="Y20" s="813">
        <f>SUM(V20:X20)</f>
        <v>20000</v>
      </c>
      <c r="Z20" s="813">
        <f>U20+Y20</f>
        <v>0</v>
      </c>
      <c r="AA20" s="809">
        <f>ROUND((U20+V20+W20)*33.8%,0)</f>
        <v>0</v>
      </c>
      <c r="AB20" s="809">
        <f>ROUND(U20*2%,0)</f>
        <v>-400</v>
      </c>
      <c r="AC20" s="813">
        <v>0</v>
      </c>
      <c r="AD20" s="813">
        <v>0</v>
      </c>
      <c r="AE20" s="813">
        <f>SUM(AC20:AD20)</f>
        <v>0</v>
      </c>
      <c r="AF20" s="813">
        <f>Z20+AA20+AB20+AE20</f>
        <v>-400</v>
      </c>
      <c r="AG20" s="836">
        <v>-0.03</v>
      </c>
      <c r="AH20" s="836">
        <v>0</v>
      </c>
      <c r="AI20" s="836">
        <v>0</v>
      </c>
      <c r="AJ20" s="836">
        <v>0</v>
      </c>
      <c r="AK20" s="836">
        <v>0</v>
      </c>
      <c r="AL20" s="836">
        <f>AG20+AI20+AJ20</f>
        <v>-0.03</v>
      </c>
      <c r="AM20" s="836">
        <f>AH20+AK20</f>
        <v>0</v>
      </c>
      <c r="AN20" s="949">
        <f>SUM(AL20:AM20)</f>
        <v>-0.03</v>
      </c>
      <c r="AO20" s="945">
        <f t="shared" si="2"/>
        <v>5902963</v>
      </c>
      <c r="AP20" s="813">
        <f t="shared" si="3"/>
        <v>4301917</v>
      </c>
      <c r="AQ20" s="813">
        <f t="shared" si="4"/>
        <v>20000</v>
      </c>
      <c r="AR20" s="813">
        <f t="shared" si="0"/>
        <v>1460808</v>
      </c>
      <c r="AS20" s="813">
        <f t="shared" si="0"/>
        <v>86038</v>
      </c>
      <c r="AT20" s="813">
        <f t="shared" si="5"/>
        <v>34200</v>
      </c>
      <c r="AU20" s="836">
        <f t="shared" si="6"/>
        <v>10.4382</v>
      </c>
      <c r="AV20" s="836">
        <f t="shared" si="1"/>
        <v>7.37</v>
      </c>
      <c r="AW20" s="837">
        <f t="shared" si="1"/>
        <v>3.0682</v>
      </c>
    </row>
    <row r="21" spans="1:49" ht="12.95" customHeight="1" x14ac:dyDescent="0.25">
      <c r="A21" s="827">
        <v>3</v>
      </c>
      <c r="B21" s="946">
        <v>5450</v>
      </c>
      <c r="C21" s="947">
        <v>600098834</v>
      </c>
      <c r="D21" s="828">
        <v>70939322</v>
      </c>
      <c r="E21" s="948" t="s">
        <v>833</v>
      </c>
      <c r="F21" s="828">
        <v>3111</v>
      </c>
      <c r="G21" s="948" t="s">
        <v>325</v>
      </c>
      <c r="H21" s="831" t="s">
        <v>284</v>
      </c>
      <c r="I21" s="803">
        <f>SUM(J21:M21)</f>
        <v>0</v>
      </c>
      <c r="J21" s="833">
        <v>0</v>
      </c>
      <c r="K21" s="805">
        <v>0</v>
      </c>
      <c r="L21" s="805">
        <v>0</v>
      </c>
      <c r="M21" s="833">
        <v>0</v>
      </c>
      <c r="N21" s="834">
        <f>SUM(O21:P21)</f>
        <v>0</v>
      </c>
      <c r="O21" s="1054">
        <v>0</v>
      </c>
      <c r="P21" s="1055">
        <v>0</v>
      </c>
      <c r="Q21" s="940">
        <f>V21*-1</f>
        <v>0</v>
      </c>
      <c r="R21" s="833">
        <f>394564+19280</f>
        <v>413844</v>
      </c>
      <c r="S21" s="813">
        <v>0</v>
      </c>
      <c r="T21" s="813">
        <v>0</v>
      </c>
      <c r="U21" s="813">
        <f>SUM(Q21:T21)</f>
        <v>413844</v>
      </c>
      <c r="V21" s="813">
        <v>0</v>
      </c>
      <c r="W21" s="941">
        <v>0</v>
      </c>
      <c r="X21" s="813">
        <v>0</v>
      </c>
      <c r="Y21" s="813">
        <f>SUM(V21:X21)</f>
        <v>0</v>
      </c>
      <c r="Z21" s="813">
        <f>U21+Y21</f>
        <v>413844</v>
      </c>
      <c r="AA21" s="809">
        <f>ROUND((U21+V21+W21)*33.8%,0)</f>
        <v>139879</v>
      </c>
      <c r="AB21" s="809">
        <f>ROUND(U21*2%,0)</f>
        <v>8277</v>
      </c>
      <c r="AC21" s="833">
        <v>3000</v>
      </c>
      <c r="AD21" s="813">
        <v>0</v>
      </c>
      <c r="AE21" s="813">
        <f>SUM(AC21:AD21)</f>
        <v>3000</v>
      </c>
      <c r="AF21" s="813">
        <f>Z21+AA21+AB21+AE21</f>
        <v>565000</v>
      </c>
      <c r="AG21" s="836">
        <v>0</v>
      </c>
      <c r="AH21" s="836">
        <v>0</v>
      </c>
      <c r="AI21" s="836">
        <f>1.13+0.04</f>
        <v>1.17</v>
      </c>
      <c r="AJ21" s="836">
        <v>0</v>
      </c>
      <c r="AK21" s="836">
        <v>0</v>
      </c>
      <c r="AL21" s="836">
        <f>AG21+AI21+AJ21</f>
        <v>1.17</v>
      </c>
      <c r="AM21" s="836">
        <f>AH21+AK21</f>
        <v>0</v>
      </c>
      <c r="AN21" s="949">
        <f>SUM(AL21:AM21)</f>
        <v>1.17</v>
      </c>
      <c r="AO21" s="945">
        <f t="shared" si="2"/>
        <v>565000</v>
      </c>
      <c r="AP21" s="813">
        <f t="shared" si="3"/>
        <v>413844</v>
      </c>
      <c r="AQ21" s="813">
        <f t="shared" si="4"/>
        <v>0</v>
      </c>
      <c r="AR21" s="813">
        <f t="shared" si="0"/>
        <v>139879</v>
      </c>
      <c r="AS21" s="813">
        <f t="shared" si="0"/>
        <v>8277</v>
      </c>
      <c r="AT21" s="813">
        <f t="shared" si="5"/>
        <v>3000</v>
      </c>
      <c r="AU21" s="836">
        <f t="shared" si="6"/>
        <v>1.17</v>
      </c>
      <c r="AV21" s="836">
        <f t="shared" si="1"/>
        <v>1.17</v>
      </c>
      <c r="AW21" s="837">
        <f t="shared" si="1"/>
        <v>0</v>
      </c>
    </row>
    <row r="22" spans="1:49" ht="12.95" customHeight="1" x14ac:dyDescent="0.25">
      <c r="A22" s="827">
        <v>3</v>
      </c>
      <c r="B22" s="946">
        <v>5450</v>
      </c>
      <c r="C22" s="947">
        <v>600098834</v>
      </c>
      <c r="D22" s="828">
        <v>70939322</v>
      </c>
      <c r="E22" s="948" t="s">
        <v>830</v>
      </c>
      <c r="F22" s="828">
        <v>3141</v>
      </c>
      <c r="G22" s="948" t="s">
        <v>321</v>
      </c>
      <c r="H22" s="831" t="s">
        <v>284</v>
      </c>
      <c r="I22" s="803">
        <f>SUM(J22:M22)</f>
        <v>792871</v>
      </c>
      <c r="J22" s="833">
        <v>580990</v>
      </c>
      <c r="K22" s="805">
        <f>ROUND((J22)*33.8%,0)</f>
        <v>196375</v>
      </c>
      <c r="L22" s="805">
        <f>ROUND(J22*2%,0)</f>
        <v>11620</v>
      </c>
      <c r="M22" s="833">
        <v>3886</v>
      </c>
      <c r="N22" s="834">
        <f>SUM(O22:P22)</f>
        <v>1.97</v>
      </c>
      <c r="O22" s="1054">
        <v>0</v>
      </c>
      <c r="P22" s="1055">
        <v>1.97</v>
      </c>
      <c r="Q22" s="940">
        <f>V22*-1</f>
        <v>0</v>
      </c>
      <c r="R22" s="813">
        <v>0</v>
      </c>
      <c r="S22" s="813">
        <v>0</v>
      </c>
      <c r="T22" s="813">
        <v>0</v>
      </c>
      <c r="U22" s="813">
        <f>SUM(Q22:T22)</f>
        <v>0</v>
      </c>
      <c r="V22" s="813">
        <v>0</v>
      </c>
      <c r="W22" s="941">
        <v>0</v>
      </c>
      <c r="X22" s="813">
        <v>0</v>
      </c>
      <c r="Y22" s="813">
        <f>SUM(V22:X22)</f>
        <v>0</v>
      </c>
      <c r="Z22" s="813">
        <f>U22+Y22</f>
        <v>0</v>
      </c>
      <c r="AA22" s="809">
        <f>ROUND((U22+V22+W22)*33.8%,0)</f>
        <v>0</v>
      </c>
      <c r="AB22" s="809">
        <f>ROUND(U22*2%,0)</f>
        <v>0</v>
      </c>
      <c r="AC22" s="813">
        <v>0</v>
      </c>
      <c r="AD22" s="813">
        <v>0</v>
      </c>
      <c r="AE22" s="813">
        <f>SUM(AC22:AD22)</f>
        <v>0</v>
      </c>
      <c r="AF22" s="813">
        <f>Z22+AA22+AB22+AE22</f>
        <v>0</v>
      </c>
      <c r="AG22" s="836">
        <v>0</v>
      </c>
      <c r="AH22" s="836">
        <v>0</v>
      </c>
      <c r="AI22" s="836">
        <v>0</v>
      </c>
      <c r="AJ22" s="836">
        <v>0</v>
      </c>
      <c r="AK22" s="836">
        <v>0</v>
      </c>
      <c r="AL22" s="836">
        <f>AG22+AI22+AJ22</f>
        <v>0</v>
      </c>
      <c r="AM22" s="836">
        <f>AH22+AK22</f>
        <v>0</v>
      </c>
      <c r="AN22" s="949">
        <f>SUM(AL22:AM22)</f>
        <v>0</v>
      </c>
      <c r="AO22" s="945">
        <f t="shared" si="2"/>
        <v>792871</v>
      </c>
      <c r="AP22" s="813">
        <f t="shared" si="3"/>
        <v>580990</v>
      </c>
      <c r="AQ22" s="813">
        <f t="shared" si="4"/>
        <v>0</v>
      </c>
      <c r="AR22" s="813">
        <f t="shared" si="0"/>
        <v>196375</v>
      </c>
      <c r="AS22" s="813">
        <f t="shared" si="0"/>
        <v>11620</v>
      </c>
      <c r="AT22" s="813">
        <f t="shared" si="5"/>
        <v>3886</v>
      </c>
      <c r="AU22" s="836">
        <f t="shared" si="6"/>
        <v>1.97</v>
      </c>
      <c r="AV22" s="836">
        <f t="shared" si="1"/>
        <v>0</v>
      </c>
      <c r="AW22" s="837">
        <f t="shared" si="1"/>
        <v>1.97</v>
      </c>
    </row>
    <row r="23" spans="1:49" ht="12.95" customHeight="1" x14ac:dyDescent="0.25">
      <c r="A23" s="950">
        <v>3</v>
      </c>
      <c r="B23" s="951">
        <v>5450</v>
      </c>
      <c r="C23" s="952">
        <v>600098834</v>
      </c>
      <c r="D23" s="951">
        <v>70939322</v>
      </c>
      <c r="E23" s="953" t="s">
        <v>381</v>
      </c>
      <c r="F23" s="850"/>
      <c r="G23" s="960"/>
      <c r="H23" s="851"/>
      <c r="I23" s="954">
        <f t="shared" ref="I23:AW23" si="9">SUM(I20:I22)</f>
        <v>6696234</v>
      </c>
      <c r="J23" s="955">
        <f t="shared" si="9"/>
        <v>4902907</v>
      </c>
      <c r="K23" s="955">
        <f t="shared" si="9"/>
        <v>1657183</v>
      </c>
      <c r="L23" s="955">
        <f t="shared" si="9"/>
        <v>98058</v>
      </c>
      <c r="M23" s="955">
        <f t="shared" si="9"/>
        <v>38086</v>
      </c>
      <c r="N23" s="956">
        <f t="shared" si="9"/>
        <v>12.4382</v>
      </c>
      <c r="O23" s="956">
        <f t="shared" si="9"/>
        <v>7.4</v>
      </c>
      <c r="P23" s="959">
        <f t="shared" si="9"/>
        <v>5.0381999999999998</v>
      </c>
      <c r="Q23" s="957">
        <f t="shared" si="9"/>
        <v>-20000</v>
      </c>
      <c r="R23" s="955">
        <f t="shared" si="9"/>
        <v>413844</v>
      </c>
      <c r="S23" s="955">
        <f t="shared" si="9"/>
        <v>0</v>
      </c>
      <c r="T23" s="955">
        <f t="shared" si="9"/>
        <v>0</v>
      </c>
      <c r="U23" s="955">
        <f t="shared" si="9"/>
        <v>393844</v>
      </c>
      <c r="V23" s="955">
        <f t="shared" si="9"/>
        <v>20000</v>
      </c>
      <c r="W23" s="955">
        <f t="shared" si="9"/>
        <v>0</v>
      </c>
      <c r="X23" s="955">
        <f t="shared" si="9"/>
        <v>0</v>
      </c>
      <c r="Y23" s="955">
        <f t="shared" si="9"/>
        <v>20000</v>
      </c>
      <c r="Z23" s="955">
        <f t="shared" si="9"/>
        <v>413844</v>
      </c>
      <c r="AA23" s="955">
        <f t="shared" si="9"/>
        <v>139879</v>
      </c>
      <c r="AB23" s="955">
        <f t="shared" si="9"/>
        <v>7877</v>
      </c>
      <c r="AC23" s="955">
        <f t="shared" si="9"/>
        <v>3000</v>
      </c>
      <c r="AD23" s="955">
        <f t="shared" si="9"/>
        <v>0</v>
      </c>
      <c r="AE23" s="955">
        <f t="shared" si="9"/>
        <v>3000</v>
      </c>
      <c r="AF23" s="955">
        <f t="shared" si="9"/>
        <v>564600</v>
      </c>
      <c r="AG23" s="956">
        <f t="shared" si="9"/>
        <v>-0.03</v>
      </c>
      <c r="AH23" s="956">
        <f t="shared" si="9"/>
        <v>0</v>
      </c>
      <c r="AI23" s="956">
        <f t="shared" si="9"/>
        <v>1.17</v>
      </c>
      <c r="AJ23" s="956">
        <f t="shared" si="9"/>
        <v>0</v>
      </c>
      <c r="AK23" s="956">
        <f t="shared" si="9"/>
        <v>0</v>
      </c>
      <c r="AL23" s="956">
        <f t="shared" si="9"/>
        <v>1.1399999999999999</v>
      </c>
      <c r="AM23" s="956">
        <f t="shared" si="9"/>
        <v>0</v>
      </c>
      <c r="AN23" s="958">
        <f t="shared" si="9"/>
        <v>1.1399999999999999</v>
      </c>
      <c r="AO23" s="954">
        <f t="shared" si="9"/>
        <v>7260834</v>
      </c>
      <c r="AP23" s="955">
        <f t="shared" si="9"/>
        <v>5296751</v>
      </c>
      <c r="AQ23" s="955">
        <f t="shared" si="9"/>
        <v>20000</v>
      </c>
      <c r="AR23" s="955">
        <f t="shared" si="9"/>
        <v>1797062</v>
      </c>
      <c r="AS23" s="955">
        <f t="shared" si="9"/>
        <v>105935</v>
      </c>
      <c r="AT23" s="955">
        <f t="shared" si="9"/>
        <v>41086</v>
      </c>
      <c r="AU23" s="956">
        <f t="shared" si="9"/>
        <v>13.578200000000001</v>
      </c>
      <c r="AV23" s="956">
        <f t="shared" si="9"/>
        <v>8.5399999999999991</v>
      </c>
      <c r="AW23" s="959">
        <f t="shared" si="9"/>
        <v>5.0381999999999998</v>
      </c>
    </row>
    <row r="24" spans="1:49" ht="12.95" customHeight="1" x14ac:dyDescent="0.25">
      <c r="A24" s="827">
        <v>5</v>
      </c>
      <c r="B24" s="946">
        <v>5447</v>
      </c>
      <c r="C24" s="961">
        <v>600099512</v>
      </c>
      <c r="D24" s="828">
        <v>854816</v>
      </c>
      <c r="E24" s="948" t="s">
        <v>382</v>
      </c>
      <c r="F24" s="828">
        <v>3233</v>
      </c>
      <c r="G24" s="948" t="s">
        <v>324</v>
      </c>
      <c r="H24" s="831" t="s">
        <v>284</v>
      </c>
      <c r="I24" s="803">
        <f>SUM(J24:M24)</f>
        <v>3293236</v>
      </c>
      <c r="J24" s="833">
        <v>2402666</v>
      </c>
      <c r="K24" s="805">
        <f>ROUND((J24)*33.8%,0)</f>
        <v>812101</v>
      </c>
      <c r="L24" s="805">
        <f>ROUND(J24*2%,0)</f>
        <v>48053</v>
      </c>
      <c r="M24" s="833">
        <v>30416</v>
      </c>
      <c r="N24" s="834">
        <f>SUM(O24:P24)</f>
        <v>5.52</v>
      </c>
      <c r="O24" s="1054">
        <v>3.63</v>
      </c>
      <c r="P24" s="1055">
        <v>1.89</v>
      </c>
      <c r="Q24" s="940">
        <f>V24*-1</f>
        <v>-16000</v>
      </c>
      <c r="R24" s="813">
        <v>0</v>
      </c>
      <c r="S24" s="813">
        <v>0</v>
      </c>
      <c r="T24" s="813">
        <v>0</v>
      </c>
      <c r="U24" s="813">
        <f>SUM(Q24:T24)</f>
        <v>-16000</v>
      </c>
      <c r="V24" s="813">
        <v>16000</v>
      </c>
      <c r="W24" s="941">
        <v>0</v>
      </c>
      <c r="X24" s="813">
        <v>0</v>
      </c>
      <c r="Y24" s="813">
        <f>SUM(V24:X24)</f>
        <v>16000</v>
      </c>
      <c r="Z24" s="813">
        <f>U24+Y24</f>
        <v>0</v>
      </c>
      <c r="AA24" s="809">
        <f>ROUND((U24+V24+W24)*33.8%,0)</f>
        <v>0</v>
      </c>
      <c r="AB24" s="809">
        <f>ROUND(U24*2%,0)</f>
        <v>-320</v>
      </c>
      <c r="AC24" s="813">
        <v>0</v>
      </c>
      <c r="AD24" s="813">
        <v>0</v>
      </c>
      <c r="AE24" s="813">
        <f>SUM(AC24:AD24)</f>
        <v>0</v>
      </c>
      <c r="AF24" s="813">
        <f>Z24+AA24+AB24+AE24</f>
        <v>-320</v>
      </c>
      <c r="AG24" s="836">
        <v>-0.02</v>
      </c>
      <c r="AH24" s="836">
        <v>-0.01</v>
      </c>
      <c r="AI24" s="836">
        <v>0</v>
      </c>
      <c r="AJ24" s="836">
        <v>0</v>
      </c>
      <c r="AK24" s="836">
        <v>0</v>
      </c>
      <c r="AL24" s="836">
        <f>AG24+AI24+AJ24</f>
        <v>-0.02</v>
      </c>
      <c r="AM24" s="836">
        <f>AH24+AK24</f>
        <v>-0.01</v>
      </c>
      <c r="AN24" s="949">
        <f>SUM(AL24:AM24)</f>
        <v>-0.03</v>
      </c>
      <c r="AO24" s="945">
        <f t="shared" si="2"/>
        <v>3292916</v>
      </c>
      <c r="AP24" s="813">
        <f t="shared" si="3"/>
        <v>2386666</v>
      </c>
      <c r="AQ24" s="813">
        <f t="shared" si="4"/>
        <v>16000</v>
      </c>
      <c r="AR24" s="813">
        <f t="shared" si="0"/>
        <v>812101</v>
      </c>
      <c r="AS24" s="813">
        <f t="shared" si="0"/>
        <v>47733</v>
      </c>
      <c r="AT24" s="813">
        <f t="shared" si="5"/>
        <v>30416</v>
      </c>
      <c r="AU24" s="836">
        <f t="shared" si="6"/>
        <v>5.4899999999999993</v>
      </c>
      <c r="AV24" s="836">
        <f t="shared" si="1"/>
        <v>3.61</v>
      </c>
      <c r="AW24" s="837">
        <f t="shared" si="1"/>
        <v>1.88</v>
      </c>
    </row>
    <row r="25" spans="1:49" ht="12.95" customHeight="1" x14ac:dyDescent="0.25">
      <c r="A25" s="950">
        <v>5</v>
      </c>
      <c r="B25" s="951">
        <v>5447</v>
      </c>
      <c r="C25" s="952">
        <v>600099512</v>
      </c>
      <c r="D25" s="951">
        <v>854816</v>
      </c>
      <c r="E25" s="953" t="s">
        <v>383</v>
      </c>
      <c r="F25" s="850"/>
      <c r="G25" s="960"/>
      <c r="H25" s="851"/>
      <c r="I25" s="954">
        <f t="shared" ref="I25:AW25" si="10">SUM(I24)</f>
        <v>3293236</v>
      </c>
      <c r="J25" s="955">
        <f t="shared" si="10"/>
        <v>2402666</v>
      </c>
      <c r="K25" s="955">
        <f t="shared" si="10"/>
        <v>812101</v>
      </c>
      <c r="L25" s="955">
        <f t="shared" si="10"/>
        <v>48053</v>
      </c>
      <c r="M25" s="955">
        <f t="shared" si="10"/>
        <v>30416</v>
      </c>
      <c r="N25" s="956">
        <f t="shared" si="10"/>
        <v>5.52</v>
      </c>
      <c r="O25" s="956">
        <f t="shared" si="10"/>
        <v>3.63</v>
      </c>
      <c r="P25" s="959">
        <f t="shared" si="10"/>
        <v>1.89</v>
      </c>
      <c r="Q25" s="957">
        <f t="shared" si="10"/>
        <v>-16000</v>
      </c>
      <c r="R25" s="955">
        <f t="shared" si="10"/>
        <v>0</v>
      </c>
      <c r="S25" s="955">
        <f t="shared" si="10"/>
        <v>0</v>
      </c>
      <c r="T25" s="955">
        <f t="shared" si="10"/>
        <v>0</v>
      </c>
      <c r="U25" s="955">
        <f t="shared" si="10"/>
        <v>-16000</v>
      </c>
      <c r="V25" s="955">
        <f t="shared" si="10"/>
        <v>16000</v>
      </c>
      <c r="W25" s="955">
        <f t="shared" si="10"/>
        <v>0</v>
      </c>
      <c r="X25" s="955">
        <f t="shared" si="10"/>
        <v>0</v>
      </c>
      <c r="Y25" s="955">
        <f t="shared" si="10"/>
        <v>16000</v>
      </c>
      <c r="Z25" s="955">
        <f t="shared" si="10"/>
        <v>0</v>
      </c>
      <c r="AA25" s="955">
        <f t="shared" si="10"/>
        <v>0</v>
      </c>
      <c r="AB25" s="955">
        <f t="shared" si="10"/>
        <v>-320</v>
      </c>
      <c r="AC25" s="955">
        <f t="shared" si="10"/>
        <v>0</v>
      </c>
      <c r="AD25" s="955">
        <f t="shared" si="10"/>
        <v>0</v>
      </c>
      <c r="AE25" s="955">
        <f t="shared" si="10"/>
        <v>0</v>
      </c>
      <c r="AF25" s="955">
        <f t="shared" si="10"/>
        <v>-320</v>
      </c>
      <c r="AG25" s="956">
        <f t="shared" si="10"/>
        <v>-0.02</v>
      </c>
      <c r="AH25" s="956">
        <f t="shared" si="10"/>
        <v>-0.01</v>
      </c>
      <c r="AI25" s="956">
        <f t="shared" si="10"/>
        <v>0</v>
      </c>
      <c r="AJ25" s="956">
        <f t="shared" si="10"/>
        <v>0</v>
      </c>
      <c r="AK25" s="956">
        <f t="shared" si="10"/>
        <v>0</v>
      </c>
      <c r="AL25" s="956">
        <f t="shared" si="10"/>
        <v>-0.02</v>
      </c>
      <c r="AM25" s="956">
        <f t="shared" si="10"/>
        <v>-0.01</v>
      </c>
      <c r="AN25" s="958">
        <f t="shared" si="10"/>
        <v>-0.03</v>
      </c>
      <c r="AO25" s="954">
        <f t="shared" si="10"/>
        <v>3292916</v>
      </c>
      <c r="AP25" s="955">
        <f t="shared" si="10"/>
        <v>2386666</v>
      </c>
      <c r="AQ25" s="955">
        <f t="shared" si="10"/>
        <v>16000</v>
      </c>
      <c r="AR25" s="955">
        <f t="shared" si="10"/>
        <v>812101</v>
      </c>
      <c r="AS25" s="955">
        <f t="shared" si="10"/>
        <v>47733</v>
      </c>
      <c r="AT25" s="955">
        <f t="shared" si="10"/>
        <v>30416</v>
      </c>
      <c r="AU25" s="956">
        <f t="shared" si="10"/>
        <v>5.4899999999999993</v>
      </c>
      <c r="AV25" s="956">
        <f t="shared" si="10"/>
        <v>3.61</v>
      </c>
      <c r="AW25" s="959">
        <f t="shared" si="10"/>
        <v>1.88</v>
      </c>
    </row>
    <row r="26" spans="1:49" ht="12.95" customHeight="1" x14ac:dyDescent="0.25">
      <c r="A26" s="827">
        <v>6</v>
      </c>
      <c r="B26" s="946">
        <v>5444</v>
      </c>
      <c r="C26" s="947">
        <v>600099296</v>
      </c>
      <c r="D26" s="828">
        <v>854824</v>
      </c>
      <c r="E26" s="948" t="s">
        <v>384</v>
      </c>
      <c r="F26" s="828">
        <v>3113</v>
      </c>
      <c r="G26" s="948" t="s">
        <v>335</v>
      </c>
      <c r="H26" s="831" t="s">
        <v>283</v>
      </c>
      <c r="I26" s="803">
        <f t="shared" ref="I26:I31" si="11">SUM(J26:M26)</f>
        <v>14987496</v>
      </c>
      <c r="J26" s="833">
        <v>10797663</v>
      </c>
      <c r="K26" s="805">
        <f>ROUND((J26)*33.8%,0)</f>
        <v>3649610</v>
      </c>
      <c r="L26" s="805">
        <f>ROUND(J26*2%,0)</f>
        <v>215953</v>
      </c>
      <c r="M26" s="833">
        <v>324270</v>
      </c>
      <c r="N26" s="834">
        <f t="shared" ref="N26:N31" si="12">SUM(O26:P26)</f>
        <v>20.845299999999998</v>
      </c>
      <c r="O26" s="1054">
        <v>15.237299999999999</v>
      </c>
      <c r="P26" s="1055">
        <v>5.6079999999999997</v>
      </c>
      <c r="Q26" s="940">
        <f t="shared" ref="Q26:Q31" si="13">V26*-1</f>
        <v>-184000</v>
      </c>
      <c r="R26" s="813">
        <v>0</v>
      </c>
      <c r="S26" s="813">
        <v>0</v>
      </c>
      <c r="T26" s="813">
        <v>0</v>
      </c>
      <c r="U26" s="813">
        <f t="shared" ref="U26:U31" si="14">SUM(Q26:T26)</f>
        <v>-184000</v>
      </c>
      <c r="V26" s="813">
        <v>184000</v>
      </c>
      <c r="W26" s="941">
        <v>0</v>
      </c>
      <c r="X26" s="813">
        <v>0</v>
      </c>
      <c r="Y26" s="813">
        <f t="shared" ref="Y26:Y31" si="15">SUM(V26:X26)</f>
        <v>184000</v>
      </c>
      <c r="Z26" s="813">
        <f t="shared" ref="Z26:Z31" si="16">U26+Y26</f>
        <v>0</v>
      </c>
      <c r="AA26" s="809">
        <f t="shared" ref="AA26:AA31" si="17">ROUND((U26+V26+W26)*33.8%,0)</f>
        <v>0</v>
      </c>
      <c r="AB26" s="809">
        <f t="shared" ref="AB26:AB31" si="18">ROUND(U26*2%,0)</f>
        <v>-3680</v>
      </c>
      <c r="AC26" s="813">
        <v>0</v>
      </c>
      <c r="AD26" s="813">
        <v>0</v>
      </c>
      <c r="AE26" s="813">
        <f t="shared" ref="AE26:AE31" si="19">SUM(AC26:AD26)</f>
        <v>0</v>
      </c>
      <c r="AF26" s="813">
        <f t="shared" ref="AF26:AF31" si="20">Z26+AA26+AB26+AE26</f>
        <v>-3680</v>
      </c>
      <c r="AG26" s="836">
        <v>-0.13</v>
      </c>
      <c r="AH26" s="836">
        <v>-0.05</v>
      </c>
      <c r="AI26" s="836">
        <v>0</v>
      </c>
      <c r="AJ26" s="836">
        <v>0</v>
      </c>
      <c r="AK26" s="836">
        <v>0</v>
      </c>
      <c r="AL26" s="836">
        <f t="shared" ref="AL26:AL31" si="21">AG26+AI26+AJ26</f>
        <v>-0.13</v>
      </c>
      <c r="AM26" s="836">
        <f t="shared" ref="AM26:AM31" si="22">AH26+AK26</f>
        <v>-0.05</v>
      </c>
      <c r="AN26" s="949">
        <f t="shared" ref="AN26:AN31" si="23">SUM(AL26:AM26)</f>
        <v>-0.18</v>
      </c>
      <c r="AO26" s="945">
        <f t="shared" si="2"/>
        <v>14983816</v>
      </c>
      <c r="AP26" s="813">
        <f t="shared" si="3"/>
        <v>10613663</v>
      </c>
      <c r="AQ26" s="813">
        <f t="shared" si="4"/>
        <v>184000</v>
      </c>
      <c r="AR26" s="813">
        <f t="shared" si="0"/>
        <v>3649610</v>
      </c>
      <c r="AS26" s="813">
        <f t="shared" si="0"/>
        <v>212273</v>
      </c>
      <c r="AT26" s="813">
        <f t="shared" si="5"/>
        <v>324270</v>
      </c>
      <c r="AU26" s="836">
        <f t="shared" si="6"/>
        <v>20.665299999999998</v>
      </c>
      <c r="AV26" s="836">
        <f t="shared" si="1"/>
        <v>15.107299999999999</v>
      </c>
      <c r="AW26" s="837">
        <f t="shared" si="1"/>
        <v>5.5579999999999998</v>
      </c>
    </row>
    <row r="27" spans="1:49" ht="12.95" customHeight="1" x14ac:dyDescent="0.25">
      <c r="A27" s="827">
        <v>6</v>
      </c>
      <c r="B27" s="946">
        <v>5444</v>
      </c>
      <c r="C27" s="947">
        <v>600099296</v>
      </c>
      <c r="D27" s="828">
        <v>854824</v>
      </c>
      <c r="E27" s="948" t="s">
        <v>384</v>
      </c>
      <c r="F27" s="828">
        <v>3113</v>
      </c>
      <c r="G27" s="948" t="s">
        <v>325</v>
      </c>
      <c r="H27" s="831" t="s">
        <v>284</v>
      </c>
      <c r="I27" s="803">
        <f t="shared" si="11"/>
        <v>0</v>
      </c>
      <c r="J27" s="833">
        <v>0</v>
      </c>
      <c r="K27" s="805">
        <v>0</v>
      </c>
      <c r="L27" s="805">
        <v>0</v>
      </c>
      <c r="M27" s="833">
        <v>0</v>
      </c>
      <c r="N27" s="834">
        <f t="shared" si="12"/>
        <v>0</v>
      </c>
      <c r="O27" s="1054">
        <v>0</v>
      </c>
      <c r="P27" s="1055">
        <v>0</v>
      </c>
      <c r="Q27" s="940">
        <f t="shared" si="13"/>
        <v>0</v>
      </c>
      <c r="R27" s="833">
        <f>547096-17352</f>
        <v>529744</v>
      </c>
      <c r="S27" s="813">
        <v>0</v>
      </c>
      <c r="T27" s="813">
        <v>0</v>
      </c>
      <c r="U27" s="813">
        <f t="shared" si="14"/>
        <v>529744</v>
      </c>
      <c r="V27" s="813">
        <v>0</v>
      </c>
      <c r="W27" s="941">
        <v>0</v>
      </c>
      <c r="X27" s="813">
        <v>0</v>
      </c>
      <c r="Y27" s="813">
        <f t="shared" si="15"/>
        <v>0</v>
      </c>
      <c r="Z27" s="813">
        <f t="shared" si="16"/>
        <v>529744</v>
      </c>
      <c r="AA27" s="809">
        <f t="shared" si="17"/>
        <v>179053</v>
      </c>
      <c r="AB27" s="809">
        <f t="shared" si="18"/>
        <v>10595</v>
      </c>
      <c r="AC27" s="813">
        <v>0</v>
      </c>
      <c r="AD27" s="813">
        <v>0</v>
      </c>
      <c r="AE27" s="813">
        <f t="shared" si="19"/>
        <v>0</v>
      </c>
      <c r="AF27" s="813">
        <f t="shared" si="20"/>
        <v>719392</v>
      </c>
      <c r="AG27" s="836">
        <v>0</v>
      </c>
      <c r="AH27" s="836">
        <v>0</v>
      </c>
      <c r="AI27" s="836">
        <f>1.38-0.04</f>
        <v>1.3399999999999999</v>
      </c>
      <c r="AJ27" s="836">
        <v>0</v>
      </c>
      <c r="AK27" s="836">
        <v>0</v>
      </c>
      <c r="AL27" s="836">
        <f t="shared" si="21"/>
        <v>1.3399999999999999</v>
      </c>
      <c r="AM27" s="836">
        <f t="shared" si="22"/>
        <v>0</v>
      </c>
      <c r="AN27" s="949">
        <f t="shared" si="23"/>
        <v>1.3399999999999999</v>
      </c>
      <c r="AO27" s="945">
        <f t="shared" si="2"/>
        <v>719392</v>
      </c>
      <c r="AP27" s="813">
        <f t="shared" si="3"/>
        <v>529744</v>
      </c>
      <c r="AQ27" s="813">
        <f t="shared" si="4"/>
        <v>0</v>
      </c>
      <c r="AR27" s="813">
        <f t="shared" si="0"/>
        <v>179053</v>
      </c>
      <c r="AS27" s="813">
        <f t="shared" si="0"/>
        <v>10595</v>
      </c>
      <c r="AT27" s="813">
        <f t="shared" si="5"/>
        <v>0</v>
      </c>
      <c r="AU27" s="836">
        <f t="shared" si="6"/>
        <v>1.3399999999999999</v>
      </c>
      <c r="AV27" s="836">
        <f t="shared" si="1"/>
        <v>1.3399999999999999</v>
      </c>
      <c r="AW27" s="837">
        <f t="shared" si="1"/>
        <v>0</v>
      </c>
    </row>
    <row r="28" spans="1:49" ht="12.95" customHeight="1" x14ac:dyDescent="0.25">
      <c r="A28" s="827">
        <v>6</v>
      </c>
      <c r="B28" s="946">
        <v>5444</v>
      </c>
      <c r="C28" s="947">
        <v>600099296</v>
      </c>
      <c r="D28" s="828">
        <v>854824</v>
      </c>
      <c r="E28" s="948" t="s">
        <v>384</v>
      </c>
      <c r="F28" s="828">
        <v>3122</v>
      </c>
      <c r="G28" s="948" t="s">
        <v>326</v>
      </c>
      <c r="H28" s="831" t="s">
        <v>283</v>
      </c>
      <c r="I28" s="803">
        <f t="shared" si="11"/>
        <v>8132482</v>
      </c>
      <c r="J28" s="833">
        <v>5920826</v>
      </c>
      <c r="K28" s="805">
        <f>ROUND((J28)*33.8%,0)</f>
        <v>2001239</v>
      </c>
      <c r="L28" s="805">
        <f>ROUND(J28*2%,0)</f>
        <v>118417</v>
      </c>
      <c r="M28" s="833">
        <v>92000</v>
      </c>
      <c r="N28" s="834">
        <f t="shared" si="12"/>
        <v>10.152899999999999</v>
      </c>
      <c r="O28" s="1054">
        <v>8.8300999999999998</v>
      </c>
      <c r="P28" s="1055">
        <v>1.3228</v>
      </c>
      <c r="Q28" s="940">
        <f t="shared" si="13"/>
        <v>-128000</v>
      </c>
      <c r="R28" s="813">
        <v>0</v>
      </c>
      <c r="S28" s="813">
        <v>0</v>
      </c>
      <c r="T28" s="813">
        <v>0</v>
      </c>
      <c r="U28" s="813">
        <f t="shared" si="14"/>
        <v>-128000</v>
      </c>
      <c r="V28" s="813">
        <v>128000</v>
      </c>
      <c r="W28" s="941">
        <v>58080</v>
      </c>
      <c r="X28" s="813">
        <v>0</v>
      </c>
      <c r="Y28" s="813">
        <f t="shared" si="15"/>
        <v>186080</v>
      </c>
      <c r="Z28" s="813">
        <f t="shared" si="16"/>
        <v>58080</v>
      </c>
      <c r="AA28" s="809">
        <f t="shared" si="17"/>
        <v>19631</v>
      </c>
      <c r="AB28" s="809">
        <f t="shared" si="18"/>
        <v>-2560</v>
      </c>
      <c r="AC28" s="813">
        <v>0</v>
      </c>
      <c r="AD28" s="813">
        <v>0</v>
      </c>
      <c r="AE28" s="813">
        <f t="shared" si="19"/>
        <v>0</v>
      </c>
      <c r="AF28" s="813">
        <f t="shared" si="20"/>
        <v>75151</v>
      </c>
      <c r="AG28" s="836">
        <v>-0.1</v>
      </c>
      <c r="AH28" s="836">
        <v>0</v>
      </c>
      <c r="AI28" s="836">
        <v>0</v>
      </c>
      <c r="AJ28" s="836">
        <v>0</v>
      </c>
      <c r="AK28" s="836">
        <v>0</v>
      </c>
      <c r="AL28" s="836">
        <f t="shared" si="21"/>
        <v>-0.1</v>
      </c>
      <c r="AM28" s="836">
        <f t="shared" si="22"/>
        <v>0</v>
      </c>
      <c r="AN28" s="949">
        <f t="shared" si="23"/>
        <v>-0.1</v>
      </c>
      <c r="AO28" s="945">
        <f t="shared" si="2"/>
        <v>8207633</v>
      </c>
      <c r="AP28" s="813">
        <f t="shared" si="3"/>
        <v>5792826</v>
      </c>
      <c r="AQ28" s="813">
        <f t="shared" si="4"/>
        <v>186080</v>
      </c>
      <c r="AR28" s="813">
        <f t="shared" ref="AR28:AS91" si="24">K28+AA28</f>
        <v>2020870</v>
      </c>
      <c r="AS28" s="813">
        <f t="shared" si="24"/>
        <v>115857</v>
      </c>
      <c r="AT28" s="813">
        <f t="shared" si="5"/>
        <v>92000</v>
      </c>
      <c r="AU28" s="836">
        <f t="shared" si="6"/>
        <v>10.052899999999999</v>
      </c>
      <c r="AV28" s="836">
        <f t="shared" ref="AV28:AW91" si="25">O28+AL28</f>
        <v>8.7301000000000002</v>
      </c>
      <c r="AW28" s="837">
        <f t="shared" si="25"/>
        <v>1.3228</v>
      </c>
    </row>
    <row r="29" spans="1:49" ht="12.95" customHeight="1" x14ac:dyDescent="0.25">
      <c r="A29" s="827">
        <v>6</v>
      </c>
      <c r="B29" s="946">
        <v>5444</v>
      </c>
      <c r="C29" s="947">
        <v>600099296</v>
      </c>
      <c r="D29" s="828">
        <v>854824</v>
      </c>
      <c r="E29" s="948" t="s">
        <v>384</v>
      </c>
      <c r="F29" s="828">
        <v>3141</v>
      </c>
      <c r="G29" s="948" t="s">
        <v>321</v>
      </c>
      <c r="H29" s="831" t="s">
        <v>284</v>
      </c>
      <c r="I29" s="803">
        <f t="shared" si="11"/>
        <v>473327</v>
      </c>
      <c r="J29" s="833">
        <v>344070</v>
      </c>
      <c r="K29" s="805">
        <f>ROUND((J29)*33.8%,0)</f>
        <v>116296</v>
      </c>
      <c r="L29" s="805">
        <f>ROUND(J29*2%,0)</f>
        <v>6881</v>
      </c>
      <c r="M29" s="833">
        <v>6080</v>
      </c>
      <c r="N29" s="834">
        <f t="shared" si="12"/>
        <v>1.17</v>
      </c>
      <c r="O29" s="1054">
        <v>0</v>
      </c>
      <c r="P29" s="1055">
        <v>1.17</v>
      </c>
      <c r="Q29" s="940">
        <f t="shared" si="13"/>
        <v>0</v>
      </c>
      <c r="R29" s="813">
        <v>0</v>
      </c>
      <c r="S29" s="813">
        <v>0</v>
      </c>
      <c r="T29" s="813">
        <v>0</v>
      </c>
      <c r="U29" s="813">
        <f t="shared" si="14"/>
        <v>0</v>
      </c>
      <c r="V29" s="813">
        <v>0</v>
      </c>
      <c r="W29" s="941">
        <v>0</v>
      </c>
      <c r="X29" s="813">
        <v>0</v>
      </c>
      <c r="Y29" s="813">
        <f t="shared" si="15"/>
        <v>0</v>
      </c>
      <c r="Z29" s="813">
        <f t="shared" si="16"/>
        <v>0</v>
      </c>
      <c r="AA29" s="809">
        <f t="shared" si="17"/>
        <v>0</v>
      </c>
      <c r="AB29" s="809">
        <f t="shared" si="18"/>
        <v>0</v>
      </c>
      <c r="AC29" s="813">
        <v>0</v>
      </c>
      <c r="AD29" s="813">
        <v>0</v>
      </c>
      <c r="AE29" s="813">
        <f t="shared" si="19"/>
        <v>0</v>
      </c>
      <c r="AF29" s="813">
        <f t="shared" si="20"/>
        <v>0</v>
      </c>
      <c r="AG29" s="836">
        <v>0</v>
      </c>
      <c r="AH29" s="836">
        <v>0</v>
      </c>
      <c r="AI29" s="836">
        <v>0</v>
      </c>
      <c r="AJ29" s="836">
        <v>0</v>
      </c>
      <c r="AK29" s="836">
        <v>0</v>
      </c>
      <c r="AL29" s="836">
        <f t="shared" si="21"/>
        <v>0</v>
      </c>
      <c r="AM29" s="836">
        <f t="shared" si="22"/>
        <v>0</v>
      </c>
      <c r="AN29" s="949">
        <f t="shared" si="23"/>
        <v>0</v>
      </c>
      <c r="AO29" s="945">
        <f t="shared" si="2"/>
        <v>473327</v>
      </c>
      <c r="AP29" s="813">
        <f t="shared" si="3"/>
        <v>344070</v>
      </c>
      <c r="AQ29" s="813">
        <f t="shared" si="4"/>
        <v>0</v>
      </c>
      <c r="AR29" s="813">
        <f t="shared" si="24"/>
        <v>116296</v>
      </c>
      <c r="AS29" s="813">
        <f t="shared" si="24"/>
        <v>6881</v>
      </c>
      <c r="AT29" s="813">
        <f t="shared" si="5"/>
        <v>6080</v>
      </c>
      <c r="AU29" s="836">
        <f t="shared" si="6"/>
        <v>1.17</v>
      </c>
      <c r="AV29" s="836">
        <f t="shared" si="25"/>
        <v>0</v>
      </c>
      <c r="AW29" s="837">
        <f t="shared" si="25"/>
        <v>1.17</v>
      </c>
    </row>
    <row r="30" spans="1:49" ht="12.95" customHeight="1" x14ac:dyDescent="0.25">
      <c r="A30" s="827">
        <v>6</v>
      </c>
      <c r="B30" s="946">
        <v>5444</v>
      </c>
      <c r="C30" s="947">
        <v>600099296</v>
      </c>
      <c r="D30" s="828">
        <v>854824</v>
      </c>
      <c r="E30" s="948" t="s">
        <v>384</v>
      </c>
      <c r="F30" s="828">
        <v>3143</v>
      </c>
      <c r="G30" s="948" t="s">
        <v>635</v>
      </c>
      <c r="H30" s="831" t="s">
        <v>283</v>
      </c>
      <c r="I30" s="803">
        <f t="shared" si="11"/>
        <v>1484305</v>
      </c>
      <c r="J30" s="833">
        <v>1093008</v>
      </c>
      <c r="K30" s="805">
        <f>ROUND((J30)*33.8%,0)</f>
        <v>369437</v>
      </c>
      <c r="L30" s="805">
        <f>ROUND(J30*2%,0)</f>
        <v>21860</v>
      </c>
      <c r="M30" s="833">
        <v>0</v>
      </c>
      <c r="N30" s="834">
        <f t="shared" si="12"/>
        <v>2.4857999999999998</v>
      </c>
      <c r="O30" s="1054">
        <v>2.4857999999999998</v>
      </c>
      <c r="P30" s="1055">
        <v>0</v>
      </c>
      <c r="Q30" s="940">
        <f t="shared" si="13"/>
        <v>-40000</v>
      </c>
      <c r="R30" s="813">
        <v>0</v>
      </c>
      <c r="S30" s="813">
        <v>0</v>
      </c>
      <c r="T30" s="813">
        <v>0</v>
      </c>
      <c r="U30" s="813">
        <f t="shared" si="14"/>
        <v>-40000</v>
      </c>
      <c r="V30" s="813">
        <v>40000</v>
      </c>
      <c r="W30" s="941">
        <v>0</v>
      </c>
      <c r="X30" s="813">
        <v>0</v>
      </c>
      <c r="Y30" s="813">
        <f t="shared" si="15"/>
        <v>40000</v>
      </c>
      <c r="Z30" s="813">
        <f t="shared" si="16"/>
        <v>0</v>
      </c>
      <c r="AA30" s="809">
        <f t="shared" si="17"/>
        <v>0</v>
      </c>
      <c r="AB30" s="809">
        <f t="shared" si="18"/>
        <v>-800</v>
      </c>
      <c r="AC30" s="813">
        <v>0</v>
      </c>
      <c r="AD30" s="813">
        <v>0</v>
      </c>
      <c r="AE30" s="813">
        <f t="shared" si="19"/>
        <v>0</v>
      </c>
      <c r="AF30" s="813">
        <f t="shared" si="20"/>
        <v>-800</v>
      </c>
      <c r="AG30" s="836">
        <v>0</v>
      </c>
      <c r="AH30" s="836">
        <v>0</v>
      </c>
      <c r="AI30" s="836">
        <v>0</v>
      </c>
      <c r="AJ30" s="836">
        <v>0</v>
      </c>
      <c r="AK30" s="836">
        <v>0</v>
      </c>
      <c r="AL30" s="836">
        <f t="shared" si="21"/>
        <v>0</v>
      </c>
      <c r="AM30" s="836">
        <f t="shared" si="22"/>
        <v>0</v>
      </c>
      <c r="AN30" s="949">
        <f t="shared" si="23"/>
        <v>0</v>
      </c>
      <c r="AO30" s="945">
        <f t="shared" si="2"/>
        <v>1483505</v>
      </c>
      <c r="AP30" s="813">
        <f t="shared" si="3"/>
        <v>1053008</v>
      </c>
      <c r="AQ30" s="813">
        <f t="shared" si="4"/>
        <v>40000</v>
      </c>
      <c r="AR30" s="813">
        <f t="shared" si="24"/>
        <v>369437</v>
      </c>
      <c r="AS30" s="813">
        <f t="shared" si="24"/>
        <v>21060</v>
      </c>
      <c r="AT30" s="813">
        <f t="shared" si="5"/>
        <v>0</v>
      </c>
      <c r="AU30" s="836">
        <f t="shared" si="6"/>
        <v>2.4857999999999998</v>
      </c>
      <c r="AV30" s="836">
        <f t="shared" si="25"/>
        <v>2.4857999999999998</v>
      </c>
      <c r="AW30" s="837">
        <f t="shared" si="25"/>
        <v>0</v>
      </c>
    </row>
    <row r="31" spans="1:49" ht="12.95" customHeight="1" x14ac:dyDescent="0.25">
      <c r="A31" s="827">
        <v>6</v>
      </c>
      <c r="B31" s="946">
        <v>5444</v>
      </c>
      <c r="C31" s="947">
        <v>600099296</v>
      </c>
      <c r="D31" s="828">
        <v>854824</v>
      </c>
      <c r="E31" s="948" t="s">
        <v>384</v>
      </c>
      <c r="F31" s="828">
        <v>3143</v>
      </c>
      <c r="G31" s="948" t="s">
        <v>636</v>
      </c>
      <c r="H31" s="831" t="s">
        <v>284</v>
      </c>
      <c r="I31" s="803">
        <f t="shared" si="11"/>
        <v>50559</v>
      </c>
      <c r="J31" s="833">
        <v>35640</v>
      </c>
      <c r="K31" s="805">
        <f>ROUND((J31)*33.8%,0)</f>
        <v>12046</v>
      </c>
      <c r="L31" s="805">
        <f>ROUND(J31*2%,0)</f>
        <v>713</v>
      </c>
      <c r="M31" s="833">
        <v>2160</v>
      </c>
      <c r="N31" s="834">
        <f t="shared" si="12"/>
        <v>0.15</v>
      </c>
      <c r="O31" s="1054">
        <v>0</v>
      </c>
      <c r="P31" s="1055">
        <v>0.15</v>
      </c>
      <c r="Q31" s="940">
        <f t="shared" si="13"/>
        <v>0</v>
      </c>
      <c r="R31" s="813">
        <v>0</v>
      </c>
      <c r="S31" s="813">
        <v>0</v>
      </c>
      <c r="T31" s="813">
        <v>0</v>
      </c>
      <c r="U31" s="813">
        <f t="shared" si="14"/>
        <v>0</v>
      </c>
      <c r="V31" s="813">
        <v>0</v>
      </c>
      <c r="W31" s="941">
        <v>0</v>
      </c>
      <c r="X31" s="813">
        <v>0</v>
      </c>
      <c r="Y31" s="813">
        <f t="shared" si="15"/>
        <v>0</v>
      </c>
      <c r="Z31" s="813">
        <f t="shared" si="16"/>
        <v>0</v>
      </c>
      <c r="AA31" s="809">
        <f t="shared" si="17"/>
        <v>0</v>
      </c>
      <c r="AB31" s="809">
        <f t="shared" si="18"/>
        <v>0</v>
      </c>
      <c r="AC31" s="813">
        <v>0</v>
      </c>
      <c r="AD31" s="813">
        <v>0</v>
      </c>
      <c r="AE31" s="813">
        <f t="shared" si="19"/>
        <v>0</v>
      </c>
      <c r="AF31" s="813">
        <f t="shared" si="20"/>
        <v>0</v>
      </c>
      <c r="AG31" s="836">
        <v>0</v>
      </c>
      <c r="AH31" s="836">
        <v>0</v>
      </c>
      <c r="AI31" s="836">
        <v>0</v>
      </c>
      <c r="AJ31" s="836">
        <v>0</v>
      </c>
      <c r="AK31" s="836">
        <v>0</v>
      </c>
      <c r="AL31" s="836">
        <f t="shared" si="21"/>
        <v>0</v>
      </c>
      <c r="AM31" s="836">
        <f t="shared" si="22"/>
        <v>0</v>
      </c>
      <c r="AN31" s="949">
        <f t="shared" si="23"/>
        <v>0</v>
      </c>
      <c r="AO31" s="945">
        <f t="shared" si="2"/>
        <v>50559</v>
      </c>
      <c r="AP31" s="813">
        <f t="shared" si="3"/>
        <v>35640</v>
      </c>
      <c r="AQ31" s="813">
        <f t="shared" si="4"/>
        <v>0</v>
      </c>
      <c r="AR31" s="813">
        <f t="shared" si="24"/>
        <v>12046</v>
      </c>
      <c r="AS31" s="813">
        <f t="shared" si="24"/>
        <v>713</v>
      </c>
      <c r="AT31" s="813">
        <f t="shared" si="5"/>
        <v>2160</v>
      </c>
      <c r="AU31" s="836">
        <f t="shared" si="6"/>
        <v>0.15</v>
      </c>
      <c r="AV31" s="836">
        <f t="shared" si="25"/>
        <v>0</v>
      </c>
      <c r="AW31" s="837">
        <f t="shared" si="25"/>
        <v>0.15</v>
      </c>
    </row>
    <row r="32" spans="1:49" ht="12.95" customHeight="1" x14ac:dyDescent="0.25">
      <c r="A32" s="950">
        <v>6</v>
      </c>
      <c r="B32" s="951">
        <v>5444</v>
      </c>
      <c r="C32" s="952">
        <v>600099296</v>
      </c>
      <c r="D32" s="951">
        <v>854824</v>
      </c>
      <c r="E32" s="953" t="s">
        <v>385</v>
      </c>
      <c r="F32" s="850"/>
      <c r="G32" s="960"/>
      <c r="H32" s="851"/>
      <c r="I32" s="954">
        <f t="shared" ref="I32:AW32" si="26">SUM(I26:I31)</f>
        <v>25128169</v>
      </c>
      <c r="J32" s="955">
        <f t="shared" si="26"/>
        <v>18191207</v>
      </c>
      <c r="K32" s="955">
        <f t="shared" si="26"/>
        <v>6148628</v>
      </c>
      <c r="L32" s="955">
        <f t="shared" si="26"/>
        <v>363824</v>
      </c>
      <c r="M32" s="955">
        <f t="shared" si="26"/>
        <v>424510</v>
      </c>
      <c r="N32" s="956">
        <f t="shared" si="26"/>
        <v>34.803999999999995</v>
      </c>
      <c r="O32" s="956">
        <f t="shared" si="26"/>
        <v>26.5532</v>
      </c>
      <c r="P32" s="959">
        <f t="shared" si="26"/>
        <v>8.2507999999999999</v>
      </c>
      <c r="Q32" s="957">
        <f t="shared" si="26"/>
        <v>-352000</v>
      </c>
      <c r="R32" s="955">
        <f t="shared" si="26"/>
        <v>529744</v>
      </c>
      <c r="S32" s="955">
        <f t="shared" si="26"/>
        <v>0</v>
      </c>
      <c r="T32" s="955">
        <f t="shared" si="26"/>
        <v>0</v>
      </c>
      <c r="U32" s="955">
        <f t="shared" si="26"/>
        <v>177744</v>
      </c>
      <c r="V32" s="955">
        <f t="shared" si="26"/>
        <v>352000</v>
      </c>
      <c r="W32" s="955">
        <f t="shared" si="26"/>
        <v>58080</v>
      </c>
      <c r="X32" s="955">
        <f t="shared" si="26"/>
        <v>0</v>
      </c>
      <c r="Y32" s="955">
        <f t="shared" si="26"/>
        <v>410080</v>
      </c>
      <c r="Z32" s="955">
        <f t="shared" si="26"/>
        <v>587824</v>
      </c>
      <c r="AA32" s="955">
        <f t="shared" si="26"/>
        <v>198684</v>
      </c>
      <c r="AB32" s="955">
        <f t="shared" si="26"/>
        <v>3555</v>
      </c>
      <c r="AC32" s="955">
        <f t="shared" si="26"/>
        <v>0</v>
      </c>
      <c r="AD32" s="955">
        <f t="shared" si="26"/>
        <v>0</v>
      </c>
      <c r="AE32" s="955">
        <f t="shared" si="26"/>
        <v>0</v>
      </c>
      <c r="AF32" s="955">
        <f t="shared" si="26"/>
        <v>790063</v>
      </c>
      <c r="AG32" s="956">
        <f t="shared" si="26"/>
        <v>-0.23</v>
      </c>
      <c r="AH32" s="956">
        <f t="shared" si="26"/>
        <v>-0.05</v>
      </c>
      <c r="AI32" s="956">
        <f t="shared" si="26"/>
        <v>1.3399999999999999</v>
      </c>
      <c r="AJ32" s="956">
        <f t="shared" si="26"/>
        <v>0</v>
      </c>
      <c r="AK32" s="956">
        <f t="shared" si="26"/>
        <v>0</v>
      </c>
      <c r="AL32" s="956">
        <f t="shared" si="26"/>
        <v>1.1099999999999999</v>
      </c>
      <c r="AM32" s="956">
        <f t="shared" si="26"/>
        <v>-0.05</v>
      </c>
      <c r="AN32" s="958">
        <f t="shared" si="26"/>
        <v>1.0599999999999998</v>
      </c>
      <c r="AO32" s="954">
        <f t="shared" si="26"/>
        <v>25918232</v>
      </c>
      <c r="AP32" s="955">
        <f t="shared" si="26"/>
        <v>18368951</v>
      </c>
      <c r="AQ32" s="955">
        <f t="shared" si="26"/>
        <v>410080</v>
      </c>
      <c r="AR32" s="955">
        <f t="shared" si="26"/>
        <v>6347312</v>
      </c>
      <c r="AS32" s="955">
        <f t="shared" si="26"/>
        <v>367379</v>
      </c>
      <c r="AT32" s="955">
        <f t="shared" si="26"/>
        <v>424510</v>
      </c>
      <c r="AU32" s="956">
        <f t="shared" si="26"/>
        <v>35.863999999999997</v>
      </c>
      <c r="AV32" s="956">
        <f t="shared" si="26"/>
        <v>27.6632</v>
      </c>
      <c r="AW32" s="959">
        <f t="shared" si="26"/>
        <v>8.2007999999999992</v>
      </c>
    </row>
    <row r="33" spans="1:49" ht="12.95" customHeight="1" x14ac:dyDescent="0.25">
      <c r="A33" s="827">
        <v>7</v>
      </c>
      <c r="B33" s="946">
        <v>5449</v>
      </c>
      <c r="C33" s="947">
        <v>600099458</v>
      </c>
      <c r="D33" s="828">
        <v>70188408</v>
      </c>
      <c r="E33" s="948" t="s">
        <v>386</v>
      </c>
      <c r="F33" s="828">
        <v>3114</v>
      </c>
      <c r="G33" s="962" t="s">
        <v>565</v>
      </c>
      <c r="H33" s="831" t="s">
        <v>283</v>
      </c>
      <c r="I33" s="803">
        <f>SUM(J33:M33)</f>
        <v>10339462</v>
      </c>
      <c r="J33" s="833">
        <v>7542387</v>
      </c>
      <c r="K33" s="805">
        <f>ROUND((J33)*33.8%,0)</f>
        <v>2549327</v>
      </c>
      <c r="L33" s="805">
        <f>ROUND(J33*2%,0)</f>
        <v>150848</v>
      </c>
      <c r="M33" s="833">
        <v>96900</v>
      </c>
      <c r="N33" s="834">
        <f>SUM(O33:P33)</f>
        <v>12.8127</v>
      </c>
      <c r="O33" s="1054">
        <v>9</v>
      </c>
      <c r="P33" s="1055">
        <v>3.8126999999999995</v>
      </c>
      <c r="Q33" s="940">
        <f>V33*-1</f>
        <v>-60000</v>
      </c>
      <c r="R33" s="813">
        <v>0</v>
      </c>
      <c r="S33" s="813">
        <v>0</v>
      </c>
      <c r="T33" s="813">
        <v>0</v>
      </c>
      <c r="U33" s="813">
        <f>SUM(Q33:T33)</f>
        <v>-60000</v>
      </c>
      <c r="V33" s="813">
        <v>60000</v>
      </c>
      <c r="W33" s="941">
        <v>0</v>
      </c>
      <c r="X33" s="813">
        <v>0</v>
      </c>
      <c r="Y33" s="813">
        <f>SUM(V33:X33)</f>
        <v>60000</v>
      </c>
      <c r="Z33" s="813">
        <f>U33+Y33</f>
        <v>0</v>
      </c>
      <c r="AA33" s="809">
        <f>ROUND((U33+V33+W33)*33.8%,0)</f>
        <v>0</v>
      </c>
      <c r="AB33" s="809">
        <f>ROUND(U33*2%,0)</f>
        <v>-1200</v>
      </c>
      <c r="AC33" s="813">
        <v>0</v>
      </c>
      <c r="AD33" s="813">
        <v>0</v>
      </c>
      <c r="AE33" s="813">
        <f>SUM(AC33:AD33)</f>
        <v>0</v>
      </c>
      <c r="AF33" s="813">
        <f>Z33+AA33+AB33+AE33</f>
        <v>-1200</v>
      </c>
      <c r="AG33" s="836">
        <v>0</v>
      </c>
      <c r="AH33" s="836">
        <v>-0.25</v>
      </c>
      <c r="AI33" s="836">
        <v>0</v>
      </c>
      <c r="AJ33" s="836">
        <v>0</v>
      </c>
      <c r="AK33" s="836">
        <v>0</v>
      </c>
      <c r="AL33" s="836">
        <f>AG33+AI33+AJ33</f>
        <v>0</v>
      </c>
      <c r="AM33" s="836">
        <f>AH33+AK33</f>
        <v>-0.25</v>
      </c>
      <c r="AN33" s="949">
        <f>SUM(AL33:AM33)</f>
        <v>-0.25</v>
      </c>
      <c r="AO33" s="945">
        <f t="shared" si="2"/>
        <v>10338262</v>
      </c>
      <c r="AP33" s="813">
        <f t="shared" si="3"/>
        <v>7482387</v>
      </c>
      <c r="AQ33" s="813">
        <f t="shared" si="4"/>
        <v>60000</v>
      </c>
      <c r="AR33" s="813">
        <f t="shared" si="24"/>
        <v>2549327</v>
      </c>
      <c r="AS33" s="813">
        <f t="shared" si="24"/>
        <v>149648</v>
      </c>
      <c r="AT33" s="813">
        <f t="shared" si="5"/>
        <v>96900</v>
      </c>
      <c r="AU33" s="836">
        <f t="shared" si="6"/>
        <v>12.5627</v>
      </c>
      <c r="AV33" s="836">
        <f t="shared" si="25"/>
        <v>9</v>
      </c>
      <c r="AW33" s="837">
        <f t="shared" si="25"/>
        <v>3.5626999999999995</v>
      </c>
    </row>
    <row r="34" spans="1:49" ht="12.95" customHeight="1" x14ac:dyDescent="0.25">
      <c r="A34" s="827">
        <v>7</v>
      </c>
      <c r="B34" s="946">
        <v>5449</v>
      </c>
      <c r="C34" s="947">
        <v>600099458</v>
      </c>
      <c r="D34" s="828">
        <v>70188408</v>
      </c>
      <c r="E34" s="948" t="s">
        <v>386</v>
      </c>
      <c r="F34" s="828">
        <v>3114</v>
      </c>
      <c r="G34" s="962" t="s">
        <v>319</v>
      </c>
      <c r="H34" s="831" t="s">
        <v>283</v>
      </c>
      <c r="I34" s="803">
        <f>SUM(J34:M34)</f>
        <v>1736089</v>
      </c>
      <c r="J34" s="833">
        <v>1278416</v>
      </c>
      <c r="K34" s="805">
        <f>ROUND((J34)*33.8%,0)</f>
        <v>432105</v>
      </c>
      <c r="L34" s="805">
        <f>ROUND(J34*2%,0)</f>
        <v>25568</v>
      </c>
      <c r="M34" s="833">
        <v>0</v>
      </c>
      <c r="N34" s="834">
        <f>SUM(O34:P34)</f>
        <v>3.3193999999999999</v>
      </c>
      <c r="O34" s="1054">
        <v>3.3193999999999999</v>
      </c>
      <c r="P34" s="1055">
        <v>0</v>
      </c>
      <c r="Q34" s="940">
        <f>V34*-1</f>
        <v>0</v>
      </c>
      <c r="R34" s="813">
        <v>0</v>
      </c>
      <c r="S34" s="813">
        <v>0</v>
      </c>
      <c r="T34" s="813">
        <v>0</v>
      </c>
      <c r="U34" s="813">
        <f>SUM(Q34:T34)</f>
        <v>0</v>
      </c>
      <c r="V34" s="813">
        <v>0</v>
      </c>
      <c r="W34" s="941">
        <v>0</v>
      </c>
      <c r="X34" s="813">
        <v>0</v>
      </c>
      <c r="Y34" s="813">
        <f>SUM(V34:X34)</f>
        <v>0</v>
      </c>
      <c r="Z34" s="813">
        <f>U34+Y34</f>
        <v>0</v>
      </c>
      <c r="AA34" s="809">
        <f>ROUND((U34+V34+W34)*33.8%,0)</f>
        <v>0</v>
      </c>
      <c r="AB34" s="809">
        <f>ROUND(U34*2%,0)</f>
        <v>0</v>
      </c>
      <c r="AC34" s="813">
        <v>0</v>
      </c>
      <c r="AD34" s="813">
        <v>0</v>
      </c>
      <c r="AE34" s="813">
        <f>SUM(AC34:AD34)</f>
        <v>0</v>
      </c>
      <c r="AF34" s="813">
        <f>Z34+AA34+AB34+AE34</f>
        <v>0</v>
      </c>
      <c r="AG34" s="836">
        <v>0</v>
      </c>
      <c r="AH34" s="836">
        <v>0</v>
      </c>
      <c r="AI34" s="836">
        <v>0</v>
      </c>
      <c r="AJ34" s="836">
        <v>0</v>
      </c>
      <c r="AK34" s="836">
        <v>0</v>
      </c>
      <c r="AL34" s="836">
        <f>AG34+AI34+AJ34</f>
        <v>0</v>
      </c>
      <c r="AM34" s="836">
        <f>AH34+AK34</f>
        <v>0</v>
      </c>
      <c r="AN34" s="949">
        <f>SUM(AL34:AM34)</f>
        <v>0</v>
      </c>
      <c r="AO34" s="945">
        <f t="shared" si="2"/>
        <v>1736089</v>
      </c>
      <c r="AP34" s="813">
        <f t="shared" si="3"/>
        <v>1278416</v>
      </c>
      <c r="AQ34" s="813">
        <f t="shared" si="4"/>
        <v>0</v>
      </c>
      <c r="AR34" s="813">
        <f t="shared" si="24"/>
        <v>432105</v>
      </c>
      <c r="AS34" s="813">
        <f t="shared" si="24"/>
        <v>25568</v>
      </c>
      <c r="AT34" s="813">
        <f t="shared" si="5"/>
        <v>0</v>
      </c>
      <c r="AU34" s="836">
        <f t="shared" si="6"/>
        <v>3.3193999999999999</v>
      </c>
      <c r="AV34" s="836">
        <f t="shared" si="25"/>
        <v>3.3193999999999999</v>
      </c>
      <c r="AW34" s="837">
        <f t="shared" si="25"/>
        <v>0</v>
      </c>
    </row>
    <row r="35" spans="1:49" ht="12.95" customHeight="1" x14ac:dyDescent="0.25">
      <c r="A35" s="827">
        <v>7</v>
      </c>
      <c r="B35" s="946">
        <v>5449</v>
      </c>
      <c r="C35" s="947">
        <v>600099458</v>
      </c>
      <c r="D35" s="828">
        <v>70188408</v>
      </c>
      <c r="E35" s="948" t="s">
        <v>386</v>
      </c>
      <c r="F35" s="828">
        <v>3143</v>
      </c>
      <c r="G35" s="948" t="s">
        <v>635</v>
      </c>
      <c r="H35" s="831" t="s">
        <v>283</v>
      </c>
      <c r="I35" s="803">
        <f>SUM(J35:M35)</f>
        <v>421543</v>
      </c>
      <c r="J35" s="833">
        <v>310415</v>
      </c>
      <c r="K35" s="805">
        <f>ROUND((J35)*33.8%,0)</f>
        <v>104920</v>
      </c>
      <c r="L35" s="805">
        <f>ROUND(J35*2%,0)</f>
        <v>6208</v>
      </c>
      <c r="M35" s="833">
        <v>0</v>
      </c>
      <c r="N35" s="834">
        <f>SUM(O35:P35)</f>
        <v>0.66669999999999996</v>
      </c>
      <c r="O35" s="1054">
        <v>0.66669999999999996</v>
      </c>
      <c r="P35" s="1055">
        <v>0</v>
      </c>
      <c r="Q35" s="940">
        <f>V35*-1</f>
        <v>0</v>
      </c>
      <c r="R35" s="813">
        <v>0</v>
      </c>
      <c r="S35" s="813">
        <v>0</v>
      </c>
      <c r="T35" s="813">
        <v>0</v>
      </c>
      <c r="U35" s="813">
        <f>SUM(Q35:T35)</f>
        <v>0</v>
      </c>
      <c r="V35" s="813">
        <v>0</v>
      </c>
      <c r="W35" s="941">
        <v>0</v>
      </c>
      <c r="X35" s="813">
        <v>0</v>
      </c>
      <c r="Y35" s="813">
        <f>SUM(V35:X35)</f>
        <v>0</v>
      </c>
      <c r="Z35" s="813">
        <f>U35+Y35</f>
        <v>0</v>
      </c>
      <c r="AA35" s="809">
        <f>ROUND((U35+V35+W35)*33.8%,0)</f>
        <v>0</v>
      </c>
      <c r="AB35" s="809">
        <f>ROUND(U35*2%,0)</f>
        <v>0</v>
      </c>
      <c r="AC35" s="813">
        <v>0</v>
      </c>
      <c r="AD35" s="813">
        <v>0</v>
      </c>
      <c r="AE35" s="813">
        <f>SUM(AC35:AD35)</f>
        <v>0</v>
      </c>
      <c r="AF35" s="813">
        <f>Z35+AA35+AB35+AE35</f>
        <v>0</v>
      </c>
      <c r="AG35" s="836">
        <v>0</v>
      </c>
      <c r="AH35" s="836">
        <v>0</v>
      </c>
      <c r="AI35" s="836">
        <v>0</v>
      </c>
      <c r="AJ35" s="836">
        <v>0</v>
      </c>
      <c r="AK35" s="836">
        <v>0</v>
      </c>
      <c r="AL35" s="836">
        <f>AG35+AI35+AJ35</f>
        <v>0</v>
      </c>
      <c r="AM35" s="836">
        <f>AH35+AK35</f>
        <v>0</v>
      </c>
      <c r="AN35" s="949">
        <f>SUM(AL35:AM35)</f>
        <v>0</v>
      </c>
      <c r="AO35" s="945">
        <f t="shared" si="2"/>
        <v>421543</v>
      </c>
      <c r="AP35" s="813">
        <f t="shared" si="3"/>
        <v>310415</v>
      </c>
      <c r="AQ35" s="813">
        <f t="shared" si="4"/>
        <v>0</v>
      </c>
      <c r="AR35" s="813">
        <f t="shared" si="24"/>
        <v>104920</v>
      </c>
      <c r="AS35" s="813">
        <f t="shared" si="24"/>
        <v>6208</v>
      </c>
      <c r="AT35" s="813">
        <f t="shared" si="5"/>
        <v>0</v>
      </c>
      <c r="AU35" s="836">
        <f t="shared" si="6"/>
        <v>0.66669999999999996</v>
      </c>
      <c r="AV35" s="836">
        <f t="shared" si="25"/>
        <v>0.66669999999999996</v>
      </c>
      <c r="AW35" s="837">
        <f t="shared" si="25"/>
        <v>0</v>
      </c>
    </row>
    <row r="36" spans="1:49" ht="12.95" customHeight="1" x14ac:dyDescent="0.25">
      <c r="A36" s="827">
        <v>7</v>
      </c>
      <c r="B36" s="946">
        <v>5449</v>
      </c>
      <c r="C36" s="947">
        <v>600099458</v>
      </c>
      <c r="D36" s="828">
        <v>70188408</v>
      </c>
      <c r="E36" s="948" t="s">
        <v>386</v>
      </c>
      <c r="F36" s="828">
        <v>3143</v>
      </c>
      <c r="G36" s="948" t="s">
        <v>813</v>
      </c>
      <c r="H36" s="831" t="s">
        <v>283</v>
      </c>
      <c r="I36" s="803">
        <f>SUM(J36:M36)</f>
        <v>186421</v>
      </c>
      <c r="J36" s="833">
        <v>137276</v>
      </c>
      <c r="K36" s="805">
        <f>ROUND((J36)*33.8%,0)</f>
        <v>46399</v>
      </c>
      <c r="L36" s="805">
        <f>ROUND(J36*2%,0)</f>
        <v>2746</v>
      </c>
      <c r="M36" s="833">
        <v>0</v>
      </c>
      <c r="N36" s="834">
        <f>SUM(O36:P36)</f>
        <v>0.41670000000000001</v>
      </c>
      <c r="O36" s="1054">
        <v>0.41670000000000001</v>
      </c>
      <c r="P36" s="1055">
        <v>0</v>
      </c>
      <c r="Q36" s="940">
        <f>V36*-1</f>
        <v>0</v>
      </c>
      <c r="R36" s="813">
        <v>0</v>
      </c>
      <c r="S36" s="813">
        <v>0</v>
      </c>
      <c r="T36" s="813">
        <v>0</v>
      </c>
      <c r="U36" s="813">
        <f>SUM(Q36:T36)</f>
        <v>0</v>
      </c>
      <c r="V36" s="813">
        <v>0</v>
      </c>
      <c r="W36" s="941">
        <v>0</v>
      </c>
      <c r="X36" s="813">
        <v>0</v>
      </c>
      <c r="Y36" s="813">
        <f>SUM(V36:X36)</f>
        <v>0</v>
      </c>
      <c r="Z36" s="813">
        <f>U36+Y36</f>
        <v>0</v>
      </c>
      <c r="AA36" s="809">
        <f>ROUND((U36+V36+W36)*33.8%,0)</f>
        <v>0</v>
      </c>
      <c r="AB36" s="809">
        <f>ROUND(U36*2%,0)</f>
        <v>0</v>
      </c>
      <c r="AC36" s="813">
        <v>0</v>
      </c>
      <c r="AD36" s="813">
        <v>0</v>
      </c>
      <c r="AE36" s="813">
        <f>SUM(AC36:AD36)</f>
        <v>0</v>
      </c>
      <c r="AF36" s="813">
        <f>Z36+AA36+AB36+AE36</f>
        <v>0</v>
      </c>
      <c r="AG36" s="836">
        <v>0</v>
      </c>
      <c r="AH36" s="836">
        <v>0</v>
      </c>
      <c r="AI36" s="836">
        <v>0</v>
      </c>
      <c r="AJ36" s="836">
        <v>0</v>
      </c>
      <c r="AK36" s="836">
        <v>0</v>
      </c>
      <c r="AL36" s="836">
        <f>AG36+AI36+AJ36</f>
        <v>0</v>
      </c>
      <c r="AM36" s="836">
        <f>AH36+AK36</f>
        <v>0</v>
      </c>
      <c r="AN36" s="949">
        <f>SUM(AL36:AM36)</f>
        <v>0</v>
      </c>
      <c r="AO36" s="945">
        <f t="shared" si="2"/>
        <v>186421</v>
      </c>
      <c r="AP36" s="813">
        <f t="shared" si="3"/>
        <v>137276</v>
      </c>
      <c r="AQ36" s="813">
        <f t="shared" si="4"/>
        <v>0</v>
      </c>
      <c r="AR36" s="813">
        <f t="shared" si="24"/>
        <v>46399</v>
      </c>
      <c r="AS36" s="813">
        <f t="shared" si="24"/>
        <v>2746</v>
      </c>
      <c r="AT36" s="813">
        <f t="shared" si="5"/>
        <v>0</v>
      </c>
      <c r="AU36" s="836">
        <f t="shared" si="6"/>
        <v>0.41670000000000001</v>
      </c>
      <c r="AV36" s="836">
        <f t="shared" si="25"/>
        <v>0.41670000000000001</v>
      </c>
      <c r="AW36" s="837">
        <f t="shared" si="25"/>
        <v>0</v>
      </c>
    </row>
    <row r="37" spans="1:49" ht="12.95" customHeight="1" x14ac:dyDescent="0.25">
      <c r="A37" s="827">
        <v>7</v>
      </c>
      <c r="B37" s="946">
        <v>5449</v>
      </c>
      <c r="C37" s="947">
        <v>600099458</v>
      </c>
      <c r="D37" s="828">
        <v>70188408</v>
      </c>
      <c r="E37" s="948" t="s">
        <v>386</v>
      </c>
      <c r="F37" s="828">
        <v>3143</v>
      </c>
      <c r="G37" s="948" t="s">
        <v>636</v>
      </c>
      <c r="H37" s="831" t="s">
        <v>284</v>
      </c>
      <c r="I37" s="803">
        <f>SUM(J37:M37)</f>
        <v>2809</v>
      </c>
      <c r="J37" s="833">
        <v>1980</v>
      </c>
      <c r="K37" s="805">
        <f>ROUND((J37)*33.8%,0)</f>
        <v>669</v>
      </c>
      <c r="L37" s="805">
        <f>ROUND(J37*2%,0)</f>
        <v>40</v>
      </c>
      <c r="M37" s="833">
        <v>120</v>
      </c>
      <c r="N37" s="834">
        <f>SUM(O37:P37)</f>
        <v>0.01</v>
      </c>
      <c r="O37" s="1054">
        <v>0</v>
      </c>
      <c r="P37" s="1055">
        <v>0.01</v>
      </c>
      <c r="Q37" s="940">
        <f>V37*-1</f>
        <v>0</v>
      </c>
      <c r="R37" s="813">
        <v>0</v>
      </c>
      <c r="S37" s="813">
        <v>0</v>
      </c>
      <c r="T37" s="813">
        <v>0</v>
      </c>
      <c r="U37" s="813">
        <f>SUM(Q37:T37)</f>
        <v>0</v>
      </c>
      <c r="V37" s="813">
        <v>0</v>
      </c>
      <c r="W37" s="941">
        <v>0</v>
      </c>
      <c r="X37" s="813">
        <v>0</v>
      </c>
      <c r="Y37" s="813">
        <f>SUM(V37:X37)</f>
        <v>0</v>
      </c>
      <c r="Z37" s="813">
        <f>U37+Y37</f>
        <v>0</v>
      </c>
      <c r="AA37" s="809">
        <f>ROUND((U37+V37+W37)*33.8%,0)</f>
        <v>0</v>
      </c>
      <c r="AB37" s="809">
        <f>ROUND(U37*2%,0)</f>
        <v>0</v>
      </c>
      <c r="AC37" s="813">
        <v>0</v>
      </c>
      <c r="AD37" s="813">
        <v>0</v>
      </c>
      <c r="AE37" s="813">
        <f>SUM(AC37:AD37)</f>
        <v>0</v>
      </c>
      <c r="AF37" s="813">
        <f>Z37+AA37+AB37+AE37</f>
        <v>0</v>
      </c>
      <c r="AG37" s="836">
        <v>0</v>
      </c>
      <c r="AH37" s="836">
        <v>0</v>
      </c>
      <c r="AI37" s="836">
        <v>0</v>
      </c>
      <c r="AJ37" s="836">
        <v>0</v>
      </c>
      <c r="AK37" s="836">
        <v>0</v>
      </c>
      <c r="AL37" s="836">
        <f>AG37+AI37+AJ37</f>
        <v>0</v>
      </c>
      <c r="AM37" s="836">
        <f>AH37+AK37</f>
        <v>0</v>
      </c>
      <c r="AN37" s="949">
        <f>SUM(AL37:AM37)</f>
        <v>0</v>
      </c>
      <c r="AO37" s="945">
        <f t="shared" si="2"/>
        <v>2809</v>
      </c>
      <c r="AP37" s="813">
        <f t="shared" si="3"/>
        <v>1980</v>
      </c>
      <c r="AQ37" s="813">
        <f t="shared" si="4"/>
        <v>0</v>
      </c>
      <c r="AR37" s="813">
        <f t="shared" si="24"/>
        <v>669</v>
      </c>
      <c r="AS37" s="813">
        <f t="shared" si="24"/>
        <v>40</v>
      </c>
      <c r="AT37" s="813">
        <f t="shared" si="5"/>
        <v>120</v>
      </c>
      <c r="AU37" s="836">
        <f t="shared" si="6"/>
        <v>0.01</v>
      </c>
      <c r="AV37" s="836">
        <f t="shared" si="25"/>
        <v>0</v>
      </c>
      <c r="AW37" s="837">
        <f t="shared" si="25"/>
        <v>0.01</v>
      </c>
    </row>
    <row r="38" spans="1:49" ht="12.95" customHeight="1" x14ac:dyDescent="0.25">
      <c r="A38" s="950">
        <v>7</v>
      </c>
      <c r="B38" s="951">
        <v>5449</v>
      </c>
      <c r="C38" s="952">
        <v>600099458</v>
      </c>
      <c r="D38" s="951">
        <v>70188408</v>
      </c>
      <c r="E38" s="953" t="s">
        <v>387</v>
      </c>
      <c r="F38" s="850"/>
      <c r="G38" s="960"/>
      <c r="H38" s="851"/>
      <c r="I38" s="954">
        <f t="shared" ref="I38:AW38" si="27">SUM(I33:I37)</f>
        <v>12686324</v>
      </c>
      <c r="J38" s="955">
        <f t="shared" si="27"/>
        <v>9270474</v>
      </c>
      <c r="K38" s="955">
        <f t="shared" si="27"/>
        <v>3133420</v>
      </c>
      <c r="L38" s="955">
        <f t="shared" si="27"/>
        <v>185410</v>
      </c>
      <c r="M38" s="955">
        <f t="shared" si="27"/>
        <v>97020</v>
      </c>
      <c r="N38" s="956">
        <f t="shared" si="27"/>
        <v>17.2255</v>
      </c>
      <c r="O38" s="956">
        <f t="shared" si="27"/>
        <v>13.402800000000001</v>
      </c>
      <c r="P38" s="959">
        <f t="shared" si="27"/>
        <v>3.8226999999999993</v>
      </c>
      <c r="Q38" s="957">
        <f t="shared" si="27"/>
        <v>-60000</v>
      </c>
      <c r="R38" s="955">
        <f t="shared" si="27"/>
        <v>0</v>
      </c>
      <c r="S38" s="955">
        <f t="shared" si="27"/>
        <v>0</v>
      </c>
      <c r="T38" s="955">
        <f t="shared" si="27"/>
        <v>0</v>
      </c>
      <c r="U38" s="955">
        <f t="shared" si="27"/>
        <v>-60000</v>
      </c>
      <c r="V38" s="955">
        <f t="shared" si="27"/>
        <v>60000</v>
      </c>
      <c r="W38" s="955">
        <f t="shared" si="27"/>
        <v>0</v>
      </c>
      <c r="X38" s="955">
        <f t="shared" si="27"/>
        <v>0</v>
      </c>
      <c r="Y38" s="955">
        <f t="shared" si="27"/>
        <v>60000</v>
      </c>
      <c r="Z38" s="955">
        <f t="shared" si="27"/>
        <v>0</v>
      </c>
      <c r="AA38" s="955">
        <f t="shared" si="27"/>
        <v>0</v>
      </c>
      <c r="AB38" s="955">
        <f t="shared" si="27"/>
        <v>-1200</v>
      </c>
      <c r="AC38" s="955">
        <f t="shared" si="27"/>
        <v>0</v>
      </c>
      <c r="AD38" s="955">
        <f t="shared" si="27"/>
        <v>0</v>
      </c>
      <c r="AE38" s="955">
        <f t="shared" si="27"/>
        <v>0</v>
      </c>
      <c r="AF38" s="955">
        <f t="shared" si="27"/>
        <v>-1200</v>
      </c>
      <c r="AG38" s="956">
        <f t="shared" si="27"/>
        <v>0</v>
      </c>
      <c r="AH38" s="956">
        <f t="shared" si="27"/>
        <v>-0.25</v>
      </c>
      <c r="AI38" s="956">
        <f t="shared" si="27"/>
        <v>0</v>
      </c>
      <c r="AJ38" s="956">
        <f t="shared" si="27"/>
        <v>0</v>
      </c>
      <c r="AK38" s="956">
        <f t="shared" si="27"/>
        <v>0</v>
      </c>
      <c r="AL38" s="956">
        <f t="shared" si="27"/>
        <v>0</v>
      </c>
      <c r="AM38" s="956">
        <f t="shared" si="27"/>
        <v>-0.25</v>
      </c>
      <c r="AN38" s="958">
        <f t="shared" si="27"/>
        <v>-0.25</v>
      </c>
      <c r="AO38" s="954">
        <f t="shared" si="27"/>
        <v>12685124</v>
      </c>
      <c r="AP38" s="955">
        <f t="shared" si="27"/>
        <v>9210474</v>
      </c>
      <c r="AQ38" s="955">
        <f t="shared" si="27"/>
        <v>60000</v>
      </c>
      <c r="AR38" s="955">
        <f t="shared" si="27"/>
        <v>3133420</v>
      </c>
      <c r="AS38" s="955">
        <f t="shared" si="27"/>
        <v>184210</v>
      </c>
      <c r="AT38" s="955">
        <f t="shared" si="27"/>
        <v>97020</v>
      </c>
      <c r="AU38" s="956">
        <f t="shared" si="27"/>
        <v>16.9755</v>
      </c>
      <c r="AV38" s="956">
        <f t="shared" si="27"/>
        <v>13.402800000000001</v>
      </c>
      <c r="AW38" s="959">
        <f t="shared" si="27"/>
        <v>3.5726999999999993</v>
      </c>
    </row>
    <row r="39" spans="1:49" ht="12.95" customHeight="1" x14ac:dyDescent="0.25">
      <c r="A39" s="827">
        <v>8</v>
      </c>
      <c r="B39" s="946">
        <v>5443</v>
      </c>
      <c r="C39" s="947">
        <v>600099237</v>
      </c>
      <c r="D39" s="828">
        <v>854841</v>
      </c>
      <c r="E39" s="948" t="s">
        <v>388</v>
      </c>
      <c r="F39" s="828">
        <v>3113</v>
      </c>
      <c r="G39" s="948" t="s">
        <v>335</v>
      </c>
      <c r="H39" s="831" t="s">
        <v>283</v>
      </c>
      <c r="I39" s="803">
        <f>SUM(J39:M39)</f>
        <v>23341086</v>
      </c>
      <c r="J39" s="833">
        <v>16819437</v>
      </c>
      <c r="K39" s="805">
        <f>ROUND((J39)*33.8%,0)</f>
        <v>5684970</v>
      </c>
      <c r="L39" s="805">
        <f>ROUND(J39*2%,0)</f>
        <v>336389</v>
      </c>
      <c r="M39" s="833">
        <v>500290</v>
      </c>
      <c r="N39" s="834">
        <f>SUM(O39:P39)</f>
        <v>32.355400000000003</v>
      </c>
      <c r="O39" s="1054">
        <v>24.7728</v>
      </c>
      <c r="P39" s="1055">
        <v>7.5826000000000002</v>
      </c>
      <c r="Q39" s="940">
        <f>V39*-1</f>
        <v>-92000</v>
      </c>
      <c r="R39" s="813">
        <v>0</v>
      </c>
      <c r="S39" s="813">
        <v>0</v>
      </c>
      <c r="T39" s="813">
        <v>0</v>
      </c>
      <c r="U39" s="813">
        <f>SUM(Q39:T39)</f>
        <v>-92000</v>
      </c>
      <c r="V39" s="813">
        <v>92000</v>
      </c>
      <c r="W39" s="941">
        <v>0</v>
      </c>
      <c r="X39" s="813">
        <v>0</v>
      </c>
      <c r="Y39" s="813">
        <f>SUM(V39:X39)</f>
        <v>92000</v>
      </c>
      <c r="Z39" s="813">
        <f>U39+Y39</f>
        <v>0</v>
      </c>
      <c r="AA39" s="809">
        <f>ROUND((U39+V39+W39)*33.8%,0)</f>
        <v>0</v>
      </c>
      <c r="AB39" s="809">
        <f>ROUND(U39*2%,0)</f>
        <v>-1840</v>
      </c>
      <c r="AC39" s="813">
        <v>0</v>
      </c>
      <c r="AD39" s="813">
        <v>0</v>
      </c>
      <c r="AE39" s="813">
        <f>SUM(AC39:AD39)</f>
        <v>0</v>
      </c>
      <c r="AF39" s="813">
        <f>Z39+AA39+AB39+AE39</f>
        <v>-1840</v>
      </c>
      <c r="AG39" s="836">
        <v>-0.03</v>
      </c>
      <c r="AH39" s="836">
        <v>-0.03</v>
      </c>
      <c r="AI39" s="836">
        <v>0</v>
      </c>
      <c r="AJ39" s="836">
        <v>0</v>
      </c>
      <c r="AK39" s="836">
        <v>0</v>
      </c>
      <c r="AL39" s="836">
        <f>AG39+AI39+AJ39</f>
        <v>-0.03</v>
      </c>
      <c r="AM39" s="836">
        <f>AH39+AK39</f>
        <v>-0.03</v>
      </c>
      <c r="AN39" s="949">
        <f>SUM(AL39:AM39)</f>
        <v>-0.06</v>
      </c>
      <c r="AO39" s="945">
        <f t="shared" si="2"/>
        <v>23339246</v>
      </c>
      <c r="AP39" s="813">
        <f t="shared" si="3"/>
        <v>16727437</v>
      </c>
      <c r="AQ39" s="813">
        <f t="shared" si="4"/>
        <v>92000</v>
      </c>
      <c r="AR39" s="813">
        <f t="shared" si="24"/>
        <v>5684970</v>
      </c>
      <c r="AS39" s="813">
        <f t="shared" si="24"/>
        <v>334549</v>
      </c>
      <c r="AT39" s="813">
        <f t="shared" si="5"/>
        <v>500290</v>
      </c>
      <c r="AU39" s="836">
        <f t="shared" si="6"/>
        <v>32.295400000000001</v>
      </c>
      <c r="AV39" s="836">
        <f t="shared" si="25"/>
        <v>24.742799999999999</v>
      </c>
      <c r="AW39" s="837">
        <f t="shared" si="25"/>
        <v>7.5526</v>
      </c>
    </row>
    <row r="40" spans="1:49" ht="12.95" customHeight="1" x14ac:dyDescent="0.25">
      <c r="A40" s="827">
        <v>8</v>
      </c>
      <c r="B40" s="946">
        <v>5443</v>
      </c>
      <c r="C40" s="947">
        <v>600099237</v>
      </c>
      <c r="D40" s="828">
        <v>854841</v>
      </c>
      <c r="E40" s="948" t="s">
        <v>388</v>
      </c>
      <c r="F40" s="828">
        <v>3113</v>
      </c>
      <c r="G40" s="948" t="s">
        <v>325</v>
      </c>
      <c r="H40" s="831" t="s">
        <v>284</v>
      </c>
      <c r="I40" s="803">
        <f>SUM(J40:M40)</f>
        <v>0</v>
      </c>
      <c r="J40" s="833">
        <v>0</v>
      </c>
      <c r="K40" s="805">
        <v>0</v>
      </c>
      <c r="L40" s="805">
        <v>0</v>
      </c>
      <c r="M40" s="833">
        <v>0</v>
      </c>
      <c r="N40" s="834">
        <f>SUM(O40:P40)</f>
        <v>0</v>
      </c>
      <c r="O40" s="1054">
        <v>0</v>
      </c>
      <c r="P40" s="1055">
        <v>0</v>
      </c>
      <c r="Q40" s="940">
        <f>V40*-1</f>
        <v>0</v>
      </c>
      <c r="R40" s="833">
        <f>1611872+17352</f>
        <v>1629224</v>
      </c>
      <c r="S40" s="813">
        <v>0</v>
      </c>
      <c r="T40" s="813">
        <v>0</v>
      </c>
      <c r="U40" s="813">
        <f>SUM(Q40:T40)</f>
        <v>1629224</v>
      </c>
      <c r="V40" s="813">
        <v>0</v>
      </c>
      <c r="W40" s="941">
        <v>0</v>
      </c>
      <c r="X40" s="813">
        <v>0</v>
      </c>
      <c r="Y40" s="813">
        <f>SUM(V40:X40)</f>
        <v>0</v>
      </c>
      <c r="Z40" s="813">
        <f>U40+Y40</f>
        <v>1629224</v>
      </c>
      <c r="AA40" s="809">
        <f>ROUND((U40+V40+W40)*33.8%,0)</f>
        <v>550678</v>
      </c>
      <c r="AB40" s="809">
        <f>ROUND(U40*2%,0)</f>
        <v>32584</v>
      </c>
      <c r="AC40" s="813">
        <v>0</v>
      </c>
      <c r="AD40" s="813">
        <v>0</v>
      </c>
      <c r="AE40" s="813">
        <f>SUM(AC40:AD40)</f>
        <v>0</v>
      </c>
      <c r="AF40" s="813">
        <f>Z40+AA40+AB40+AE40</f>
        <v>2212486</v>
      </c>
      <c r="AG40" s="836">
        <v>0</v>
      </c>
      <c r="AH40" s="836">
        <v>0</v>
      </c>
      <c r="AI40" s="836">
        <f>4.4+0.04</f>
        <v>4.4400000000000004</v>
      </c>
      <c r="AJ40" s="836">
        <v>0</v>
      </c>
      <c r="AK40" s="836">
        <v>0</v>
      </c>
      <c r="AL40" s="836">
        <f>AG40+AI40+AJ40</f>
        <v>4.4400000000000004</v>
      </c>
      <c r="AM40" s="836">
        <f>AH40+AK40</f>
        <v>0</v>
      </c>
      <c r="AN40" s="949">
        <f>SUM(AL40:AM40)</f>
        <v>4.4400000000000004</v>
      </c>
      <c r="AO40" s="945">
        <f t="shared" si="2"/>
        <v>2212486</v>
      </c>
      <c r="AP40" s="813">
        <f t="shared" si="3"/>
        <v>1629224</v>
      </c>
      <c r="AQ40" s="813">
        <f t="shared" si="4"/>
        <v>0</v>
      </c>
      <c r="AR40" s="813">
        <f t="shared" si="24"/>
        <v>550678</v>
      </c>
      <c r="AS40" s="813">
        <f t="shared" si="24"/>
        <v>32584</v>
      </c>
      <c r="AT40" s="813">
        <f t="shared" si="5"/>
        <v>0</v>
      </c>
      <c r="AU40" s="836">
        <f t="shared" si="6"/>
        <v>4.4400000000000004</v>
      </c>
      <c r="AV40" s="836">
        <f t="shared" si="25"/>
        <v>4.4400000000000004</v>
      </c>
      <c r="AW40" s="837">
        <f t="shared" si="25"/>
        <v>0</v>
      </c>
    </row>
    <row r="41" spans="1:49" ht="12.95" customHeight="1" x14ac:dyDescent="0.25">
      <c r="A41" s="827">
        <v>8</v>
      </c>
      <c r="B41" s="946">
        <v>5443</v>
      </c>
      <c r="C41" s="947">
        <v>600099237</v>
      </c>
      <c r="D41" s="828">
        <v>854841</v>
      </c>
      <c r="E41" s="948" t="s">
        <v>388</v>
      </c>
      <c r="F41" s="828">
        <v>3141</v>
      </c>
      <c r="G41" s="948" t="s">
        <v>321</v>
      </c>
      <c r="H41" s="831" t="s">
        <v>284</v>
      </c>
      <c r="I41" s="803">
        <f>SUM(J41:M41)</f>
        <v>3678073</v>
      </c>
      <c r="J41" s="833">
        <v>2684562</v>
      </c>
      <c r="K41" s="805">
        <f>ROUND((J41)*33.8%,0)</f>
        <v>907382</v>
      </c>
      <c r="L41" s="805">
        <f>ROUND(J41*2%,0)</f>
        <v>53691</v>
      </c>
      <c r="M41" s="833">
        <v>32438</v>
      </c>
      <c r="N41" s="834">
        <f>SUM(O41:P41)</f>
        <v>9.1300000000000008</v>
      </c>
      <c r="O41" s="1054">
        <v>0</v>
      </c>
      <c r="P41" s="1055">
        <v>9.1300000000000008</v>
      </c>
      <c r="Q41" s="940">
        <f>V41*-1</f>
        <v>-16000</v>
      </c>
      <c r="R41" s="813">
        <v>0</v>
      </c>
      <c r="S41" s="813">
        <v>0</v>
      </c>
      <c r="T41" s="813">
        <v>0</v>
      </c>
      <c r="U41" s="813">
        <f>SUM(Q41:T41)</f>
        <v>-16000</v>
      </c>
      <c r="V41" s="813">
        <v>16000</v>
      </c>
      <c r="W41" s="941">
        <v>0</v>
      </c>
      <c r="X41" s="813">
        <v>0</v>
      </c>
      <c r="Y41" s="813">
        <f>SUM(V41:X41)</f>
        <v>16000</v>
      </c>
      <c r="Z41" s="813">
        <f>U41+Y41</f>
        <v>0</v>
      </c>
      <c r="AA41" s="809">
        <f>ROUND((U41+V41+W41)*33.8%,0)</f>
        <v>0</v>
      </c>
      <c r="AB41" s="809">
        <f>ROUND(U41*2%,0)</f>
        <v>-320</v>
      </c>
      <c r="AC41" s="813">
        <v>0</v>
      </c>
      <c r="AD41" s="813">
        <v>0</v>
      </c>
      <c r="AE41" s="813">
        <f>SUM(AC41:AD41)</f>
        <v>0</v>
      </c>
      <c r="AF41" s="813">
        <f>Z41+AA41+AB41+AE41</f>
        <v>-320</v>
      </c>
      <c r="AG41" s="836">
        <v>0</v>
      </c>
      <c r="AH41" s="836">
        <v>-0.01</v>
      </c>
      <c r="AI41" s="836">
        <v>0</v>
      </c>
      <c r="AJ41" s="836">
        <v>0</v>
      </c>
      <c r="AK41" s="836">
        <v>0</v>
      </c>
      <c r="AL41" s="836">
        <f>AG41+AI41+AJ41</f>
        <v>0</v>
      </c>
      <c r="AM41" s="836">
        <f>AH41+AK41</f>
        <v>-0.01</v>
      </c>
      <c r="AN41" s="949">
        <f>SUM(AL41:AM41)</f>
        <v>-0.01</v>
      </c>
      <c r="AO41" s="945">
        <f t="shared" si="2"/>
        <v>3677753</v>
      </c>
      <c r="AP41" s="813">
        <f t="shared" si="3"/>
        <v>2668562</v>
      </c>
      <c r="AQ41" s="813">
        <f t="shared" si="4"/>
        <v>16000</v>
      </c>
      <c r="AR41" s="813">
        <f t="shared" si="24"/>
        <v>907382</v>
      </c>
      <c r="AS41" s="813">
        <f t="shared" si="24"/>
        <v>53371</v>
      </c>
      <c r="AT41" s="813">
        <f t="shared" si="5"/>
        <v>32438</v>
      </c>
      <c r="AU41" s="836">
        <f t="shared" si="6"/>
        <v>9.120000000000001</v>
      </c>
      <c r="AV41" s="836">
        <f t="shared" si="25"/>
        <v>0</v>
      </c>
      <c r="AW41" s="837">
        <f t="shared" si="25"/>
        <v>9.120000000000001</v>
      </c>
    </row>
    <row r="42" spans="1:49" ht="12.95" customHeight="1" x14ac:dyDescent="0.25">
      <c r="A42" s="827">
        <v>8</v>
      </c>
      <c r="B42" s="946">
        <v>5443</v>
      </c>
      <c r="C42" s="947">
        <v>600099237</v>
      </c>
      <c r="D42" s="828">
        <v>854841</v>
      </c>
      <c r="E42" s="948" t="s">
        <v>388</v>
      </c>
      <c r="F42" s="828">
        <v>3143</v>
      </c>
      <c r="G42" s="948" t="s">
        <v>635</v>
      </c>
      <c r="H42" s="831" t="s">
        <v>283</v>
      </c>
      <c r="I42" s="803">
        <f>SUM(J42:M42)</f>
        <v>1372279</v>
      </c>
      <c r="J42" s="833">
        <v>1010515</v>
      </c>
      <c r="K42" s="805">
        <f>ROUND((J42)*33.8%,0)</f>
        <v>341554</v>
      </c>
      <c r="L42" s="805">
        <f>ROUND(J42*2%,0)</f>
        <v>20210</v>
      </c>
      <c r="M42" s="833">
        <v>0</v>
      </c>
      <c r="N42" s="834">
        <f>SUM(O42:P42)</f>
        <v>2.137</v>
      </c>
      <c r="O42" s="1054">
        <v>2.137</v>
      </c>
      <c r="P42" s="1055">
        <v>0</v>
      </c>
      <c r="Q42" s="940">
        <f>V42*-1</f>
        <v>-16000</v>
      </c>
      <c r="R42" s="813">
        <v>0</v>
      </c>
      <c r="S42" s="813">
        <v>0</v>
      </c>
      <c r="T42" s="813">
        <v>0</v>
      </c>
      <c r="U42" s="813">
        <f>SUM(Q42:T42)</f>
        <v>-16000</v>
      </c>
      <c r="V42" s="813">
        <v>16000</v>
      </c>
      <c r="W42" s="941">
        <v>0</v>
      </c>
      <c r="X42" s="813">
        <v>0</v>
      </c>
      <c r="Y42" s="813">
        <f>SUM(V42:X42)</f>
        <v>16000</v>
      </c>
      <c r="Z42" s="813">
        <f>U42+Y42</f>
        <v>0</v>
      </c>
      <c r="AA42" s="809">
        <f>ROUND((U42+V42+W42)*33.8%,0)</f>
        <v>0</v>
      </c>
      <c r="AB42" s="809">
        <f>ROUND(U42*2%,0)</f>
        <v>-320</v>
      </c>
      <c r="AC42" s="813">
        <v>0</v>
      </c>
      <c r="AD42" s="813">
        <v>0</v>
      </c>
      <c r="AE42" s="813">
        <f>SUM(AC42:AD42)</f>
        <v>0</v>
      </c>
      <c r="AF42" s="813">
        <f>Z42+AA42+AB42+AE42</f>
        <v>-320</v>
      </c>
      <c r="AG42" s="836">
        <v>0</v>
      </c>
      <c r="AH42" s="836">
        <v>0</v>
      </c>
      <c r="AI42" s="836">
        <v>0</v>
      </c>
      <c r="AJ42" s="836">
        <v>0</v>
      </c>
      <c r="AK42" s="836">
        <v>0</v>
      </c>
      <c r="AL42" s="836">
        <f>AG42+AI42+AJ42</f>
        <v>0</v>
      </c>
      <c r="AM42" s="836">
        <f>AH42+AK42</f>
        <v>0</v>
      </c>
      <c r="AN42" s="949">
        <f>SUM(AL42:AM42)</f>
        <v>0</v>
      </c>
      <c r="AO42" s="945">
        <f t="shared" si="2"/>
        <v>1371959</v>
      </c>
      <c r="AP42" s="813">
        <f t="shared" si="3"/>
        <v>994515</v>
      </c>
      <c r="AQ42" s="813">
        <f t="shared" si="4"/>
        <v>16000</v>
      </c>
      <c r="AR42" s="813">
        <f t="shared" si="24"/>
        <v>341554</v>
      </c>
      <c r="AS42" s="813">
        <f t="shared" si="24"/>
        <v>19890</v>
      </c>
      <c r="AT42" s="813">
        <f t="shared" si="5"/>
        <v>0</v>
      </c>
      <c r="AU42" s="836">
        <f t="shared" si="6"/>
        <v>2.137</v>
      </c>
      <c r="AV42" s="836">
        <f t="shared" si="25"/>
        <v>2.137</v>
      </c>
      <c r="AW42" s="837">
        <f t="shared" si="25"/>
        <v>0</v>
      </c>
    </row>
    <row r="43" spans="1:49" ht="12.95" customHeight="1" x14ac:dyDescent="0.25">
      <c r="A43" s="827">
        <v>8</v>
      </c>
      <c r="B43" s="946">
        <v>5443</v>
      </c>
      <c r="C43" s="947">
        <v>600099237</v>
      </c>
      <c r="D43" s="828">
        <v>854841</v>
      </c>
      <c r="E43" s="948" t="s">
        <v>388</v>
      </c>
      <c r="F43" s="828">
        <v>3143</v>
      </c>
      <c r="G43" s="948" t="s">
        <v>636</v>
      </c>
      <c r="H43" s="831" t="s">
        <v>284</v>
      </c>
      <c r="I43" s="803">
        <f>SUM(J43:M43)</f>
        <v>49857</v>
      </c>
      <c r="J43" s="833">
        <v>35145</v>
      </c>
      <c r="K43" s="805">
        <f>ROUND((J43)*33.8%,0)</f>
        <v>11879</v>
      </c>
      <c r="L43" s="805">
        <f>ROUND(J43*2%,0)</f>
        <v>703</v>
      </c>
      <c r="M43" s="833">
        <v>2130</v>
      </c>
      <c r="N43" s="834">
        <f>SUM(O43:P43)</f>
        <v>0.15</v>
      </c>
      <c r="O43" s="1054">
        <v>0</v>
      </c>
      <c r="P43" s="1055">
        <v>0.15</v>
      </c>
      <c r="Q43" s="940">
        <f>V43*-1</f>
        <v>0</v>
      </c>
      <c r="R43" s="813">
        <v>0</v>
      </c>
      <c r="S43" s="813">
        <v>0</v>
      </c>
      <c r="T43" s="813">
        <v>0</v>
      </c>
      <c r="U43" s="813">
        <f>SUM(Q43:T43)</f>
        <v>0</v>
      </c>
      <c r="V43" s="813">
        <v>0</v>
      </c>
      <c r="W43" s="941">
        <v>0</v>
      </c>
      <c r="X43" s="813">
        <v>0</v>
      </c>
      <c r="Y43" s="813">
        <f>SUM(V43:X43)</f>
        <v>0</v>
      </c>
      <c r="Z43" s="813">
        <f>U43+Y43</f>
        <v>0</v>
      </c>
      <c r="AA43" s="809">
        <f>ROUND((U43+V43+W43)*33.8%,0)</f>
        <v>0</v>
      </c>
      <c r="AB43" s="809">
        <f>ROUND(U43*2%,0)</f>
        <v>0</v>
      </c>
      <c r="AC43" s="813">
        <v>0</v>
      </c>
      <c r="AD43" s="813">
        <v>0</v>
      </c>
      <c r="AE43" s="813">
        <f>SUM(AC43:AD43)</f>
        <v>0</v>
      </c>
      <c r="AF43" s="813">
        <f>Z43+AA43+AB43+AE43</f>
        <v>0</v>
      </c>
      <c r="AG43" s="836">
        <v>0</v>
      </c>
      <c r="AH43" s="836">
        <v>0</v>
      </c>
      <c r="AI43" s="836">
        <v>0</v>
      </c>
      <c r="AJ43" s="836">
        <v>0</v>
      </c>
      <c r="AK43" s="836">
        <v>0</v>
      </c>
      <c r="AL43" s="836">
        <f>AG43+AI43+AJ43</f>
        <v>0</v>
      </c>
      <c r="AM43" s="836">
        <f>AH43+AK43</f>
        <v>0</v>
      </c>
      <c r="AN43" s="949">
        <f>SUM(AL43:AM43)</f>
        <v>0</v>
      </c>
      <c r="AO43" s="945">
        <f t="shared" si="2"/>
        <v>49857</v>
      </c>
      <c r="AP43" s="813">
        <f t="shared" si="3"/>
        <v>35145</v>
      </c>
      <c r="AQ43" s="813">
        <f t="shared" si="4"/>
        <v>0</v>
      </c>
      <c r="AR43" s="813">
        <f t="shared" si="24"/>
        <v>11879</v>
      </c>
      <c r="AS43" s="813">
        <f t="shared" si="24"/>
        <v>703</v>
      </c>
      <c r="AT43" s="813">
        <f t="shared" si="5"/>
        <v>2130</v>
      </c>
      <c r="AU43" s="836">
        <f t="shared" si="6"/>
        <v>0.15</v>
      </c>
      <c r="AV43" s="836">
        <f t="shared" si="25"/>
        <v>0</v>
      </c>
      <c r="AW43" s="837">
        <f t="shared" si="25"/>
        <v>0.15</v>
      </c>
    </row>
    <row r="44" spans="1:49" ht="12.95" customHeight="1" x14ac:dyDescent="0.25">
      <c r="A44" s="950">
        <v>8</v>
      </c>
      <c r="B44" s="951">
        <v>5443</v>
      </c>
      <c r="C44" s="963">
        <v>600099237</v>
      </c>
      <c r="D44" s="951">
        <v>854841</v>
      </c>
      <c r="E44" s="953" t="s">
        <v>389</v>
      </c>
      <c r="F44" s="850"/>
      <c r="G44" s="960"/>
      <c r="H44" s="851"/>
      <c r="I44" s="964">
        <f t="shared" ref="I44:AW44" si="28">SUM(I39:I43)</f>
        <v>28441295</v>
      </c>
      <c r="J44" s="965">
        <f t="shared" si="28"/>
        <v>20549659</v>
      </c>
      <c r="K44" s="965">
        <f t="shared" si="28"/>
        <v>6945785</v>
      </c>
      <c r="L44" s="965">
        <f t="shared" si="28"/>
        <v>410993</v>
      </c>
      <c r="M44" s="965">
        <f t="shared" si="28"/>
        <v>534858</v>
      </c>
      <c r="N44" s="966">
        <f t="shared" si="28"/>
        <v>43.772400000000005</v>
      </c>
      <c r="O44" s="966">
        <f t="shared" si="28"/>
        <v>26.909800000000001</v>
      </c>
      <c r="P44" s="969">
        <f t="shared" si="28"/>
        <v>16.8626</v>
      </c>
      <c r="Q44" s="967">
        <f t="shared" si="28"/>
        <v>-124000</v>
      </c>
      <c r="R44" s="965">
        <f t="shared" si="28"/>
        <v>1629224</v>
      </c>
      <c r="S44" s="965">
        <f t="shared" si="28"/>
        <v>0</v>
      </c>
      <c r="T44" s="965">
        <f t="shared" si="28"/>
        <v>0</v>
      </c>
      <c r="U44" s="965">
        <f t="shared" si="28"/>
        <v>1505224</v>
      </c>
      <c r="V44" s="965">
        <f t="shared" si="28"/>
        <v>124000</v>
      </c>
      <c r="W44" s="965">
        <f t="shared" si="28"/>
        <v>0</v>
      </c>
      <c r="X44" s="965">
        <f t="shared" si="28"/>
        <v>0</v>
      </c>
      <c r="Y44" s="965">
        <f t="shared" si="28"/>
        <v>124000</v>
      </c>
      <c r="Z44" s="965">
        <f t="shared" si="28"/>
        <v>1629224</v>
      </c>
      <c r="AA44" s="965">
        <f t="shared" si="28"/>
        <v>550678</v>
      </c>
      <c r="AB44" s="965">
        <f t="shared" si="28"/>
        <v>30104</v>
      </c>
      <c r="AC44" s="965">
        <f t="shared" si="28"/>
        <v>0</v>
      </c>
      <c r="AD44" s="965">
        <f t="shared" si="28"/>
        <v>0</v>
      </c>
      <c r="AE44" s="965">
        <f t="shared" si="28"/>
        <v>0</v>
      </c>
      <c r="AF44" s="965">
        <f t="shared" si="28"/>
        <v>2210006</v>
      </c>
      <c r="AG44" s="966">
        <f t="shared" si="28"/>
        <v>-0.03</v>
      </c>
      <c r="AH44" s="966">
        <f t="shared" si="28"/>
        <v>-0.04</v>
      </c>
      <c r="AI44" s="966">
        <f t="shared" si="28"/>
        <v>4.4400000000000004</v>
      </c>
      <c r="AJ44" s="966">
        <f t="shared" si="28"/>
        <v>0</v>
      </c>
      <c r="AK44" s="966">
        <f t="shared" si="28"/>
        <v>0</v>
      </c>
      <c r="AL44" s="966">
        <f t="shared" si="28"/>
        <v>4.41</v>
      </c>
      <c r="AM44" s="966">
        <f t="shared" si="28"/>
        <v>-0.04</v>
      </c>
      <c r="AN44" s="968">
        <f t="shared" si="28"/>
        <v>4.370000000000001</v>
      </c>
      <c r="AO44" s="964">
        <f t="shared" si="28"/>
        <v>30651301</v>
      </c>
      <c r="AP44" s="965">
        <f t="shared" si="28"/>
        <v>22054883</v>
      </c>
      <c r="AQ44" s="965">
        <f t="shared" si="28"/>
        <v>124000</v>
      </c>
      <c r="AR44" s="965">
        <f t="shared" si="28"/>
        <v>7496463</v>
      </c>
      <c r="AS44" s="965">
        <f t="shared" si="28"/>
        <v>441097</v>
      </c>
      <c r="AT44" s="965">
        <f t="shared" si="28"/>
        <v>534858</v>
      </c>
      <c r="AU44" s="966">
        <f t="shared" si="28"/>
        <v>48.142400000000002</v>
      </c>
      <c r="AV44" s="966">
        <f t="shared" si="28"/>
        <v>31.319800000000001</v>
      </c>
      <c r="AW44" s="969">
        <f t="shared" si="28"/>
        <v>16.822600000000001</v>
      </c>
    </row>
    <row r="45" spans="1:49" ht="12.95" customHeight="1" x14ac:dyDescent="0.25">
      <c r="A45" s="827">
        <v>9</v>
      </c>
      <c r="B45" s="946">
        <v>5445</v>
      </c>
      <c r="C45" s="947">
        <v>600099351</v>
      </c>
      <c r="D45" s="828">
        <v>70155771</v>
      </c>
      <c r="E45" s="948" t="s">
        <v>390</v>
      </c>
      <c r="F45" s="828">
        <v>3113</v>
      </c>
      <c r="G45" s="948" t="s">
        <v>335</v>
      </c>
      <c r="H45" s="831" t="s">
        <v>283</v>
      </c>
      <c r="I45" s="803">
        <f t="shared" ref="I45:I50" si="29">SUM(J45:M45)</f>
        <v>23026065</v>
      </c>
      <c r="J45" s="833">
        <v>16542670</v>
      </c>
      <c r="K45" s="805">
        <f>ROUND((J45)*33.8%,0)</f>
        <v>5591422</v>
      </c>
      <c r="L45" s="805">
        <f>ROUND(J45*2%,0)</f>
        <v>330853</v>
      </c>
      <c r="M45" s="833">
        <v>561120</v>
      </c>
      <c r="N45" s="834">
        <f t="shared" ref="N45:N50" si="30">SUM(O45:P45)</f>
        <v>30.535199999999996</v>
      </c>
      <c r="O45" s="1054">
        <v>22.863399999999999</v>
      </c>
      <c r="P45" s="1055">
        <v>7.6717999999999993</v>
      </c>
      <c r="Q45" s="940">
        <f t="shared" ref="Q45:Q50" si="31">V45*-1</f>
        <v>-26400</v>
      </c>
      <c r="R45" s="813">
        <v>0</v>
      </c>
      <c r="S45" s="813">
        <v>0</v>
      </c>
      <c r="T45" s="813">
        <v>0</v>
      </c>
      <c r="U45" s="813">
        <f t="shared" ref="U45:U50" si="32">SUM(Q45:T45)</f>
        <v>-26400</v>
      </c>
      <c r="V45" s="813">
        <v>26400</v>
      </c>
      <c r="W45" s="941">
        <v>18272</v>
      </c>
      <c r="X45" s="813">
        <v>0</v>
      </c>
      <c r="Y45" s="813">
        <f t="shared" ref="Y45:Y50" si="33">SUM(V45:X45)</f>
        <v>44672</v>
      </c>
      <c r="Z45" s="813">
        <f t="shared" ref="Z45:Z50" si="34">U45+Y45</f>
        <v>18272</v>
      </c>
      <c r="AA45" s="809">
        <f t="shared" ref="AA45:AA50" si="35">ROUND((U45+V45+W45)*33.8%,0)</f>
        <v>6176</v>
      </c>
      <c r="AB45" s="809">
        <f t="shared" ref="AB45:AB50" si="36">ROUND(U45*2%,0)</f>
        <v>-528</v>
      </c>
      <c r="AC45" s="813">
        <v>0</v>
      </c>
      <c r="AD45" s="813">
        <v>0</v>
      </c>
      <c r="AE45" s="813">
        <f t="shared" ref="AE45:AE50" si="37">SUM(AC45:AD45)</f>
        <v>0</v>
      </c>
      <c r="AF45" s="813">
        <f t="shared" ref="AF45:AF50" si="38">Z45+AA45+AB45+AE45</f>
        <v>23920</v>
      </c>
      <c r="AG45" s="836">
        <v>-0.04</v>
      </c>
      <c r="AH45" s="836">
        <v>-0.02</v>
      </c>
      <c r="AI45" s="836">
        <v>0</v>
      </c>
      <c r="AJ45" s="836">
        <v>0</v>
      </c>
      <c r="AK45" s="836">
        <v>0</v>
      </c>
      <c r="AL45" s="836">
        <f t="shared" ref="AL45:AL50" si="39">AG45+AI45+AJ45</f>
        <v>-0.04</v>
      </c>
      <c r="AM45" s="836">
        <f t="shared" ref="AM45:AM50" si="40">AH45+AK45</f>
        <v>-0.02</v>
      </c>
      <c r="AN45" s="949">
        <f t="shared" ref="AN45:AN50" si="41">SUM(AL45:AM45)</f>
        <v>-0.06</v>
      </c>
      <c r="AO45" s="945">
        <f t="shared" si="2"/>
        <v>23049985</v>
      </c>
      <c r="AP45" s="813">
        <f t="shared" si="3"/>
        <v>16516270</v>
      </c>
      <c r="AQ45" s="813">
        <f t="shared" si="4"/>
        <v>44672</v>
      </c>
      <c r="AR45" s="813">
        <f t="shared" si="24"/>
        <v>5597598</v>
      </c>
      <c r="AS45" s="813">
        <f t="shared" si="24"/>
        <v>330325</v>
      </c>
      <c r="AT45" s="813">
        <f t="shared" si="5"/>
        <v>561120</v>
      </c>
      <c r="AU45" s="836">
        <f t="shared" si="6"/>
        <v>30.475199999999997</v>
      </c>
      <c r="AV45" s="836">
        <f t="shared" si="25"/>
        <v>22.823399999999999</v>
      </c>
      <c r="AW45" s="837">
        <f t="shared" si="25"/>
        <v>7.6517999999999997</v>
      </c>
    </row>
    <row r="46" spans="1:49" ht="12.95" customHeight="1" x14ac:dyDescent="0.25">
      <c r="A46" s="827">
        <v>9</v>
      </c>
      <c r="B46" s="946">
        <v>5445</v>
      </c>
      <c r="C46" s="947">
        <v>600099351</v>
      </c>
      <c r="D46" s="828">
        <v>70155771</v>
      </c>
      <c r="E46" s="948" t="s">
        <v>390</v>
      </c>
      <c r="F46" s="828">
        <v>3113</v>
      </c>
      <c r="G46" s="948" t="s">
        <v>325</v>
      </c>
      <c r="H46" s="831" t="s">
        <v>284</v>
      </c>
      <c r="I46" s="803">
        <f t="shared" si="29"/>
        <v>0</v>
      </c>
      <c r="J46" s="833">
        <v>0</v>
      </c>
      <c r="K46" s="805">
        <v>0</v>
      </c>
      <c r="L46" s="805">
        <v>0</v>
      </c>
      <c r="M46" s="833">
        <v>0</v>
      </c>
      <c r="N46" s="834">
        <f t="shared" si="30"/>
        <v>0</v>
      </c>
      <c r="O46" s="1054">
        <v>0</v>
      </c>
      <c r="P46" s="1055">
        <v>0</v>
      </c>
      <c r="Q46" s="940">
        <f t="shared" si="31"/>
        <v>0</v>
      </c>
      <c r="R46" s="833">
        <f>400498-123504</f>
        <v>276994</v>
      </c>
      <c r="S46" s="813">
        <v>0</v>
      </c>
      <c r="T46" s="813">
        <v>0</v>
      </c>
      <c r="U46" s="813">
        <f t="shared" si="32"/>
        <v>276994</v>
      </c>
      <c r="V46" s="813">
        <v>0</v>
      </c>
      <c r="W46" s="941">
        <v>0</v>
      </c>
      <c r="X46" s="813">
        <v>0</v>
      </c>
      <c r="Y46" s="813">
        <f t="shared" si="33"/>
        <v>0</v>
      </c>
      <c r="Z46" s="813">
        <f t="shared" si="34"/>
        <v>276994</v>
      </c>
      <c r="AA46" s="809">
        <f t="shared" si="35"/>
        <v>93624</v>
      </c>
      <c r="AB46" s="809">
        <f t="shared" si="36"/>
        <v>5540</v>
      </c>
      <c r="AC46" s="813">
        <v>700</v>
      </c>
      <c r="AD46" s="813">
        <v>0</v>
      </c>
      <c r="AE46" s="813">
        <f t="shared" si="37"/>
        <v>700</v>
      </c>
      <c r="AF46" s="813">
        <f t="shared" si="38"/>
        <v>376858</v>
      </c>
      <c r="AG46" s="836">
        <v>0</v>
      </c>
      <c r="AH46" s="836">
        <v>0</v>
      </c>
      <c r="AI46" s="836">
        <f>1.09-0.36</f>
        <v>0.73000000000000009</v>
      </c>
      <c r="AJ46" s="836">
        <v>0</v>
      </c>
      <c r="AK46" s="836">
        <v>0</v>
      </c>
      <c r="AL46" s="836">
        <f t="shared" si="39"/>
        <v>0.73000000000000009</v>
      </c>
      <c r="AM46" s="836">
        <f t="shared" si="40"/>
        <v>0</v>
      </c>
      <c r="AN46" s="949">
        <f t="shared" si="41"/>
        <v>0.73000000000000009</v>
      </c>
      <c r="AO46" s="945">
        <f t="shared" si="2"/>
        <v>376858</v>
      </c>
      <c r="AP46" s="813">
        <f t="shared" si="3"/>
        <v>276994</v>
      </c>
      <c r="AQ46" s="813">
        <f t="shared" si="4"/>
        <v>0</v>
      </c>
      <c r="AR46" s="813">
        <f t="shared" si="24"/>
        <v>93624</v>
      </c>
      <c r="AS46" s="813">
        <f t="shared" si="24"/>
        <v>5540</v>
      </c>
      <c r="AT46" s="813">
        <f t="shared" si="5"/>
        <v>700</v>
      </c>
      <c r="AU46" s="836">
        <f t="shared" si="6"/>
        <v>0.73000000000000009</v>
      </c>
      <c r="AV46" s="836">
        <f t="shared" si="25"/>
        <v>0.73000000000000009</v>
      </c>
      <c r="AW46" s="837">
        <f t="shared" si="25"/>
        <v>0</v>
      </c>
    </row>
    <row r="47" spans="1:49" ht="12.95" customHeight="1" x14ac:dyDescent="0.25">
      <c r="A47" s="827">
        <v>9</v>
      </c>
      <c r="B47" s="946">
        <v>5445</v>
      </c>
      <c r="C47" s="947">
        <v>600099351</v>
      </c>
      <c r="D47" s="828">
        <v>70155771</v>
      </c>
      <c r="E47" s="948" t="s">
        <v>390</v>
      </c>
      <c r="F47" s="828">
        <v>3141</v>
      </c>
      <c r="G47" s="948" t="s">
        <v>321</v>
      </c>
      <c r="H47" s="831" t="s">
        <v>284</v>
      </c>
      <c r="I47" s="803">
        <f t="shared" si="29"/>
        <v>1136881</v>
      </c>
      <c r="J47" s="833">
        <v>830638</v>
      </c>
      <c r="K47" s="805">
        <f>ROUND((J47)*33.8%,0)</f>
        <v>280756</v>
      </c>
      <c r="L47" s="805">
        <f>ROUND(J47*2%,0)</f>
        <v>16613</v>
      </c>
      <c r="M47" s="833">
        <v>8874</v>
      </c>
      <c r="N47" s="834">
        <f t="shared" si="30"/>
        <v>2.83</v>
      </c>
      <c r="O47" s="1054">
        <v>0</v>
      </c>
      <c r="P47" s="1055">
        <v>2.83</v>
      </c>
      <c r="Q47" s="940">
        <f t="shared" si="31"/>
        <v>0</v>
      </c>
      <c r="R47" s="813">
        <v>0</v>
      </c>
      <c r="S47" s="813">
        <v>0</v>
      </c>
      <c r="T47" s="813">
        <v>0</v>
      </c>
      <c r="U47" s="813">
        <f t="shared" si="32"/>
        <v>0</v>
      </c>
      <c r="V47" s="813">
        <v>0</v>
      </c>
      <c r="W47" s="941">
        <v>0</v>
      </c>
      <c r="X47" s="813">
        <v>0</v>
      </c>
      <c r="Y47" s="813">
        <f t="shared" si="33"/>
        <v>0</v>
      </c>
      <c r="Z47" s="813">
        <f t="shared" si="34"/>
        <v>0</v>
      </c>
      <c r="AA47" s="809">
        <f t="shared" si="35"/>
        <v>0</v>
      </c>
      <c r="AB47" s="809">
        <f t="shared" si="36"/>
        <v>0</v>
      </c>
      <c r="AC47" s="813">
        <v>0</v>
      </c>
      <c r="AD47" s="813">
        <v>0</v>
      </c>
      <c r="AE47" s="813">
        <f t="shared" si="37"/>
        <v>0</v>
      </c>
      <c r="AF47" s="813">
        <f t="shared" si="38"/>
        <v>0</v>
      </c>
      <c r="AG47" s="836">
        <v>0</v>
      </c>
      <c r="AH47" s="836">
        <v>0</v>
      </c>
      <c r="AI47" s="836">
        <v>0</v>
      </c>
      <c r="AJ47" s="836">
        <v>0</v>
      </c>
      <c r="AK47" s="836">
        <v>0</v>
      </c>
      <c r="AL47" s="836">
        <f t="shared" si="39"/>
        <v>0</v>
      </c>
      <c r="AM47" s="836">
        <f t="shared" si="40"/>
        <v>0</v>
      </c>
      <c r="AN47" s="949">
        <f t="shared" si="41"/>
        <v>0</v>
      </c>
      <c r="AO47" s="945">
        <f t="shared" si="2"/>
        <v>1136881</v>
      </c>
      <c r="AP47" s="813">
        <f t="shared" si="3"/>
        <v>830638</v>
      </c>
      <c r="AQ47" s="813">
        <f t="shared" si="4"/>
        <v>0</v>
      </c>
      <c r="AR47" s="813">
        <f t="shared" si="24"/>
        <v>280756</v>
      </c>
      <c r="AS47" s="813">
        <f t="shared" si="24"/>
        <v>16613</v>
      </c>
      <c r="AT47" s="813">
        <f t="shared" si="5"/>
        <v>8874</v>
      </c>
      <c r="AU47" s="836">
        <f t="shared" si="6"/>
        <v>2.83</v>
      </c>
      <c r="AV47" s="836">
        <f t="shared" si="25"/>
        <v>0</v>
      </c>
      <c r="AW47" s="837">
        <f t="shared" si="25"/>
        <v>2.83</v>
      </c>
    </row>
    <row r="48" spans="1:49" ht="12.95" customHeight="1" x14ac:dyDescent="0.25">
      <c r="A48" s="827">
        <v>9</v>
      </c>
      <c r="B48" s="946">
        <v>5445</v>
      </c>
      <c r="C48" s="947">
        <v>600099351</v>
      </c>
      <c r="D48" s="828">
        <v>70155771</v>
      </c>
      <c r="E48" s="948" t="s">
        <v>390</v>
      </c>
      <c r="F48" s="828">
        <v>3143</v>
      </c>
      <c r="G48" s="948" t="s">
        <v>635</v>
      </c>
      <c r="H48" s="831" t="s">
        <v>283</v>
      </c>
      <c r="I48" s="803">
        <f t="shared" si="29"/>
        <v>1676232</v>
      </c>
      <c r="J48" s="833">
        <v>1234338</v>
      </c>
      <c r="K48" s="805">
        <f>ROUND((J48)*33.8%,0)+1</f>
        <v>417207</v>
      </c>
      <c r="L48" s="805">
        <f>ROUND(J48*2%,0)</f>
        <v>24687</v>
      </c>
      <c r="M48" s="833">
        <v>0</v>
      </c>
      <c r="N48" s="834">
        <f t="shared" si="30"/>
        <v>2.6896</v>
      </c>
      <c r="O48" s="1054">
        <v>2.6896</v>
      </c>
      <c r="P48" s="1055">
        <v>0</v>
      </c>
      <c r="Q48" s="940">
        <f t="shared" si="31"/>
        <v>0</v>
      </c>
      <c r="R48" s="813">
        <v>0</v>
      </c>
      <c r="S48" s="813">
        <v>0</v>
      </c>
      <c r="T48" s="813">
        <v>0</v>
      </c>
      <c r="U48" s="813">
        <f t="shared" si="32"/>
        <v>0</v>
      </c>
      <c r="V48" s="813">
        <v>0</v>
      </c>
      <c r="W48" s="941">
        <v>0</v>
      </c>
      <c r="X48" s="813">
        <v>0</v>
      </c>
      <c r="Y48" s="813">
        <f t="shared" si="33"/>
        <v>0</v>
      </c>
      <c r="Z48" s="813">
        <f t="shared" si="34"/>
        <v>0</v>
      </c>
      <c r="AA48" s="809">
        <f t="shared" si="35"/>
        <v>0</v>
      </c>
      <c r="AB48" s="809">
        <f t="shared" si="36"/>
        <v>0</v>
      </c>
      <c r="AC48" s="813">
        <v>0</v>
      </c>
      <c r="AD48" s="813">
        <v>0</v>
      </c>
      <c r="AE48" s="813">
        <f t="shared" si="37"/>
        <v>0</v>
      </c>
      <c r="AF48" s="813">
        <f t="shared" si="38"/>
        <v>0</v>
      </c>
      <c r="AG48" s="836">
        <v>0</v>
      </c>
      <c r="AH48" s="836">
        <v>0</v>
      </c>
      <c r="AI48" s="836">
        <v>0</v>
      </c>
      <c r="AJ48" s="836">
        <v>0</v>
      </c>
      <c r="AK48" s="836">
        <v>0</v>
      </c>
      <c r="AL48" s="836">
        <f t="shared" si="39"/>
        <v>0</v>
      </c>
      <c r="AM48" s="836">
        <f t="shared" si="40"/>
        <v>0</v>
      </c>
      <c r="AN48" s="949">
        <f t="shared" si="41"/>
        <v>0</v>
      </c>
      <c r="AO48" s="945">
        <f t="shared" si="2"/>
        <v>1676232</v>
      </c>
      <c r="AP48" s="813">
        <f t="shared" si="3"/>
        <v>1234338</v>
      </c>
      <c r="AQ48" s="813">
        <f t="shared" si="4"/>
        <v>0</v>
      </c>
      <c r="AR48" s="813">
        <f t="shared" si="24"/>
        <v>417207</v>
      </c>
      <c r="AS48" s="813">
        <f t="shared" si="24"/>
        <v>24687</v>
      </c>
      <c r="AT48" s="813">
        <f t="shared" si="5"/>
        <v>0</v>
      </c>
      <c r="AU48" s="836">
        <f t="shared" si="6"/>
        <v>2.6896</v>
      </c>
      <c r="AV48" s="836">
        <f t="shared" si="25"/>
        <v>2.6896</v>
      </c>
      <c r="AW48" s="837">
        <f t="shared" si="25"/>
        <v>0</v>
      </c>
    </row>
    <row r="49" spans="1:49" ht="12.95" customHeight="1" x14ac:dyDescent="0.25">
      <c r="A49" s="827">
        <v>9</v>
      </c>
      <c r="B49" s="946">
        <v>5445</v>
      </c>
      <c r="C49" s="947">
        <v>600099351</v>
      </c>
      <c r="D49" s="828">
        <v>70155771</v>
      </c>
      <c r="E49" s="948" t="s">
        <v>390</v>
      </c>
      <c r="F49" s="828">
        <v>3143</v>
      </c>
      <c r="G49" s="948" t="s">
        <v>636</v>
      </c>
      <c r="H49" s="831" t="s">
        <v>284</v>
      </c>
      <c r="I49" s="803">
        <f t="shared" si="29"/>
        <v>50559</v>
      </c>
      <c r="J49" s="833">
        <v>35640</v>
      </c>
      <c r="K49" s="805">
        <f>ROUND((J49)*33.8%,0)</f>
        <v>12046</v>
      </c>
      <c r="L49" s="805">
        <f>ROUND(J49*2%,0)</f>
        <v>713</v>
      </c>
      <c r="M49" s="833">
        <v>2160</v>
      </c>
      <c r="N49" s="834">
        <f t="shared" si="30"/>
        <v>0.15</v>
      </c>
      <c r="O49" s="1054">
        <v>0</v>
      </c>
      <c r="P49" s="1055">
        <v>0.15</v>
      </c>
      <c r="Q49" s="940">
        <f t="shared" si="31"/>
        <v>0</v>
      </c>
      <c r="R49" s="813">
        <v>0</v>
      </c>
      <c r="S49" s="813">
        <v>0</v>
      </c>
      <c r="T49" s="813">
        <v>0</v>
      </c>
      <c r="U49" s="813">
        <f t="shared" si="32"/>
        <v>0</v>
      </c>
      <c r="V49" s="813">
        <v>0</v>
      </c>
      <c r="W49" s="941">
        <v>0</v>
      </c>
      <c r="X49" s="813">
        <v>0</v>
      </c>
      <c r="Y49" s="813">
        <f t="shared" si="33"/>
        <v>0</v>
      </c>
      <c r="Z49" s="813">
        <f t="shared" si="34"/>
        <v>0</v>
      </c>
      <c r="AA49" s="809">
        <f t="shared" si="35"/>
        <v>0</v>
      </c>
      <c r="AB49" s="809">
        <f t="shared" si="36"/>
        <v>0</v>
      </c>
      <c r="AC49" s="813">
        <v>0</v>
      </c>
      <c r="AD49" s="813">
        <v>0</v>
      </c>
      <c r="AE49" s="813">
        <f t="shared" si="37"/>
        <v>0</v>
      </c>
      <c r="AF49" s="813">
        <f t="shared" si="38"/>
        <v>0</v>
      </c>
      <c r="AG49" s="836">
        <v>0</v>
      </c>
      <c r="AH49" s="836">
        <v>0</v>
      </c>
      <c r="AI49" s="836">
        <v>0</v>
      </c>
      <c r="AJ49" s="836">
        <v>0</v>
      </c>
      <c r="AK49" s="836">
        <v>0</v>
      </c>
      <c r="AL49" s="836">
        <f t="shared" si="39"/>
        <v>0</v>
      </c>
      <c r="AM49" s="836">
        <f t="shared" si="40"/>
        <v>0</v>
      </c>
      <c r="AN49" s="949">
        <f t="shared" si="41"/>
        <v>0</v>
      </c>
      <c r="AO49" s="945">
        <f t="shared" si="2"/>
        <v>50559</v>
      </c>
      <c r="AP49" s="813">
        <f t="shared" si="3"/>
        <v>35640</v>
      </c>
      <c r="AQ49" s="813">
        <f t="shared" si="4"/>
        <v>0</v>
      </c>
      <c r="AR49" s="813">
        <f t="shared" si="24"/>
        <v>12046</v>
      </c>
      <c r="AS49" s="813">
        <f t="shared" si="24"/>
        <v>713</v>
      </c>
      <c r="AT49" s="813">
        <f t="shared" si="5"/>
        <v>2160</v>
      </c>
      <c r="AU49" s="836">
        <f t="shared" si="6"/>
        <v>0.15</v>
      </c>
      <c r="AV49" s="836">
        <f t="shared" si="25"/>
        <v>0</v>
      </c>
      <c r="AW49" s="837">
        <f t="shared" si="25"/>
        <v>0.15</v>
      </c>
    </row>
    <row r="50" spans="1:49" ht="12.95" customHeight="1" x14ac:dyDescent="0.25">
      <c r="A50" s="827">
        <v>9</v>
      </c>
      <c r="B50" s="946">
        <v>5445</v>
      </c>
      <c r="C50" s="947">
        <v>600099351</v>
      </c>
      <c r="D50" s="828">
        <v>70155771</v>
      </c>
      <c r="E50" s="948" t="s">
        <v>390</v>
      </c>
      <c r="F50" s="828">
        <v>3143</v>
      </c>
      <c r="G50" s="948" t="s">
        <v>323</v>
      </c>
      <c r="H50" s="831" t="s">
        <v>284</v>
      </c>
      <c r="I50" s="803">
        <f t="shared" si="29"/>
        <v>368490</v>
      </c>
      <c r="J50" s="833">
        <v>270243</v>
      </c>
      <c r="K50" s="805">
        <f>ROUND((J50)*33.8%,0)</f>
        <v>91342</v>
      </c>
      <c r="L50" s="805">
        <f>ROUND(J50*2%,0)</f>
        <v>5405</v>
      </c>
      <c r="M50" s="833">
        <v>1500</v>
      </c>
      <c r="N50" s="834">
        <f t="shared" si="30"/>
        <v>0.62</v>
      </c>
      <c r="O50" s="1054">
        <v>0.52</v>
      </c>
      <c r="P50" s="1055">
        <v>0.1</v>
      </c>
      <c r="Q50" s="940">
        <f t="shared" si="31"/>
        <v>-44000</v>
      </c>
      <c r="R50" s="813">
        <v>0</v>
      </c>
      <c r="S50" s="813">
        <v>0</v>
      </c>
      <c r="T50" s="813">
        <v>0</v>
      </c>
      <c r="U50" s="813">
        <f t="shared" si="32"/>
        <v>-44000</v>
      </c>
      <c r="V50" s="813">
        <v>44000</v>
      </c>
      <c r="W50" s="941">
        <v>0</v>
      </c>
      <c r="X50" s="813">
        <v>0</v>
      </c>
      <c r="Y50" s="813">
        <f t="shared" si="33"/>
        <v>44000</v>
      </c>
      <c r="Z50" s="813">
        <f t="shared" si="34"/>
        <v>0</v>
      </c>
      <c r="AA50" s="809">
        <f t="shared" si="35"/>
        <v>0</v>
      </c>
      <c r="AB50" s="809">
        <f t="shared" si="36"/>
        <v>-880</v>
      </c>
      <c r="AC50" s="813">
        <v>0</v>
      </c>
      <c r="AD50" s="813">
        <v>0</v>
      </c>
      <c r="AE50" s="813">
        <f t="shared" si="37"/>
        <v>0</v>
      </c>
      <c r="AF50" s="813">
        <f t="shared" si="38"/>
        <v>-880</v>
      </c>
      <c r="AG50" s="836">
        <v>-0.09</v>
      </c>
      <c r="AH50" s="836">
        <v>0</v>
      </c>
      <c r="AI50" s="836">
        <v>0</v>
      </c>
      <c r="AJ50" s="836">
        <v>0</v>
      </c>
      <c r="AK50" s="836">
        <v>0</v>
      </c>
      <c r="AL50" s="836">
        <f t="shared" si="39"/>
        <v>-0.09</v>
      </c>
      <c r="AM50" s="836">
        <f t="shared" si="40"/>
        <v>0</v>
      </c>
      <c r="AN50" s="949">
        <f t="shared" si="41"/>
        <v>-0.09</v>
      </c>
      <c r="AO50" s="945">
        <f t="shared" si="2"/>
        <v>367610</v>
      </c>
      <c r="AP50" s="813">
        <f t="shared" si="3"/>
        <v>226243</v>
      </c>
      <c r="AQ50" s="813">
        <f t="shared" si="4"/>
        <v>44000</v>
      </c>
      <c r="AR50" s="813">
        <f t="shared" si="24"/>
        <v>91342</v>
      </c>
      <c r="AS50" s="813">
        <f t="shared" si="24"/>
        <v>4525</v>
      </c>
      <c r="AT50" s="813">
        <f t="shared" si="5"/>
        <v>1500</v>
      </c>
      <c r="AU50" s="836">
        <f t="shared" si="6"/>
        <v>0.53</v>
      </c>
      <c r="AV50" s="836">
        <f t="shared" si="25"/>
        <v>0.43000000000000005</v>
      </c>
      <c r="AW50" s="837">
        <f t="shared" si="25"/>
        <v>0.1</v>
      </c>
    </row>
    <row r="51" spans="1:49" ht="12.95" customHeight="1" x14ac:dyDescent="0.25">
      <c r="A51" s="950">
        <v>9</v>
      </c>
      <c r="B51" s="951">
        <v>5445</v>
      </c>
      <c r="C51" s="952">
        <v>600099351</v>
      </c>
      <c r="D51" s="951">
        <v>70155771</v>
      </c>
      <c r="E51" s="953" t="s">
        <v>391</v>
      </c>
      <c r="F51" s="850"/>
      <c r="G51" s="960"/>
      <c r="H51" s="851"/>
      <c r="I51" s="954">
        <f t="shared" ref="I51:AW51" si="42">SUM(I45:I50)</f>
        <v>26258227</v>
      </c>
      <c r="J51" s="955">
        <f t="shared" si="42"/>
        <v>18913529</v>
      </c>
      <c r="K51" s="955">
        <f t="shared" si="42"/>
        <v>6392773</v>
      </c>
      <c r="L51" s="955">
        <f t="shared" si="42"/>
        <v>378271</v>
      </c>
      <c r="M51" s="955">
        <f t="shared" si="42"/>
        <v>573654</v>
      </c>
      <c r="N51" s="956">
        <f t="shared" si="42"/>
        <v>36.824799999999989</v>
      </c>
      <c r="O51" s="956">
        <f t="shared" si="42"/>
        <v>26.072999999999997</v>
      </c>
      <c r="P51" s="959">
        <f t="shared" si="42"/>
        <v>10.751799999999999</v>
      </c>
      <c r="Q51" s="957">
        <f t="shared" si="42"/>
        <v>-70400</v>
      </c>
      <c r="R51" s="955">
        <f t="shared" si="42"/>
        <v>276994</v>
      </c>
      <c r="S51" s="955">
        <f t="shared" si="42"/>
        <v>0</v>
      </c>
      <c r="T51" s="955">
        <f t="shared" si="42"/>
        <v>0</v>
      </c>
      <c r="U51" s="955">
        <f t="shared" si="42"/>
        <v>206594</v>
      </c>
      <c r="V51" s="955">
        <f t="shared" si="42"/>
        <v>70400</v>
      </c>
      <c r="W51" s="955">
        <f t="shared" si="42"/>
        <v>18272</v>
      </c>
      <c r="X51" s="955">
        <f t="shared" si="42"/>
        <v>0</v>
      </c>
      <c r="Y51" s="955">
        <f t="shared" si="42"/>
        <v>88672</v>
      </c>
      <c r="Z51" s="955">
        <f t="shared" si="42"/>
        <v>295266</v>
      </c>
      <c r="AA51" s="955">
        <f t="shared" si="42"/>
        <v>99800</v>
      </c>
      <c r="AB51" s="955">
        <f t="shared" si="42"/>
        <v>4132</v>
      </c>
      <c r="AC51" s="955">
        <f t="shared" si="42"/>
        <v>700</v>
      </c>
      <c r="AD51" s="955">
        <f t="shared" si="42"/>
        <v>0</v>
      </c>
      <c r="AE51" s="955">
        <f t="shared" si="42"/>
        <v>700</v>
      </c>
      <c r="AF51" s="955">
        <f t="shared" si="42"/>
        <v>399898</v>
      </c>
      <c r="AG51" s="956">
        <f t="shared" si="42"/>
        <v>-0.13</v>
      </c>
      <c r="AH51" s="956">
        <f t="shared" si="42"/>
        <v>-0.02</v>
      </c>
      <c r="AI51" s="956">
        <f t="shared" si="42"/>
        <v>0.73000000000000009</v>
      </c>
      <c r="AJ51" s="956">
        <f t="shared" si="42"/>
        <v>0</v>
      </c>
      <c r="AK51" s="956">
        <f t="shared" si="42"/>
        <v>0</v>
      </c>
      <c r="AL51" s="956">
        <f t="shared" si="42"/>
        <v>0.60000000000000009</v>
      </c>
      <c r="AM51" s="956">
        <f t="shared" si="42"/>
        <v>-0.02</v>
      </c>
      <c r="AN51" s="958">
        <f t="shared" si="42"/>
        <v>0.58000000000000018</v>
      </c>
      <c r="AO51" s="954">
        <f t="shared" si="42"/>
        <v>26658125</v>
      </c>
      <c r="AP51" s="955">
        <f t="shared" si="42"/>
        <v>19120123</v>
      </c>
      <c r="AQ51" s="955">
        <f t="shared" si="42"/>
        <v>88672</v>
      </c>
      <c r="AR51" s="955">
        <f t="shared" si="42"/>
        <v>6492573</v>
      </c>
      <c r="AS51" s="955">
        <f t="shared" si="42"/>
        <v>382403</v>
      </c>
      <c r="AT51" s="955">
        <f t="shared" si="42"/>
        <v>574354</v>
      </c>
      <c r="AU51" s="956">
        <f t="shared" si="42"/>
        <v>37.404799999999994</v>
      </c>
      <c r="AV51" s="956">
        <f t="shared" si="42"/>
        <v>26.672999999999998</v>
      </c>
      <c r="AW51" s="959">
        <f t="shared" si="42"/>
        <v>10.7318</v>
      </c>
    </row>
    <row r="52" spans="1:49" ht="12.95" customHeight="1" x14ac:dyDescent="0.25">
      <c r="A52" s="827">
        <v>10</v>
      </c>
      <c r="B52" s="946">
        <v>5446</v>
      </c>
      <c r="C52" s="970">
        <v>600099393</v>
      </c>
      <c r="D52" s="828">
        <v>856096</v>
      </c>
      <c r="E52" s="948" t="s">
        <v>392</v>
      </c>
      <c r="F52" s="828">
        <v>3231</v>
      </c>
      <c r="G52" s="948" t="s">
        <v>322</v>
      </c>
      <c r="H52" s="831" t="s">
        <v>283</v>
      </c>
      <c r="I52" s="803">
        <f>SUM(J52:M52)</f>
        <v>20567884</v>
      </c>
      <c r="J52" s="833">
        <v>15092717</v>
      </c>
      <c r="K52" s="805">
        <f>ROUND((J52)*33.8%,0)</f>
        <v>5101338</v>
      </c>
      <c r="L52" s="805">
        <f>ROUND(J52*2%,0)</f>
        <v>301854</v>
      </c>
      <c r="M52" s="833">
        <v>71975</v>
      </c>
      <c r="N52" s="834">
        <f>SUM(O52:P52)</f>
        <v>29.270099999999999</v>
      </c>
      <c r="O52" s="1054">
        <v>25.914200000000001</v>
      </c>
      <c r="P52" s="1055">
        <v>3.3559000000000001</v>
      </c>
      <c r="Q52" s="940">
        <f>V52*-1</f>
        <v>-48000</v>
      </c>
      <c r="R52" s="813">
        <v>0</v>
      </c>
      <c r="S52" s="813">
        <v>0</v>
      </c>
      <c r="T52" s="813">
        <v>0</v>
      </c>
      <c r="U52" s="813">
        <f>SUM(Q52:T52)</f>
        <v>-48000</v>
      </c>
      <c r="V52" s="813">
        <v>48000</v>
      </c>
      <c r="W52" s="941">
        <v>0</v>
      </c>
      <c r="X52" s="813">
        <v>0</v>
      </c>
      <c r="Y52" s="813">
        <f>SUM(V52:X52)</f>
        <v>48000</v>
      </c>
      <c r="Z52" s="813">
        <f>U52+Y52</f>
        <v>0</v>
      </c>
      <c r="AA52" s="809">
        <f>ROUND((U52+V52+W52)*33.8%,0)</f>
        <v>0</v>
      </c>
      <c r="AB52" s="809">
        <f>ROUND(U52*2%,0)</f>
        <v>-960</v>
      </c>
      <c r="AC52" s="813">
        <v>0</v>
      </c>
      <c r="AD52" s="813">
        <v>0</v>
      </c>
      <c r="AE52" s="813">
        <f>SUM(AC52:AD52)</f>
        <v>0</v>
      </c>
      <c r="AF52" s="813">
        <f>Z52+AA52+AB52+AE52</f>
        <v>-960</v>
      </c>
      <c r="AG52" s="836">
        <v>-0.06</v>
      </c>
      <c r="AH52" s="836">
        <v>-0.05</v>
      </c>
      <c r="AI52" s="836">
        <v>0</v>
      </c>
      <c r="AJ52" s="836">
        <v>0</v>
      </c>
      <c r="AK52" s="836">
        <v>0</v>
      </c>
      <c r="AL52" s="836">
        <f>AG52+AI52+AJ52</f>
        <v>-0.06</v>
      </c>
      <c r="AM52" s="836">
        <f>AH52+AK52</f>
        <v>-0.05</v>
      </c>
      <c r="AN52" s="949">
        <f>SUM(AL52:AM52)</f>
        <v>-0.11</v>
      </c>
      <c r="AO52" s="945">
        <f t="shared" si="2"/>
        <v>20566924</v>
      </c>
      <c r="AP52" s="813">
        <f t="shared" si="3"/>
        <v>15044717</v>
      </c>
      <c r="AQ52" s="813">
        <f t="shared" si="4"/>
        <v>48000</v>
      </c>
      <c r="AR52" s="813">
        <f t="shared" si="24"/>
        <v>5101338</v>
      </c>
      <c r="AS52" s="813">
        <f t="shared" si="24"/>
        <v>300894</v>
      </c>
      <c r="AT52" s="813">
        <f t="shared" si="5"/>
        <v>71975</v>
      </c>
      <c r="AU52" s="836">
        <f t="shared" si="6"/>
        <v>29.1601</v>
      </c>
      <c r="AV52" s="836">
        <f t="shared" si="25"/>
        <v>25.854200000000002</v>
      </c>
      <c r="AW52" s="837">
        <f t="shared" si="25"/>
        <v>3.3059000000000003</v>
      </c>
    </row>
    <row r="53" spans="1:49" ht="12.95" customHeight="1" x14ac:dyDescent="0.25">
      <c r="A53" s="950">
        <v>10</v>
      </c>
      <c r="B53" s="951">
        <v>5446</v>
      </c>
      <c r="C53" s="952">
        <v>600099393</v>
      </c>
      <c r="D53" s="951">
        <v>856096</v>
      </c>
      <c r="E53" s="953" t="s">
        <v>393</v>
      </c>
      <c r="F53" s="850"/>
      <c r="G53" s="960"/>
      <c r="H53" s="851"/>
      <c r="I53" s="954">
        <f t="shared" ref="I53:AW53" si="43">SUM(I52)</f>
        <v>20567884</v>
      </c>
      <c r="J53" s="955">
        <f t="shared" si="43"/>
        <v>15092717</v>
      </c>
      <c r="K53" s="955">
        <f t="shared" si="43"/>
        <v>5101338</v>
      </c>
      <c r="L53" s="955">
        <f t="shared" si="43"/>
        <v>301854</v>
      </c>
      <c r="M53" s="955">
        <f t="shared" si="43"/>
        <v>71975</v>
      </c>
      <c r="N53" s="956">
        <f t="shared" si="43"/>
        <v>29.270099999999999</v>
      </c>
      <c r="O53" s="956">
        <f t="shared" si="43"/>
        <v>25.914200000000001</v>
      </c>
      <c r="P53" s="959">
        <f t="shared" si="43"/>
        <v>3.3559000000000001</v>
      </c>
      <c r="Q53" s="957">
        <f t="shared" si="43"/>
        <v>-48000</v>
      </c>
      <c r="R53" s="955">
        <f t="shared" si="43"/>
        <v>0</v>
      </c>
      <c r="S53" s="955">
        <f t="shared" si="43"/>
        <v>0</v>
      </c>
      <c r="T53" s="955">
        <f t="shared" si="43"/>
        <v>0</v>
      </c>
      <c r="U53" s="955">
        <f t="shared" si="43"/>
        <v>-48000</v>
      </c>
      <c r="V53" s="955">
        <f t="shared" si="43"/>
        <v>48000</v>
      </c>
      <c r="W53" s="955">
        <f t="shared" si="43"/>
        <v>0</v>
      </c>
      <c r="X53" s="955">
        <f t="shared" si="43"/>
        <v>0</v>
      </c>
      <c r="Y53" s="955">
        <f t="shared" si="43"/>
        <v>48000</v>
      </c>
      <c r="Z53" s="955">
        <f t="shared" si="43"/>
        <v>0</v>
      </c>
      <c r="AA53" s="955">
        <f t="shared" si="43"/>
        <v>0</v>
      </c>
      <c r="AB53" s="955">
        <f t="shared" si="43"/>
        <v>-960</v>
      </c>
      <c r="AC53" s="955">
        <f t="shared" si="43"/>
        <v>0</v>
      </c>
      <c r="AD53" s="955">
        <f t="shared" si="43"/>
        <v>0</v>
      </c>
      <c r="AE53" s="955">
        <f t="shared" si="43"/>
        <v>0</v>
      </c>
      <c r="AF53" s="955">
        <f t="shared" si="43"/>
        <v>-960</v>
      </c>
      <c r="AG53" s="956">
        <f t="shared" si="43"/>
        <v>-0.06</v>
      </c>
      <c r="AH53" s="956">
        <f t="shared" si="43"/>
        <v>-0.05</v>
      </c>
      <c r="AI53" s="956">
        <f t="shared" si="43"/>
        <v>0</v>
      </c>
      <c r="AJ53" s="956">
        <f t="shared" si="43"/>
        <v>0</v>
      </c>
      <c r="AK53" s="956">
        <f t="shared" si="43"/>
        <v>0</v>
      </c>
      <c r="AL53" s="956">
        <f t="shared" si="43"/>
        <v>-0.06</v>
      </c>
      <c r="AM53" s="956">
        <f t="shared" si="43"/>
        <v>-0.05</v>
      </c>
      <c r="AN53" s="958">
        <f t="shared" si="43"/>
        <v>-0.11</v>
      </c>
      <c r="AO53" s="954">
        <f t="shared" si="43"/>
        <v>20566924</v>
      </c>
      <c r="AP53" s="955">
        <f t="shared" si="43"/>
        <v>15044717</v>
      </c>
      <c r="AQ53" s="955">
        <f t="shared" si="43"/>
        <v>48000</v>
      </c>
      <c r="AR53" s="955">
        <f t="shared" si="43"/>
        <v>5101338</v>
      </c>
      <c r="AS53" s="955">
        <f t="shared" si="43"/>
        <v>300894</v>
      </c>
      <c r="AT53" s="955">
        <f t="shared" si="43"/>
        <v>71975</v>
      </c>
      <c r="AU53" s="956">
        <f t="shared" si="43"/>
        <v>29.1601</v>
      </c>
      <c r="AV53" s="956">
        <f t="shared" si="43"/>
        <v>25.854200000000002</v>
      </c>
      <c r="AW53" s="959">
        <f t="shared" si="43"/>
        <v>3.3059000000000003</v>
      </c>
    </row>
    <row r="54" spans="1:49" ht="12.95" customHeight="1" x14ac:dyDescent="0.25">
      <c r="A54" s="827">
        <v>11</v>
      </c>
      <c r="B54" s="946">
        <v>5403</v>
      </c>
      <c r="C54" s="947">
        <v>600098966</v>
      </c>
      <c r="D54" s="828">
        <v>75016931</v>
      </c>
      <c r="E54" s="948" t="s">
        <v>394</v>
      </c>
      <c r="F54" s="828">
        <v>3111</v>
      </c>
      <c r="G54" s="948" t="s">
        <v>331</v>
      </c>
      <c r="H54" s="831" t="s">
        <v>283</v>
      </c>
      <c r="I54" s="803">
        <f>SUM(J54:M54)</f>
        <v>1557099</v>
      </c>
      <c r="J54" s="833">
        <v>1137665</v>
      </c>
      <c r="K54" s="805">
        <f>ROUND((J54)*33.8%,0)</f>
        <v>384531</v>
      </c>
      <c r="L54" s="805">
        <f>ROUND(J54*2%,0)</f>
        <v>22753</v>
      </c>
      <c r="M54" s="833">
        <v>12150</v>
      </c>
      <c r="N54" s="834">
        <f>SUM(O54:P54)</f>
        <v>2.4464000000000001</v>
      </c>
      <c r="O54" s="1054">
        <v>1.9355</v>
      </c>
      <c r="P54" s="1055">
        <v>0.51090000000000002</v>
      </c>
      <c r="Q54" s="940">
        <f>V54*-1</f>
        <v>-12000</v>
      </c>
      <c r="R54" s="813">
        <v>0</v>
      </c>
      <c r="S54" s="813">
        <v>0</v>
      </c>
      <c r="T54" s="813">
        <v>0</v>
      </c>
      <c r="U54" s="813">
        <f>SUM(Q54:T54)</f>
        <v>-12000</v>
      </c>
      <c r="V54" s="813">
        <v>12000</v>
      </c>
      <c r="W54" s="941">
        <v>0</v>
      </c>
      <c r="X54" s="813">
        <v>0</v>
      </c>
      <c r="Y54" s="813">
        <f>SUM(V54:X54)</f>
        <v>12000</v>
      </c>
      <c r="Z54" s="813">
        <f>U54+Y54</f>
        <v>0</v>
      </c>
      <c r="AA54" s="809">
        <f>ROUND((U54+V54+W54)*33.8%,0)</f>
        <v>0</v>
      </c>
      <c r="AB54" s="809">
        <f>ROUND(U54*2%,0)</f>
        <v>-240</v>
      </c>
      <c r="AC54" s="813">
        <v>0</v>
      </c>
      <c r="AD54" s="813">
        <v>0</v>
      </c>
      <c r="AE54" s="813">
        <f>SUM(AC54:AD54)</f>
        <v>0</v>
      </c>
      <c r="AF54" s="813">
        <f>Z54+AA54+AB54+AE54</f>
        <v>-240</v>
      </c>
      <c r="AG54" s="836">
        <v>0</v>
      </c>
      <c r="AH54" s="836">
        <v>-0.02</v>
      </c>
      <c r="AI54" s="836">
        <v>0</v>
      </c>
      <c r="AJ54" s="836">
        <v>0</v>
      </c>
      <c r="AK54" s="836">
        <v>0</v>
      </c>
      <c r="AL54" s="836">
        <f>AG54+AI54+AJ54</f>
        <v>0</v>
      </c>
      <c r="AM54" s="836">
        <f>AH54+AK54</f>
        <v>-0.02</v>
      </c>
      <c r="AN54" s="949">
        <f>SUM(AL54:AM54)</f>
        <v>-0.02</v>
      </c>
      <c r="AO54" s="945">
        <f t="shared" si="2"/>
        <v>1556859</v>
      </c>
      <c r="AP54" s="813">
        <f t="shared" si="3"/>
        <v>1125665</v>
      </c>
      <c r="AQ54" s="813">
        <f t="shared" si="4"/>
        <v>12000</v>
      </c>
      <c r="AR54" s="813">
        <f t="shared" si="24"/>
        <v>384531</v>
      </c>
      <c r="AS54" s="813">
        <f t="shared" si="24"/>
        <v>22513</v>
      </c>
      <c r="AT54" s="813">
        <f t="shared" si="5"/>
        <v>12150</v>
      </c>
      <c r="AU54" s="836">
        <f t="shared" si="6"/>
        <v>2.4264000000000001</v>
      </c>
      <c r="AV54" s="836">
        <f t="shared" si="25"/>
        <v>1.9355</v>
      </c>
      <c r="AW54" s="837">
        <f t="shared" si="25"/>
        <v>0.4909</v>
      </c>
    </row>
    <row r="55" spans="1:49" ht="12.95" customHeight="1" x14ac:dyDescent="0.25">
      <c r="A55" s="827">
        <v>11</v>
      </c>
      <c r="B55" s="946">
        <v>5403</v>
      </c>
      <c r="C55" s="947">
        <v>600098966</v>
      </c>
      <c r="D55" s="828">
        <v>75016931</v>
      </c>
      <c r="E55" s="948" t="s">
        <v>394</v>
      </c>
      <c r="F55" s="828">
        <v>3117</v>
      </c>
      <c r="G55" s="948" t="s">
        <v>320</v>
      </c>
      <c r="H55" s="831" t="s">
        <v>283</v>
      </c>
      <c r="I55" s="803">
        <f>SUM(J55:M55)</f>
        <v>3002129</v>
      </c>
      <c r="J55" s="833">
        <v>2167886</v>
      </c>
      <c r="K55" s="805">
        <f>ROUND((J55)*33.8%,0)</f>
        <v>732745</v>
      </c>
      <c r="L55" s="805">
        <f>ROUND(J55*2%,0)</f>
        <v>43358</v>
      </c>
      <c r="M55" s="833">
        <v>58140</v>
      </c>
      <c r="N55" s="834">
        <f>SUM(O55:P55)</f>
        <v>4.2673000000000005</v>
      </c>
      <c r="O55" s="1054">
        <v>2.8929</v>
      </c>
      <c r="P55" s="1055">
        <v>1.3744000000000001</v>
      </c>
      <c r="Q55" s="940">
        <f>V55*-1</f>
        <v>-24000</v>
      </c>
      <c r="R55" s="813">
        <v>0</v>
      </c>
      <c r="S55" s="813">
        <v>0</v>
      </c>
      <c r="T55" s="813">
        <v>0</v>
      </c>
      <c r="U55" s="813">
        <f>SUM(Q55:T55)</f>
        <v>-24000</v>
      </c>
      <c r="V55" s="813">
        <v>24000</v>
      </c>
      <c r="W55" s="941">
        <v>0</v>
      </c>
      <c r="X55" s="813">
        <v>0</v>
      </c>
      <c r="Y55" s="813">
        <f>SUM(V55:X55)</f>
        <v>24000</v>
      </c>
      <c r="Z55" s="813">
        <f>U55+Y55</f>
        <v>0</v>
      </c>
      <c r="AA55" s="809">
        <f>ROUND((U55+V55+W55)*33.8%,0)</f>
        <v>0</v>
      </c>
      <c r="AB55" s="809">
        <f>ROUND(U55*2%,0)</f>
        <v>-480</v>
      </c>
      <c r="AC55" s="813">
        <v>0</v>
      </c>
      <c r="AD55" s="813">
        <v>0</v>
      </c>
      <c r="AE55" s="813">
        <f>SUM(AC55:AD55)</f>
        <v>0</v>
      </c>
      <c r="AF55" s="813">
        <f>Z55+AA55+AB55+AE55</f>
        <v>-480</v>
      </c>
      <c r="AG55" s="836">
        <v>0</v>
      </c>
      <c r="AH55" s="836">
        <v>-0.03</v>
      </c>
      <c r="AI55" s="836">
        <v>0</v>
      </c>
      <c r="AJ55" s="836">
        <v>0</v>
      </c>
      <c r="AK55" s="836">
        <v>0</v>
      </c>
      <c r="AL55" s="836">
        <f>AG55+AI55+AJ55</f>
        <v>0</v>
      </c>
      <c r="AM55" s="836">
        <f>AH55+AK55</f>
        <v>-0.03</v>
      </c>
      <c r="AN55" s="949">
        <f>SUM(AL55:AM55)</f>
        <v>-0.03</v>
      </c>
      <c r="AO55" s="945">
        <f t="shared" si="2"/>
        <v>3001649</v>
      </c>
      <c r="AP55" s="813">
        <f t="shared" si="3"/>
        <v>2143886</v>
      </c>
      <c r="AQ55" s="813">
        <f t="shared" si="4"/>
        <v>24000</v>
      </c>
      <c r="AR55" s="813">
        <f t="shared" si="24"/>
        <v>732745</v>
      </c>
      <c r="AS55" s="813">
        <f t="shared" si="24"/>
        <v>42878</v>
      </c>
      <c r="AT55" s="813">
        <f t="shared" si="5"/>
        <v>58140</v>
      </c>
      <c r="AU55" s="836">
        <f t="shared" si="6"/>
        <v>4.2373000000000003</v>
      </c>
      <c r="AV55" s="836">
        <f t="shared" si="25"/>
        <v>2.8929</v>
      </c>
      <c r="AW55" s="837">
        <f t="shared" si="25"/>
        <v>1.3444</v>
      </c>
    </row>
    <row r="56" spans="1:49" ht="12.95" customHeight="1" x14ac:dyDescent="0.25">
      <c r="A56" s="827">
        <v>11</v>
      </c>
      <c r="B56" s="946">
        <v>5403</v>
      </c>
      <c r="C56" s="947">
        <v>600098966</v>
      </c>
      <c r="D56" s="828">
        <v>75016931</v>
      </c>
      <c r="E56" s="948" t="s">
        <v>394</v>
      </c>
      <c r="F56" s="828">
        <v>3141</v>
      </c>
      <c r="G56" s="948" t="s">
        <v>321</v>
      </c>
      <c r="H56" s="831" t="s">
        <v>284</v>
      </c>
      <c r="I56" s="803">
        <f>SUM(J56:M56)</f>
        <v>780611</v>
      </c>
      <c r="J56" s="833">
        <v>572219</v>
      </c>
      <c r="K56" s="805">
        <f>ROUND((J56)*33.8%,0)</f>
        <v>193410</v>
      </c>
      <c r="L56" s="805">
        <f>ROUND(J56*2%,0)</f>
        <v>11444</v>
      </c>
      <c r="M56" s="833">
        <v>3538</v>
      </c>
      <c r="N56" s="834">
        <f>SUM(O56:P56)</f>
        <v>1.95</v>
      </c>
      <c r="O56" s="1054">
        <v>0</v>
      </c>
      <c r="P56" s="1055">
        <v>1.95</v>
      </c>
      <c r="Q56" s="940">
        <f>V56*-1</f>
        <v>-12000</v>
      </c>
      <c r="R56" s="813">
        <v>0</v>
      </c>
      <c r="S56" s="813">
        <v>0</v>
      </c>
      <c r="T56" s="813">
        <v>0</v>
      </c>
      <c r="U56" s="813">
        <f>SUM(Q56:T56)</f>
        <v>-12000</v>
      </c>
      <c r="V56" s="813">
        <v>12000</v>
      </c>
      <c r="W56" s="941">
        <v>0</v>
      </c>
      <c r="X56" s="813">
        <v>0</v>
      </c>
      <c r="Y56" s="813">
        <f>SUM(V56:X56)</f>
        <v>12000</v>
      </c>
      <c r="Z56" s="813">
        <f>U56+Y56</f>
        <v>0</v>
      </c>
      <c r="AA56" s="809">
        <f>ROUND((U56+V56+W56)*33.8%,0)</f>
        <v>0</v>
      </c>
      <c r="AB56" s="809">
        <f>ROUND(U56*2%,0)</f>
        <v>-240</v>
      </c>
      <c r="AC56" s="813">
        <v>0</v>
      </c>
      <c r="AD56" s="813">
        <v>0</v>
      </c>
      <c r="AE56" s="813">
        <f>SUM(AC56:AD56)</f>
        <v>0</v>
      </c>
      <c r="AF56" s="813">
        <f>Z56+AA56+AB56+AE56</f>
        <v>-240</v>
      </c>
      <c r="AG56" s="836">
        <v>0</v>
      </c>
      <c r="AH56" s="836">
        <v>0</v>
      </c>
      <c r="AI56" s="836">
        <v>0</v>
      </c>
      <c r="AJ56" s="836">
        <v>0</v>
      </c>
      <c r="AK56" s="836">
        <v>0</v>
      </c>
      <c r="AL56" s="836">
        <f>AG56+AI56+AJ56</f>
        <v>0</v>
      </c>
      <c r="AM56" s="836">
        <f>AH56+AK56</f>
        <v>0</v>
      </c>
      <c r="AN56" s="949">
        <f>SUM(AL56:AM56)</f>
        <v>0</v>
      </c>
      <c r="AO56" s="945">
        <f t="shared" si="2"/>
        <v>780371</v>
      </c>
      <c r="AP56" s="813">
        <f t="shared" si="3"/>
        <v>560219</v>
      </c>
      <c r="AQ56" s="813">
        <f t="shared" si="4"/>
        <v>12000</v>
      </c>
      <c r="AR56" s="813">
        <f t="shared" si="24"/>
        <v>193410</v>
      </c>
      <c r="AS56" s="813">
        <f t="shared" si="24"/>
        <v>11204</v>
      </c>
      <c r="AT56" s="813">
        <f t="shared" si="5"/>
        <v>3538</v>
      </c>
      <c r="AU56" s="836">
        <f t="shared" si="6"/>
        <v>1.95</v>
      </c>
      <c r="AV56" s="836">
        <f t="shared" si="25"/>
        <v>0</v>
      </c>
      <c r="AW56" s="837">
        <f t="shared" si="25"/>
        <v>1.95</v>
      </c>
    </row>
    <row r="57" spans="1:49" ht="12.95" customHeight="1" x14ac:dyDescent="0.25">
      <c r="A57" s="827">
        <v>11</v>
      </c>
      <c r="B57" s="946">
        <v>5403</v>
      </c>
      <c r="C57" s="947">
        <v>600098966</v>
      </c>
      <c r="D57" s="828">
        <v>75016931</v>
      </c>
      <c r="E57" s="948" t="s">
        <v>394</v>
      </c>
      <c r="F57" s="828">
        <v>3143</v>
      </c>
      <c r="G57" s="948" t="s">
        <v>635</v>
      </c>
      <c r="H57" s="831" t="s">
        <v>283</v>
      </c>
      <c r="I57" s="803">
        <f>SUM(J57:M57)</f>
        <v>540921</v>
      </c>
      <c r="J57" s="833">
        <v>398322</v>
      </c>
      <c r="K57" s="805">
        <f>ROUND((J57)*33.8%,0)</f>
        <v>134633</v>
      </c>
      <c r="L57" s="805">
        <f>ROUND(J57*2%,0)</f>
        <v>7966</v>
      </c>
      <c r="M57" s="833">
        <v>0</v>
      </c>
      <c r="N57" s="834">
        <f>SUM(O57:P57)</f>
        <v>0.89280000000000004</v>
      </c>
      <c r="O57" s="1054">
        <v>0.89280000000000004</v>
      </c>
      <c r="P57" s="1055">
        <v>0</v>
      </c>
      <c r="Q57" s="940">
        <f>V57*-1</f>
        <v>-4000</v>
      </c>
      <c r="R57" s="813">
        <v>0</v>
      </c>
      <c r="S57" s="813">
        <v>0</v>
      </c>
      <c r="T57" s="813">
        <v>0</v>
      </c>
      <c r="U57" s="813">
        <f>SUM(Q57:T57)</f>
        <v>-4000</v>
      </c>
      <c r="V57" s="813">
        <v>4000</v>
      </c>
      <c r="W57" s="941">
        <v>0</v>
      </c>
      <c r="X57" s="813">
        <v>0</v>
      </c>
      <c r="Y57" s="813">
        <f>SUM(V57:X57)</f>
        <v>4000</v>
      </c>
      <c r="Z57" s="813">
        <f>U57+Y57</f>
        <v>0</v>
      </c>
      <c r="AA57" s="809">
        <f>ROUND((U57+V57+W57)*33.8%,0)</f>
        <v>0</v>
      </c>
      <c r="AB57" s="809">
        <f>ROUND(U57*2%,0)</f>
        <v>-80</v>
      </c>
      <c r="AC57" s="813">
        <v>0</v>
      </c>
      <c r="AD57" s="813">
        <v>0</v>
      </c>
      <c r="AE57" s="813">
        <f>SUM(AC57:AD57)</f>
        <v>0</v>
      </c>
      <c r="AF57" s="813">
        <f>Z57+AA57+AB57+AE57</f>
        <v>-80</v>
      </c>
      <c r="AG57" s="836">
        <v>0</v>
      </c>
      <c r="AH57" s="836">
        <v>0</v>
      </c>
      <c r="AI57" s="836">
        <v>0</v>
      </c>
      <c r="AJ57" s="836">
        <v>0</v>
      </c>
      <c r="AK57" s="836">
        <v>0</v>
      </c>
      <c r="AL57" s="836">
        <f>AG57+AI57+AJ57</f>
        <v>0</v>
      </c>
      <c r="AM57" s="836">
        <f>AH57+AK57</f>
        <v>0</v>
      </c>
      <c r="AN57" s="949">
        <f>SUM(AL57:AM57)</f>
        <v>0</v>
      </c>
      <c r="AO57" s="945">
        <f t="shared" si="2"/>
        <v>540841</v>
      </c>
      <c r="AP57" s="813">
        <f t="shared" si="3"/>
        <v>394322</v>
      </c>
      <c r="AQ57" s="813">
        <f t="shared" si="4"/>
        <v>4000</v>
      </c>
      <c r="AR57" s="813">
        <f t="shared" si="24"/>
        <v>134633</v>
      </c>
      <c r="AS57" s="813">
        <f t="shared" si="24"/>
        <v>7886</v>
      </c>
      <c r="AT57" s="813">
        <f t="shared" si="5"/>
        <v>0</v>
      </c>
      <c r="AU57" s="836">
        <f t="shared" si="6"/>
        <v>0.89280000000000004</v>
      </c>
      <c r="AV57" s="836">
        <f t="shared" si="25"/>
        <v>0.89280000000000004</v>
      </c>
      <c r="AW57" s="837">
        <f t="shared" si="25"/>
        <v>0</v>
      </c>
    </row>
    <row r="58" spans="1:49" ht="12.95" customHeight="1" x14ac:dyDescent="0.25">
      <c r="A58" s="827">
        <v>11</v>
      </c>
      <c r="B58" s="946">
        <v>5403</v>
      </c>
      <c r="C58" s="947">
        <v>600098966</v>
      </c>
      <c r="D58" s="828">
        <v>75016931</v>
      </c>
      <c r="E58" s="948" t="s">
        <v>394</v>
      </c>
      <c r="F58" s="828">
        <v>3143</v>
      </c>
      <c r="G58" s="948" t="s">
        <v>636</v>
      </c>
      <c r="H58" s="831" t="s">
        <v>284</v>
      </c>
      <c r="I58" s="803">
        <f>SUM(J58:M58)</f>
        <v>16151</v>
      </c>
      <c r="J58" s="833">
        <v>11385</v>
      </c>
      <c r="K58" s="805">
        <f>ROUND((J58)*33.8%,0)</f>
        <v>3848</v>
      </c>
      <c r="L58" s="805">
        <f>ROUND(J58*2%,0)</f>
        <v>228</v>
      </c>
      <c r="M58" s="833">
        <v>690</v>
      </c>
      <c r="N58" s="834">
        <f>SUM(O58:P58)</f>
        <v>0.05</v>
      </c>
      <c r="O58" s="1054">
        <v>0</v>
      </c>
      <c r="P58" s="1055">
        <v>0.05</v>
      </c>
      <c r="Q58" s="940">
        <f>V58*-1</f>
        <v>0</v>
      </c>
      <c r="R58" s="813">
        <v>0</v>
      </c>
      <c r="S58" s="813">
        <v>0</v>
      </c>
      <c r="T58" s="813">
        <v>0</v>
      </c>
      <c r="U58" s="813">
        <f>SUM(Q58:T58)</f>
        <v>0</v>
      </c>
      <c r="V58" s="813">
        <v>0</v>
      </c>
      <c r="W58" s="941">
        <v>0</v>
      </c>
      <c r="X58" s="813">
        <v>0</v>
      </c>
      <c r="Y58" s="813">
        <f>SUM(V58:X58)</f>
        <v>0</v>
      </c>
      <c r="Z58" s="813">
        <f>U58+Y58</f>
        <v>0</v>
      </c>
      <c r="AA58" s="809">
        <f>ROUND((U58+V58+W58)*33.8%,0)</f>
        <v>0</v>
      </c>
      <c r="AB58" s="809">
        <f>ROUND(U58*2%,0)</f>
        <v>0</v>
      </c>
      <c r="AC58" s="813">
        <v>0</v>
      </c>
      <c r="AD58" s="813">
        <v>0</v>
      </c>
      <c r="AE58" s="813">
        <f>SUM(AC58:AD58)</f>
        <v>0</v>
      </c>
      <c r="AF58" s="813">
        <f>Z58+AA58+AB58+AE58</f>
        <v>0</v>
      </c>
      <c r="AG58" s="836">
        <v>0</v>
      </c>
      <c r="AH58" s="836">
        <v>0</v>
      </c>
      <c r="AI58" s="836">
        <v>0</v>
      </c>
      <c r="AJ58" s="836">
        <v>0</v>
      </c>
      <c r="AK58" s="836">
        <v>0</v>
      </c>
      <c r="AL58" s="836">
        <f>AG58+AI58+AJ58</f>
        <v>0</v>
      </c>
      <c r="AM58" s="836">
        <f>AH58+AK58</f>
        <v>0</v>
      </c>
      <c r="AN58" s="949">
        <f>SUM(AL58:AM58)</f>
        <v>0</v>
      </c>
      <c r="AO58" s="945">
        <f t="shared" si="2"/>
        <v>16151</v>
      </c>
      <c r="AP58" s="813">
        <f t="shared" si="3"/>
        <v>11385</v>
      </c>
      <c r="AQ58" s="813">
        <f t="shared" si="4"/>
        <v>0</v>
      </c>
      <c r="AR58" s="813">
        <f t="shared" si="24"/>
        <v>3848</v>
      </c>
      <c r="AS58" s="813">
        <f t="shared" si="24"/>
        <v>228</v>
      </c>
      <c r="AT58" s="813">
        <f t="shared" si="5"/>
        <v>690</v>
      </c>
      <c r="AU58" s="836">
        <f t="shared" si="6"/>
        <v>0.05</v>
      </c>
      <c r="AV58" s="836">
        <f t="shared" si="25"/>
        <v>0</v>
      </c>
      <c r="AW58" s="837">
        <f t="shared" si="25"/>
        <v>0.05</v>
      </c>
    </row>
    <row r="59" spans="1:49" ht="12.95" customHeight="1" x14ac:dyDescent="0.25">
      <c r="A59" s="950">
        <v>11</v>
      </c>
      <c r="B59" s="951">
        <v>5403</v>
      </c>
      <c r="C59" s="952">
        <v>600098966</v>
      </c>
      <c r="D59" s="951">
        <v>75016931</v>
      </c>
      <c r="E59" s="953" t="s">
        <v>395</v>
      </c>
      <c r="F59" s="850"/>
      <c r="G59" s="960"/>
      <c r="H59" s="851"/>
      <c r="I59" s="954">
        <f t="shared" ref="I59:AW59" si="44">SUM(I54:I58)</f>
        <v>5896911</v>
      </c>
      <c r="J59" s="955">
        <f t="shared" si="44"/>
        <v>4287477</v>
      </c>
      <c r="K59" s="955">
        <f t="shared" si="44"/>
        <v>1449167</v>
      </c>
      <c r="L59" s="955">
        <f t="shared" si="44"/>
        <v>85749</v>
      </c>
      <c r="M59" s="955">
        <f t="shared" si="44"/>
        <v>74518</v>
      </c>
      <c r="N59" s="956">
        <f t="shared" si="44"/>
        <v>9.6065000000000005</v>
      </c>
      <c r="O59" s="956">
        <f t="shared" si="44"/>
        <v>5.7212000000000005</v>
      </c>
      <c r="P59" s="959">
        <f t="shared" si="44"/>
        <v>3.8853</v>
      </c>
      <c r="Q59" s="957">
        <f t="shared" si="44"/>
        <v>-52000</v>
      </c>
      <c r="R59" s="955">
        <f t="shared" si="44"/>
        <v>0</v>
      </c>
      <c r="S59" s="955">
        <f t="shared" si="44"/>
        <v>0</v>
      </c>
      <c r="T59" s="955">
        <f t="shared" si="44"/>
        <v>0</v>
      </c>
      <c r="U59" s="955">
        <f t="shared" si="44"/>
        <v>-52000</v>
      </c>
      <c r="V59" s="955">
        <f t="shared" si="44"/>
        <v>52000</v>
      </c>
      <c r="W59" s="955">
        <f t="shared" si="44"/>
        <v>0</v>
      </c>
      <c r="X59" s="955">
        <f t="shared" si="44"/>
        <v>0</v>
      </c>
      <c r="Y59" s="955">
        <f t="shared" si="44"/>
        <v>52000</v>
      </c>
      <c r="Z59" s="955">
        <f t="shared" si="44"/>
        <v>0</v>
      </c>
      <c r="AA59" s="955">
        <f t="shared" si="44"/>
        <v>0</v>
      </c>
      <c r="AB59" s="955">
        <f t="shared" si="44"/>
        <v>-1040</v>
      </c>
      <c r="AC59" s="955">
        <f t="shared" si="44"/>
        <v>0</v>
      </c>
      <c r="AD59" s="955">
        <f t="shared" si="44"/>
        <v>0</v>
      </c>
      <c r="AE59" s="955">
        <f t="shared" si="44"/>
        <v>0</v>
      </c>
      <c r="AF59" s="955">
        <f t="shared" si="44"/>
        <v>-1040</v>
      </c>
      <c r="AG59" s="956">
        <f t="shared" si="44"/>
        <v>0</v>
      </c>
      <c r="AH59" s="956">
        <f t="shared" si="44"/>
        <v>-0.05</v>
      </c>
      <c r="AI59" s="956">
        <f t="shared" si="44"/>
        <v>0</v>
      </c>
      <c r="AJ59" s="956">
        <f t="shared" si="44"/>
        <v>0</v>
      </c>
      <c r="AK59" s="956">
        <f t="shared" si="44"/>
        <v>0</v>
      </c>
      <c r="AL59" s="956">
        <f t="shared" si="44"/>
        <v>0</v>
      </c>
      <c r="AM59" s="956">
        <f t="shared" si="44"/>
        <v>-0.05</v>
      </c>
      <c r="AN59" s="958">
        <f t="shared" si="44"/>
        <v>-0.05</v>
      </c>
      <c r="AO59" s="954">
        <f t="shared" si="44"/>
        <v>5895871</v>
      </c>
      <c r="AP59" s="955">
        <f t="shared" si="44"/>
        <v>4235477</v>
      </c>
      <c r="AQ59" s="955">
        <f t="shared" si="44"/>
        <v>52000</v>
      </c>
      <c r="AR59" s="955">
        <f t="shared" si="44"/>
        <v>1449167</v>
      </c>
      <c r="AS59" s="955">
        <f t="shared" si="44"/>
        <v>84709</v>
      </c>
      <c r="AT59" s="955">
        <f t="shared" si="44"/>
        <v>74518</v>
      </c>
      <c r="AU59" s="956">
        <f t="shared" si="44"/>
        <v>9.5564999999999998</v>
      </c>
      <c r="AV59" s="956">
        <f t="shared" si="44"/>
        <v>5.7212000000000005</v>
      </c>
      <c r="AW59" s="959">
        <f t="shared" si="44"/>
        <v>3.8353000000000002</v>
      </c>
    </row>
    <row r="60" spans="1:49" ht="12.95" customHeight="1" x14ac:dyDescent="0.25">
      <c r="A60" s="827">
        <v>12</v>
      </c>
      <c r="B60" s="946">
        <v>5404</v>
      </c>
      <c r="C60" s="947">
        <v>600098974</v>
      </c>
      <c r="D60" s="828">
        <v>70979812</v>
      </c>
      <c r="E60" s="948" t="s">
        <v>396</v>
      </c>
      <c r="F60" s="828">
        <v>3111</v>
      </c>
      <c r="G60" s="948" t="s">
        <v>331</v>
      </c>
      <c r="H60" s="831" t="s">
        <v>283</v>
      </c>
      <c r="I60" s="803">
        <f t="shared" ref="I60:I65" si="45">SUM(J60:M60)</f>
        <v>1646794</v>
      </c>
      <c r="J60" s="833">
        <v>1204046</v>
      </c>
      <c r="K60" s="805">
        <f>ROUND((J60)*33.8%,0)</f>
        <v>406968</v>
      </c>
      <c r="L60" s="805">
        <f>ROUND(J60*2%,0)-1</f>
        <v>24080</v>
      </c>
      <c r="M60" s="833">
        <v>11700</v>
      </c>
      <c r="N60" s="834">
        <f t="shared" ref="N60:N65" si="46">SUM(O60:P60)</f>
        <v>2.5108999999999999</v>
      </c>
      <c r="O60" s="1054">
        <v>2</v>
      </c>
      <c r="P60" s="1055">
        <v>0.51090000000000002</v>
      </c>
      <c r="Q60" s="940">
        <f t="shared" ref="Q60:Q65" si="47">V60*-1</f>
        <v>-4800</v>
      </c>
      <c r="R60" s="813">
        <v>0</v>
      </c>
      <c r="S60" s="813">
        <v>0</v>
      </c>
      <c r="T60" s="813">
        <v>0</v>
      </c>
      <c r="U60" s="813">
        <f t="shared" ref="U60:U65" si="48">SUM(Q60:T60)</f>
        <v>-4800</v>
      </c>
      <c r="V60" s="813">
        <v>4800</v>
      </c>
      <c r="W60" s="941">
        <v>0</v>
      </c>
      <c r="X60" s="813">
        <v>0</v>
      </c>
      <c r="Y60" s="813">
        <f t="shared" ref="Y60:Y65" si="49">SUM(V60:X60)</f>
        <v>4800</v>
      </c>
      <c r="Z60" s="813">
        <f t="shared" ref="Z60:Z65" si="50">U60+Y60</f>
        <v>0</v>
      </c>
      <c r="AA60" s="809">
        <f t="shared" ref="AA60:AA65" si="51">ROUND((U60+V60+W60)*33.8%,0)</f>
        <v>0</v>
      </c>
      <c r="AB60" s="809">
        <f t="shared" ref="AB60:AB65" si="52">ROUND(U60*2%,0)</f>
        <v>-96</v>
      </c>
      <c r="AC60" s="813">
        <v>0</v>
      </c>
      <c r="AD60" s="813">
        <v>0</v>
      </c>
      <c r="AE60" s="813">
        <f t="shared" ref="AE60:AE65" si="53">SUM(AC60:AD60)</f>
        <v>0</v>
      </c>
      <c r="AF60" s="813">
        <f t="shared" ref="AF60:AF65" si="54">Z60+AA60+AB60+AE60</f>
        <v>-96</v>
      </c>
      <c r="AG60" s="836">
        <v>0</v>
      </c>
      <c r="AH60" s="836">
        <v>-0.02</v>
      </c>
      <c r="AI60" s="836">
        <v>0</v>
      </c>
      <c r="AJ60" s="836">
        <v>0</v>
      </c>
      <c r="AK60" s="836">
        <v>0</v>
      </c>
      <c r="AL60" s="836">
        <f t="shared" ref="AL60:AL65" si="55">AG60+AI60+AJ60</f>
        <v>0</v>
      </c>
      <c r="AM60" s="836">
        <f t="shared" ref="AM60:AM65" si="56">AH60+AK60</f>
        <v>-0.02</v>
      </c>
      <c r="AN60" s="949">
        <f t="shared" ref="AN60:AN65" si="57">SUM(AL60:AM60)</f>
        <v>-0.02</v>
      </c>
      <c r="AO60" s="945">
        <f t="shared" si="2"/>
        <v>1646698</v>
      </c>
      <c r="AP60" s="813">
        <f t="shared" si="3"/>
        <v>1199246</v>
      </c>
      <c r="AQ60" s="813">
        <f t="shared" si="4"/>
        <v>4800</v>
      </c>
      <c r="AR60" s="813">
        <f t="shared" si="24"/>
        <v>406968</v>
      </c>
      <c r="AS60" s="813">
        <f t="shared" si="24"/>
        <v>23984</v>
      </c>
      <c r="AT60" s="813">
        <f t="shared" si="5"/>
        <v>11700</v>
      </c>
      <c r="AU60" s="836">
        <f t="shared" si="6"/>
        <v>2.4908999999999999</v>
      </c>
      <c r="AV60" s="836">
        <f t="shared" si="25"/>
        <v>2</v>
      </c>
      <c r="AW60" s="837">
        <f t="shared" si="25"/>
        <v>0.4909</v>
      </c>
    </row>
    <row r="61" spans="1:49" ht="12.95" customHeight="1" x14ac:dyDescent="0.25">
      <c r="A61" s="827">
        <v>12</v>
      </c>
      <c r="B61" s="946">
        <v>5404</v>
      </c>
      <c r="C61" s="947">
        <v>600098974</v>
      </c>
      <c r="D61" s="828">
        <v>70979812</v>
      </c>
      <c r="E61" s="948" t="s">
        <v>396</v>
      </c>
      <c r="F61" s="828">
        <v>3117</v>
      </c>
      <c r="G61" s="948" t="s">
        <v>320</v>
      </c>
      <c r="H61" s="831" t="s">
        <v>283</v>
      </c>
      <c r="I61" s="803">
        <f t="shared" si="45"/>
        <v>2768188</v>
      </c>
      <c r="J61" s="833">
        <v>2010728</v>
      </c>
      <c r="K61" s="805">
        <f>ROUND((J61)*33.8%,0)-1</f>
        <v>679625</v>
      </c>
      <c r="L61" s="805">
        <f>ROUND(J61*2%,0)</f>
        <v>40215</v>
      </c>
      <c r="M61" s="833">
        <v>37620</v>
      </c>
      <c r="N61" s="834">
        <f t="shared" si="46"/>
        <v>4.0434999999999999</v>
      </c>
      <c r="O61" s="1054">
        <v>2.5817999999999999</v>
      </c>
      <c r="P61" s="1055">
        <v>1.4617</v>
      </c>
      <c r="Q61" s="940">
        <f t="shared" si="47"/>
        <v>0</v>
      </c>
      <c r="R61" s="813">
        <v>0</v>
      </c>
      <c r="S61" s="813">
        <v>0</v>
      </c>
      <c r="T61" s="813">
        <v>0</v>
      </c>
      <c r="U61" s="813">
        <f t="shared" si="48"/>
        <v>0</v>
      </c>
      <c r="V61" s="813">
        <v>0</v>
      </c>
      <c r="W61" s="941">
        <v>0</v>
      </c>
      <c r="X61" s="813">
        <v>0</v>
      </c>
      <c r="Y61" s="813">
        <f t="shared" si="49"/>
        <v>0</v>
      </c>
      <c r="Z61" s="813">
        <f t="shared" si="50"/>
        <v>0</v>
      </c>
      <c r="AA61" s="809">
        <f t="shared" si="51"/>
        <v>0</v>
      </c>
      <c r="AB61" s="809">
        <f t="shared" si="52"/>
        <v>0</v>
      </c>
      <c r="AC61" s="813">
        <v>0</v>
      </c>
      <c r="AD61" s="813">
        <v>0</v>
      </c>
      <c r="AE61" s="813">
        <f t="shared" si="53"/>
        <v>0</v>
      </c>
      <c r="AF61" s="813">
        <f t="shared" si="54"/>
        <v>0</v>
      </c>
      <c r="AG61" s="836">
        <v>0</v>
      </c>
      <c r="AH61" s="836">
        <v>0</v>
      </c>
      <c r="AI61" s="836">
        <v>0</v>
      </c>
      <c r="AJ61" s="836">
        <v>0</v>
      </c>
      <c r="AK61" s="836">
        <v>0</v>
      </c>
      <c r="AL61" s="836">
        <f t="shared" si="55"/>
        <v>0</v>
      </c>
      <c r="AM61" s="836">
        <f t="shared" si="56"/>
        <v>0</v>
      </c>
      <c r="AN61" s="949">
        <f t="shared" si="57"/>
        <v>0</v>
      </c>
      <c r="AO61" s="945">
        <f t="shared" si="2"/>
        <v>2768188</v>
      </c>
      <c r="AP61" s="813">
        <f t="shared" si="3"/>
        <v>2010728</v>
      </c>
      <c r="AQ61" s="813">
        <f t="shared" si="4"/>
        <v>0</v>
      </c>
      <c r="AR61" s="813">
        <f t="shared" si="24"/>
        <v>679625</v>
      </c>
      <c r="AS61" s="813">
        <f t="shared" si="24"/>
        <v>40215</v>
      </c>
      <c r="AT61" s="813">
        <f t="shared" si="5"/>
        <v>37620</v>
      </c>
      <c r="AU61" s="836">
        <f t="shared" si="6"/>
        <v>4.0434999999999999</v>
      </c>
      <c r="AV61" s="836">
        <f t="shared" si="25"/>
        <v>2.5817999999999999</v>
      </c>
      <c r="AW61" s="837">
        <f t="shared" si="25"/>
        <v>1.4617</v>
      </c>
    </row>
    <row r="62" spans="1:49" ht="12.95" customHeight="1" x14ac:dyDescent="0.25">
      <c r="A62" s="827">
        <v>12</v>
      </c>
      <c r="B62" s="946">
        <v>5404</v>
      </c>
      <c r="C62" s="947">
        <v>600098974</v>
      </c>
      <c r="D62" s="828">
        <v>70979812</v>
      </c>
      <c r="E62" s="948" t="s">
        <v>396</v>
      </c>
      <c r="F62" s="828">
        <v>3117</v>
      </c>
      <c r="G62" s="948" t="s">
        <v>325</v>
      </c>
      <c r="H62" s="831" t="s">
        <v>284</v>
      </c>
      <c r="I62" s="803">
        <f t="shared" si="45"/>
        <v>0</v>
      </c>
      <c r="J62" s="833">
        <v>0</v>
      </c>
      <c r="K62" s="805">
        <v>0</v>
      </c>
      <c r="L62" s="805">
        <v>0</v>
      </c>
      <c r="M62" s="833">
        <v>0</v>
      </c>
      <c r="N62" s="834">
        <f t="shared" si="46"/>
        <v>0</v>
      </c>
      <c r="O62" s="1054">
        <v>0</v>
      </c>
      <c r="P62" s="1055">
        <v>0</v>
      </c>
      <c r="Q62" s="940">
        <f t="shared" si="47"/>
        <v>0</v>
      </c>
      <c r="R62" s="833">
        <v>221342</v>
      </c>
      <c r="S62" s="813">
        <v>0</v>
      </c>
      <c r="T62" s="813">
        <v>0</v>
      </c>
      <c r="U62" s="813">
        <f t="shared" si="48"/>
        <v>221342</v>
      </c>
      <c r="V62" s="813">
        <v>0</v>
      </c>
      <c r="W62" s="941">
        <v>0</v>
      </c>
      <c r="X62" s="813">
        <v>0</v>
      </c>
      <c r="Y62" s="813">
        <f t="shared" si="49"/>
        <v>0</v>
      </c>
      <c r="Z62" s="813">
        <f t="shared" si="50"/>
        <v>221342</v>
      </c>
      <c r="AA62" s="809">
        <f t="shared" si="51"/>
        <v>74814</v>
      </c>
      <c r="AB62" s="809">
        <f t="shared" si="52"/>
        <v>4427</v>
      </c>
      <c r="AC62" s="813">
        <v>0</v>
      </c>
      <c r="AD62" s="813">
        <v>0</v>
      </c>
      <c r="AE62" s="813">
        <f t="shared" si="53"/>
        <v>0</v>
      </c>
      <c r="AF62" s="813">
        <f t="shared" si="54"/>
        <v>300583</v>
      </c>
      <c r="AG62" s="836">
        <v>0</v>
      </c>
      <c r="AH62" s="836">
        <v>0</v>
      </c>
      <c r="AI62" s="836">
        <v>0.64</v>
      </c>
      <c r="AJ62" s="836">
        <v>0</v>
      </c>
      <c r="AK62" s="836">
        <v>0</v>
      </c>
      <c r="AL62" s="836">
        <f t="shared" si="55"/>
        <v>0.64</v>
      </c>
      <c r="AM62" s="836">
        <f t="shared" si="56"/>
        <v>0</v>
      </c>
      <c r="AN62" s="949">
        <f t="shared" si="57"/>
        <v>0.64</v>
      </c>
      <c r="AO62" s="945">
        <f t="shared" si="2"/>
        <v>300583</v>
      </c>
      <c r="AP62" s="813">
        <f t="shared" si="3"/>
        <v>221342</v>
      </c>
      <c r="AQ62" s="813">
        <f t="shared" si="4"/>
        <v>0</v>
      </c>
      <c r="AR62" s="813">
        <f t="shared" si="24"/>
        <v>74814</v>
      </c>
      <c r="AS62" s="813">
        <f t="shared" si="24"/>
        <v>4427</v>
      </c>
      <c r="AT62" s="813">
        <f t="shared" si="5"/>
        <v>0</v>
      </c>
      <c r="AU62" s="836">
        <f t="shared" si="6"/>
        <v>0.64</v>
      </c>
      <c r="AV62" s="836">
        <f t="shared" si="25"/>
        <v>0.64</v>
      </c>
      <c r="AW62" s="837">
        <f t="shared" si="25"/>
        <v>0</v>
      </c>
    </row>
    <row r="63" spans="1:49" ht="12.95" customHeight="1" x14ac:dyDescent="0.25">
      <c r="A63" s="827">
        <v>12</v>
      </c>
      <c r="B63" s="946">
        <v>5404</v>
      </c>
      <c r="C63" s="947">
        <v>600098974</v>
      </c>
      <c r="D63" s="828">
        <v>70979812</v>
      </c>
      <c r="E63" s="948" t="s">
        <v>396</v>
      </c>
      <c r="F63" s="828">
        <v>3141</v>
      </c>
      <c r="G63" s="948" t="s">
        <v>321</v>
      </c>
      <c r="H63" s="831" t="s">
        <v>284</v>
      </c>
      <c r="I63" s="803">
        <f t="shared" si="45"/>
        <v>645235</v>
      </c>
      <c r="J63" s="833">
        <v>473086</v>
      </c>
      <c r="K63" s="805">
        <f>ROUND((J63)*33.8%,0)</f>
        <v>159903</v>
      </c>
      <c r="L63" s="805">
        <f>ROUND(J63*2%,0)</f>
        <v>9462</v>
      </c>
      <c r="M63" s="833">
        <v>2784</v>
      </c>
      <c r="N63" s="834">
        <f t="shared" si="46"/>
        <v>1.61</v>
      </c>
      <c r="O63" s="1054">
        <v>0</v>
      </c>
      <c r="P63" s="1055">
        <v>1.61</v>
      </c>
      <c r="Q63" s="940">
        <f t="shared" si="47"/>
        <v>0</v>
      </c>
      <c r="R63" s="813">
        <v>0</v>
      </c>
      <c r="S63" s="813">
        <v>0</v>
      </c>
      <c r="T63" s="813">
        <v>0</v>
      </c>
      <c r="U63" s="813">
        <f t="shared" si="48"/>
        <v>0</v>
      </c>
      <c r="V63" s="813">
        <v>0</v>
      </c>
      <c r="W63" s="941">
        <v>0</v>
      </c>
      <c r="X63" s="813">
        <v>0</v>
      </c>
      <c r="Y63" s="813">
        <f t="shared" si="49"/>
        <v>0</v>
      </c>
      <c r="Z63" s="813">
        <f t="shared" si="50"/>
        <v>0</v>
      </c>
      <c r="AA63" s="809">
        <f t="shared" si="51"/>
        <v>0</v>
      </c>
      <c r="AB63" s="809">
        <f t="shared" si="52"/>
        <v>0</v>
      </c>
      <c r="AC63" s="813">
        <v>0</v>
      </c>
      <c r="AD63" s="813">
        <v>0</v>
      </c>
      <c r="AE63" s="813">
        <f t="shared" si="53"/>
        <v>0</v>
      </c>
      <c r="AF63" s="813">
        <f t="shared" si="54"/>
        <v>0</v>
      </c>
      <c r="AG63" s="836">
        <v>0</v>
      </c>
      <c r="AH63" s="836">
        <v>0</v>
      </c>
      <c r="AI63" s="836">
        <v>0</v>
      </c>
      <c r="AJ63" s="836">
        <v>0</v>
      </c>
      <c r="AK63" s="836">
        <v>0</v>
      </c>
      <c r="AL63" s="836">
        <f t="shared" si="55"/>
        <v>0</v>
      </c>
      <c r="AM63" s="836">
        <f t="shared" si="56"/>
        <v>0</v>
      </c>
      <c r="AN63" s="949">
        <f t="shared" si="57"/>
        <v>0</v>
      </c>
      <c r="AO63" s="945">
        <f t="shared" si="2"/>
        <v>645235</v>
      </c>
      <c r="AP63" s="813">
        <f t="shared" si="3"/>
        <v>473086</v>
      </c>
      <c r="AQ63" s="813">
        <f t="shared" si="4"/>
        <v>0</v>
      </c>
      <c r="AR63" s="813">
        <f t="shared" si="24"/>
        <v>159903</v>
      </c>
      <c r="AS63" s="813">
        <f t="shared" si="24"/>
        <v>9462</v>
      </c>
      <c r="AT63" s="813">
        <f t="shared" si="5"/>
        <v>2784</v>
      </c>
      <c r="AU63" s="836">
        <f t="shared" si="6"/>
        <v>1.61</v>
      </c>
      <c r="AV63" s="836">
        <f t="shared" si="25"/>
        <v>0</v>
      </c>
      <c r="AW63" s="837">
        <f t="shared" si="25"/>
        <v>1.61</v>
      </c>
    </row>
    <row r="64" spans="1:49" ht="12.95" customHeight="1" x14ac:dyDescent="0.25">
      <c r="A64" s="827">
        <v>12</v>
      </c>
      <c r="B64" s="946">
        <v>5404</v>
      </c>
      <c r="C64" s="947">
        <v>600098974</v>
      </c>
      <c r="D64" s="828">
        <v>70979812</v>
      </c>
      <c r="E64" s="948" t="s">
        <v>396</v>
      </c>
      <c r="F64" s="828">
        <v>3143</v>
      </c>
      <c r="G64" s="948" t="s">
        <v>635</v>
      </c>
      <c r="H64" s="831" t="s">
        <v>283</v>
      </c>
      <c r="I64" s="803">
        <f t="shared" si="45"/>
        <v>454921</v>
      </c>
      <c r="J64" s="833">
        <v>334993</v>
      </c>
      <c r="K64" s="805">
        <f>ROUND((J64)*33.8%,0)</f>
        <v>113228</v>
      </c>
      <c r="L64" s="805">
        <f>ROUND(J64*2%,0)</f>
        <v>6700</v>
      </c>
      <c r="M64" s="833">
        <v>0</v>
      </c>
      <c r="N64" s="834">
        <f t="shared" si="46"/>
        <v>0.70520000000000005</v>
      </c>
      <c r="O64" s="1054">
        <v>0.70520000000000005</v>
      </c>
      <c r="P64" s="1055">
        <v>0</v>
      </c>
      <c r="Q64" s="940">
        <f t="shared" si="47"/>
        <v>0</v>
      </c>
      <c r="R64" s="813">
        <v>0</v>
      </c>
      <c r="S64" s="813">
        <v>0</v>
      </c>
      <c r="T64" s="813">
        <v>0</v>
      </c>
      <c r="U64" s="813">
        <f t="shared" si="48"/>
        <v>0</v>
      </c>
      <c r="V64" s="813">
        <v>0</v>
      </c>
      <c r="W64" s="941">
        <v>0</v>
      </c>
      <c r="X64" s="813">
        <v>0</v>
      </c>
      <c r="Y64" s="813">
        <f t="shared" si="49"/>
        <v>0</v>
      </c>
      <c r="Z64" s="813">
        <f t="shared" si="50"/>
        <v>0</v>
      </c>
      <c r="AA64" s="809">
        <f t="shared" si="51"/>
        <v>0</v>
      </c>
      <c r="AB64" s="809">
        <f t="shared" si="52"/>
        <v>0</v>
      </c>
      <c r="AC64" s="813">
        <v>0</v>
      </c>
      <c r="AD64" s="813">
        <v>0</v>
      </c>
      <c r="AE64" s="813">
        <f t="shared" si="53"/>
        <v>0</v>
      </c>
      <c r="AF64" s="813">
        <f t="shared" si="54"/>
        <v>0</v>
      </c>
      <c r="AG64" s="836">
        <v>0</v>
      </c>
      <c r="AH64" s="836">
        <v>0</v>
      </c>
      <c r="AI64" s="836">
        <v>0</v>
      </c>
      <c r="AJ64" s="836">
        <v>0</v>
      </c>
      <c r="AK64" s="836">
        <v>0</v>
      </c>
      <c r="AL64" s="836">
        <f t="shared" si="55"/>
        <v>0</v>
      </c>
      <c r="AM64" s="836">
        <f t="shared" si="56"/>
        <v>0</v>
      </c>
      <c r="AN64" s="949">
        <f t="shared" si="57"/>
        <v>0</v>
      </c>
      <c r="AO64" s="945">
        <f t="shared" si="2"/>
        <v>454921</v>
      </c>
      <c r="AP64" s="813">
        <f t="shared" si="3"/>
        <v>334993</v>
      </c>
      <c r="AQ64" s="813">
        <f t="shared" si="4"/>
        <v>0</v>
      </c>
      <c r="AR64" s="813">
        <f t="shared" si="24"/>
        <v>113228</v>
      </c>
      <c r="AS64" s="813">
        <f t="shared" si="24"/>
        <v>6700</v>
      </c>
      <c r="AT64" s="813">
        <f t="shared" si="5"/>
        <v>0</v>
      </c>
      <c r="AU64" s="836">
        <f t="shared" si="6"/>
        <v>0.70520000000000005</v>
      </c>
      <c r="AV64" s="836">
        <f t="shared" si="25"/>
        <v>0.70520000000000005</v>
      </c>
      <c r="AW64" s="837">
        <f t="shared" si="25"/>
        <v>0</v>
      </c>
    </row>
    <row r="65" spans="1:49" ht="12.95" customHeight="1" x14ac:dyDescent="0.25">
      <c r="A65" s="827">
        <v>12</v>
      </c>
      <c r="B65" s="946">
        <v>5404</v>
      </c>
      <c r="C65" s="947">
        <v>600098974</v>
      </c>
      <c r="D65" s="828">
        <v>70979812</v>
      </c>
      <c r="E65" s="948" t="s">
        <v>396</v>
      </c>
      <c r="F65" s="828">
        <v>3143</v>
      </c>
      <c r="G65" s="948" t="s">
        <v>636</v>
      </c>
      <c r="H65" s="831" t="s">
        <v>284</v>
      </c>
      <c r="I65" s="803">
        <f t="shared" si="45"/>
        <v>10534</v>
      </c>
      <c r="J65" s="833">
        <v>7425</v>
      </c>
      <c r="K65" s="805">
        <f>ROUND((J65)*33.8%,0)</f>
        <v>2510</v>
      </c>
      <c r="L65" s="805">
        <f>ROUND(J65*2%,0)</f>
        <v>149</v>
      </c>
      <c r="M65" s="833">
        <v>450</v>
      </c>
      <c r="N65" s="834">
        <f t="shared" si="46"/>
        <v>0.03</v>
      </c>
      <c r="O65" s="1054">
        <v>0</v>
      </c>
      <c r="P65" s="1055">
        <v>0.03</v>
      </c>
      <c r="Q65" s="940">
        <f t="shared" si="47"/>
        <v>0</v>
      </c>
      <c r="R65" s="813">
        <v>0</v>
      </c>
      <c r="S65" s="813">
        <v>0</v>
      </c>
      <c r="T65" s="813">
        <v>0</v>
      </c>
      <c r="U65" s="813">
        <f t="shared" si="48"/>
        <v>0</v>
      </c>
      <c r="V65" s="813">
        <v>0</v>
      </c>
      <c r="W65" s="941">
        <v>0</v>
      </c>
      <c r="X65" s="813">
        <v>0</v>
      </c>
      <c r="Y65" s="813">
        <f t="shared" si="49"/>
        <v>0</v>
      </c>
      <c r="Z65" s="813">
        <f t="shared" si="50"/>
        <v>0</v>
      </c>
      <c r="AA65" s="809">
        <f t="shared" si="51"/>
        <v>0</v>
      </c>
      <c r="AB65" s="809">
        <f t="shared" si="52"/>
        <v>0</v>
      </c>
      <c r="AC65" s="813">
        <v>0</v>
      </c>
      <c r="AD65" s="813">
        <v>0</v>
      </c>
      <c r="AE65" s="813">
        <f t="shared" si="53"/>
        <v>0</v>
      </c>
      <c r="AF65" s="813">
        <f t="shared" si="54"/>
        <v>0</v>
      </c>
      <c r="AG65" s="836">
        <v>0</v>
      </c>
      <c r="AH65" s="836">
        <v>0</v>
      </c>
      <c r="AI65" s="836">
        <v>0</v>
      </c>
      <c r="AJ65" s="836">
        <v>0</v>
      </c>
      <c r="AK65" s="836">
        <v>0</v>
      </c>
      <c r="AL65" s="836">
        <f t="shared" si="55"/>
        <v>0</v>
      </c>
      <c r="AM65" s="836">
        <f t="shared" si="56"/>
        <v>0</v>
      </c>
      <c r="AN65" s="949">
        <f t="shared" si="57"/>
        <v>0</v>
      </c>
      <c r="AO65" s="945">
        <f t="shared" si="2"/>
        <v>10534</v>
      </c>
      <c r="AP65" s="813">
        <f t="shared" si="3"/>
        <v>7425</v>
      </c>
      <c r="AQ65" s="813">
        <f t="shared" si="4"/>
        <v>0</v>
      </c>
      <c r="AR65" s="813">
        <f t="shared" si="24"/>
        <v>2510</v>
      </c>
      <c r="AS65" s="813">
        <f t="shared" si="24"/>
        <v>149</v>
      </c>
      <c r="AT65" s="813">
        <f t="shared" si="5"/>
        <v>450</v>
      </c>
      <c r="AU65" s="836">
        <f t="shared" si="6"/>
        <v>0.03</v>
      </c>
      <c r="AV65" s="836">
        <f t="shared" si="25"/>
        <v>0</v>
      </c>
      <c r="AW65" s="837">
        <f t="shared" si="25"/>
        <v>0.03</v>
      </c>
    </row>
    <row r="66" spans="1:49" ht="12.95" customHeight="1" x14ac:dyDescent="0.25">
      <c r="A66" s="950">
        <v>12</v>
      </c>
      <c r="B66" s="951">
        <v>5404</v>
      </c>
      <c r="C66" s="952">
        <v>600098974</v>
      </c>
      <c r="D66" s="951">
        <v>70979812</v>
      </c>
      <c r="E66" s="953" t="s">
        <v>397</v>
      </c>
      <c r="F66" s="850"/>
      <c r="G66" s="960"/>
      <c r="H66" s="851"/>
      <c r="I66" s="954">
        <f t="shared" ref="I66:AW66" si="58">SUM(I60:I65)</f>
        <v>5525672</v>
      </c>
      <c r="J66" s="955">
        <f t="shared" si="58"/>
        <v>4030278</v>
      </c>
      <c r="K66" s="955">
        <f t="shared" si="58"/>
        <v>1362234</v>
      </c>
      <c r="L66" s="955">
        <f t="shared" si="58"/>
        <v>80606</v>
      </c>
      <c r="M66" s="955">
        <f t="shared" si="58"/>
        <v>52554</v>
      </c>
      <c r="N66" s="956">
        <f t="shared" si="58"/>
        <v>8.8995999999999977</v>
      </c>
      <c r="O66" s="956">
        <f t="shared" si="58"/>
        <v>5.286999999999999</v>
      </c>
      <c r="P66" s="959">
        <f t="shared" si="58"/>
        <v>3.6126</v>
      </c>
      <c r="Q66" s="957">
        <f t="shared" si="58"/>
        <v>-4800</v>
      </c>
      <c r="R66" s="955">
        <f t="shared" si="58"/>
        <v>221342</v>
      </c>
      <c r="S66" s="955">
        <f t="shared" si="58"/>
        <v>0</v>
      </c>
      <c r="T66" s="955">
        <f t="shared" si="58"/>
        <v>0</v>
      </c>
      <c r="U66" s="955">
        <f t="shared" si="58"/>
        <v>216542</v>
      </c>
      <c r="V66" s="955">
        <f t="shared" si="58"/>
        <v>4800</v>
      </c>
      <c r="W66" s="955">
        <f t="shared" si="58"/>
        <v>0</v>
      </c>
      <c r="X66" s="955">
        <f t="shared" si="58"/>
        <v>0</v>
      </c>
      <c r="Y66" s="955">
        <f t="shared" si="58"/>
        <v>4800</v>
      </c>
      <c r="Z66" s="955">
        <f t="shared" si="58"/>
        <v>221342</v>
      </c>
      <c r="AA66" s="955">
        <f t="shared" si="58"/>
        <v>74814</v>
      </c>
      <c r="AB66" s="955">
        <f t="shared" si="58"/>
        <v>4331</v>
      </c>
      <c r="AC66" s="955">
        <f t="shared" si="58"/>
        <v>0</v>
      </c>
      <c r="AD66" s="955">
        <f t="shared" si="58"/>
        <v>0</v>
      </c>
      <c r="AE66" s="955">
        <f t="shared" si="58"/>
        <v>0</v>
      </c>
      <c r="AF66" s="955">
        <f t="shared" si="58"/>
        <v>300487</v>
      </c>
      <c r="AG66" s="956">
        <f t="shared" si="58"/>
        <v>0</v>
      </c>
      <c r="AH66" s="956">
        <f t="shared" si="58"/>
        <v>-0.02</v>
      </c>
      <c r="AI66" s="956">
        <f t="shared" si="58"/>
        <v>0.64</v>
      </c>
      <c r="AJ66" s="956">
        <f t="shared" si="58"/>
        <v>0</v>
      </c>
      <c r="AK66" s="956">
        <f t="shared" si="58"/>
        <v>0</v>
      </c>
      <c r="AL66" s="956">
        <f t="shared" si="58"/>
        <v>0.64</v>
      </c>
      <c r="AM66" s="956">
        <f t="shared" si="58"/>
        <v>-0.02</v>
      </c>
      <c r="AN66" s="958">
        <f t="shared" si="58"/>
        <v>0.62</v>
      </c>
      <c r="AO66" s="954">
        <f t="shared" si="58"/>
        <v>5826159</v>
      </c>
      <c r="AP66" s="955">
        <f t="shared" si="58"/>
        <v>4246820</v>
      </c>
      <c r="AQ66" s="955">
        <f t="shared" si="58"/>
        <v>4800</v>
      </c>
      <c r="AR66" s="955">
        <f t="shared" si="58"/>
        <v>1437048</v>
      </c>
      <c r="AS66" s="955">
        <f t="shared" si="58"/>
        <v>84937</v>
      </c>
      <c r="AT66" s="955">
        <f t="shared" si="58"/>
        <v>52554</v>
      </c>
      <c r="AU66" s="956">
        <f t="shared" si="58"/>
        <v>9.5195999999999987</v>
      </c>
      <c r="AV66" s="956">
        <f t="shared" si="58"/>
        <v>5.9269999999999996</v>
      </c>
      <c r="AW66" s="959">
        <f t="shared" si="58"/>
        <v>3.5925999999999996</v>
      </c>
    </row>
    <row r="67" spans="1:49" ht="12.95" customHeight="1" x14ac:dyDescent="0.25">
      <c r="A67" s="827">
        <v>13</v>
      </c>
      <c r="B67" s="946">
        <v>5407</v>
      </c>
      <c r="C67" s="947">
        <v>600099148</v>
      </c>
      <c r="D67" s="828">
        <v>70939403</v>
      </c>
      <c r="E67" s="948" t="s">
        <v>398</v>
      </c>
      <c r="F67" s="828">
        <v>3111</v>
      </c>
      <c r="G67" s="948" t="s">
        <v>331</v>
      </c>
      <c r="H67" s="831" t="s">
        <v>283</v>
      </c>
      <c r="I67" s="803">
        <f t="shared" ref="I67:I72" si="59">SUM(J67:M67)</f>
        <v>2312642</v>
      </c>
      <c r="J67" s="833">
        <v>1691046</v>
      </c>
      <c r="K67" s="805">
        <f>ROUND((J67)*33.8%,0)</f>
        <v>571574</v>
      </c>
      <c r="L67" s="805">
        <f>ROUND(J67*2%,0)+1</f>
        <v>33822</v>
      </c>
      <c r="M67" s="833">
        <v>16200</v>
      </c>
      <c r="N67" s="834">
        <f t="shared" ref="N67:N72" si="60">SUM(O67:P67)</f>
        <v>3.9218000000000002</v>
      </c>
      <c r="O67" s="1054">
        <v>3</v>
      </c>
      <c r="P67" s="1055">
        <v>0.92179999999999995</v>
      </c>
      <c r="Q67" s="940">
        <f t="shared" ref="Q67:Q72" si="61">V67*-1</f>
        <v>-8000</v>
      </c>
      <c r="R67" s="813">
        <v>0</v>
      </c>
      <c r="S67" s="813">
        <v>0</v>
      </c>
      <c r="T67" s="813">
        <v>0</v>
      </c>
      <c r="U67" s="813">
        <f t="shared" ref="U67:U72" si="62">SUM(Q67:T67)</f>
        <v>-8000</v>
      </c>
      <c r="V67" s="813">
        <v>8000</v>
      </c>
      <c r="W67" s="941">
        <v>0</v>
      </c>
      <c r="X67" s="813">
        <v>0</v>
      </c>
      <c r="Y67" s="813">
        <f t="shared" ref="Y67:Y72" si="63">SUM(V67:X67)</f>
        <v>8000</v>
      </c>
      <c r="Z67" s="813">
        <f t="shared" ref="Z67:Z72" si="64">U67+Y67</f>
        <v>0</v>
      </c>
      <c r="AA67" s="809">
        <f t="shared" ref="AA67:AA72" si="65">ROUND((U67+V67+W67)*33.8%,0)</f>
        <v>0</v>
      </c>
      <c r="AB67" s="809">
        <f t="shared" ref="AB67:AB72" si="66">ROUND(U67*2%,0)</f>
        <v>-160</v>
      </c>
      <c r="AC67" s="813">
        <v>0</v>
      </c>
      <c r="AD67" s="813">
        <v>0</v>
      </c>
      <c r="AE67" s="813">
        <f t="shared" ref="AE67:AE72" si="67">SUM(AC67:AD67)</f>
        <v>0</v>
      </c>
      <c r="AF67" s="813">
        <f t="shared" ref="AF67:AF72" si="68">Z67+AA67+AB67+AE67</f>
        <v>-160</v>
      </c>
      <c r="AG67" s="836">
        <v>-0.02</v>
      </c>
      <c r="AH67" s="836">
        <v>0</v>
      </c>
      <c r="AI67" s="836">
        <v>0</v>
      </c>
      <c r="AJ67" s="836">
        <v>0</v>
      </c>
      <c r="AK67" s="836">
        <v>0</v>
      </c>
      <c r="AL67" s="836">
        <f t="shared" ref="AL67:AL72" si="69">AG67+AI67+AJ67</f>
        <v>-0.02</v>
      </c>
      <c r="AM67" s="836">
        <f t="shared" ref="AM67:AM72" si="70">AH67+AK67</f>
        <v>0</v>
      </c>
      <c r="AN67" s="949">
        <f t="shared" ref="AN67:AN72" si="71">SUM(AL67:AM67)</f>
        <v>-0.02</v>
      </c>
      <c r="AO67" s="945">
        <f t="shared" si="2"/>
        <v>2312482</v>
      </c>
      <c r="AP67" s="813">
        <f t="shared" si="3"/>
        <v>1683046</v>
      </c>
      <c r="AQ67" s="813">
        <f t="shared" si="4"/>
        <v>8000</v>
      </c>
      <c r="AR67" s="813">
        <f t="shared" si="24"/>
        <v>571574</v>
      </c>
      <c r="AS67" s="813">
        <f t="shared" si="24"/>
        <v>33662</v>
      </c>
      <c r="AT67" s="813">
        <f t="shared" si="5"/>
        <v>16200</v>
      </c>
      <c r="AU67" s="836">
        <f t="shared" si="6"/>
        <v>3.9018000000000002</v>
      </c>
      <c r="AV67" s="836">
        <f t="shared" si="25"/>
        <v>2.98</v>
      </c>
      <c r="AW67" s="837">
        <f t="shared" si="25"/>
        <v>0.92179999999999995</v>
      </c>
    </row>
    <row r="68" spans="1:49" ht="12.95" customHeight="1" x14ac:dyDescent="0.25">
      <c r="A68" s="827">
        <v>13</v>
      </c>
      <c r="B68" s="946">
        <v>5407</v>
      </c>
      <c r="C68" s="947">
        <v>600099148</v>
      </c>
      <c r="D68" s="828">
        <v>70939403</v>
      </c>
      <c r="E68" s="948" t="s">
        <v>398</v>
      </c>
      <c r="F68" s="828">
        <v>3113</v>
      </c>
      <c r="G68" s="948" t="s">
        <v>335</v>
      </c>
      <c r="H68" s="831" t="s">
        <v>283</v>
      </c>
      <c r="I68" s="803">
        <f t="shared" si="59"/>
        <v>8653827</v>
      </c>
      <c r="J68" s="833">
        <v>6273422</v>
      </c>
      <c r="K68" s="805">
        <f>ROUND((J68)*33.8%,0)</f>
        <v>2120417</v>
      </c>
      <c r="L68" s="805">
        <f>ROUND(J68*2%,0)</f>
        <v>125468</v>
      </c>
      <c r="M68" s="833">
        <v>134520</v>
      </c>
      <c r="N68" s="834">
        <f t="shared" si="60"/>
        <v>11.792399999999999</v>
      </c>
      <c r="O68" s="1054">
        <v>8.9544999999999995</v>
      </c>
      <c r="P68" s="1055">
        <v>2.8378999999999999</v>
      </c>
      <c r="Q68" s="940">
        <f t="shared" si="61"/>
        <v>0</v>
      </c>
      <c r="R68" s="813">
        <v>0</v>
      </c>
      <c r="S68" s="813">
        <v>0</v>
      </c>
      <c r="T68" s="813">
        <v>0</v>
      </c>
      <c r="U68" s="813">
        <f t="shared" si="62"/>
        <v>0</v>
      </c>
      <c r="V68" s="813">
        <v>0</v>
      </c>
      <c r="W68" s="941">
        <v>0</v>
      </c>
      <c r="X68" s="813">
        <v>0</v>
      </c>
      <c r="Y68" s="813">
        <f t="shared" si="63"/>
        <v>0</v>
      </c>
      <c r="Z68" s="813">
        <f t="shared" si="64"/>
        <v>0</v>
      </c>
      <c r="AA68" s="809">
        <f t="shared" si="65"/>
        <v>0</v>
      </c>
      <c r="AB68" s="809">
        <f t="shared" si="66"/>
        <v>0</v>
      </c>
      <c r="AC68" s="813">
        <v>0</v>
      </c>
      <c r="AD68" s="813">
        <v>0</v>
      </c>
      <c r="AE68" s="813">
        <f t="shared" si="67"/>
        <v>0</v>
      </c>
      <c r="AF68" s="813">
        <f t="shared" si="68"/>
        <v>0</v>
      </c>
      <c r="AG68" s="836">
        <v>0</v>
      </c>
      <c r="AH68" s="836">
        <v>0</v>
      </c>
      <c r="AI68" s="836">
        <v>0</v>
      </c>
      <c r="AJ68" s="836">
        <v>0</v>
      </c>
      <c r="AK68" s="836">
        <v>0</v>
      </c>
      <c r="AL68" s="836">
        <f t="shared" si="69"/>
        <v>0</v>
      </c>
      <c r="AM68" s="836">
        <f t="shared" si="70"/>
        <v>0</v>
      </c>
      <c r="AN68" s="949">
        <f t="shared" si="71"/>
        <v>0</v>
      </c>
      <c r="AO68" s="945">
        <f t="shared" si="2"/>
        <v>8653827</v>
      </c>
      <c r="AP68" s="813">
        <f t="shared" si="3"/>
        <v>6273422</v>
      </c>
      <c r="AQ68" s="813">
        <f t="shared" si="4"/>
        <v>0</v>
      </c>
      <c r="AR68" s="813">
        <f t="shared" si="24"/>
        <v>2120417</v>
      </c>
      <c r="AS68" s="813">
        <f t="shared" si="24"/>
        <v>125468</v>
      </c>
      <c r="AT68" s="813">
        <f t="shared" si="5"/>
        <v>134520</v>
      </c>
      <c r="AU68" s="836">
        <f t="shared" si="6"/>
        <v>11.792399999999999</v>
      </c>
      <c r="AV68" s="836">
        <f t="shared" si="25"/>
        <v>8.9544999999999995</v>
      </c>
      <c r="AW68" s="837">
        <f t="shared" si="25"/>
        <v>2.8378999999999999</v>
      </c>
    </row>
    <row r="69" spans="1:49" ht="12.95" customHeight="1" x14ac:dyDescent="0.25">
      <c r="A69" s="827">
        <v>13</v>
      </c>
      <c r="B69" s="946">
        <v>5407</v>
      </c>
      <c r="C69" s="947">
        <v>600099148</v>
      </c>
      <c r="D69" s="828">
        <v>70939403</v>
      </c>
      <c r="E69" s="948" t="s">
        <v>398</v>
      </c>
      <c r="F69" s="828">
        <v>3113</v>
      </c>
      <c r="G69" s="948" t="s">
        <v>325</v>
      </c>
      <c r="H69" s="831" t="s">
        <v>284</v>
      </c>
      <c r="I69" s="803">
        <f t="shared" si="59"/>
        <v>0</v>
      </c>
      <c r="J69" s="833">
        <v>0</v>
      </c>
      <c r="K69" s="805">
        <v>0</v>
      </c>
      <c r="L69" s="805">
        <v>0</v>
      </c>
      <c r="M69" s="833">
        <v>0</v>
      </c>
      <c r="N69" s="834">
        <f t="shared" si="60"/>
        <v>0</v>
      </c>
      <c r="O69" s="1054">
        <v>0</v>
      </c>
      <c r="P69" s="1055">
        <v>0</v>
      </c>
      <c r="Q69" s="940">
        <f t="shared" si="61"/>
        <v>0</v>
      </c>
      <c r="R69" s="833">
        <f>504311+79394</f>
        <v>583705</v>
      </c>
      <c r="S69" s="813">
        <v>0</v>
      </c>
      <c r="T69" s="813">
        <v>0</v>
      </c>
      <c r="U69" s="813">
        <f t="shared" si="62"/>
        <v>583705</v>
      </c>
      <c r="V69" s="813">
        <v>0</v>
      </c>
      <c r="W69" s="941">
        <v>0</v>
      </c>
      <c r="X69" s="813">
        <v>0</v>
      </c>
      <c r="Y69" s="813">
        <f t="shared" si="63"/>
        <v>0</v>
      </c>
      <c r="Z69" s="813">
        <f t="shared" si="64"/>
        <v>583705</v>
      </c>
      <c r="AA69" s="809">
        <f t="shared" si="65"/>
        <v>197292</v>
      </c>
      <c r="AB69" s="809">
        <f t="shared" si="66"/>
        <v>11674</v>
      </c>
      <c r="AC69" s="813">
        <v>2500</v>
      </c>
      <c r="AD69" s="813">
        <v>0</v>
      </c>
      <c r="AE69" s="813">
        <f t="shared" si="67"/>
        <v>2500</v>
      </c>
      <c r="AF69" s="813">
        <f t="shared" si="68"/>
        <v>795171</v>
      </c>
      <c r="AG69" s="836">
        <v>0</v>
      </c>
      <c r="AH69" s="836">
        <v>0</v>
      </c>
      <c r="AI69" s="836">
        <f>1.44-0.59</f>
        <v>0.85</v>
      </c>
      <c r="AJ69" s="836">
        <v>0</v>
      </c>
      <c r="AK69" s="836">
        <v>0</v>
      </c>
      <c r="AL69" s="836">
        <f t="shared" si="69"/>
        <v>0.85</v>
      </c>
      <c r="AM69" s="836">
        <f t="shared" si="70"/>
        <v>0</v>
      </c>
      <c r="AN69" s="949">
        <f t="shared" si="71"/>
        <v>0.85</v>
      </c>
      <c r="AO69" s="945">
        <f t="shared" si="2"/>
        <v>795171</v>
      </c>
      <c r="AP69" s="813">
        <f t="shared" si="3"/>
        <v>583705</v>
      </c>
      <c r="AQ69" s="813">
        <f t="shared" si="4"/>
        <v>0</v>
      </c>
      <c r="AR69" s="813">
        <f t="shared" si="24"/>
        <v>197292</v>
      </c>
      <c r="AS69" s="813">
        <f t="shared" si="24"/>
        <v>11674</v>
      </c>
      <c r="AT69" s="813">
        <f t="shared" si="5"/>
        <v>2500</v>
      </c>
      <c r="AU69" s="836">
        <f t="shared" si="6"/>
        <v>0.85</v>
      </c>
      <c r="AV69" s="836">
        <f t="shared" si="25"/>
        <v>0.85</v>
      </c>
      <c r="AW69" s="837">
        <f t="shared" si="25"/>
        <v>0</v>
      </c>
    </row>
    <row r="70" spans="1:49" ht="12.95" customHeight="1" x14ac:dyDescent="0.25">
      <c r="A70" s="827">
        <v>13</v>
      </c>
      <c r="B70" s="946">
        <v>5407</v>
      </c>
      <c r="C70" s="947">
        <v>600099148</v>
      </c>
      <c r="D70" s="828">
        <v>70939403</v>
      </c>
      <c r="E70" s="948" t="s">
        <v>398</v>
      </c>
      <c r="F70" s="828">
        <v>3141</v>
      </c>
      <c r="G70" s="948" t="s">
        <v>321</v>
      </c>
      <c r="H70" s="831" t="s">
        <v>284</v>
      </c>
      <c r="I70" s="803">
        <f t="shared" si="59"/>
        <v>1369547</v>
      </c>
      <c r="J70" s="833">
        <v>1002715</v>
      </c>
      <c r="K70" s="805">
        <f>ROUND((J70)*33.8%,0)</f>
        <v>338918</v>
      </c>
      <c r="L70" s="805">
        <f>ROUND(J70*2%,0)</f>
        <v>20054</v>
      </c>
      <c r="M70" s="833">
        <v>7860</v>
      </c>
      <c r="N70" s="834">
        <f t="shared" si="60"/>
        <v>3.41</v>
      </c>
      <c r="O70" s="1054">
        <v>0</v>
      </c>
      <c r="P70" s="1055">
        <v>3.41</v>
      </c>
      <c r="Q70" s="940">
        <f t="shared" si="61"/>
        <v>0</v>
      </c>
      <c r="R70" s="813">
        <v>0</v>
      </c>
      <c r="S70" s="813">
        <v>0</v>
      </c>
      <c r="T70" s="813">
        <v>0</v>
      </c>
      <c r="U70" s="813">
        <f t="shared" si="62"/>
        <v>0</v>
      </c>
      <c r="V70" s="813">
        <v>0</v>
      </c>
      <c r="W70" s="941">
        <v>0</v>
      </c>
      <c r="X70" s="813">
        <v>0</v>
      </c>
      <c r="Y70" s="813">
        <f t="shared" si="63"/>
        <v>0</v>
      </c>
      <c r="Z70" s="813">
        <f t="shared" si="64"/>
        <v>0</v>
      </c>
      <c r="AA70" s="809">
        <f t="shared" si="65"/>
        <v>0</v>
      </c>
      <c r="AB70" s="809">
        <f t="shared" si="66"/>
        <v>0</v>
      </c>
      <c r="AC70" s="813">
        <v>0</v>
      </c>
      <c r="AD70" s="813">
        <v>0</v>
      </c>
      <c r="AE70" s="813">
        <f t="shared" si="67"/>
        <v>0</v>
      </c>
      <c r="AF70" s="813">
        <f t="shared" si="68"/>
        <v>0</v>
      </c>
      <c r="AG70" s="836">
        <v>0</v>
      </c>
      <c r="AH70" s="836">
        <v>0</v>
      </c>
      <c r="AI70" s="836">
        <v>0</v>
      </c>
      <c r="AJ70" s="836">
        <v>0</v>
      </c>
      <c r="AK70" s="836">
        <v>0</v>
      </c>
      <c r="AL70" s="836">
        <f t="shared" si="69"/>
        <v>0</v>
      </c>
      <c r="AM70" s="836">
        <f t="shared" si="70"/>
        <v>0</v>
      </c>
      <c r="AN70" s="949">
        <f t="shared" si="71"/>
        <v>0</v>
      </c>
      <c r="AO70" s="945">
        <f t="shared" si="2"/>
        <v>1369547</v>
      </c>
      <c r="AP70" s="813">
        <f t="shared" si="3"/>
        <v>1002715</v>
      </c>
      <c r="AQ70" s="813">
        <f t="shared" si="4"/>
        <v>0</v>
      </c>
      <c r="AR70" s="813">
        <f t="shared" si="24"/>
        <v>338918</v>
      </c>
      <c r="AS70" s="813">
        <f t="shared" si="24"/>
        <v>20054</v>
      </c>
      <c r="AT70" s="813">
        <f t="shared" si="5"/>
        <v>7860</v>
      </c>
      <c r="AU70" s="836">
        <f t="shared" si="6"/>
        <v>3.41</v>
      </c>
      <c r="AV70" s="836">
        <f t="shared" si="25"/>
        <v>0</v>
      </c>
      <c r="AW70" s="837">
        <f t="shared" si="25"/>
        <v>3.41</v>
      </c>
    </row>
    <row r="71" spans="1:49" ht="12.95" customHeight="1" x14ac:dyDescent="0.25">
      <c r="A71" s="827">
        <v>13</v>
      </c>
      <c r="B71" s="946">
        <v>5407</v>
      </c>
      <c r="C71" s="947">
        <v>600099148</v>
      </c>
      <c r="D71" s="828">
        <v>70939403</v>
      </c>
      <c r="E71" s="948" t="s">
        <v>398</v>
      </c>
      <c r="F71" s="828">
        <v>3143</v>
      </c>
      <c r="G71" s="948" t="s">
        <v>635</v>
      </c>
      <c r="H71" s="831" t="s">
        <v>283</v>
      </c>
      <c r="I71" s="803">
        <f t="shared" si="59"/>
        <v>395002</v>
      </c>
      <c r="J71" s="833">
        <v>290871</v>
      </c>
      <c r="K71" s="805">
        <f>ROUND((J71)*33.8%,0)</f>
        <v>98314</v>
      </c>
      <c r="L71" s="805">
        <f>ROUND(J71*2%,0)</f>
        <v>5817</v>
      </c>
      <c r="M71" s="833">
        <v>0</v>
      </c>
      <c r="N71" s="834">
        <f t="shared" si="60"/>
        <v>0.65</v>
      </c>
      <c r="O71" s="1054">
        <v>0.65</v>
      </c>
      <c r="P71" s="1055">
        <v>0</v>
      </c>
      <c r="Q71" s="940">
        <f t="shared" si="61"/>
        <v>0</v>
      </c>
      <c r="R71" s="813">
        <v>0</v>
      </c>
      <c r="S71" s="813">
        <v>0</v>
      </c>
      <c r="T71" s="813">
        <v>0</v>
      </c>
      <c r="U71" s="813">
        <f t="shared" si="62"/>
        <v>0</v>
      </c>
      <c r="V71" s="813">
        <v>0</v>
      </c>
      <c r="W71" s="941">
        <v>0</v>
      </c>
      <c r="X71" s="813">
        <v>0</v>
      </c>
      <c r="Y71" s="813">
        <f t="shared" si="63"/>
        <v>0</v>
      </c>
      <c r="Z71" s="813">
        <f t="shared" si="64"/>
        <v>0</v>
      </c>
      <c r="AA71" s="809">
        <f t="shared" si="65"/>
        <v>0</v>
      </c>
      <c r="AB71" s="809">
        <f t="shared" si="66"/>
        <v>0</v>
      </c>
      <c r="AC71" s="813">
        <v>0</v>
      </c>
      <c r="AD71" s="813">
        <v>0</v>
      </c>
      <c r="AE71" s="813">
        <f t="shared" si="67"/>
        <v>0</v>
      </c>
      <c r="AF71" s="813">
        <f t="shared" si="68"/>
        <v>0</v>
      </c>
      <c r="AG71" s="836">
        <v>0</v>
      </c>
      <c r="AH71" s="836">
        <v>0</v>
      </c>
      <c r="AI71" s="836">
        <v>0</v>
      </c>
      <c r="AJ71" s="836">
        <v>0</v>
      </c>
      <c r="AK71" s="836">
        <v>0</v>
      </c>
      <c r="AL71" s="836">
        <f t="shared" si="69"/>
        <v>0</v>
      </c>
      <c r="AM71" s="836">
        <f t="shared" si="70"/>
        <v>0</v>
      </c>
      <c r="AN71" s="949">
        <f t="shared" si="71"/>
        <v>0</v>
      </c>
      <c r="AO71" s="945">
        <f t="shared" si="2"/>
        <v>395002</v>
      </c>
      <c r="AP71" s="813">
        <f t="shared" si="3"/>
        <v>290871</v>
      </c>
      <c r="AQ71" s="813">
        <f t="shared" si="4"/>
        <v>0</v>
      </c>
      <c r="AR71" s="813">
        <f t="shared" si="24"/>
        <v>98314</v>
      </c>
      <c r="AS71" s="813">
        <f t="shared" si="24"/>
        <v>5817</v>
      </c>
      <c r="AT71" s="813">
        <f t="shared" si="5"/>
        <v>0</v>
      </c>
      <c r="AU71" s="836">
        <f t="shared" si="6"/>
        <v>0.65</v>
      </c>
      <c r="AV71" s="836">
        <f t="shared" si="25"/>
        <v>0.65</v>
      </c>
      <c r="AW71" s="837">
        <f t="shared" si="25"/>
        <v>0</v>
      </c>
    </row>
    <row r="72" spans="1:49" ht="12.95" customHeight="1" x14ac:dyDescent="0.25">
      <c r="A72" s="827">
        <v>13</v>
      </c>
      <c r="B72" s="946">
        <v>5407</v>
      </c>
      <c r="C72" s="947">
        <v>600099148</v>
      </c>
      <c r="D72" s="828">
        <v>70939403</v>
      </c>
      <c r="E72" s="948" t="s">
        <v>398</v>
      </c>
      <c r="F72" s="828">
        <v>3143</v>
      </c>
      <c r="G72" s="948" t="s">
        <v>636</v>
      </c>
      <c r="H72" s="831" t="s">
        <v>284</v>
      </c>
      <c r="I72" s="803">
        <f t="shared" si="59"/>
        <v>14044</v>
      </c>
      <c r="J72" s="833">
        <v>9900</v>
      </c>
      <c r="K72" s="805">
        <f>ROUND((J72)*33.8%,0)</f>
        <v>3346</v>
      </c>
      <c r="L72" s="805">
        <f>ROUND(J72*2%,0)</f>
        <v>198</v>
      </c>
      <c r="M72" s="833">
        <v>600</v>
      </c>
      <c r="N72" s="834">
        <f t="shared" si="60"/>
        <v>0.04</v>
      </c>
      <c r="O72" s="1054">
        <v>0</v>
      </c>
      <c r="P72" s="1055">
        <v>0.04</v>
      </c>
      <c r="Q72" s="940">
        <f t="shared" si="61"/>
        <v>0</v>
      </c>
      <c r="R72" s="813">
        <v>0</v>
      </c>
      <c r="S72" s="813">
        <v>0</v>
      </c>
      <c r="T72" s="813">
        <v>0</v>
      </c>
      <c r="U72" s="813">
        <f t="shared" si="62"/>
        <v>0</v>
      </c>
      <c r="V72" s="813">
        <v>0</v>
      </c>
      <c r="W72" s="941">
        <v>0</v>
      </c>
      <c r="X72" s="813">
        <v>0</v>
      </c>
      <c r="Y72" s="813">
        <f t="shared" si="63"/>
        <v>0</v>
      </c>
      <c r="Z72" s="813">
        <f t="shared" si="64"/>
        <v>0</v>
      </c>
      <c r="AA72" s="809">
        <f t="shared" si="65"/>
        <v>0</v>
      </c>
      <c r="AB72" s="809">
        <f t="shared" si="66"/>
        <v>0</v>
      </c>
      <c r="AC72" s="813">
        <v>0</v>
      </c>
      <c r="AD72" s="813">
        <v>0</v>
      </c>
      <c r="AE72" s="813">
        <f t="shared" si="67"/>
        <v>0</v>
      </c>
      <c r="AF72" s="813">
        <f t="shared" si="68"/>
        <v>0</v>
      </c>
      <c r="AG72" s="836">
        <v>0</v>
      </c>
      <c r="AH72" s="836">
        <v>0</v>
      </c>
      <c r="AI72" s="836">
        <v>0</v>
      </c>
      <c r="AJ72" s="836">
        <v>0</v>
      </c>
      <c r="AK72" s="836">
        <v>0</v>
      </c>
      <c r="AL72" s="836">
        <f t="shared" si="69"/>
        <v>0</v>
      </c>
      <c r="AM72" s="836">
        <f t="shared" si="70"/>
        <v>0</v>
      </c>
      <c r="AN72" s="949">
        <f t="shared" si="71"/>
        <v>0</v>
      </c>
      <c r="AO72" s="945">
        <f t="shared" si="2"/>
        <v>14044</v>
      </c>
      <c r="AP72" s="813">
        <f t="shared" si="3"/>
        <v>9900</v>
      </c>
      <c r="AQ72" s="813">
        <f t="shared" si="4"/>
        <v>0</v>
      </c>
      <c r="AR72" s="813">
        <f t="shared" si="24"/>
        <v>3346</v>
      </c>
      <c r="AS72" s="813">
        <f t="shared" si="24"/>
        <v>198</v>
      </c>
      <c r="AT72" s="813">
        <f t="shared" si="5"/>
        <v>600</v>
      </c>
      <c r="AU72" s="836">
        <f t="shared" si="6"/>
        <v>0.04</v>
      </c>
      <c r="AV72" s="836">
        <f t="shared" si="25"/>
        <v>0</v>
      </c>
      <c r="AW72" s="837">
        <f t="shared" si="25"/>
        <v>0.04</v>
      </c>
    </row>
    <row r="73" spans="1:49" ht="12.95" customHeight="1" x14ac:dyDescent="0.25">
      <c r="A73" s="950">
        <v>13</v>
      </c>
      <c r="B73" s="951">
        <v>5407</v>
      </c>
      <c r="C73" s="952">
        <v>600099148</v>
      </c>
      <c r="D73" s="951">
        <v>70939403</v>
      </c>
      <c r="E73" s="953" t="s">
        <v>399</v>
      </c>
      <c r="F73" s="850"/>
      <c r="G73" s="960"/>
      <c r="H73" s="851"/>
      <c r="I73" s="954">
        <f t="shared" ref="I73:AW73" si="72">SUM(I67:I72)</f>
        <v>12745062</v>
      </c>
      <c r="J73" s="955">
        <f t="shared" si="72"/>
        <v>9267954</v>
      </c>
      <c r="K73" s="955">
        <f t="shared" si="72"/>
        <v>3132569</v>
      </c>
      <c r="L73" s="955">
        <f t="shared" si="72"/>
        <v>185359</v>
      </c>
      <c r="M73" s="955">
        <f t="shared" si="72"/>
        <v>159180</v>
      </c>
      <c r="N73" s="956">
        <f t="shared" si="72"/>
        <v>19.814199999999996</v>
      </c>
      <c r="O73" s="956">
        <f t="shared" si="72"/>
        <v>12.6045</v>
      </c>
      <c r="P73" s="959">
        <f t="shared" si="72"/>
        <v>7.2096999999999998</v>
      </c>
      <c r="Q73" s="957">
        <f t="shared" si="72"/>
        <v>-8000</v>
      </c>
      <c r="R73" s="955">
        <f t="shared" si="72"/>
        <v>583705</v>
      </c>
      <c r="S73" s="955">
        <f t="shared" si="72"/>
        <v>0</v>
      </c>
      <c r="T73" s="955">
        <f t="shared" si="72"/>
        <v>0</v>
      </c>
      <c r="U73" s="955">
        <f t="shared" si="72"/>
        <v>575705</v>
      </c>
      <c r="V73" s="955">
        <f t="shared" si="72"/>
        <v>8000</v>
      </c>
      <c r="W73" s="955">
        <f t="shared" si="72"/>
        <v>0</v>
      </c>
      <c r="X73" s="955">
        <f t="shared" si="72"/>
        <v>0</v>
      </c>
      <c r="Y73" s="955">
        <f t="shared" si="72"/>
        <v>8000</v>
      </c>
      <c r="Z73" s="955">
        <f t="shared" si="72"/>
        <v>583705</v>
      </c>
      <c r="AA73" s="955">
        <f t="shared" si="72"/>
        <v>197292</v>
      </c>
      <c r="AB73" s="955">
        <f t="shared" si="72"/>
        <v>11514</v>
      </c>
      <c r="AC73" s="955">
        <f t="shared" si="72"/>
        <v>2500</v>
      </c>
      <c r="AD73" s="955">
        <f t="shared" si="72"/>
        <v>0</v>
      </c>
      <c r="AE73" s="955">
        <f t="shared" si="72"/>
        <v>2500</v>
      </c>
      <c r="AF73" s="955">
        <f t="shared" si="72"/>
        <v>795011</v>
      </c>
      <c r="AG73" s="956">
        <f t="shared" si="72"/>
        <v>-0.02</v>
      </c>
      <c r="AH73" s="956">
        <f t="shared" si="72"/>
        <v>0</v>
      </c>
      <c r="AI73" s="956">
        <f t="shared" si="72"/>
        <v>0.85</v>
      </c>
      <c r="AJ73" s="956">
        <f t="shared" si="72"/>
        <v>0</v>
      </c>
      <c r="AK73" s="956">
        <f t="shared" si="72"/>
        <v>0</v>
      </c>
      <c r="AL73" s="956">
        <f t="shared" si="72"/>
        <v>0.83</v>
      </c>
      <c r="AM73" s="956">
        <f t="shared" si="72"/>
        <v>0</v>
      </c>
      <c r="AN73" s="958">
        <f t="shared" si="72"/>
        <v>0.83</v>
      </c>
      <c r="AO73" s="954">
        <f t="shared" si="72"/>
        <v>13540073</v>
      </c>
      <c r="AP73" s="955">
        <f t="shared" si="72"/>
        <v>9843659</v>
      </c>
      <c r="AQ73" s="955">
        <f t="shared" si="72"/>
        <v>8000</v>
      </c>
      <c r="AR73" s="955">
        <f t="shared" si="72"/>
        <v>3329861</v>
      </c>
      <c r="AS73" s="955">
        <f t="shared" si="72"/>
        <v>196873</v>
      </c>
      <c r="AT73" s="955">
        <f t="shared" si="72"/>
        <v>161680</v>
      </c>
      <c r="AU73" s="956">
        <f t="shared" si="72"/>
        <v>20.644199999999998</v>
      </c>
      <c r="AV73" s="956">
        <f t="shared" si="72"/>
        <v>13.4345</v>
      </c>
      <c r="AW73" s="959">
        <f t="shared" si="72"/>
        <v>7.2096999999999998</v>
      </c>
    </row>
    <row r="74" spans="1:49" ht="12.95" customHeight="1" x14ac:dyDescent="0.25">
      <c r="A74" s="827">
        <v>14</v>
      </c>
      <c r="B74" s="946">
        <v>5411</v>
      </c>
      <c r="C74" s="947">
        <v>650034244</v>
      </c>
      <c r="D74" s="828">
        <v>70985375</v>
      </c>
      <c r="E74" s="948" t="s">
        <v>400</v>
      </c>
      <c r="F74" s="828">
        <v>3111</v>
      </c>
      <c r="G74" s="948" t="s">
        <v>331</v>
      </c>
      <c r="H74" s="831" t="s">
        <v>283</v>
      </c>
      <c r="I74" s="803">
        <f t="shared" ref="I74:I79" si="73">SUM(J74:M74)</f>
        <v>2213723</v>
      </c>
      <c r="J74" s="833">
        <v>1618868</v>
      </c>
      <c r="K74" s="805">
        <f>ROUND((J74)*33.8%,0)+1</f>
        <v>547178</v>
      </c>
      <c r="L74" s="805">
        <f t="shared" ref="L74:L79" si="74">ROUND(J74*2%,0)</f>
        <v>32377</v>
      </c>
      <c r="M74" s="833">
        <v>15300</v>
      </c>
      <c r="N74" s="834">
        <f t="shared" ref="N74:N79" si="75">SUM(O74:P74)</f>
        <v>3.8250000000000002</v>
      </c>
      <c r="O74" s="1054">
        <v>2.9032</v>
      </c>
      <c r="P74" s="1055">
        <v>0.92179999999999995</v>
      </c>
      <c r="Q74" s="940">
        <f t="shared" ref="Q74:Q79" si="76">V74*-1</f>
        <v>-28800</v>
      </c>
      <c r="R74" s="813">
        <v>0</v>
      </c>
      <c r="S74" s="813">
        <v>0</v>
      </c>
      <c r="T74" s="813">
        <v>0</v>
      </c>
      <c r="U74" s="813">
        <f t="shared" ref="U74:U79" si="77">SUM(Q74:T74)</f>
        <v>-28800</v>
      </c>
      <c r="V74" s="813">
        <v>28800</v>
      </c>
      <c r="W74" s="941">
        <v>0</v>
      </c>
      <c r="X74" s="813">
        <v>0</v>
      </c>
      <c r="Y74" s="813">
        <f t="shared" ref="Y74:Y79" si="78">SUM(V74:X74)</f>
        <v>28800</v>
      </c>
      <c r="Z74" s="813">
        <f t="shared" ref="Z74:Z79" si="79">U74+Y74</f>
        <v>0</v>
      </c>
      <c r="AA74" s="809">
        <f t="shared" ref="AA74:AA79" si="80">ROUND((U74+V74+W74)*33.8%,0)</f>
        <v>0</v>
      </c>
      <c r="AB74" s="809">
        <f t="shared" ref="AB74:AB79" si="81">ROUND(U74*2%,0)</f>
        <v>-576</v>
      </c>
      <c r="AC74" s="813">
        <v>0</v>
      </c>
      <c r="AD74" s="813">
        <v>0</v>
      </c>
      <c r="AE74" s="813">
        <f t="shared" ref="AE74:AE79" si="82">SUM(AC74:AD74)</f>
        <v>0</v>
      </c>
      <c r="AF74" s="813">
        <f t="shared" ref="AF74:AF79" si="83">Z74+AA74+AB74+AE74</f>
        <v>-576</v>
      </c>
      <c r="AG74" s="836">
        <v>-0.03</v>
      </c>
      <c r="AH74" s="836">
        <v>0</v>
      </c>
      <c r="AI74" s="836">
        <v>0</v>
      </c>
      <c r="AJ74" s="836">
        <v>0</v>
      </c>
      <c r="AK74" s="836">
        <v>0</v>
      </c>
      <c r="AL74" s="836">
        <f t="shared" ref="AL74:AL79" si="84">AG74+AI74+AJ74</f>
        <v>-0.03</v>
      </c>
      <c r="AM74" s="836">
        <f t="shared" ref="AM74:AM79" si="85">AH74+AK74</f>
        <v>0</v>
      </c>
      <c r="AN74" s="949">
        <f t="shared" ref="AN74:AN79" si="86">SUM(AL74:AM74)</f>
        <v>-0.03</v>
      </c>
      <c r="AO74" s="945">
        <f t="shared" si="2"/>
        <v>2213147</v>
      </c>
      <c r="AP74" s="813">
        <f t="shared" si="3"/>
        <v>1590068</v>
      </c>
      <c r="AQ74" s="813">
        <f t="shared" si="4"/>
        <v>28800</v>
      </c>
      <c r="AR74" s="813">
        <f t="shared" si="24"/>
        <v>547178</v>
      </c>
      <c r="AS74" s="813">
        <f t="shared" si="24"/>
        <v>31801</v>
      </c>
      <c r="AT74" s="813">
        <f t="shared" si="5"/>
        <v>15300</v>
      </c>
      <c r="AU74" s="836">
        <f t="shared" si="6"/>
        <v>3.7950000000000004</v>
      </c>
      <c r="AV74" s="836">
        <f t="shared" si="25"/>
        <v>2.8732000000000002</v>
      </c>
      <c r="AW74" s="837">
        <f t="shared" si="25"/>
        <v>0.92179999999999995</v>
      </c>
    </row>
    <row r="75" spans="1:49" ht="12.95" customHeight="1" x14ac:dyDescent="0.25">
      <c r="A75" s="827">
        <v>14</v>
      </c>
      <c r="B75" s="946">
        <v>5411</v>
      </c>
      <c r="C75" s="947">
        <v>650034244</v>
      </c>
      <c r="D75" s="828">
        <v>70985375</v>
      </c>
      <c r="E75" s="948" t="s">
        <v>400</v>
      </c>
      <c r="F75" s="828">
        <v>3117</v>
      </c>
      <c r="G75" s="948" t="s">
        <v>320</v>
      </c>
      <c r="H75" s="831" t="s">
        <v>283</v>
      </c>
      <c r="I75" s="803">
        <f t="shared" si="73"/>
        <v>3247475</v>
      </c>
      <c r="J75" s="833">
        <v>2347294</v>
      </c>
      <c r="K75" s="805">
        <f>ROUND((J75)*33.8%,0)</f>
        <v>793385</v>
      </c>
      <c r="L75" s="805">
        <f t="shared" si="74"/>
        <v>46946</v>
      </c>
      <c r="M75" s="833">
        <v>59850</v>
      </c>
      <c r="N75" s="834">
        <f t="shared" si="75"/>
        <v>4.1901999999999999</v>
      </c>
      <c r="O75" s="1054">
        <v>2.5926999999999998</v>
      </c>
      <c r="P75" s="1055">
        <v>1.5974999999999999</v>
      </c>
      <c r="Q75" s="940">
        <f t="shared" si="76"/>
        <v>0</v>
      </c>
      <c r="R75" s="813">
        <v>0</v>
      </c>
      <c r="S75" s="813">
        <v>0</v>
      </c>
      <c r="T75" s="813">
        <v>0</v>
      </c>
      <c r="U75" s="813">
        <f t="shared" si="77"/>
        <v>0</v>
      </c>
      <c r="V75" s="813">
        <v>0</v>
      </c>
      <c r="W75" s="941">
        <v>0</v>
      </c>
      <c r="X75" s="813">
        <v>0</v>
      </c>
      <c r="Y75" s="813">
        <f t="shared" si="78"/>
        <v>0</v>
      </c>
      <c r="Z75" s="813">
        <f t="shared" si="79"/>
        <v>0</v>
      </c>
      <c r="AA75" s="809">
        <f t="shared" si="80"/>
        <v>0</v>
      </c>
      <c r="AB75" s="809">
        <f t="shared" si="81"/>
        <v>0</v>
      </c>
      <c r="AC75" s="813">
        <v>0</v>
      </c>
      <c r="AD75" s="813">
        <v>0</v>
      </c>
      <c r="AE75" s="813">
        <f t="shared" si="82"/>
        <v>0</v>
      </c>
      <c r="AF75" s="813">
        <f t="shared" si="83"/>
        <v>0</v>
      </c>
      <c r="AG75" s="836">
        <v>0</v>
      </c>
      <c r="AH75" s="836">
        <v>0</v>
      </c>
      <c r="AI75" s="836">
        <v>0</v>
      </c>
      <c r="AJ75" s="836">
        <v>0</v>
      </c>
      <c r="AK75" s="836">
        <v>0</v>
      </c>
      <c r="AL75" s="836">
        <f t="shared" si="84"/>
        <v>0</v>
      </c>
      <c r="AM75" s="836">
        <f t="shared" si="85"/>
        <v>0</v>
      </c>
      <c r="AN75" s="949">
        <f t="shared" si="86"/>
        <v>0</v>
      </c>
      <c r="AO75" s="945">
        <f t="shared" si="2"/>
        <v>3247475</v>
      </c>
      <c r="AP75" s="813">
        <f t="shared" si="3"/>
        <v>2347294</v>
      </c>
      <c r="AQ75" s="813">
        <f t="shared" si="4"/>
        <v>0</v>
      </c>
      <c r="AR75" s="813">
        <f t="shared" si="24"/>
        <v>793385</v>
      </c>
      <c r="AS75" s="813">
        <f t="shared" si="24"/>
        <v>46946</v>
      </c>
      <c r="AT75" s="813">
        <f t="shared" si="5"/>
        <v>59850</v>
      </c>
      <c r="AU75" s="836">
        <f t="shared" si="6"/>
        <v>4.1901999999999999</v>
      </c>
      <c r="AV75" s="836">
        <f t="shared" si="25"/>
        <v>2.5926999999999998</v>
      </c>
      <c r="AW75" s="837">
        <f t="shared" si="25"/>
        <v>1.5974999999999999</v>
      </c>
    </row>
    <row r="76" spans="1:49" ht="12.95" customHeight="1" x14ac:dyDescent="0.25">
      <c r="A76" s="827">
        <v>14</v>
      </c>
      <c r="B76" s="946">
        <v>5411</v>
      </c>
      <c r="C76" s="947">
        <v>650034244</v>
      </c>
      <c r="D76" s="828">
        <v>70985375</v>
      </c>
      <c r="E76" s="948" t="s">
        <v>400</v>
      </c>
      <c r="F76" s="828">
        <v>3117</v>
      </c>
      <c r="G76" s="948" t="s">
        <v>325</v>
      </c>
      <c r="H76" s="831" t="s">
        <v>284</v>
      </c>
      <c r="I76" s="803">
        <f t="shared" si="73"/>
        <v>0</v>
      </c>
      <c r="J76" s="833">
        <v>0</v>
      </c>
      <c r="K76" s="805">
        <f>ROUND((J76)*33.8%,0)</f>
        <v>0</v>
      </c>
      <c r="L76" s="805">
        <f t="shared" si="74"/>
        <v>0</v>
      </c>
      <c r="M76" s="833">
        <v>0</v>
      </c>
      <c r="N76" s="834">
        <f t="shared" si="75"/>
        <v>0</v>
      </c>
      <c r="O76" s="1054">
        <v>0</v>
      </c>
      <c r="P76" s="1055">
        <v>0</v>
      </c>
      <c r="Q76" s="940">
        <f t="shared" si="76"/>
        <v>0</v>
      </c>
      <c r="R76" s="813">
        <v>0</v>
      </c>
      <c r="S76" s="813">
        <v>0</v>
      </c>
      <c r="T76" s="813">
        <v>0</v>
      </c>
      <c r="U76" s="813">
        <f t="shared" si="77"/>
        <v>0</v>
      </c>
      <c r="V76" s="813">
        <v>0</v>
      </c>
      <c r="W76" s="941">
        <v>0</v>
      </c>
      <c r="X76" s="813">
        <v>0</v>
      </c>
      <c r="Y76" s="813">
        <f t="shared" si="78"/>
        <v>0</v>
      </c>
      <c r="Z76" s="813">
        <f t="shared" si="79"/>
        <v>0</v>
      </c>
      <c r="AA76" s="809">
        <f t="shared" si="80"/>
        <v>0</v>
      </c>
      <c r="AB76" s="809">
        <f t="shared" si="81"/>
        <v>0</v>
      </c>
      <c r="AC76" s="813">
        <v>0</v>
      </c>
      <c r="AD76" s="813">
        <v>0</v>
      </c>
      <c r="AE76" s="813">
        <f t="shared" si="82"/>
        <v>0</v>
      </c>
      <c r="AF76" s="813">
        <f t="shared" si="83"/>
        <v>0</v>
      </c>
      <c r="AG76" s="836">
        <v>0</v>
      </c>
      <c r="AH76" s="836">
        <v>0</v>
      </c>
      <c r="AI76" s="836">
        <v>0</v>
      </c>
      <c r="AJ76" s="836">
        <v>0</v>
      </c>
      <c r="AK76" s="836">
        <v>0</v>
      </c>
      <c r="AL76" s="836">
        <f t="shared" si="84"/>
        <v>0</v>
      </c>
      <c r="AM76" s="836">
        <f t="shared" si="85"/>
        <v>0</v>
      </c>
      <c r="AN76" s="949">
        <f t="shared" si="86"/>
        <v>0</v>
      </c>
      <c r="AO76" s="945">
        <f t="shared" si="2"/>
        <v>0</v>
      </c>
      <c r="AP76" s="813">
        <f t="shared" si="3"/>
        <v>0</v>
      </c>
      <c r="AQ76" s="813">
        <f t="shared" si="4"/>
        <v>0</v>
      </c>
      <c r="AR76" s="813">
        <f t="shared" si="24"/>
        <v>0</v>
      </c>
      <c r="AS76" s="813">
        <f t="shared" si="24"/>
        <v>0</v>
      </c>
      <c r="AT76" s="813">
        <f t="shared" si="5"/>
        <v>0</v>
      </c>
      <c r="AU76" s="836">
        <f t="shared" si="6"/>
        <v>0</v>
      </c>
      <c r="AV76" s="836">
        <f t="shared" si="25"/>
        <v>0</v>
      </c>
      <c r="AW76" s="837">
        <f t="shared" si="25"/>
        <v>0</v>
      </c>
    </row>
    <row r="77" spans="1:49" ht="12.95" customHeight="1" x14ac:dyDescent="0.25">
      <c r="A77" s="827">
        <v>14</v>
      </c>
      <c r="B77" s="946">
        <v>5411</v>
      </c>
      <c r="C77" s="947">
        <v>650034244</v>
      </c>
      <c r="D77" s="828">
        <v>70985375</v>
      </c>
      <c r="E77" s="948" t="s">
        <v>400</v>
      </c>
      <c r="F77" s="828">
        <v>3141</v>
      </c>
      <c r="G77" s="948" t="s">
        <v>321</v>
      </c>
      <c r="H77" s="831" t="s">
        <v>284</v>
      </c>
      <c r="I77" s="803">
        <f t="shared" si="73"/>
        <v>864166</v>
      </c>
      <c r="J77" s="833">
        <v>633405</v>
      </c>
      <c r="K77" s="805">
        <f>ROUND((J77)*33.8%,0)</f>
        <v>214091</v>
      </c>
      <c r="L77" s="805">
        <f t="shared" si="74"/>
        <v>12668</v>
      </c>
      <c r="M77" s="833">
        <v>4002</v>
      </c>
      <c r="N77" s="834">
        <f t="shared" si="75"/>
        <v>2.15</v>
      </c>
      <c r="O77" s="1054">
        <v>0</v>
      </c>
      <c r="P77" s="1055">
        <v>2.15</v>
      </c>
      <c r="Q77" s="940">
        <f t="shared" si="76"/>
        <v>0</v>
      </c>
      <c r="R77" s="813">
        <v>0</v>
      </c>
      <c r="S77" s="813">
        <v>0</v>
      </c>
      <c r="T77" s="813">
        <v>0</v>
      </c>
      <c r="U77" s="813">
        <f t="shared" si="77"/>
        <v>0</v>
      </c>
      <c r="V77" s="813">
        <v>0</v>
      </c>
      <c r="W77" s="941">
        <v>0</v>
      </c>
      <c r="X77" s="813">
        <v>0</v>
      </c>
      <c r="Y77" s="813">
        <f t="shared" si="78"/>
        <v>0</v>
      </c>
      <c r="Z77" s="813">
        <f t="shared" si="79"/>
        <v>0</v>
      </c>
      <c r="AA77" s="809">
        <f t="shared" si="80"/>
        <v>0</v>
      </c>
      <c r="AB77" s="809">
        <f t="shared" si="81"/>
        <v>0</v>
      </c>
      <c r="AC77" s="813">
        <v>0</v>
      </c>
      <c r="AD77" s="813">
        <v>0</v>
      </c>
      <c r="AE77" s="813">
        <f t="shared" si="82"/>
        <v>0</v>
      </c>
      <c r="AF77" s="813">
        <f t="shared" si="83"/>
        <v>0</v>
      </c>
      <c r="AG77" s="836">
        <v>0</v>
      </c>
      <c r="AH77" s="836">
        <v>0</v>
      </c>
      <c r="AI77" s="836">
        <v>0</v>
      </c>
      <c r="AJ77" s="836">
        <v>0</v>
      </c>
      <c r="AK77" s="836">
        <v>0</v>
      </c>
      <c r="AL77" s="836">
        <f t="shared" si="84"/>
        <v>0</v>
      </c>
      <c r="AM77" s="836">
        <f t="shared" si="85"/>
        <v>0</v>
      </c>
      <c r="AN77" s="949">
        <f t="shared" si="86"/>
        <v>0</v>
      </c>
      <c r="AO77" s="945">
        <f t="shared" ref="AO77:AO140" si="87">I77+AF77</f>
        <v>864166</v>
      </c>
      <c r="AP77" s="813">
        <f t="shared" ref="AP77:AP140" si="88">J77+U77</f>
        <v>633405</v>
      </c>
      <c r="AQ77" s="813">
        <f t="shared" ref="AQ77:AQ140" si="89">Y77</f>
        <v>0</v>
      </c>
      <c r="AR77" s="813">
        <f t="shared" si="24"/>
        <v>214091</v>
      </c>
      <c r="AS77" s="813">
        <f t="shared" si="24"/>
        <v>12668</v>
      </c>
      <c r="AT77" s="813">
        <f t="shared" ref="AT77:AT140" si="90">M77+AE77</f>
        <v>4002</v>
      </c>
      <c r="AU77" s="836">
        <f t="shared" ref="AU77:AU140" si="91">N77+AN77</f>
        <v>2.15</v>
      </c>
      <c r="AV77" s="836">
        <f t="shared" si="25"/>
        <v>0</v>
      </c>
      <c r="AW77" s="837">
        <f t="shared" si="25"/>
        <v>2.15</v>
      </c>
    </row>
    <row r="78" spans="1:49" ht="12.95" customHeight="1" x14ac:dyDescent="0.25">
      <c r="A78" s="827">
        <v>14</v>
      </c>
      <c r="B78" s="946">
        <v>5411</v>
      </c>
      <c r="C78" s="947">
        <v>650034244</v>
      </c>
      <c r="D78" s="828">
        <v>70985375</v>
      </c>
      <c r="E78" s="948" t="s">
        <v>400</v>
      </c>
      <c r="F78" s="828">
        <v>3143</v>
      </c>
      <c r="G78" s="948" t="s">
        <v>635</v>
      </c>
      <c r="H78" s="831" t="s">
        <v>283</v>
      </c>
      <c r="I78" s="803">
        <f t="shared" si="73"/>
        <v>442071</v>
      </c>
      <c r="J78" s="833">
        <v>325531</v>
      </c>
      <c r="K78" s="805">
        <f>ROUND((J78)*33.8%,0)</f>
        <v>110029</v>
      </c>
      <c r="L78" s="805">
        <f t="shared" si="74"/>
        <v>6511</v>
      </c>
      <c r="M78" s="833">
        <v>0</v>
      </c>
      <c r="N78" s="834">
        <f t="shared" si="75"/>
        <v>0.72729999999999995</v>
      </c>
      <c r="O78" s="1054">
        <v>0.72729999999999995</v>
      </c>
      <c r="P78" s="1055">
        <v>0</v>
      </c>
      <c r="Q78" s="940">
        <f t="shared" si="76"/>
        <v>-19200</v>
      </c>
      <c r="R78" s="813">
        <v>0</v>
      </c>
      <c r="S78" s="813">
        <v>0</v>
      </c>
      <c r="T78" s="813">
        <v>0</v>
      </c>
      <c r="U78" s="813">
        <f t="shared" si="77"/>
        <v>-19200</v>
      </c>
      <c r="V78" s="813">
        <v>19200</v>
      </c>
      <c r="W78" s="941">
        <v>0</v>
      </c>
      <c r="X78" s="813">
        <v>0</v>
      </c>
      <c r="Y78" s="813">
        <f t="shared" si="78"/>
        <v>19200</v>
      </c>
      <c r="Z78" s="813">
        <f t="shared" si="79"/>
        <v>0</v>
      </c>
      <c r="AA78" s="809">
        <f t="shared" si="80"/>
        <v>0</v>
      </c>
      <c r="AB78" s="809">
        <f t="shared" si="81"/>
        <v>-384</v>
      </c>
      <c r="AC78" s="813">
        <v>0</v>
      </c>
      <c r="AD78" s="813">
        <v>0</v>
      </c>
      <c r="AE78" s="813">
        <f t="shared" si="82"/>
        <v>0</v>
      </c>
      <c r="AF78" s="813">
        <f t="shared" si="83"/>
        <v>-384</v>
      </c>
      <c r="AG78" s="836">
        <v>-0.02</v>
      </c>
      <c r="AH78" s="836">
        <v>0</v>
      </c>
      <c r="AI78" s="836">
        <v>0</v>
      </c>
      <c r="AJ78" s="836">
        <v>0</v>
      </c>
      <c r="AK78" s="836">
        <v>0</v>
      </c>
      <c r="AL78" s="836">
        <f t="shared" si="84"/>
        <v>-0.02</v>
      </c>
      <c r="AM78" s="836">
        <f t="shared" si="85"/>
        <v>0</v>
      </c>
      <c r="AN78" s="949">
        <f t="shared" si="86"/>
        <v>-0.02</v>
      </c>
      <c r="AO78" s="945">
        <f t="shared" si="87"/>
        <v>441687</v>
      </c>
      <c r="AP78" s="813">
        <f t="shared" si="88"/>
        <v>306331</v>
      </c>
      <c r="AQ78" s="813">
        <f t="shared" si="89"/>
        <v>19200</v>
      </c>
      <c r="AR78" s="813">
        <f t="shared" si="24"/>
        <v>110029</v>
      </c>
      <c r="AS78" s="813">
        <f t="shared" si="24"/>
        <v>6127</v>
      </c>
      <c r="AT78" s="813">
        <f t="shared" si="90"/>
        <v>0</v>
      </c>
      <c r="AU78" s="836">
        <f t="shared" si="91"/>
        <v>0.70729999999999993</v>
      </c>
      <c r="AV78" s="836">
        <f t="shared" si="25"/>
        <v>0.70729999999999993</v>
      </c>
      <c r="AW78" s="837">
        <f t="shared" si="25"/>
        <v>0</v>
      </c>
    </row>
    <row r="79" spans="1:49" ht="12.95" customHeight="1" x14ac:dyDescent="0.25">
      <c r="A79" s="827">
        <v>14</v>
      </c>
      <c r="B79" s="946">
        <v>5411</v>
      </c>
      <c r="C79" s="947">
        <v>650034244</v>
      </c>
      <c r="D79" s="828">
        <v>70985375</v>
      </c>
      <c r="E79" s="948" t="s">
        <v>400</v>
      </c>
      <c r="F79" s="828">
        <v>3143</v>
      </c>
      <c r="G79" s="948" t="s">
        <v>636</v>
      </c>
      <c r="H79" s="831" t="s">
        <v>284</v>
      </c>
      <c r="I79" s="803">
        <f t="shared" si="73"/>
        <v>16853</v>
      </c>
      <c r="J79" s="833">
        <v>11880</v>
      </c>
      <c r="K79" s="805">
        <f>ROUND((J79)*33.8%,0)</f>
        <v>4015</v>
      </c>
      <c r="L79" s="805">
        <f t="shared" si="74"/>
        <v>238</v>
      </c>
      <c r="M79" s="833">
        <v>720</v>
      </c>
      <c r="N79" s="834">
        <f t="shared" si="75"/>
        <v>0.05</v>
      </c>
      <c r="O79" s="1054">
        <v>0</v>
      </c>
      <c r="P79" s="1055">
        <v>0.05</v>
      </c>
      <c r="Q79" s="940">
        <f t="shared" si="76"/>
        <v>0</v>
      </c>
      <c r="R79" s="813">
        <v>0</v>
      </c>
      <c r="S79" s="813">
        <v>0</v>
      </c>
      <c r="T79" s="813">
        <v>0</v>
      </c>
      <c r="U79" s="813">
        <f t="shared" si="77"/>
        <v>0</v>
      </c>
      <c r="V79" s="813">
        <v>0</v>
      </c>
      <c r="W79" s="941">
        <v>0</v>
      </c>
      <c r="X79" s="813">
        <v>0</v>
      </c>
      <c r="Y79" s="813">
        <f t="shared" si="78"/>
        <v>0</v>
      </c>
      <c r="Z79" s="813">
        <f t="shared" si="79"/>
        <v>0</v>
      </c>
      <c r="AA79" s="809">
        <f t="shared" si="80"/>
        <v>0</v>
      </c>
      <c r="AB79" s="809">
        <f t="shared" si="81"/>
        <v>0</v>
      </c>
      <c r="AC79" s="813">
        <v>0</v>
      </c>
      <c r="AD79" s="813">
        <v>0</v>
      </c>
      <c r="AE79" s="813">
        <f t="shared" si="82"/>
        <v>0</v>
      </c>
      <c r="AF79" s="813">
        <f t="shared" si="83"/>
        <v>0</v>
      </c>
      <c r="AG79" s="836">
        <v>0</v>
      </c>
      <c r="AH79" s="836">
        <v>0</v>
      </c>
      <c r="AI79" s="836">
        <v>0</v>
      </c>
      <c r="AJ79" s="836">
        <v>0</v>
      </c>
      <c r="AK79" s="836">
        <v>0</v>
      </c>
      <c r="AL79" s="836">
        <f t="shared" si="84"/>
        <v>0</v>
      </c>
      <c r="AM79" s="836">
        <f t="shared" si="85"/>
        <v>0</v>
      </c>
      <c r="AN79" s="949">
        <f t="shared" si="86"/>
        <v>0</v>
      </c>
      <c r="AO79" s="945">
        <f t="shared" si="87"/>
        <v>16853</v>
      </c>
      <c r="AP79" s="813">
        <f t="shared" si="88"/>
        <v>11880</v>
      </c>
      <c r="AQ79" s="813">
        <f t="shared" si="89"/>
        <v>0</v>
      </c>
      <c r="AR79" s="813">
        <f t="shared" si="24"/>
        <v>4015</v>
      </c>
      <c r="AS79" s="813">
        <f t="shared" si="24"/>
        <v>238</v>
      </c>
      <c r="AT79" s="813">
        <f t="shared" si="90"/>
        <v>720</v>
      </c>
      <c r="AU79" s="836">
        <f t="shared" si="91"/>
        <v>0.05</v>
      </c>
      <c r="AV79" s="836">
        <f t="shared" si="25"/>
        <v>0</v>
      </c>
      <c r="AW79" s="837">
        <f t="shared" si="25"/>
        <v>0.05</v>
      </c>
    </row>
    <row r="80" spans="1:49" ht="12.95" customHeight="1" x14ac:dyDescent="0.25">
      <c r="A80" s="950">
        <v>14</v>
      </c>
      <c r="B80" s="951">
        <v>5411</v>
      </c>
      <c r="C80" s="952">
        <v>650034244</v>
      </c>
      <c r="D80" s="951">
        <v>70985375</v>
      </c>
      <c r="E80" s="953" t="s">
        <v>401</v>
      </c>
      <c r="F80" s="850"/>
      <c r="G80" s="960"/>
      <c r="H80" s="851"/>
      <c r="I80" s="954">
        <f t="shared" ref="I80:AW80" si="92">SUM(I74:I79)</f>
        <v>6784288</v>
      </c>
      <c r="J80" s="955">
        <f t="shared" si="92"/>
        <v>4936978</v>
      </c>
      <c r="K80" s="955">
        <f t="shared" si="92"/>
        <v>1668698</v>
      </c>
      <c r="L80" s="955">
        <f t="shared" si="92"/>
        <v>98740</v>
      </c>
      <c r="M80" s="955">
        <f t="shared" si="92"/>
        <v>79872</v>
      </c>
      <c r="N80" s="956">
        <f t="shared" si="92"/>
        <v>10.942500000000001</v>
      </c>
      <c r="O80" s="956">
        <f t="shared" si="92"/>
        <v>6.2231999999999994</v>
      </c>
      <c r="P80" s="959">
        <f t="shared" si="92"/>
        <v>4.7192999999999996</v>
      </c>
      <c r="Q80" s="957">
        <f t="shared" si="92"/>
        <v>-48000</v>
      </c>
      <c r="R80" s="955">
        <f t="shared" si="92"/>
        <v>0</v>
      </c>
      <c r="S80" s="955">
        <f t="shared" si="92"/>
        <v>0</v>
      </c>
      <c r="T80" s="955">
        <f t="shared" si="92"/>
        <v>0</v>
      </c>
      <c r="U80" s="955">
        <f t="shared" si="92"/>
        <v>-48000</v>
      </c>
      <c r="V80" s="955">
        <f t="shared" si="92"/>
        <v>48000</v>
      </c>
      <c r="W80" s="955">
        <f t="shared" si="92"/>
        <v>0</v>
      </c>
      <c r="X80" s="955">
        <f t="shared" si="92"/>
        <v>0</v>
      </c>
      <c r="Y80" s="955">
        <f t="shared" si="92"/>
        <v>48000</v>
      </c>
      <c r="Z80" s="955">
        <f t="shared" si="92"/>
        <v>0</v>
      </c>
      <c r="AA80" s="955">
        <f t="shared" si="92"/>
        <v>0</v>
      </c>
      <c r="AB80" s="955">
        <f t="shared" si="92"/>
        <v>-960</v>
      </c>
      <c r="AC80" s="955">
        <f t="shared" si="92"/>
        <v>0</v>
      </c>
      <c r="AD80" s="955">
        <f t="shared" si="92"/>
        <v>0</v>
      </c>
      <c r="AE80" s="955">
        <f t="shared" si="92"/>
        <v>0</v>
      </c>
      <c r="AF80" s="955">
        <f t="shared" si="92"/>
        <v>-960</v>
      </c>
      <c r="AG80" s="956">
        <f t="shared" si="92"/>
        <v>-0.05</v>
      </c>
      <c r="AH80" s="956">
        <f t="shared" si="92"/>
        <v>0</v>
      </c>
      <c r="AI80" s="956">
        <f t="shared" si="92"/>
        <v>0</v>
      </c>
      <c r="AJ80" s="956">
        <f t="shared" si="92"/>
        <v>0</v>
      </c>
      <c r="AK80" s="956">
        <f t="shared" si="92"/>
        <v>0</v>
      </c>
      <c r="AL80" s="956">
        <f t="shared" si="92"/>
        <v>-0.05</v>
      </c>
      <c r="AM80" s="956">
        <f t="shared" si="92"/>
        <v>0</v>
      </c>
      <c r="AN80" s="958">
        <f t="shared" si="92"/>
        <v>-0.05</v>
      </c>
      <c r="AO80" s="954">
        <f t="shared" si="92"/>
        <v>6783328</v>
      </c>
      <c r="AP80" s="955">
        <f t="shared" si="92"/>
        <v>4888978</v>
      </c>
      <c r="AQ80" s="955">
        <f t="shared" si="92"/>
        <v>48000</v>
      </c>
      <c r="AR80" s="955">
        <f t="shared" si="92"/>
        <v>1668698</v>
      </c>
      <c r="AS80" s="955">
        <f t="shared" si="92"/>
        <v>97780</v>
      </c>
      <c r="AT80" s="955">
        <f t="shared" si="92"/>
        <v>79872</v>
      </c>
      <c r="AU80" s="956">
        <f t="shared" si="92"/>
        <v>10.892500000000002</v>
      </c>
      <c r="AV80" s="956">
        <f t="shared" si="92"/>
        <v>6.1731999999999996</v>
      </c>
      <c r="AW80" s="959">
        <f t="shared" si="92"/>
        <v>4.7192999999999996</v>
      </c>
    </row>
    <row r="81" spans="1:49" ht="12.95" customHeight="1" x14ac:dyDescent="0.25">
      <c r="A81" s="827">
        <v>15</v>
      </c>
      <c r="B81" s="946">
        <v>5412</v>
      </c>
      <c r="C81" s="947">
        <v>600099130</v>
      </c>
      <c r="D81" s="828">
        <v>70698066</v>
      </c>
      <c r="E81" s="948" t="s">
        <v>402</v>
      </c>
      <c r="F81" s="828">
        <v>3111</v>
      </c>
      <c r="G81" s="948" t="s">
        <v>331</v>
      </c>
      <c r="H81" s="831" t="s">
        <v>283</v>
      </c>
      <c r="I81" s="803">
        <f t="shared" ref="I81:I86" si="93">SUM(J81:M81)</f>
        <v>1777901</v>
      </c>
      <c r="J81" s="833">
        <v>1302246</v>
      </c>
      <c r="K81" s="805">
        <f>ROUND((J81)*33.8%,0)+1</f>
        <v>440160</v>
      </c>
      <c r="L81" s="805">
        <f>ROUND(J81*2%,0)</f>
        <v>26045</v>
      </c>
      <c r="M81" s="833">
        <v>9450</v>
      </c>
      <c r="N81" s="834">
        <f t="shared" ref="N81:N86" si="94">SUM(O81:P81)</f>
        <v>2.5108999999999999</v>
      </c>
      <c r="O81" s="1054">
        <v>2</v>
      </c>
      <c r="P81" s="1055">
        <v>0.51090000000000002</v>
      </c>
      <c r="Q81" s="940">
        <f t="shared" ref="Q81:Q86" si="95">V81*-1</f>
        <v>0</v>
      </c>
      <c r="R81" s="813">
        <v>0</v>
      </c>
      <c r="S81" s="813">
        <v>0</v>
      </c>
      <c r="T81" s="813">
        <v>0</v>
      </c>
      <c r="U81" s="813">
        <f t="shared" ref="U81:U86" si="96">SUM(Q81:T81)</f>
        <v>0</v>
      </c>
      <c r="V81" s="813">
        <v>0</v>
      </c>
      <c r="W81" s="941">
        <v>0</v>
      </c>
      <c r="X81" s="813">
        <v>0</v>
      </c>
      <c r="Y81" s="813">
        <f t="shared" ref="Y81:Y86" si="97">SUM(V81:X81)</f>
        <v>0</v>
      </c>
      <c r="Z81" s="813">
        <f t="shared" ref="Z81:Z86" si="98">U81+Y81</f>
        <v>0</v>
      </c>
      <c r="AA81" s="809">
        <f t="shared" ref="AA81:AA86" si="99">ROUND((U81+V81+W81)*33.8%,0)</f>
        <v>0</v>
      </c>
      <c r="AB81" s="809">
        <f t="shared" ref="AB81:AB86" si="100">ROUND(U81*2%,0)</f>
        <v>0</v>
      </c>
      <c r="AC81" s="813">
        <v>0</v>
      </c>
      <c r="AD81" s="813">
        <v>0</v>
      </c>
      <c r="AE81" s="813">
        <f t="shared" ref="AE81:AE86" si="101">SUM(AC81:AD81)</f>
        <v>0</v>
      </c>
      <c r="AF81" s="813">
        <f t="shared" ref="AF81:AF86" si="102">Z81+AA81+AB81+AE81</f>
        <v>0</v>
      </c>
      <c r="AG81" s="836">
        <v>0</v>
      </c>
      <c r="AH81" s="836">
        <v>0</v>
      </c>
      <c r="AI81" s="836">
        <v>0</v>
      </c>
      <c r="AJ81" s="836">
        <v>0</v>
      </c>
      <c r="AK81" s="836">
        <v>0</v>
      </c>
      <c r="AL81" s="836">
        <f t="shared" ref="AL81:AL86" si="103">AG81+AI81+AJ81</f>
        <v>0</v>
      </c>
      <c r="AM81" s="836">
        <f t="shared" ref="AM81:AM86" si="104">AH81+AK81</f>
        <v>0</v>
      </c>
      <c r="AN81" s="949">
        <f t="shared" ref="AN81:AN86" si="105">SUM(AL81:AM81)</f>
        <v>0</v>
      </c>
      <c r="AO81" s="945">
        <f t="shared" si="87"/>
        <v>1777901</v>
      </c>
      <c r="AP81" s="813">
        <f t="shared" si="88"/>
        <v>1302246</v>
      </c>
      <c r="AQ81" s="813">
        <f t="shared" si="89"/>
        <v>0</v>
      </c>
      <c r="AR81" s="813">
        <f t="shared" si="24"/>
        <v>440160</v>
      </c>
      <c r="AS81" s="813">
        <f t="shared" si="24"/>
        <v>26045</v>
      </c>
      <c r="AT81" s="813">
        <f t="shared" si="90"/>
        <v>9450</v>
      </c>
      <c r="AU81" s="836">
        <f t="shared" si="91"/>
        <v>2.5108999999999999</v>
      </c>
      <c r="AV81" s="836">
        <f t="shared" si="25"/>
        <v>2</v>
      </c>
      <c r="AW81" s="837">
        <f t="shared" si="25"/>
        <v>0.51090000000000002</v>
      </c>
    </row>
    <row r="82" spans="1:49" ht="12.95" customHeight="1" x14ac:dyDescent="0.25">
      <c r="A82" s="827">
        <v>15</v>
      </c>
      <c r="B82" s="946">
        <v>5412</v>
      </c>
      <c r="C82" s="947">
        <v>600099130</v>
      </c>
      <c r="D82" s="828">
        <v>70698066</v>
      </c>
      <c r="E82" s="948" t="s">
        <v>402</v>
      </c>
      <c r="F82" s="828">
        <v>3117</v>
      </c>
      <c r="G82" s="948" t="s">
        <v>320</v>
      </c>
      <c r="H82" s="831" t="s">
        <v>283</v>
      </c>
      <c r="I82" s="803">
        <f t="shared" si="93"/>
        <v>2395741</v>
      </c>
      <c r="J82" s="833">
        <v>1733948</v>
      </c>
      <c r="K82" s="805">
        <f>ROUND((J82)*33.8%,0)</f>
        <v>586074</v>
      </c>
      <c r="L82" s="805">
        <f>ROUND(J82*2%,0)</f>
        <v>34679</v>
      </c>
      <c r="M82" s="833">
        <v>41040</v>
      </c>
      <c r="N82" s="834">
        <f t="shared" si="94"/>
        <v>3.3451</v>
      </c>
      <c r="O82" s="1054">
        <v>2.2726999999999999</v>
      </c>
      <c r="P82" s="1055">
        <v>1.0724</v>
      </c>
      <c r="Q82" s="940">
        <f t="shared" si="95"/>
        <v>0</v>
      </c>
      <c r="R82" s="813">
        <v>0</v>
      </c>
      <c r="S82" s="813">
        <v>0</v>
      </c>
      <c r="T82" s="813">
        <v>0</v>
      </c>
      <c r="U82" s="813">
        <f t="shared" si="96"/>
        <v>0</v>
      </c>
      <c r="V82" s="813">
        <v>0</v>
      </c>
      <c r="W82" s="941">
        <v>0</v>
      </c>
      <c r="X82" s="813">
        <v>0</v>
      </c>
      <c r="Y82" s="813">
        <f t="shared" si="97"/>
        <v>0</v>
      </c>
      <c r="Z82" s="813">
        <f t="shared" si="98"/>
        <v>0</v>
      </c>
      <c r="AA82" s="809">
        <f t="shared" si="99"/>
        <v>0</v>
      </c>
      <c r="AB82" s="809">
        <f t="shared" si="100"/>
        <v>0</v>
      </c>
      <c r="AC82" s="813">
        <v>0</v>
      </c>
      <c r="AD82" s="813">
        <v>0</v>
      </c>
      <c r="AE82" s="813">
        <f t="shared" si="101"/>
        <v>0</v>
      </c>
      <c r="AF82" s="813">
        <f t="shared" si="102"/>
        <v>0</v>
      </c>
      <c r="AG82" s="836">
        <v>0</v>
      </c>
      <c r="AH82" s="836">
        <v>0</v>
      </c>
      <c r="AI82" s="836">
        <v>0</v>
      </c>
      <c r="AJ82" s="836">
        <v>0</v>
      </c>
      <c r="AK82" s="836">
        <v>0</v>
      </c>
      <c r="AL82" s="836">
        <f t="shared" si="103"/>
        <v>0</v>
      </c>
      <c r="AM82" s="836">
        <f t="shared" si="104"/>
        <v>0</v>
      </c>
      <c r="AN82" s="949">
        <f t="shared" si="105"/>
        <v>0</v>
      </c>
      <c r="AO82" s="945">
        <f t="shared" si="87"/>
        <v>2395741</v>
      </c>
      <c r="AP82" s="813">
        <f t="shared" si="88"/>
        <v>1733948</v>
      </c>
      <c r="AQ82" s="813">
        <f t="shared" si="89"/>
        <v>0</v>
      </c>
      <c r="AR82" s="813">
        <f t="shared" si="24"/>
        <v>586074</v>
      </c>
      <c r="AS82" s="813">
        <f t="shared" si="24"/>
        <v>34679</v>
      </c>
      <c r="AT82" s="813">
        <f t="shared" si="90"/>
        <v>41040</v>
      </c>
      <c r="AU82" s="836">
        <f t="shared" si="91"/>
        <v>3.3451</v>
      </c>
      <c r="AV82" s="836">
        <f t="shared" si="25"/>
        <v>2.2726999999999999</v>
      </c>
      <c r="AW82" s="837">
        <f t="shared" si="25"/>
        <v>1.0724</v>
      </c>
    </row>
    <row r="83" spans="1:49" ht="12.95" customHeight="1" x14ac:dyDescent="0.25">
      <c r="A83" s="827">
        <v>15</v>
      </c>
      <c r="B83" s="946">
        <v>5412</v>
      </c>
      <c r="C83" s="947">
        <v>600099130</v>
      </c>
      <c r="D83" s="828">
        <v>70698066</v>
      </c>
      <c r="E83" s="948" t="s">
        <v>402</v>
      </c>
      <c r="F83" s="828">
        <v>3117</v>
      </c>
      <c r="G83" s="948" t="s">
        <v>325</v>
      </c>
      <c r="H83" s="831" t="s">
        <v>284</v>
      </c>
      <c r="I83" s="803">
        <f t="shared" si="93"/>
        <v>0</v>
      </c>
      <c r="J83" s="833">
        <v>0</v>
      </c>
      <c r="K83" s="805">
        <v>0</v>
      </c>
      <c r="L83" s="805">
        <v>0</v>
      </c>
      <c r="M83" s="833">
        <v>0</v>
      </c>
      <c r="N83" s="834">
        <f t="shared" si="94"/>
        <v>0</v>
      </c>
      <c r="O83" s="1054">
        <v>0</v>
      </c>
      <c r="P83" s="1055">
        <v>0</v>
      </c>
      <c r="Q83" s="940">
        <f t="shared" si="95"/>
        <v>0</v>
      </c>
      <c r="R83" s="833">
        <v>259833</v>
      </c>
      <c r="S83" s="813">
        <v>0</v>
      </c>
      <c r="T83" s="813">
        <v>0</v>
      </c>
      <c r="U83" s="813">
        <f t="shared" si="96"/>
        <v>259833</v>
      </c>
      <c r="V83" s="813">
        <v>0</v>
      </c>
      <c r="W83" s="941">
        <v>0</v>
      </c>
      <c r="X83" s="813">
        <v>0</v>
      </c>
      <c r="Y83" s="813">
        <f t="shared" si="97"/>
        <v>0</v>
      </c>
      <c r="Z83" s="813">
        <f t="shared" si="98"/>
        <v>259833</v>
      </c>
      <c r="AA83" s="809">
        <f t="shared" si="99"/>
        <v>87824</v>
      </c>
      <c r="AB83" s="809">
        <f t="shared" si="100"/>
        <v>5197</v>
      </c>
      <c r="AC83" s="813">
        <v>0</v>
      </c>
      <c r="AD83" s="813">
        <v>0</v>
      </c>
      <c r="AE83" s="813">
        <f t="shared" si="101"/>
        <v>0</v>
      </c>
      <c r="AF83" s="813">
        <f t="shared" si="102"/>
        <v>352854</v>
      </c>
      <c r="AG83" s="836">
        <v>0</v>
      </c>
      <c r="AH83" s="836">
        <v>0</v>
      </c>
      <c r="AI83" s="836">
        <v>0.75</v>
      </c>
      <c r="AJ83" s="836">
        <v>0</v>
      </c>
      <c r="AK83" s="836">
        <v>0</v>
      </c>
      <c r="AL83" s="836">
        <f t="shared" si="103"/>
        <v>0.75</v>
      </c>
      <c r="AM83" s="836">
        <f t="shared" si="104"/>
        <v>0</v>
      </c>
      <c r="AN83" s="949">
        <f t="shared" si="105"/>
        <v>0.75</v>
      </c>
      <c r="AO83" s="945">
        <f t="shared" si="87"/>
        <v>352854</v>
      </c>
      <c r="AP83" s="813">
        <f t="shared" si="88"/>
        <v>259833</v>
      </c>
      <c r="AQ83" s="813">
        <f t="shared" si="89"/>
        <v>0</v>
      </c>
      <c r="AR83" s="813">
        <f t="shared" si="24"/>
        <v>87824</v>
      </c>
      <c r="AS83" s="813">
        <f t="shared" si="24"/>
        <v>5197</v>
      </c>
      <c r="AT83" s="813">
        <f t="shared" si="90"/>
        <v>0</v>
      </c>
      <c r="AU83" s="836">
        <f t="shared" si="91"/>
        <v>0.75</v>
      </c>
      <c r="AV83" s="836">
        <f t="shared" si="25"/>
        <v>0.75</v>
      </c>
      <c r="AW83" s="837">
        <f t="shared" si="25"/>
        <v>0</v>
      </c>
    </row>
    <row r="84" spans="1:49" ht="12.95" customHeight="1" x14ac:dyDescent="0.25">
      <c r="A84" s="827">
        <v>15</v>
      </c>
      <c r="B84" s="946">
        <v>5412</v>
      </c>
      <c r="C84" s="947">
        <v>600099130</v>
      </c>
      <c r="D84" s="828">
        <v>70698066</v>
      </c>
      <c r="E84" s="948" t="s">
        <v>402</v>
      </c>
      <c r="F84" s="828">
        <v>3141</v>
      </c>
      <c r="G84" s="948" t="s">
        <v>321</v>
      </c>
      <c r="H84" s="831" t="s">
        <v>284</v>
      </c>
      <c r="I84" s="803">
        <f t="shared" si="93"/>
        <v>595839</v>
      </c>
      <c r="J84" s="833">
        <v>436883</v>
      </c>
      <c r="K84" s="805">
        <f>ROUND((J84)*33.8%,0)</f>
        <v>147666</v>
      </c>
      <c r="L84" s="805">
        <f>ROUND(J84*2%,0)</f>
        <v>8738</v>
      </c>
      <c r="M84" s="833">
        <v>2552</v>
      </c>
      <c r="N84" s="834">
        <f t="shared" si="94"/>
        <v>1.49</v>
      </c>
      <c r="O84" s="1054">
        <v>0</v>
      </c>
      <c r="P84" s="1055">
        <v>1.49</v>
      </c>
      <c r="Q84" s="940">
        <f t="shared" si="95"/>
        <v>0</v>
      </c>
      <c r="R84" s="813">
        <v>0</v>
      </c>
      <c r="S84" s="813">
        <v>0</v>
      </c>
      <c r="T84" s="813">
        <v>0</v>
      </c>
      <c r="U84" s="813">
        <f t="shared" si="96"/>
        <v>0</v>
      </c>
      <c r="V84" s="813">
        <v>0</v>
      </c>
      <c r="W84" s="941">
        <v>0</v>
      </c>
      <c r="X84" s="813">
        <v>0</v>
      </c>
      <c r="Y84" s="813">
        <f t="shared" si="97"/>
        <v>0</v>
      </c>
      <c r="Z84" s="813">
        <f t="shared" si="98"/>
        <v>0</v>
      </c>
      <c r="AA84" s="809">
        <f t="shared" si="99"/>
        <v>0</v>
      </c>
      <c r="AB84" s="809">
        <f t="shared" si="100"/>
        <v>0</v>
      </c>
      <c r="AC84" s="813">
        <v>0</v>
      </c>
      <c r="AD84" s="813">
        <v>0</v>
      </c>
      <c r="AE84" s="813">
        <f t="shared" si="101"/>
        <v>0</v>
      </c>
      <c r="AF84" s="813">
        <f t="shared" si="102"/>
        <v>0</v>
      </c>
      <c r="AG84" s="836">
        <v>0</v>
      </c>
      <c r="AH84" s="836">
        <v>0</v>
      </c>
      <c r="AI84" s="836">
        <v>0</v>
      </c>
      <c r="AJ84" s="836">
        <v>0</v>
      </c>
      <c r="AK84" s="836">
        <v>0</v>
      </c>
      <c r="AL84" s="836">
        <f t="shared" si="103"/>
        <v>0</v>
      </c>
      <c r="AM84" s="836">
        <f t="shared" si="104"/>
        <v>0</v>
      </c>
      <c r="AN84" s="949">
        <f t="shared" si="105"/>
        <v>0</v>
      </c>
      <c r="AO84" s="945">
        <f t="shared" si="87"/>
        <v>595839</v>
      </c>
      <c r="AP84" s="813">
        <f t="shared" si="88"/>
        <v>436883</v>
      </c>
      <c r="AQ84" s="813">
        <f t="shared" si="89"/>
        <v>0</v>
      </c>
      <c r="AR84" s="813">
        <f t="shared" si="24"/>
        <v>147666</v>
      </c>
      <c r="AS84" s="813">
        <f t="shared" si="24"/>
        <v>8738</v>
      </c>
      <c r="AT84" s="813">
        <f t="shared" si="90"/>
        <v>2552</v>
      </c>
      <c r="AU84" s="836">
        <f t="shared" si="91"/>
        <v>1.49</v>
      </c>
      <c r="AV84" s="836">
        <f t="shared" si="25"/>
        <v>0</v>
      </c>
      <c r="AW84" s="837">
        <f t="shared" si="25"/>
        <v>1.49</v>
      </c>
    </row>
    <row r="85" spans="1:49" ht="12.95" customHeight="1" x14ac:dyDescent="0.25">
      <c r="A85" s="827">
        <v>15</v>
      </c>
      <c r="B85" s="946">
        <v>5412</v>
      </c>
      <c r="C85" s="947">
        <v>600099130</v>
      </c>
      <c r="D85" s="828">
        <v>70698066</v>
      </c>
      <c r="E85" s="948" t="s">
        <v>402</v>
      </c>
      <c r="F85" s="828">
        <v>3143</v>
      </c>
      <c r="G85" s="948" t="s">
        <v>635</v>
      </c>
      <c r="H85" s="831" t="s">
        <v>283</v>
      </c>
      <c r="I85" s="803">
        <f t="shared" si="93"/>
        <v>286455</v>
      </c>
      <c r="J85" s="833">
        <v>210939</v>
      </c>
      <c r="K85" s="805">
        <f>ROUND((J85)*33.8%,0)</f>
        <v>71297</v>
      </c>
      <c r="L85" s="805">
        <f>ROUND(J85*2%,0)</f>
        <v>4219</v>
      </c>
      <c r="M85" s="833">
        <v>0</v>
      </c>
      <c r="N85" s="834">
        <f t="shared" si="94"/>
        <v>0.5</v>
      </c>
      <c r="O85" s="1054">
        <v>0.5</v>
      </c>
      <c r="P85" s="1055">
        <v>0</v>
      </c>
      <c r="Q85" s="940">
        <f t="shared" si="95"/>
        <v>0</v>
      </c>
      <c r="R85" s="813">
        <v>0</v>
      </c>
      <c r="S85" s="813">
        <v>0</v>
      </c>
      <c r="T85" s="813">
        <v>0</v>
      </c>
      <c r="U85" s="813">
        <f t="shared" si="96"/>
        <v>0</v>
      </c>
      <c r="V85" s="813">
        <v>0</v>
      </c>
      <c r="W85" s="941">
        <v>0</v>
      </c>
      <c r="X85" s="813">
        <v>0</v>
      </c>
      <c r="Y85" s="813">
        <f t="shared" si="97"/>
        <v>0</v>
      </c>
      <c r="Z85" s="813">
        <f t="shared" si="98"/>
        <v>0</v>
      </c>
      <c r="AA85" s="809">
        <f t="shared" si="99"/>
        <v>0</v>
      </c>
      <c r="AB85" s="809">
        <f t="shared" si="100"/>
        <v>0</v>
      </c>
      <c r="AC85" s="813">
        <v>0</v>
      </c>
      <c r="AD85" s="813">
        <v>0</v>
      </c>
      <c r="AE85" s="813">
        <f t="shared" si="101"/>
        <v>0</v>
      </c>
      <c r="AF85" s="813">
        <f t="shared" si="102"/>
        <v>0</v>
      </c>
      <c r="AG85" s="836">
        <v>0</v>
      </c>
      <c r="AH85" s="836">
        <v>0</v>
      </c>
      <c r="AI85" s="836">
        <v>0</v>
      </c>
      <c r="AJ85" s="836">
        <v>0</v>
      </c>
      <c r="AK85" s="836">
        <v>0</v>
      </c>
      <c r="AL85" s="836">
        <f t="shared" si="103"/>
        <v>0</v>
      </c>
      <c r="AM85" s="836">
        <f t="shared" si="104"/>
        <v>0</v>
      </c>
      <c r="AN85" s="949">
        <f t="shared" si="105"/>
        <v>0</v>
      </c>
      <c r="AO85" s="945">
        <f t="shared" si="87"/>
        <v>286455</v>
      </c>
      <c r="AP85" s="813">
        <f t="shared" si="88"/>
        <v>210939</v>
      </c>
      <c r="AQ85" s="813">
        <f t="shared" si="89"/>
        <v>0</v>
      </c>
      <c r="AR85" s="813">
        <f t="shared" si="24"/>
        <v>71297</v>
      </c>
      <c r="AS85" s="813">
        <f t="shared" si="24"/>
        <v>4219</v>
      </c>
      <c r="AT85" s="813">
        <f t="shared" si="90"/>
        <v>0</v>
      </c>
      <c r="AU85" s="836">
        <f t="shared" si="91"/>
        <v>0.5</v>
      </c>
      <c r="AV85" s="836">
        <f t="shared" si="25"/>
        <v>0.5</v>
      </c>
      <c r="AW85" s="837">
        <f t="shared" si="25"/>
        <v>0</v>
      </c>
    </row>
    <row r="86" spans="1:49" ht="12.95" customHeight="1" x14ac:dyDescent="0.25">
      <c r="A86" s="827">
        <v>15</v>
      </c>
      <c r="B86" s="946">
        <v>5412</v>
      </c>
      <c r="C86" s="947">
        <v>600099130</v>
      </c>
      <c r="D86" s="828">
        <v>70698066</v>
      </c>
      <c r="E86" s="948" t="s">
        <v>402</v>
      </c>
      <c r="F86" s="828">
        <v>3143</v>
      </c>
      <c r="G86" s="948" t="s">
        <v>636</v>
      </c>
      <c r="H86" s="831" t="s">
        <v>284</v>
      </c>
      <c r="I86" s="803">
        <f t="shared" si="93"/>
        <v>7022</v>
      </c>
      <c r="J86" s="833">
        <v>4950</v>
      </c>
      <c r="K86" s="805">
        <f>ROUND((J86)*33.8%,0)</f>
        <v>1673</v>
      </c>
      <c r="L86" s="805">
        <f>ROUND(J86*2%,0)</f>
        <v>99</v>
      </c>
      <c r="M86" s="833">
        <v>300</v>
      </c>
      <c r="N86" s="834">
        <f t="shared" si="94"/>
        <v>0.02</v>
      </c>
      <c r="O86" s="1054">
        <v>0</v>
      </c>
      <c r="P86" s="1055">
        <v>0.02</v>
      </c>
      <c r="Q86" s="940">
        <f t="shared" si="95"/>
        <v>0</v>
      </c>
      <c r="R86" s="813">
        <v>0</v>
      </c>
      <c r="S86" s="813">
        <v>0</v>
      </c>
      <c r="T86" s="813">
        <v>0</v>
      </c>
      <c r="U86" s="813">
        <f t="shared" si="96"/>
        <v>0</v>
      </c>
      <c r="V86" s="813">
        <v>0</v>
      </c>
      <c r="W86" s="941">
        <v>0</v>
      </c>
      <c r="X86" s="813">
        <v>0</v>
      </c>
      <c r="Y86" s="813">
        <f t="shared" si="97"/>
        <v>0</v>
      </c>
      <c r="Z86" s="813">
        <f t="shared" si="98"/>
        <v>0</v>
      </c>
      <c r="AA86" s="809">
        <f t="shared" si="99"/>
        <v>0</v>
      </c>
      <c r="AB86" s="809">
        <f t="shared" si="100"/>
        <v>0</v>
      </c>
      <c r="AC86" s="813">
        <v>0</v>
      </c>
      <c r="AD86" s="813">
        <v>0</v>
      </c>
      <c r="AE86" s="813">
        <f t="shared" si="101"/>
        <v>0</v>
      </c>
      <c r="AF86" s="813">
        <f t="shared" si="102"/>
        <v>0</v>
      </c>
      <c r="AG86" s="836">
        <v>0</v>
      </c>
      <c r="AH86" s="836">
        <v>0</v>
      </c>
      <c r="AI86" s="836">
        <v>0</v>
      </c>
      <c r="AJ86" s="836">
        <v>0</v>
      </c>
      <c r="AK86" s="836">
        <v>0</v>
      </c>
      <c r="AL86" s="836">
        <f t="shared" si="103"/>
        <v>0</v>
      </c>
      <c r="AM86" s="836">
        <f t="shared" si="104"/>
        <v>0</v>
      </c>
      <c r="AN86" s="949">
        <f t="shared" si="105"/>
        <v>0</v>
      </c>
      <c r="AO86" s="945">
        <f t="shared" si="87"/>
        <v>7022</v>
      </c>
      <c r="AP86" s="813">
        <f t="shared" si="88"/>
        <v>4950</v>
      </c>
      <c r="AQ86" s="813">
        <f t="shared" si="89"/>
        <v>0</v>
      </c>
      <c r="AR86" s="813">
        <f t="shared" si="24"/>
        <v>1673</v>
      </c>
      <c r="AS86" s="813">
        <f t="shared" si="24"/>
        <v>99</v>
      </c>
      <c r="AT86" s="813">
        <f t="shared" si="90"/>
        <v>300</v>
      </c>
      <c r="AU86" s="836">
        <f t="shared" si="91"/>
        <v>0.02</v>
      </c>
      <c r="AV86" s="836">
        <f t="shared" si="25"/>
        <v>0</v>
      </c>
      <c r="AW86" s="837">
        <f t="shared" si="25"/>
        <v>0.02</v>
      </c>
    </row>
    <row r="87" spans="1:49" ht="12.95" customHeight="1" x14ac:dyDescent="0.25">
      <c r="A87" s="950">
        <v>15</v>
      </c>
      <c r="B87" s="951">
        <v>5412</v>
      </c>
      <c r="C87" s="952">
        <v>600099130</v>
      </c>
      <c r="D87" s="951">
        <v>70698066</v>
      </c>
      <c r="E87" s="953" t="s">
        <v>403</v>
      </c>
      <c r="F87" s="850"/>
      <c r="G87" s="960"/>
      <c r="H87" s="851"/>
      <c r="I87" s="954">
        <f t="shared" ref="I87:AW87" si="106">SUM(I81:I86)</f>
        <v>5062958</v>
      </c>
      <c r="J87" s="955">
        <f t="shared" si="106"/>
        <v>3688966</v>
      </c>
      <c r="K87" s="955">
        <f t="shared" si="106"/>
        <v>1246870</v>
      </c>
      <c r="L87" s="955">
        <f t="shared" si="106"/>
        <v>73780</v>
      </c>
      <c r="M87" s="955">
        <f t="shared" si="106"/>
        <v>53342</v>
      </c>
      <c r="N87" s="956">
        <f t="shared" si="106"/>
        <v>7.8659999999999997</v>
      </c>
      <c r="O87" s="956">
        <f t="shared" si="106"/>
        <v>4.7727000000000004</v>
      </c>
      <c r="P87" s="959">
        <f t="shared" si="106"/>
        <v>3.0932999999999997</v>
      </c>
      <c r="Q87" s="957">
        <f t="shared" si="106"/>
        <v>0</v>
      </c>
      <c r="R87" s="955">
        <f t="shared" si="106"/>
        <v>259833</v>
      </c>
      <c r="S87" s="955">
        <f t="shared" si="106"/>
        <v>0</v>
      </c>
      <c r="T87" s="955">
        <f t="shared" si="106"/>
        <v>0</v>
      </c>
      <c r="U87" s="955">
        <f t="shared" si="106"/>
        <v>259833</v>
      </c>
      <c r="V87" s="955">
        <f t="shared" si="106"/>
        <v>0</v>
      </c>
      <c r="W87" s="955">
        <f t="shared" si="106"/>
        <v>0</v>
      </c>
      <c r="X87" s="955">
        <f t="shared" si="106"/>
        <v>0</v>
      </c>
      <c r="Y87" s="955">
        <f t="shared" si="106"/>
        <v>0</v>
      </c>
      <c r="Z87" s="955">
        <f t="shared" si="106"/>
        <v>259833</v>
      </c>
      <c r="AA87" s="955">
        <f t="shared" si="106"/>
        <v>87824</v>
      </c>
      <c r="AB87" s="955">
        <f t="shared" si="106"/>
        <v>5197</v>
      </c>
      <c r="AC87" s="955">
        <f t="shared" si="106"/>
        <v>0</v>
      </c>
      <c r="AD87" s="955">
        <f t="shared" si="106"/>
        <v>0</v>
      </c>
      <c r="AE87" s="955">
        <f t="shared" si="106"/>
        <v>0</v>
      </c>
      <c r="AF87" s="955">
        <f t="shared" si="106"/>
        <v>352854</v>
      </c>
      <c r="AG87" s="956">
        <f t="shared" si="106"/>
        <v>0</v>
      </c>
      <c r="AH87" s="956">
        <f t="shared" si="106"/>
        <v>0</v>
      </c>
      <c r="AI87" s="956">
        <f t="shared" si="106"/>
        <v>0.75</v>
      </c>
      <c r="AJ87" s="956">
        <f t="shared" si="106"/>
        <v>0</v>
      </c>
      <c r="AK87" s="956">
        <f t="shared" si="106"/>
        <v>0</v>
      </c>
      <c r="AL87" s="956">
        <f t="shared" si="106"/>
        <v>0.75</v>
      </c>
      <c r="AM87" s="956">
        <f t="shared" si="106"/>
        <v>0</v>
      </c>
      <c r="AN87" s="958">
        <f t="shared" si="106"/>
        <v>0.75</v>
      </c>
      <c r="AO87" s="954">
        <f t="shared" si="106"/>
        <v>5415812</v>
      </c>
      <c r="AP87" s="955">
        <f t="shared" si="106"/>
        <v>3948799</v>
      </c>
      <c r="AQ87" s="955">
        <f t="shared" si="106"/>
        <v>0</v>
      </c>
      <c r="AR87" s="955">
        <f t="shared" si="106"/>
        <v>1334694</v>
      </c>
      <c r="AS87" s="955">
        <f t="shared" si="106"/>
        <v>78977</v>
      </c>
      <c r="AT87" s="955">
        <f t="shared" si="106"/>
        <v>53342</v>
      </c>
      <c r="AU87" s="956">
        <f t="shared" si="106"/>
        <v>8.6159999999999997</v>
      </c>
      <c r="AV87" s="956">
        <f t="shared" si="106"/>
        <v>5.5227000000000004</v>
      </c>
      <c r="AW87" s="959">
        <f t="shared" si="106"/>
        <v>3.0932999999999997</v>
      </c>
    </row>
    <row r="88" spans="1:49" ht="12.95" customHeight="1" x14ac:dyDescent="0.25">
      <c r="A88" s="827">
        <v>16</v>
      </c>
      <c r="B88" s="946">
        <v>5418</v>
      </c>
      <c r="C88" s="947">
        <v>600098508</v>
      </c>
      <c r="D88" s="828">
        <v>70156573</v>
      </c>
      <c r="E88" s="948" t="s">
        <v>404</v>
      </c>
      <c r="F88" s="828">
        <v>3111</v>
      </c>
      <c r="G88" s="948" t="s">
        <v>331</v>
      </c>
      <c r="H88" s="831" t="s">
        <v>283</v>
      </c>
      <c r="I88" s="803">
        <f>SUM(J88:M88)</f>
        <v>4107179</v>
      </c>
      <c r="J88" s="833">
        <v>3007201</v>
      </c>
      <c r="K88" s="805">
        <f>ROUND((J88)*33.8%,0)</f>
        <v>1016434</v>
      </c>
      <c r="L88" s="805">
        <f>ROUND(J88*2%,0)</f>
        <v>60144</v>
      </c>
      <c r="M88" s="833">
        <v>23400</v>
      </c>
      <c r="N88" s="834">
        <f>SUM(O88:P88)</f>
        <v>7.3873999999999995</v>
      </c>
      <c r="O88" s="1054">
        <v>5.4032</v>
      </c>
      <c r="P88" s="1055">
        <v>1.9842</v>
      </c>
      <c r="Q88" s="940">
        <f>V88*-1</f>
        <v>0</v>
      </c>
      <c r="R88" s="813">
        <v>0</v>
      </c>
      <c r="S88" s="813">
        <v>0</v>
      </c>
      <c r="T88" s="813">
        <v>0</v>
      </c>
      <c r="U88" s="813">
        <f>SUM(Q88:T88)</f>
        <v>0</v>
      </c>
      <c r="V88" s="813">
        <v>0</v>
      </c>
      <c r="W88" s="941">
        <v>0</v>
      </c>
      <c r="X88" s="813">
        <v>0</v>
      </c>
      <c r="Y88" s="813">
        <f>SUM(V88:X88)</f>
        <v>0</v>
      </c>
      <c r="Z88" s="813">
        <f>U88+Y88</f>
        <v>0</v>
      </c>
      <c r="AA88" s="809">
        <f>ROUND((U88+V88+W88)*33.8%,0)</f>
        <v>0</v>
      </c>
      <c r="AB88" s="809">
        <f>ROUND(U88*2%,0)</f>
        <v>0</v>
      </c>
      <c r="AC88" s="813">
        <v>0</v>
      </c>
      <c r="AD88" s="813">
        <v>0</v>
      </c>
      <c r="AE88" s="813">
        <f>SUM(AC88:AD88)</f>
        <v>0</v>
      </c>
      <c r="AF88" s="813">
        <f>Z88+AA88+AB88+AE88</f>
        <v>0</v>
      </c>
      <c r="AG88" s="836">
        <v>0</v>
      </c>
      <c r="AH88" s="836">
        <v>0</v>
      </c>
      <c r="AI88" s="836">
        <v>0</v>
      </c>
      <c r="AJ88" s="836">
        <v>0</v>
      </c>
      <c r="AK88" s="836">
        <v>0</v>
      </c>
      <c r="AL88" s="836">
        <f>AG88+AI88+AJ88</f>
        <v>0</v>
      </c>
      <c r="AM88" s="836">
        <f>AH88+AK88</f>
        <v>0</v>
      </c>
      <c r="AN88" s="949">
        <f>SUM(AL88:AM88)</f>
        <v>0</v>
      </c>
      <c r="AO88" s="945">
        <f t="shared" si="87"/>
        <v>4107179</v>
      </c>
      <c r="AP88" s="813">
        <f t="shared" si="88"/>
        <v>3007201</v>
      </c>
      <c r="AQ88" s="813">
        <f t="shared" si="89"/>
        <v>0</v>
      </c>
      <c r="AR88" s="813">
        <f t="shared" si="24"/>
        <v>1016434</v>
      </c>
      <c r="AS88" s="813">
        <f t="shared" si="24"/>
        <v>60144</v>
      </c>
      <c r="AT88" s="813">
        <f t="shared" si="90"/>
        <v>23400</v>
      </c>
      <c r="AU88" s="836">
        <f t="shared" si="91"/>
        <v>7.3873999999999995</v>
      </c>
      <c r="AV88" s="836">
        <f t="shared" si="25"/>
        <v>5.4032</v>
      </c>
      <c r="AW88" s="837">
        <f t="shared" si="25"/>
        <v>1.9842</v>
      </c>
    </row>
    <row r="89" spans="1:49" ht="12.95" customHeight="1" x14ac:dyDescent="0.25">
      <c r="A89" s="827">
        <v>16</v>
      </c>
      <c r="B89" s="946">
        <v>5418</v>
      </c>
      <c r="C89" s="947">
        <v>600098508</v>
      </c>
      <c r="D89" s="828">
        <v>70156573</v>
      </c>
      <c r="E89" s="948" t="s">
        <v>404</v>
      </c>
      <c r="F89" s="828">
        <v>3141</v>
      </c>
      <c r="G89" s="948" t="s">
        <v>321</v>
      </c>
      <c r="H89" s="831" t="s">
        <v>284</v>
      </c>
      <c r="I89" s="803">
        <f>SUM(J89:M89)</f>
        <v>654261</v>
      </c>
      <c r="J89" s="833">
        <v>479562</v>
      </c>
      <c r="K89" s="805">
        <f>ROUND((J89)*33.8%,0)</f>
        <v>162092</v>
      </c>
      <c r="L89" s="805">
        <f>ROUND(J89*2%,0)</f>
        <v>9591</v>
      </c>
      <c r="M89" s="833">
        <v>3016</v>
      </c>
      <c r="N89" s="834">
        <f>SUM(O89:P89)</f>
        <v>1.63</v>
      </c>
      <c r="O89" s="1054">
        <v>0</v>
      </c>
      <c r="P89" s="1055">
        <v>1.63</v>
      </c>
      <c r="Q89" s="940">
        <f>V89*-1</f>
        <v>0</v>
      </c>
      <c r="R89" s="813">
        <v>0</v>
      </c>
      <c r="S89" s="813">
        <v>0</v>
      </c>
      <c r="T89" s="813">
        <v>0</v>
      </c>
      <c r="U89" s="813">
        <f>SUM(Q89:T89)</f>
        <v>0</v>
      </c>
      <c r="V89" s="813">
        <v>0</v>
      </c>
      <c r="W89" s="941">
        <v>0</v>
      </c>
      <c r="X89" s="813">
        <v>0</v>
      </c>
      <c r="Y89" s="813">
        <f>SUM(V89:X89)</f>
        <v>0</v>
      </c>
      <c r="Z89" s="813">
        <f>U89+Y89</f>
        <v>0</v>
      </c>
      <c r="AA89" s="809">
        <f>ROUND((U89+V89+W89)*33.8%,0)</f>
        <v>0</v>
      </c>
      <c r="AB89" s="809">
        <f>ROUND(U89*2%,0)</f>
        <v>0</v>
      </c>
      <c r="AC89" s="813">
        <v>0</v>
      </c>
      <c r="AD89" s="813">
        <v>0</v>
      </c>
      <c r="AE89" s="813">
        <f>SUM(AC89:AD89)</f>
        <v>0</v>
      </c>
      <c r="AF89" s="813">
        <f>Z89+AA89+AB89+AE89</f>
        <v>0</v>
      </c>
      <c r="AG89" s="836">
        <v>0</v>
      </c>
      <c r="AH89" s="836">
        <v>0</v>
      </c>
      <c r="AI89" s="836">
        <v>0</v>
      </c>
      <c r="AJ89" s="836">
        <v>0</v>
      </c>
      <c r="AK89" s="836">
        <v>0</v>
      </c>
      <c r="AL89" s="836">
        <f>AG89+AI89+AJ89</f>
        <v>0</v>
      </c>
      <c r="AM89" s="836">
        <f>AH89+AK89</f>
        <v>0</v>
      </c>
      <c r="AN89" s="949">
        <f>SUM(AL89:AM89)</f>
        <v>0</v>
      </c>
      <c r="AO89" s="945">
        <f t="shared" si="87"/>
        <v>654261</v>
      </c>
      <c r="AP89" s="813">
        <f t="shared" si="88"/>
        <v>479562</v>
      </c>
      <c r="AQ89" s="813">
        <f t="shared" si="89"/>
        <v>0</v>
      </c>
      <c r="AR89" s="813">
        <f t="shared" si="24"/>
        <v>162092</v>
      </c>
      <c r="AS89" s="813">
        <f t="shared" si="24"/>
        <v>9591</v>
      </c>
      <c r="AT89" s="813">
        <f t="shared" si="90"/>
        <v>3016</v>
      </c>
      <c r="AU89" s="836">
        <f t="shared" si="91"/>
        <v>1.63</v>
      </c>
      <c r="AV89" s="836">
        <f t="shared" si="25"/>
        <v>0</v>
      </c>
      <c r="AW89" s="837">
        <f t="shared" si="25"/>
        <v>1.63</v>
      </c>
    </row>
    <row r="90" spans="1:49" ht="12.95" customHeight="1" x14ac:dyDescent="0.25">
      <c r="A90" s="950">
        <v>16</v>
      </c>
      <c r="B90" s="951">
        <v>5418</v>
      </c>
      <c r="C90" s="952">
        <v>600098508</v>
      </c>
      <c r="D90" s="951">
        <v>70156573</v>
      </c>
      <c r="E90" s="953" t="s">
        <v>405</v>
      </c>
      <c r="F90" s="850"/>
      <c r="G90" s="960"/>
      <c r="H90" s="851"/>
      <c r="I90" s="954">
        <f t="shared" ref="I90:AW90" si="107">SUM(I88:I89)</f>
        <v>4761440</v>
      </c>
      <c r="J90" s="955">
        <f t="shared" si="107"/>
        <v>3486763</v>
      </c>
      <c r="K90" s="955">
        <f t="shared" si="107"/>
        <v>1178526</v>
      </c>
      <c r="L90" s="955">
        <f t="shared" si="107"/>
        <v>69735</v>
      </c>
      <c r="M90" s="955">
        <f t="shared" si="107"/>
        <v>26416</v>
      </c>
      <c r="N90" s="956">
        <f t="shared" si="107"/>
        <v>9.0173999999999985</v>
      </c>
      <c r="O90" s="956">
        <f t="shared" si="107"/>
        <v>5.4032</v>
      </c>
      <c r="P90" s="959">
        <f t="shared" si="107"/>
        <v>3.6141999999999999</v>
      </c>
      <c r="Q90" s="957">
        <f t="shared" si="107"/>
        <v>0</v>
      </c>
      <c r="R90" s="955">
        <f t="shared" si="107"/>
        <v>0</v>
      </c>
      <c r="S90" s="955">
        <f t="shared" si="107"/>
        <v>0</v>
      </c>
      <c r="T90" s="955">
        <f t="shared" si="107"/>
        <v>0</v>
      </c>
      <c r="U90" s="955">
        <f t="shared" si="107"/>
        <v>0</v>
      </c>
      <c r="V90" s="955">
        <f t="shared" si="107"/>
        <v>0</v>
      </c>
      <c r="W90" s="955">
        <f t="shared" si="107"/>
        <v>0</v>
      </c>
      <c r="X90" s="955">
        <f t="shared" si="107"/>
        <v>0</v>
      </c>
      <c r="Y90" s="955">
        <f t="shared" si="107"/>
        <v>0</v>
      </c>
      <c r="Z90" s="955">
        <f t="shared" si="107"/>
        <v>0</v>
      </c>
      <c r="AA90" s="955">
        <f t="shared" si="107"/>
        <v>0</v>
      </c>
      <c r="AB90" s="955">
        <f t="shared" si="107"/>
        <v>0</v>
      </c>
      <c r="AC90" s="955">
        <f t="shared" si="107"/>
        <v>0</v>
      </c>
      <c r="AD90" s="955">
        <f t="shared" si="107"/>
        <v>0</v>
      </c>
      <c r="AE90" s="955">
        <f t="shared" si="107"/>
        <v>0</v>
      </c>
      <c r="AF90" s="955">
        <f t="shared" si="107"/>
        <v>0</v>
      </c>
      <c r="AG90" s="956">
        <f t="shared" si="107"/>
        <v>0</v>
      </c>
      <c r="AH90" s="956">
        <f t="shared" si="107"/>
        <v>0</v>
      </c>
      <c r="AI90" s="956">
        <f t="shared" si="107"/>
        <v>0</v>
      </c>
      <c r="AJ90" s="956">
        <f t="shared" si="107"/>
        <v>0</v>
      </c>
      <c r="AK90" s="956">
        <f t="shared" si="107"/>
        <v>0</v>
      </c>
      <c r="AL90" s="956">
        <f t="shared" si="107"/>
        <v>0</v>
      </c>
      <c r="AM90" s="956">
        <f t="shared" si="107"/>
        <v>0</v>
      </c>
      <c r="AN90" s="958">
        <f t="shared" si="107"/>
        <v>0</v>
      </c>
      <c r="AO90" s="954">
        <f t="shared" si="107"/>
        <v>4761440</v>
      </c>
      <c r="AP90" s="955">
        <f t="shared" si="107"/>
        <v>3486763</v>
      </c>
      <c r="AQ90" s="955">
        <f t="shared" si="107"/>
        <v>0</v>
      </c>
      <c r="AR90" s="955">
        <f t="shared" si="107"/>
        <v>1178526</v>
      </c>
      <c r="AS90" s="955">
        <f t="shared" si="107"/>
        <v>69735</v>
      </c>
      <c r="AT90" s="955">
        <f t="shared" si="107"/>
        <v>26416</v>
      </c>
      <c r="AU90" s="956">
        <f t="shared" si="107"/>
        <v>9.0173999999999985</v>
      </c>
      <c r="AV90" s="956">
        <f t="shared" si="107"/>
        <v>5.4032</v>
      </c>
      <c r="AW90" s="959">
        <f t="shared" si="107"/>
        <v>3.6141999999999999</v>
      </c>
    </row>
    <row r="91" spans="1:49" ht="12.95" customHeight="1" x14ac:dyDescent="0.25">
      <c r="A91" s="827">
        <v>17</v>
      </c>
      <c r="B91" s="946">
        <v>5417</v>
      </c>
      <c r="C91" s="947">
        <v>600099113</v>
      </c>
      <c r="D91" s="828">
        <v>70156565</v>
      </c>
      <c r="E91" s="948" t="s">
        <v>406</v>
      </c>
      <c r="F91" s="828">
        <v>3117</v>
      </c>
      <c r="G91" s="948" t="s">
        <v>320</v>
      </c>
      <c r="H91" s="831" t="s">
        <v>283</v>
      </c>
      <c r="I91" s="803">
        <f>SUM(J91:M91)</f>
        <v>5496740</v>
      </c>
      <c r="J91" s="833">
        <v>3967084</v>
      </c>
      <c r="K91" s="805">
        <f>ROUND((J91)*33.8%,0)</f>
        <v>1340874</v>
      </c>
      <c r="L91" s="805">
        <f>ROUND(J91*2%,0)</f>
        <v>79342</v>
      </c>
      <c r="M91" s="833">
        <v>109440</v>
      </c>
      <c r="N91" s="834">
        <f>SUM(O91:P91)</f>
        <v>7.7713000000000001</v>
      </c>
      <c r="O91" s="1054">
        <v>5.7454999999999998</v>
      </c>
      <c r="P91" s="1055">
        <v>2.0257999999999998</v>
      </c>
      <c r="Q91" s="940">
        <f>V91*-1</f>
        <v>-16000</v>
      </c>
      <c r="R91" s="813">
        <v>0</v>
      </c>
      <c r="S91" s="813">
        <v>0</v>
      </c>
      <c r="T91" s="813">
        <v>0</v>
      </c>
      <c r="U91" s="813">
        <f>SUM(Q91:T91)</f>
        <v>-16000</v>
      </c>
      <c r="V91" s="813">
        <v>16000</v>
      </c>
      <c r="W91" s="941">
        <v>0</v>
      </c>
      <c r="X91" s="813">
        <v>0</v>
      </c>
      <c r="Y91" s="813">
        <f>SUM(V91:X91)</f>
        <v>16000</v>
      </c>
      <c r="Z91" s="813">
        <f>U91+Y91</f>
        <v>0</v>
      </c>
      <c r="AA91" s="809">
        <f>ROUND((U91+V91+W91)*33.8%,0)</f>
        <v>0</v>
      </c>
      <c r="AB91" s="809">
        <f>ROUND(U91*2%,0)</f>
        <v>-320</v>
      </c>
      <c r="AC91" s="813">
        <v>0</v>
      </c>
      <c r="AD91" s="813">
        <v>0</v>
      </c>
      <c r="AE91" s="813">
        <f>SUM(AC91:AD91)</f>
        <v>0</v>
      </c>
      <c r="AF91" s="813">
        <f>Z91+AA91+AB91+AE91</f>
        <v>-320</v>
      </c>
      <c r="AG91" s="836">
        <v>0</v>
      </c>
      <c r="AH91" s="836">
        <v>0</v>
      </c>
      <c r="AI91" s="836">
        <v>0</v>
      </c>
      <c r="AJ91" s="836">
        <v>0</v>
      </c>
      <c r="AK91" s="836">
        <v>0</v>
      </c>
      <c r="AL91" s="836">
        <f>AG91+AI91+AJ91</f>
        <v>0</v>
      </c>
      <c r="AM91" s="836">
        <f>AH91+AK91</f>
        <v>0</v>
      </c>
      <c r="AN91" s="949">
        <f>SUM(AL91:AM91)</f>
        <v>0</v>
      </c>
      <c r="AO91" s="945">
        <f t="shared" si="87"/>
        <v>5496420</v>
      </c>
      <c r="AP91" s="813">
        <f t="shared" si="88"/>
        <v>3951084</v>
      </c>
      <c r="AQ91" s="813">
        <f t="shared" si="89"/>
        <v>16000</v>
      </c>
      <c r="AR91" s="813">
        <f t="shared" si="24"/>
        <v>1340874</v>
      </c>
      <c r="AS91" s="813">
        <f t="shared" si="24"/>
        <v>79022</v>
      </c>
      <c r="AT91" s="813">
        <f t="shared" si="90"/>
        <v>109440</v>
      </c>
      <c r="AU91" s="836">
        <f t="shared" si="91"/>
        <v>7.7713000000000001</v>
      </c>
      <c r="AV91" s="836">
        <f t="shared" si="25"/>
        <v>5.7454999999999998</v>
      </c>
      <c r="AW91" s="837">
        <f t="shared" si="25"/>
        <v>2.0257999999999998</v>
      </c>
    </row>
    <row r="92" spans="1:49" ht="12.95" customHeight="1" x14ac:dyDescent="0.25">
      <c r="A92" s="827">
        <v>17</v>
      </c>
      <c r="B92" s="946">
        <v>5417</v>
      </c>
      <c r="C92" s="947">
        <v>600099113</v>
      </c>
      <c r="D92" s="828">
        <v>70156565</v>
      </c>
      <c r="E92" s="948" t="s">
        <v>406</v>
      </c>
      <c r="F92" s="828">
        <v>3117</v>
      </c>
      <c r="G92" s="948" t="s">
        <v>325</v>
      </c>
      <c r="H92" s="831" t="s">
        <v>284</v>
      </c>
      <c r="I92" s="803">
        <f>SUM(J92:M92)</f>
        <v>0</v>
      </c>
      <c r="J92" s="833">
        <v>0</v>
      </c>
      <c r="K92" s="805">
        <v>0</v>
      </c>
      <c r="L92" s="805">
        <v>0</v>
      </c>
      <c r="M92" s="833">
        <v>0</v>
      </c>
      <c r="N92" s="834">
        <f>SUM(O92:P92)</f>
        <v>0</v>
      </c>
      <c r="O92" s="1054">
        <v>0</v>
      </c>
      <c r="P92" s="1055">
        <v>0</v>
      </c>
      <c r="Q92" s="940">
        <f>V92*-1</f>
        <v>-56000</v>
      </c>
      <c r="R92" s="833">
        <v>221342</v>
      </c>
      <c r="S92" s="813">
        <v>0</v>
      </c>
      <c r="T92" s="813">
        <v>0</v>
      </c>
      <c r="U92" s="813">
        <f>SUM(Q92:T92)</f>
        <v>165342</v>
      </c>
      <c r="V92" s="813">
        <v>56000</v>
      </c>
      <c r="W92" s="941">
        <v>0</v>
      </c>
      <c r="X92" s="813">
        <v>0</v>
      </c>
      <c r="Y92" s="813">
        <f>SUM(V92:X92)</f>
        <v>56000</v>
      </c>
      <c r="Z92" s="813">
        <f>U92+Y92</f>
        <v>221342</v>
      </c>
      <c r="AA92" s="809">
        <f>ROUND((U92+V92+W92)*33.8%,0)</f>
        <v>74814</v>
      </c>
      <c r="AB92" s="809">
        <f>ROUND(U92*2%,0)</f>
        <v>3307</v>
      </c>
      <c r="AC92" s="813">
        <v>0</v>
      </c>
      <c r="AD92" s="813">
        <v>0</v>
      </c>
      <c r="AE92" s="813">
        <f>SUM(AC92:AD92)</f>
        <v>0</v>
      </c>
      <c r="AF92" s="813">
        <f>Z92+AA92+AB92+AE92</f>
        <v>299463</v>
      </c>
      <c r="AG92" s="836">
        <v>0</v>
      </c>
      <c r="AH92" s="836">
        <v>-0.16</v>
      </c>
      <c r="AI92" s="836">
        <v>0.64</v>
      </c>
      <c r="AJ92" s="836">
        <v>0</v>
      </c>
      <c r="AK92" s="836">
        <v>0</v>
      </c>
      <c r="AL92" s="836">
        <f>AG92+AI92+AJ92</f>
        <v>0.64</v>
      </c>
      <c r="AM92" s="836">
        <f>AH92+AK92</f>
        <v>-0.16</v>
      </c>
      <c r="AN92" s="949">
        <f>SUM(AL92:AM92)</f>
        <v>0.48</v>
      </c>
      <c r="AO92" s="945">
        <f t="shared" si="87"/>
        <v>299463</v>
      </c>
      <c r="AP92" s="813">
        <f t="shared" si="88"/>
        <v>165342</v>
      </c>
      <c r="AQ92" s="813">
        <f t="shared" si="89"/>
        <v>56000</v>
      </c>
      <c r="AR92" s="813">
        <f t="shared" ref="AR92:AS155" si="108">K92+AA92</f>
        <v>74814</v>
      </c>
      <c r="AS92" s="813">
        <f t="shared" si="108"/>
        <v>3307</v>
      </c>
      <c r="AT92" s="813">
        <f t="shared" si="90"/>
        <v>0</v>
      </c>
      <c r="AU92" s="836">
        <f t="shared" si="91"/>
        <v>0.48</v>
      </c>
      <c r="AV92" s="836">
        <f t="shared" ref="AV92:AW155" si="109">O92+AL92</f>
        <v>0.64</v>
      </c>
      <c r="AW92" s="837">
        <f t="shared" si="109"/>
        <v>-0.16</v>
      </c>
    </row>
    <row r="93" spans="1:49" ht="12.95" customHeight="1" x14ac:dyDescent="0.25">
      <c r="A93" s="827">
        <v>17</v>
      </c>
      <c r="B93" s="946">
        <v>5417</v>
      </c>
      <c r="C93" s="947">
        <v>600099113</v>
      </c>
      <c r="D93" s="828">
        <v>70156565</v>
      </c>
      <c r="E93" s="948" t="s">
        <v>406</v>
      </c>
      <c r="F93" s="828">
        <v>3141</v>
      </c>
      <c r="G93" s="948" t="s">
        <v>321</v>
      </c>
      <c r="H93" s="831" t="s">
        <v>284</v>
      </c>
      <c r="I93" s="803">
        <f>SUM(J93:M93)</f>
        <v>584302</v>
      </c>
      <c r="J93" s="833">
        <v>427533</v>
      </c>
      <c r="K93" s="805">
        <f>ROUND((J93)*33.8%,0)</f>
        <v>144506</v>
      </c>
      <c r="L93" s="805">
        <f>ROUND(J93*2%,0)</f>
        <v>8551</v>
      </c>
      <c r="M93" s="833">
        <v>3712</v>
      </c>
      <c r="N93" s="834">
        <f>SUM(O93:P93)</f>
        <v>1.45</v>
      </c>
      <c r="O93" s="1054">
        <v>0</v>
      </c>
      <c r="P93" s="1055">
        <v>1.45</v>
      </c>
      <c r="Q93" s="940">
        <f>V93*-1</f>
        <v>0</v>
      </c>
      <c r="R93" s="813">
        <v>0</v>
      </c>
      <c r="S93" s="813">
        <v>0</v>
      </c>
      <c r="T93" s="813">
        <v>0</v>
      </c>
      <c r="U93" s="813">
        <f>SUM(Q93:T93)</f>
        <v>0</v>
      </c>
      <c r="V93" s="813">
        <v>0</v>
      </c>
      <c r="W93" s="941">
        <v>0</v>
      </c>
      <c r="X93" s="813">
        <v>0</v>
      </c>
      <c r="Y93" s="813">
        <f>SUM(V93:X93)</f>
        <v>0</v>
      </c>
      <c r="Z93" s="813">
        <f>U93+Y93</f>
        <v>0</v>
      </c>
      <c r="AA93" s="809">
        <f>ROUND((U93+V93+W93)*33.8%,0)</f>
        <v>0</v>
      </c>
      <c r="AB93" s="809">
        <f>ROUND(U93*2%,0)</f>
        <v>0</v>
      </c>
      <c r="AC93" s="813">
        <v>0</v>
      </c>
      <c r="AD93" s="813">
        <v>0</v>
      </c>
      <c r="AE93" s="813">
        <f>SUM(AC93:AD93)</f>
        <v>0</v>
      </c>
      <c r="AF93" s="813">
        <f>Z93+AA93+AB93+AE93</f>
        <v>0</v>
      </c>
      <c r="AG93" s="836">
        <v>0</v>
      </c>
      <c r="AH93" s="836">
        <v>0</v>
      </c>
      <c r="AI93" s="836">
        <v>0</v>
      </c>
      <c r="AJ93" s="836">
        <v>0</v>
      </c>
      <c r="AK93" s="836">
        <v>0</v>
      </c>
      <c r="AL93" s="836">
        <f>AG93+AI93+AJ93</f>
        <v>0</v>
      </c>
      <c r="AM93" s="836">
        <f>AH93+AK93</f>
        <v>0</v>
      </c>
      <c r="AN93" s="949">
        <f>SUM(AL93:AM93)</f>
        <v>0</v>
      </c>
      <c r="AO93" s="945">
        <f t="shared" si="87"/>
        <v>584302</v>
      </c>
      <c r="AP93" s="813">
        <f t="shared" si="88"/>
        <v>427533</v>
      </c>
      <c r="AQ93" s="813">
        <f t="shared" si="89"/>
        <v>0</v>
      </c>
      <c r="AR93" s="813">
        <f t="shared" si="108"/>
        <v>144506</v>
      </c>
      <c r="AS93" s="813">
        <f t="shared" si="108"/>
        <v>8551</v>
      </c>
      <c r="AT93" s="813">
        <f t="shared" si="90"/>
        <v>3712</v>
      </c>
      <c r="AU93" s="836">
        <f t="shared" si="91"/>
        <v>1.45</v>
      </c>
      <c r="AV93" s="836">
        <f t="shared" si="109"/>
        <v>0</v>
      </c>
      <c r="AW93" s="837">
        <f t="shared" si="109"/>
        <v>1.45</v>
      </c>
    </row>
    <row r="94" spans="1:49" ht="12.95" customHeight="1" x14ac:dyDescent="0.25">
      <c r="A94" s="827">
        <v>17</v>
      </c>
      <c r="B94" s="946">
        <v>5417</v>
      </c>
      <c r="C94" s="947">
        <v>600099113</v>
      </c>
      <c r="D94" s="828">
        <v>70156565</v>
      </c>
      <c r="E94" s="948" t="s">
        <v>406</v>
      </c>
      <c r="F94" s="828">
        <v>3143</v>
      </c>
      <c r="G94" s="948" t="s">
        <v>635</v>
      </c>
      <c r="H94" s="831" t="s">
        <v>283</v>
      </c>
      <c r="I94" s="803">
        <f>SUM(J94:M94)</f>
        <v>756584</v>
      </c>
      <c r="J94" s="833">
        <v>557131</v>
      </c>
      <c r="K94" s="805">
        <f>ROUND((J94)*33.8%,0)</f>
        <v>188310</v>
      </c>
      <c r="L94" s="805">
        <f>ROUND(J94*2%,0)</f>
        <v>11143</v>
      </c>
      <c r="M94" s="833">
        <v>0</v>
      </c>
      <c r="N94" s="834">
        <f>SUM(O94:P94)</f>
        <v>1.1606000000000001</v>
      </c>
      <c r="O94" s="1054">
        <v>1.1606000000000001</v>
      </c>
      <c r="P94" s="1055">
        <v>0</v>
      </c>
      <c r="Q94" s="940">
        <f>V94*-1</f>
        <v>0</v>
      </c>
      <c r="R94" s="813">
        <v>0</v>
      </c>
      <c r="S94" s="813">
        <v>0</v>
      </c>
      <c r="T94" s="813">
        <v>0</v>
      </c>
      <c r="U94" s="813">
        <f>SUM(Q94:T94)</f>
        <v>0</v>
      </c>
      <c r="V94" s="813">
        <v>0</v>
      </c>
      <c r="W94" s="941">
        <v>0</v>
      </c>
      <c r="X94" s="813">
        <v>0</v>
      </c>
      <c r="Y94" s="813">
        <f>SUM(V94:X94)</f>
        <v>0</v>
      </c>
      <c r="Z94" s="813">
        <f>U94+Y94</f>
        <v>0</v>
      </c>
      <c r="AA94" s="809">
        <f>ROUND((U94+V94+W94)*33.8%,0)</f>
        <v>0</v>
      </c>
      <c r="AB94" s="809">
        <f>ROUND(U94*2%,0)</f>
        <v>0</v>
      </c>
      <c r="AC94" s="813">
        <v>0</v>
      </c>
      <c r="AD94" s="813">
        <v>0</v>
      </c>
      <c r="AE94" s="813">
        <f>SUM(AC94:AD94)</f>
        <v>0</v>
      </c>
      <c r="AF94" s="813">
        <f>Z94+AA94+AB94+AE94</f>
        <v>0</v>
      </c>
      <c r="AG94" s="836">
        <v>0</v>
      </c>
      <c r="AH94" s="836">
        <v>0</v>
      </c>
      <c r="AI94" s="836">
        <v>0</v>
      </c>
      <c r="AJ94" s="836">
        <v>0</v>
      </c>
      <c r="AK94" s="836">
        <v>0</v>
      </c>
      <c r="AL94" s="836">
        <f>AG94+AI94+AJ94</f>
        <v>0</v>
      </c>
      <c r="AM94" s="836">
        <f>AH94+AK94</f>
        <v>0</v>
      </c>
      <c r="AN94" s="949">
        <f>SUM(AL94:AM94)</f>
        <v>0</v>
      </c>
      <c r="AO94" s="945">
        <f t="shared" si="87"/>
        <v>756584</v>
      </c>
      <c r="AP94" s="813">
        <f t="shared" si="88"/>
        <v>557131</v>
      </c>
      <c r="AQ94" s="813">
        <f t="shared" si="89"/>
        <v>0</v>
      </c>
      <c r="AR94" s="813">
        <f t="shared" si="108"/>
        <v>188310</v>
      </c>
      <c r="AS94" s="813">
        <f t="shared" si="108"/>
        <v>11143</v>
      </c>
      <c r="AT94" s="813">
        <f t="shared" si="90"/>
        <v>0</v>
      </c>
      <c r="AU94" s="836">
        <f t="shared" si="91"/>
        <v>1.1606000000000001</v>
      </c>
      <c r="AV94" s="836">
        <f t="shared" si="109"/>
        <v>1.1606000000000001</v>
      </c>
      <c r="AW94" s="837">
        <f t="shared" si="109"/>
        <v>0</v>
      </c>
    </row>
    <row r="95" spans="1:49" ht="12.95" customHeight="1" x14ac:dyDescent="0.25">
      <c r="A95" s="827">
        <v>17</v>
      </c>
      <c r="B95" s="946">
        <v>5417</v>
      </c>
      <c r="C95" s="947">
        <v>600099113</v>
      </c>
      <c r="D95" s="828">
        <v>70156565</v>
      </c>
      <c r="E95" s="948" t="s">
        <v>406</v>
      </c>
      <c r="F95" s="828">
        <v>3143</v>
      </c>
      <c r="G95" s="948" t="s">
        <v>636</v>
      </c>
      <c r="H95" s="831" t="s">
        <v>284</v>
      </c>
      <c r="I95" s="803">
        <f>SUM(J95:M95)</f>
        <v>21066</v>
      </c>
      <c r="J95" s="833">
        <v>14850</v>
      </c>
      <c r="K95" s="805">
        <f>ROUND((J95)*33.8%,0)</f>
        <v>5019</v>
      </c>
      <c r="L95" s="805">
        <f>ROUND(J95*2%,0)</f>
        <v>297</v>
      </c>
      <c r="M95" s="833">
        <v>900</v>
      </c>
      <c r="N95" s="834">
        <f>SUM(O95:P95)</f>
        <v>0.06</v>
      </c>
      <c r="O95" s="1054">
        <v>0</v>
      </c>
      <c r="P95" s="1055">
        <v>0.06</v>
      </c>
      <c r="Q95" s="940">
        <f>V95*-1</f>
        <v>0</v>
      </c>
      <c r="R95" s="813">
        <v>0</v>
      </c>
      <c r="S95" s="813">
        <v>0</v>
      </c>
      <c r="T95" s="813">
        <v>0</v>
      </c>
      <c r="U95" s="813">
        <f>SUM(Q95:T95)</f>
        <v>0</v>
      </c>
      <c r="V95" s="813">
        <v>0</v>
      </c>
      <c r="W95" s="941">
        <v>0</v>
      </c>
      <c r="X95" s="813">
        <v>0</v>
      </c>
      <c r="Y95" s="813">
        <f>SUM(V95:X95)</f>
        <v>0</v>
      </c>
      <c r="Z95" s="813">
        <f>U95+Y95</f>
        <v>0</v>
      </c>
      <c r="AA95" s="809">
        <f>ROUND((U95+V95+W95)*33.8%,0)</f>
        <v>0</v>
      </c>
      <c r="AB95" s="809">
        <f>ROUND(U95*2%,0)</f>
        <v>0</v>
      </c>
      <c r="AC95" s="813">
        <v>0</v>
      </c>
      <c r="AD95" s="813">
        <v>0</v>
      </c>
      <c r="AE95" s="813">
        <f>SUM(AC95:AD95)</f>
        <v>0</v>
      </c>
      <c r="AF95" s="813">
        <f>Z95+AA95+AB95+AE95</f>
        <v>0</v>
      </c>
      <c r="AG95" s="836">
        <v>0</v>
      </c>
      <c r="AH95" s="836">
        <v>0</v>
      </c>
      <c r="AI95" s="836">
        <v>0</v>
      </c>
      <c r="AJ95" s="836">
        <v>0</v>
      </c>
      <c r="AK95" s="836">
        <v>0</v>
      </c>
      <c r="AL95" s="836">
        <f>AG95+AI95+AJ95</f>
        <v>0</v>
      </c>
      <c r="AM95" s="836">
        <f>AH95+AK95</f>
        <v>0</v>
      </c>
      <c r="AN95" s="949">
        <f>SUM(AL95:AM95)</f>
        <v>0</v>
      </c>
      <c r="AO95" s="945">
        <f t="shared" si="87"/>
        <v>21066</v>
      </c>
      <c r="AP95" s="813">
        <f t="shared" si="88"/>
        <v>14850</v>
      </c>
      <c r="AQ95" s="813">
        <f t="shared" si="89"/>
        <v>0</v>
      </c>
      <c r="AR95" s="813">
        <f t="shared" si="108"/>
        <v>5019</v>
      </c>
      <c r="AS95" s="813">
        <f t="shared" si="108"/>
        <v>297</v>
      </c>
      <c r="AT95" s="813">
        <f t="shared" si="90"/>
        <v>900</v>
      </c>
      <c r="AU95" s="836">
        <f t="shared" si="91"/>
        <v>0.06</v>
      </c>
      <c r="AV95" s="836">
        <f t="shared" si="109"/>
        <v>0</v>
      </c>
      <c r="AW95" s="837">
        <f t="shared" si="109"/>
        <v>0.06</v>
      </c>
    </row>
    <row r="96" spans="1:49" ht="12.95" customHeight="1" x14ac:dyDescent="0.25">
      <c r="A96" s="950">
        <v>17</v>
      </c>
      <c r="B96" s="951">
        <v>5417</v>
      </c>
      <c r="C96" s="952">
        <v>600099113</v>
      </c>
      <c r="D96" s="951">
        <v>70156565</v>
      </c>
      <c r="E96" s="953" t="s">
        <v>407</v>
      </c>
      <c r="F96" s="850"/>
      <c r="G96" s="960"/>
      <c r="H96" s="851"/>
      <c r="I96" s="964">
        <f t="shared" ref="I96:AW96" si="110">SUM(I91:I95)</f>
        <v>6858692</v>
      </c>
      <c r="J96" s="965">
        <f t="shared" si="110"/>
        <v>4966598</v>
      </c>
      <c r="K96" s="965">
        <f t="shared" si="110"/>
        <v>1678709</v>
      </c>
      <c r="L96" s="965">
        <f t="shared" si="110"/>
        <v>99333</v>
      </c>
      <c r="M96" s="965">
        <f t="shared" si="110"/>
        <v>114052</v>
      </c>
      <c r="N96" s="966">
        <f t="shared" si="110"/>
        <v>10.4419</v>
      </c>
      <c r="O96" s="966">
        <f t="shared" si="110"/>
        <v>6.9061000000000003</v>
      </c>
      <c r="P96" s="969">
        <f t="shared" si="110"/>
        <v>3.5357999999999996</v>
      </c>
      <c r="Q96" s="967">
        <f t="shared" si="110"/>
        <v>-72000</v>
      </c>
      <c r="R96" s="965">
        <f t="shared" si="110"/>
        <v>221342</v>
      </c>
      <c r="S96" s="965">
        <f t="shared" si="110"/>
        <v>0</v>
      </c>
      <c r="T96" s="965">
        <f t="shared" si="110"/>
        <v>0</v>
      </c>
      <c r="U96" s="965">
        <f t="shared" si="110"/>
        <v>149342</v>
      </c>
      <c r="V96" s="965">
        <f t="shared" si="110"/>
        <v>72000</v>
      </c>
      <c r="W96" s="965">
        <f t="shared" si="110"/>
        <v>0</v>
      </c>
      <c r="X96" s="965">
        <f t="shared" si="110"/>
        <v>0</v>
      </c>
      <c r="Y96" s="965">
        <f t="shared" si="110"/>
        <v>72000</v>
      </c>
      <c r="Z96" s="965">
        <f t="shared" si="110"/>
        <v>221342</v>
      </c>
      <c r="AA96" s="965">
        <f t="shared" si="110"/>
        <v>74814</v>
      </c>
      <c r="AB96" s="965">
        <f t="shared" si="110"/>
        <v>2987</v>
      </c>
      <c r="AC96" s="965">
        <f t="shared" si="110"/>
        <v>0</v>
      </c>
      <c r="AD96" s="965">
        <f t="shared" si="110"/>
        <v>0</v>
      </c>
      <c r="AE96" s="965">
        <f t="shared" si="110"/>
        <v>0</v>
      </c>
      <c r="AF96" s="965">
        <f t="shared" si="110"/>
        <v>299143</v>
      </c>
      <c r="AG96" s="966">
        <f t="shared" si="110"/>
        <v>0</v>
      </c>
      <c r="AH96" s="966">
        <f t="shared" si="110"/>
        <v>-0.16</v>
      </c>
      <c r="AI96" s="966">
        <f t="shared" si="110"/>
        <v>0.64</v>
      </c>
      <c r="AJ96" s="966">
        <f t="shared" si="110"/>
        <v>0</v>
      </c>
      <c r="AK96" s="966">
        <f t="shared" si="110"/>
        <v>0</v>
      </c>
      <c r="AL96" s="966">
        <f t="shared" si="110"/>
        <v>0.64</v>
      </c>
      <c r="AM96" s="966">
        <f t="shared" si="110"/>
        <v>-0.16</v>
      </c>
      <c r="AN96" s="968">
        <f t="shared" si="110"/>
        <v>0.48</v>
      </c>
      <c r="AO96" s="964">
        <f t="shared" si="110"/>
        <v>7157835</v>
      </c>
      <c r="AP96" s="965">
        <f t="shared" si="110"/>
        <v>5115940</v>
      </c>
      <c r="AQ96" s="965">
        <f t="shared" si="110"/>
        <v>72000</v>
      </c>
      <c r="AR96" s="965">
        <f t="shared" si="110"/>
        <v>1753523</v>
      </c>
      <c r="AS96" s="965">
        <f t="shared" si="110"/>
        <v>102320</v>
      </c>
      <c r="AT96" s="965">
        <f t="shared" si="110"/>
        <v>114052</v>
      </c>
      <c r="AU96" s="966">
        <f t="shared" si="110"/>
        <v>10.921900000000001</v>
      </c>
      <c r="AV96" s="966">
        <f t="shared" si="110"/>
        <v>7.5460999999999991</v>
      </c>
      <c r="AW96" s="969">
        <f t="shared" si="110"/>
        <v>3.3757999999999999</v>
      </c>
    </row>
    <row r="97" spans="1:49" ht="12.95" customHeight="1" x14ac:dyDescent="0.25">
      <c r="A97" s="827">
        <v>18</v>
      </c>
      <c r="B97" s="946">
        <v>5420</v>
      </c>
      <c r="C97" s="947">
        <v>600098745</v>
      </c>
      <c r="D97" s="828">
        <v>75016249</v>
      </c>
      <c r="E97" s="948" t="s">
        <v>408</v>
      </c>
      <c r="F97" s="828">
        <v>3111</v>
      </c>
      <c r="G97" s="948" t="s">
        <v>331</v>
      </c>
      <c r="H97" s="831" t="s">
        <v>283</v>
      </c>
      <c r="I97" s="803">
        <f>SUM(J97:M97)</f>
        <v>3383991</v>
      </c>
      <c r="J97" s="833">
        <v>2476650</v>
      </c>
      <c r="K97" s="805">
        <f>ROUND((J97)*33.8%,0)</f>
        <v>837108</v>
      </c>
      <c r="L97" s="805">
        <f>ROUND(J97*2%,0)</f>
        <v>49533</v>
      </c>
      <c r="M97" s="833">
        <v>20700</v>
      </c>
      <c r="N97" s="834">
        <f>SUM(O97:P97)</f>
        <v>5.5542999999999996</v>
      </c>
      <c r="O97" s="1054">
        <v>4.0644999999999998</v>
      </c>
      <c r="P97" s="1055">
        <v>1.4898</v>
      </c>
      <c r="Q97" s="940">
        <f>V97*-1</f>
        <v>0</v>
      </c>
      <c r="R97" s="813">
        <v>0</v>
      </c>
      <c r="S97" s="813">
        <v>0</v>
      </c>
      <c r="T97" s="813">
        <v>0</v>
      </c>
      <c r="U97" s="813">
        <f>SUM(Q97:T97)</f>
        <v>0</v>
      </c>
      <c r="V97" s="813">
        <v>0</v>
      </c>
      <c r="W97" s="941">
        <v>0</v>
      </c>
      <c r="X97" s="813">
        <v>0</v>
      </c>
      <c r="Y97" s="813">
        <f>SUM(V97:X97)</f>
        <v>0</v>
      </c>
      <c r="Z97" s="813">
        <f>U97+Y97</f>
        <v>0</v>
      </c>
      <c r="AA97" s="809">
        <f>ROUND((U97+V97+W97)*33.8%,0)</f>
        <v>0</v>
      </c>
      <c r="AB97" s="809">
        <f>ROUND(U97*2%,0)</f>
        <v>0</v>
      </c>
      <c r="AC97" s="813">
        <v>0</v>
      </c>
      <c r="AD97" s="813">
        <v>0</v>
      </c>
      <c r="AE97" s="813">
        <f>SUM(AC97:AD97)</f>
        <v>0</v>
      </c>
      <c r="AF97" s="813">
        <f>Z97+AA97+AB97+AE97</f>
        <v>0</v>
      </c>
      <c r="AG97" s="836">
        <v>0</v>
      </c>
      <c r="AH97" s="836">
        <v>0</v>
      </c>
      <c r="AI97" s="836">
        <v>0</v>
      </c>
      <c r="AJ97" s="836">
        <v>0</v>
      </c>
      <c r="AK97" s="836">
        <v>0</v>
      </c>
      <c r="AL97" s="836">
        <f>AG97+AI97+AJ97</f>
        <v>0</v>
      </c>
      <c r="AM97" s="836">
        <f>AH97+AK97</f>
        <v>0</v>
      </c>
      <c r="AN97" s="949">
        <f>SUM(AL97:AM97)</f>
        <v>0</v>
      </c>
      <c r="AO97" s="945">
        <f t="shared" si="87"/>
        <v>3383991</v>
      </c>
      <c r="AP97" s="813">
        <f t="shared" si="88"/>
        <v>2476650</v>
      </c>
      <c r="AQ97" s="813">
        <f t="shared" si="89"/>
        <v>0</v>
      </c>
      <c r="AR97" s="813">
        <f t="shared" si="108"/>
        <v>837108</v>
      </c>
      <c r="AS97" s="813">
        <f t="shared" si="108"/>
        <v>49533</v>
      </c>
      <c r="AT97" s="813">
        <f t="shared" si="90"/>
        <v>20700</v>
      </c>
      <c r="AU97" s="836">
        <f t="shared" si="91"/>
        <v>5.5542999999999996</v>
      </c>
      <c r="AV97" s="836">
        <f t="shared" si="109"/>
        <v>4.0644999999999998</v>
      </c>
      <c r="AW97" s="837">
        <f t="shared" si="109"/>
        <v>1.4898</v>
      </c>
    </row>
    <row r="98" spans="1:49" ht="12.95" customHeight="1" x14ac:dyDescent="0.25">
      <c r="A98" s="827">
        <v>18</v>
      </c>
      <c r="B98" s="946">
        <v>5420</v>
      </c>
      <c r="C98" s="947">
        <v>600098745</v>
      </c>
      <c r="D98" s="828">
        <v>75016249</v>
      </c>
      <c r="E98" s="948" t="s">
        <v>408</v>
      </c>
      <c r="F98" s="828">
        <v>3111</v>
      </c>
      <c r="G98" s="948" t="s">
        <v>325</v>
      </c>
      <c r="H98" s="831" t="s">
        <v>284</v>
      </c>
      <c r="I98" s="803">
        <f>SUM(J98:M98)</f>
        <v>0</v>
      </c>
      <c r="J98" s="833">
        <v>0</v>
      </c>
      <c r="K98" s="805">
        <v>0</v>
      </c>
      <c r="L98" s="805">
        <v>0</v>
      </c>
      <c r="M98" s="833">
        <v>0</v>
      </c>
      <c r="N98" s="834">
        <f>SUM(O98:P98)</f>
        <v>0</v>
      </c>
      <c r="O98" s="1054">
        <v>0</v>
      </c>
      <c r="P98" s="1055">
        <v>0</v>
      </c>
      <c r="Q98" s="940">
        <f>V98*-1</f>
        <v>0</v>
      </c>
      <c r="R98" s="833">
        <v>221342</v>
      </c>
      <c r="S98" s="813">
        <v>0</v>
      </c>
      <c r="T98" s="813">
        <v>0</v>
      </c>
      <c r="U98" s="813">
        <f>SUM(Q98:T98)</f>
        <v>221342</v>
      </c>
      <c r="V98" s="813">
        <v>0</v>
      </c>
      <c r="W98" s="941">
        <v>0</v>
      </c>
      <c r="X98" s="813">
        <v>0</v>
      </c>
      <c r="Y98" s="813">
        <f>SUM(V98:X98)</f>
        <v>0</v>
      </c>
      <c r="Z98" s="813">
        <f>U98+Y98</f>
        <v>221342</v>
      </c>
      <c r="AA98" s="809">
        <f>ROUND((U98+V98+W98)*33.8%,0)</f>
        <v>74814</v>
      </c>
      <c r="AB98" s="809">
        <f>ROUND(U98*2%,0)</f>
        <v>4427</v>
      </c>
      <c r="AC98" s="813">
        <v>0</v>
      </c>
      <c r="AD98" s="813">
        <v>0</v>
      </c>
      <c r="AE98" s="813">
        <f>SUM(AC98:AD98)</f>
        <v>0</v>
      </c>
      <c r="AF98" s="813">
        <f>Z98+AA98+AB98+AE98</f>
        <v>300583</v>
      </c>
      <c r="AG98" s="836">
        <v>0</v>
      </c>
      <c r="AH98" s="836">
        <v>0</v>
      </c>
      <c r="AI98" s="836">
        <v>0.64</v>
      </c>
      <c r="AJ98" s="836">
        <v>0</v>
      </c>
      <c r="AK98" s="836">
        <v>0</v>
      </c>
      <c r="AL98" s="836">
        <f>AG98+AI98+AJ98</f>
        <v>0.64</v>
      </c>
      <c r="AM98" s="836">
        <f>AH98+AK98</f>
        <v>0</v>
      </c>
      <c r="AN98" s="949">
        <f>SUM(AL98:AM98)</f>
        <v>0.64</v>
      </c>
      <c r="AO98" s="945">
        <f t="shared" si="87"/>
        <v>300583</v>
      </c>
      <c r="AP98" s="813">
        <f t="shared" si="88"/>
        <v>221342</v>
      </c>
      <c r="AQ98" s="813">
        <f t="shared" si="89"/>
        <v>0</v>
      </c>
      <c r="AR98" s="813">
        <f t="shared" si="108"/>
        <v>74814</v>
      </c>
      <c r="AS98" s="813">
        <f t="shared" si="108"/>
        <v>4427</v>
      </c>
      <c r="AT98" s="813">
        <f t="shared" si="90"/>
        <v>0</v>
      </c>
      <c r="AU98" s="836">
        <f t="shared" si="91"/>
        <v>0.64</v>
      </c>
      <c r="AV98" s="836">
        <f t="shared" si="109"/>
        <v>0.64</v>
      </c>
      <c r="AW98" s="837">
        <f t="shared" si="109"/>
        <v>0</v>
      </c>
    </row>
    <row r="99" spans="1:49" ht="12.95" customHeight="1" x14ac:dyDescent="0.25">
      <c r="A99" s="827">
        <v>18</v>
      </c>
      <c r="B99" s="946">
        <v>5420</v>
      </c>
      <c r="C99" s="947">
        <v>600098745</v>
      </c>
      <c r="D99" s="828">
        <v>75016249</v>
      </c>
      <c r="E99" s="948" t="s">
        <v>408</v>
      </c>
      <c r="F99" s="828">
        <v>3141</v>
      </c>
      <c r="G99" s="948" t="s">
        <v>321</v>
      </c>
      <c r="H99" s="831" t="s">
        <v>284</v>
      </c>
      <c r="I99" s="803">
        <f>SUM(J99:M99)</f>
        <v>601545</v>
      </c>
      <c r="J99" s="833">
        <v>440999</v>
      </c>
      <c r="K99" s="805">
        <f>ROUND((J99)*33.8%,0)</f>
        <v>149058</v>
      </c>
      <c r="L99" s="805">
        <f>ROUND(J99*2%,0)</f>
        <v>8820</v>
      </c>
      <c r="M99" s="833">
        <v>2668</v>
      </c>
      <c r="N99" s="834">
        <f>SUM(O99:P99)</f>
        <v>1.5</v>
      </c>
      <c r="O99" s="1054">
        <v>0</v>
      </c>
      <c r="P99" s="1055">
        <v>1.5</v>
      </c>
      <c r="Q99" s="940">
        <f>V99*-1</f>
        <v>0</v>
      </c>
      <c r="R99" s="813">
        <v>0</v>
      </c>
      <c r="S99" s="813">
        <v>0</v>
      </c>
      <c r="T99" s="813">
        <v>0</v>
      </c>
      <c r="U99" s="813">
        <f>SUM(Q99:T99)</f>
        <v>0</v>
      </c>
      <c r="V99" s="813">
        <v>0</v>
      </c>
      <c r="W99" s="941">
        <v>0</v>
      </c>
      <c r="X99" s="813">
        <v>0</v>
      </c>
      <c r="Y99" s="813">
        <f>SUM(V99:X99)</f>
        <v>0</v>
      </c>
      <c r="Z99" s="813">
        <f>U99+Y99</f>
        <v>0</v>
      </c>
      <c r="AA99" s="809">
        <f>ROUND((U99+V99+W99)*33.8%,0)</f>
        <v>0</v>
      </c>
      <c r="AB99" s="809">
        <f>ROUND(U99*2%,0)</f>
        <v>0</v>
      </c>
      <c r="AC99" s="813">
        <v>0</v>
      </c>
      <c r="AD99" s="813">
        <v>0</v>
      </c>
      <c r="AE99" s="813">
        <f>SUM(AC99:AD99)</f>
        <v>0</v>
      </c>
      <c r="AF99" s="813">
        <f>Z99+AA99+AB99+AE99</f>
        <v>0</v>
      </c>
      <c r="AG99" s="836">
        <v>0</v>
      </c>
      <c r="AH99" s="836">
        <v>0</v>
      </c>
      <c r="AI99" s="836">
        <v>0</v>
      </c>
      <c r="AJ99" s="836">
        <v>0</v>
      </c>
      <c r="AK99" s="836">
        <v>0</v>
      </c>
      <c r="AL99" s="836">
        <f>AG99+AI99+AJ99</f>
        <v>0</v>
      </c>
      <c r="AM99" s="836">
        <f>AH99+AK99</f>
        <v>0</v>
      </c>
      <c r="AN99" s="949">
        <f>SUM(AL99:AM99)</f>
        <v>0</v>
      </c>
      <c r="AO99" s="945">
        <f t="shared" si="87"/>
        <v>601545</v>
      </c>
      <c r="AP99" s="813">
        <f t="shared" si="88"/>
        <v>440999</v>
      </c>
      <c r="AQ99" s="813">
        <f t="shared" si="89"/>
        <v>0</v>
      </c>
      <c r="AR99" s="813">
        <f t="shared" si="108"/>
        <v>149058</v>
      </c>
      <c r="AS99" s="813">
        <f t="shared" si="108"/>
        <v>8820</v>
      </c>
      <c r="AT99" s="813">
        <f t="shared" si="90"/>
        <v>2668</v>
      </c>
      <c r="AU99" s="836">
        <f t="shared" si="91"/>
        <v>1.5</v>
      </c>
      <c r="AV99" s="836">
        <f t="shared" si="109"/>
        <v>0</v>
      </c>
      <c r="AW99" s="837">
        <f t="shared" si="109"/>
        <v>1.5</v>
      </c>
    </row>
    <row r="100" spans="1:49" ht="12.95" customHeight="1" x14ac:dyDescent="0.25">
      <c r="A100" s="950">
        <v>18</v>
      </c>
      <c r="B100" s="951">
        <v>5420</v>
      </c>
      <c r="C100" s="952">
        <v>600098745</v>
      </c>
      <c r="D100" s="951">
        <v>75016249</v>
      </c>
      <c r="E100" s="953" t="s">
        <v>409</v>
      </c>
      <c r="F100" s="850"/>
      <c r="G100" s="960"/>
      <c r="H100" s="851"/>
      <c r="I100" s="954">
        <f t="shared" ref="I100:AW100" si="111">SUM(I97:I99)</f>
        <v>3985536</v>
      </c>
      <c r="J100" s="955">
        <f t="shared" si="111"/>
        <v>2917649</v>
      </c>
      <c r="K100" s="955">
        <f t="shared" si="111"/>
        <v>986166</v>
      </c>
      <c r="L100" s="955">
        <f t="shared" si="111"/>
        <v>58353</v>
      </c>
      <c r="M100" s="955">
        <f t="shared" si="111"/>
        <v>23368</v>
      </c>
      <c r="N100" s="956">
        <f t="shared" si="111"/>
        <v>7.0542999999999996</v>
      </c>
      <c r="O100" s="956">
        <f t="shared" si="111"/>
        <v>4.0644999999999998</v>
      </c>
      <c r="P100" s="959">
        <f t="shared" si="111"/>
        <v>2.9897999999999998</v>
      </c>
      <c r="Q100" s="957">
        <f t="shared" si="111"/>
        <v>0</v>
      </c>
      <c r="R100" s="955">
        <f t="shared" si="111"/>
        <v>221342</v>
      </c>
      <c r="S100" s="955">
        <f t="shared" si="111"/>
        <v>0</v>
      </c>
      <c r="T100" s="955">
        <f t="shared" si="111"/>
        <v>0</v>
      </c>
      <c r="U100" s="955">
        <f t="shared" si="111"/>
        <v>221342</v>
      </c>
      <c r="V100" s="955">
        <f t="shared" si="111"/>
        <v>0</v>
      </c>
      <c r="W100" s="955">
        <f t="shared" si="111"/>
        <v>0</v>
      </c>
      <c r="X100" s="955">
        <f t="shared" si="111"/>
        <v>0</v>
      </c>
      <c r="Y100" s="955">
        <f t="shared" si="111"/>
        <v>0</v>
      </c>
      <c r="Z100" s="955">
        <f t="shared" si="111"/>
        <v>221342</v>
      </c>
      <c r="AA100" s="955">
        <f t="shared" si="111"/>
        <v>74814</v>
      </c>
      <c r="AB100" s="955">
        <f t="shared" si="111"/>
        <v>4427</v>
      </c>
      <c r="AC100" s="955">
        <f t="shared" si="111"/>
        <v>0</v>
      </c>
      <c r="AD100" s="955">
        <f t="shared" si="111"/>
        <v>0</v>
      </c>
      <c r="AE100" s="955">
        <f t="shared" si="111"/>
        <v>0</v>
      </c>
      <c r="AF100" s="955">
        <f t="shared" si="111"/>
        <v>300583</v>
      </c>
      <c r="AG100" s="956">
        <f t="shared" si="111"/>
        <v>0</v>
      </c>
      <c r="AH100" s="956">
        <f t="shared" si="111"/>
        <v>0</v>
      </c>
      <c r="AI100" s="956">
        <f t="shared" si="111"/>
        <v>0.64</v>
      </c>
      <c r="AJ100" s="956">
        <f t="shared" si="111"/>
        <v>0</v>
      </c>
      <c r="AK100" s="956">
        <f t="shared" si="111"/>
        <v>0</v>
      </c>
      <c r="AL100" s="956">
        <f t="shared" si="111"/>
        <v>0.64</v>
      </c>
      <c r="AM100" s="956">
        <f t="shared" si="111"/>
        <v>0</v>
      </c>
      <c r="AN100" s="958">
        <f t="shared" si="111"/>
        <v>0.64</v>
      </c>
      <c r="AO100" s="954">
        <f t="shared" si="111"/>
        <v>4286119</v>
      </c>
      <c r="AP100" s="955">
        <f t="shared" si="111"/>
        <v>3138991</v>
      </c>
      <c r="AQ100" s="955">
        <f t="shared" si="111"/>
        <v>0</v>
      </c>
      <c r="AR100" s="955">
        <f t="shared" si="111"/>
        <v>1060980</v>
      </c>
      <c r="AS100" s="955">
        <f t="shared" si="111"/>
        <v>62780</v>
      </c>
      <c r="AT100" s="955">
        <f t="shared" si="111"/>
        <v>23368</v>
      </c>
      <c r="AU100" s="956">
        <f t="shared" si="111"/>
        <v>7.6942999999999993</v>
      </c>
      <c r="AV100" s="956">
        <f t="shared" si="111"/>
        <v>4.7044999999999995</v>
      </c>
      <c r="AW100" s="959">
        <f t="shared" si="111"/>
        <v>2.9897999999999998</v>
      </c>
    </row>
    <row r="101" spans="1:49" ht="12.95" customHeight="1" x14ac:dyDescent="0.25">
      <c r="A101" s="827">
        <v>19</v>
      </c>
      <c r="B101" s="946">
        <v>5419</v>
      </c>
      <c r="C101" s="947">
        <v>600099261</v>
      </c>
      <c r="D101" s="828">
        <v>70946752</v>
      </c>
      <c r="E101" s="948" t="s">
        <v>410</v>
      </c>
      <c r="F101" s="828">
        <v>3113</v>
      </c>
      <c r="G101" s="948" t="s">
        <v>335</v>
      </c>
      <c r="H101" s="831" t="s">
        <v>283</v>
      </c>
      <c r="I101" s="803">
        <f>SUM(J101:M101)</f>
        <v>14350326</v>
      </c>
      <c r="J101" s="833">
        <v>10380645</v>
      </c>
      <c r="K101" s="805">
        <f>ROUND((J101)*33.8%,0)</f>
        <v>3508658</v>
      </c>
      <c r="L101" s="805">
        <f>ROUND(J101*2%,0)</f>
        <v>207613</v>
      </c>
      <c r="M101" s="833">
        <v>253410</v>
      </c>
      <c r="N101" s="834">
        <f>SUM(O101:P101)</f>
        <v>20.7455</v>
      </c>
      <c r="O101" s="1054">
        <v>15.8179</v>
      </c>
      <c r="P101" s="1055">
        <v>4.9276</v>
      </c>
      <c r="Q101" s="940">
        <f>V101*-1</f>
        <v>-32000</v>
      </c>
      <c r="R101" s="813">
        <v>0</v>
      </c>
      <c r="S101" s="813">
        <v>0</v>
      </c>
      <c r="T101" s="813">
        <v>0</v>
      </c>
      <c r="U101" s="813">
        <f>SUM(Q101:T101)</f>
        <v>-32000</v>
      </c>
      <c r="V101" s="813">
        <v>32000</v>
      </c>
      <c r="W101" s="941">
        <v>0</v>
      </c>
      <c r="X101" s="813">
        <v>27418</v>
      </c>
      <c r="Y101" s="813">
        <f>SUM(V101:X101)</f>
        <v>59418</v>
      </c>
      <c r="Z101" s="813">
        <f>U101+Y101</f>
        <v>27418</v>
      </c>
      <c r="AA101" s="809">
        <f>ROUND((U101+V101+W101)*33.8%,0)</f>
        <v>0</v>
      </c>
      <c r="AB101" s="809">
        <f>ROUND(U101*2%,0)</f>
        <v>-640</v>
      </c>
      <c r="AC101" s="813">
        <v>0</v>
      </c>
      <c r="AD101" s="813">
        <v>0</v>
      </c>
      <c r="AE101" s="813">
        <f>SUM(AC101:AD101)</f>
        <v>0</v>
      </c>
      <c r="AF101" s="813">
        <f>Z101+AA101+AB101+AE101</f>
        <v>26778</v>
      </c>
      <c r="AG101" s="836">
        <v>-0.01</v>
      </c>
      <c r="AH101" s="836">
        <v>-0.02</v>
      </c>
      <c r="AI101" s="836">
        <v>0</v>
      </c>
      <c r="AJ101" s="836">
        <v>0</v>
      </c>
      <c r="AK101" s="836">
        <v>0</v>
      </c>
      <c r="AL101" s="836">
        <f>AG101+AI101+AJ101</f>
        <v>-0.01</v>
      </c>
      <c r="AM101" s="836">
        <f>AH101+AK101</f>
        <v>-0.02</v>
      </c>
      <c r="AN101" s="949">
        <f>SUM(AL101:AM101)</f>
        <v>-0.03</v>
      </c>
      <c r="AO101" s="945">
        <f t="shared" si="87"/>
        <v>14377104</v>
      </c>
      <c r="AP101" s="813">
        <f t="shared" si="88"/>
        <v>10348645</v>
      </c>
      <c r="AQ101" s="813">
        <f t="shared" si="89"/>
        <v>59418</v>
      </c>
      <c r="AR101" s="813">
        <f t="shared" si="108"/>
        <v>3508658</v>
      </c>
      <c r="AS101" s="813">
        <f t="shared" si="108"/>
        <v>206973</v>
      </c>
      <c r="AT101" s="813">
        <f t="shared" si="90"/>
        <v>253410</v>
      </c>
      <c r="AU101" s="836">
        <f t="shared" si="91"/>
        <v>20.715499999999999</v>
      </c>
      <c r="AV101" s="836">
        <f t="shared" si="109"/>
        <v>15.8079</v>
      </c>
      <c r="AW101" s="837">
        <f t="shared" si="109"/>
        <v>4.9076000000000004</v>
      </c>
    </row>
    <row r="102" spans="1:49" ht="12.95" customHeight="1" x14ac:dyDescent="0.25">
      <c r="A102" s="827">
        <v>19</v>
      </c>
      <c r="B102" s="946">
        <v>5419</v>
      </c>
      <c r="C102" s="947">
        <v>600099261</v>
      </c>
      <c r="D102" s="828">
        <v>70946752</v>
      </c>
      <c r="E102" s="948" t="s">
        <v>410</v>
      </c>
      <c r="F102" s="828">
        <v>3113</v>
      </c>
      <c r="G102" s="948" t="s">
        <v>325</v>
      </c>
      <c r="H102" s="831" t="s">
        <v>284</v>
      </c>
      <c r="I102" s="803">
        <f>SUM(J102:M102)</f>
        <v>0</v>
      </c>
      <c r="J102" s="833">
        <v>0</v>
      </c>
      <c r="K102" s="805">
        <v>0</v>
      </c>
      <c r="L102" s="805">
        <v>0</v>
      </c>
      <c r="M102" s="833">
        <v>0</v>
      </c>
      <c r="N102" s="834">
        <f>SUM(O102:P102)</f>
        <v>0</v>
      </c>
      <c r="O102" s="1054">
        <v>0</v>
      </c>
      <c r="P102" s="1055">
        <v>0</v>
      </c>
      <c r="Q102" s="940">
        <f>V102*-1</f>
        <v>0</v>
      </c>
      <c r="R102" s="833">
        <v>654397</v>
      </c>
      <c r="S102" s="813">
        <v>0</v>
      </c>
      <c r="T102" s="813">
        <v>0</v>
      </c>
      <c r="U102" s="813">
        <f>SUM(Q102:T102)</f>
        <v>654397</v>
      </c>
      <c r="V102" s="813">
        <v>0</v>
      </c>
      <c r="W102" s="941">
        <v>0</v>
      </c>
      <c r="X102" s="813">
        <v>0</v>
      </c>
      <c r="Y102" s="813">
        <f>SUM(V102:X102)</f>
        <v>0</v>
      </c>
      <c r="Z102" s="813">
        <f>U102+Y102</f>
        <v>654397</v>
      </c>
      <c r="AA102" s="809">
        <f>ROUND((U102+V102+W102)*33.8%,0)</f>
        <v>221186</v>
      </c>
      <c r="AB102" s="809">
        <f>ROUND(U102*2%,0)</f>
        <v>13088</v>
      </c>
      <c r="AC102" s="813">
        <v>700</v>
      </c>
      <c r="AD102" s="813">
        <v>0</v>
      </c>
      <c r="AE102" s="813">
        <f>SUM(AC102:AD102)</f>
        <v>700</v>
      </c>
      <c r="AF102" s="813">
        <f>Z102+AA102+AB102+AE102</f>
        <v>889371</v>
      </c>
      <c r="AG102" s="836">
        <v>0</v>
      </c>
      <c r="AH102" s="836">
        <v>0</v>
      </c>
      <c r="AI102" s="836">
        <v>1.89</v>
      </c>
      <c r="AJ102" s="836">
        <v>0</v>
      </c>
      <c r="AK102" s="836">
        <v>0</v>
      </c>
      <c r="AL102" s="836">
        <f>AG102+AI102+AJ102</f>
        <v>1.89</v>
      </c>
      <c r="AM102" s="836">
        <f>AH102+AK102</f>
        <v>0</v>
      </c>
      <c r="AN102" s="949">
        <f>SUM(AL102:AM102)</f>
        <v>1.89</v>
      </c>
      <c r="AO102" s="945">
        <f t="shared" si="87"/>
        <v>889371</v>
      </c>
      <c r="AP102" s="813">
        <f t="shared" si="88"/>
        <v>654397</v>
      </c>
      <c r="AQ102" s="813">
        <f t="shared" si="89"/>
        <v>0</v>
      </c>
      <c r="AR102" s="813">
        <f t="shared" si="108"/>
        <v>221186</v>
      </c>
      <c r="AS102" s="813">
        <f t="shared" si="108"/>
        <v>13088</v>
      </c>
      <c r="AT102" s="813">
        <f t="shared" si="90"/>
        <v>700</v>
      </c>
      <c r="AU102" s="836">
        <f t="shared" si="91"/>
        <v>1.89</v>
      </c>
      <c r="AV102" s="836">
        <f t="shared" si="109"/>
        <v>1.89</v>
      </c>
      <c r="AW102" s="837">
        <f t="shared" si="109"/>
        <v>0</v>
      </c>
    </row>
    <row r="103" spans="1:49" ht="12.95" customHeight="1" x14ac:dyDescent="0.25">
      <c r="A103" s="827">
        <v>19</v>
      </c>
      <c r="B103" s="946">
        <v>5419</v>
      </c>
      <c r="C103" s="947">
        <v>600099261</v>
      </c>
      <c r="D103" s="828">
        <v>70946752</v>
      </c>
      <c r="E103" s="948" t="s">
        <v>410</v>
      </c>
      <c r="F103" s="828">
        <v>3141</v>
      </c>
      <c r="G103" s="948" t="s">
        <v>321</v>
      </c>
      <c r="H103" s="831" t="s">
        <v>284</v>
      </c>
      <c r="I103" s="803">
        <f>SUM(J103:M103)</f>
        <v>1251834</v>
      </c>
      <c r="J103" s="833">
        <v>914433</v>
      </c>
      <c r="K103" s="805">
        <v>309078</v>
      </c>
      <c r="L103" s="805">
        <f>ROUND(J103*2%,0)</f>
        <v>18289</v>
      </c>
      <c r="M103" s="833">
        <v>10034</v>
      </c>
      <c r="N103" s="834">
        <f>SUM(O103:P103)</f>
        <v>3.11</v>
      </c>
      <c r="O103" s="1054">
        <v>0</v>
      </c>
      <c r="P103" s="1055">
        <v>3.11</v>
      </c>
      <c r="Q103" s="940">
        <f>V103*-1</f>
        <v>-4000</v>
      </c>
      <c r="R103" s="813">
        <v>0</v>
      </c>
      <c r="S103" s="813">
        <v>0</v>
      </c>
      <c r="T103" s="813">
        <v>0</v>
      </c>
      <c r="U103" s="813">
        <f>SUM(Q103:T103)</f>
        <v>-4000</v>
      </c>
      <c r="V103" s="813">
        <v>4000</v>
      </c>
      <c r="W103" s="941">
        <v>0</v>
      </c>
      <c r="X103" s="813">
        <v>0</v>
      </c>
      <c r="Y103" s="813">
        <f>SUM(V103:X103)</f>
        <v>4000</v>
      </c>
      <c r="Z103" s="813">
        <f>U103+Y103</f>
        <v>0</v>
      </c>
      <c r="AA103" s="809">
        <f>ROUND((U103+V103+W103)*33.8%,0)</f>
        <v>0</v>
      </c>
      <c r="AB103" s="809">
        <f>ROUND(U103*2%,0)</f>
        <v>-80</v>
      </c>
      <c r="AC103" s="813">
        <v>0</v>
      </c>
      <c r="AD103" s="813">
        <v>0</v>
      </c>
      <c r="AE103" s="813">
        <f>SUM(AC103:AD103)</f>
        <v>0</v>
      </c>
      <c r="AF103" s="813">
        <f>Z103+AA103+AB103+AE103</f>
        <v>-80</v>
      </c>
      <c r="AG103" s="836">
        <v>0</v>
      </c>
      <c r="AH103" s="836">
        <v>0</v>
      </c>
      <c r="AI103" s="836">
        <v>0</v>
      </c>
      <c r="AJ103" s="836">
        <v>0</v>
      </c>
      <c r="AK103" s="836">
        <v>0</v>
      </c>
      <c r="AL103" s="836">
        <f>AG103+AI103+AJ103</f>
        <v>0</v>
      </c>
      <c r="AM103" s="836">
        <f>AH103+AK103</f>
        <v>0</v>
      </c>
      <c r="AN103" s="949">
        <f>SUM(AL103:AM103)</f>
        <v>0</v>
      </c>
      <c r="AO103" s="945">
        <f t="shared" si="87"/>
        <v>1251754</v>
      </c>
      <c r="AP103" s="813">
        <f t="shared" si="88"/>
        <v>910433</v>
      </c>
      <c r="AQ103" s="813">
        <f t="shared" si="89"/>
        <v>4000</v>
      </c>
      <c r="AR103" s="813">
        <f t="shared" si="108"/>
        <v>309078</v>
      </c>
      <c r="AS103" s="813">
        <f t="shared" si="108"/>
        <v>18209</v>
      </c>
      <c r="AT103" s="813">
        <f t="shared" si="90"/>
        <v>10034</v>
      </c>
      <c r="AU103" s="836">
        <f t="shared" si="91"/>
        <v>3.11</v>
      </c>
      <c r="AV103" s="836">
        <f t="shared" si="109"/>
        <v>0</v>
      </c>
      <c r="AW103" s="837">
        <f t="shared" si="109"/>
        <v>3.11</v>
      </c>
    </row>
    <row r="104" spans="1:49" ht="12.95" customHeight="1" x14ac:dyDescent="0.25">
      <c r="A104" s="827">
        <v>19</v>
      </c>
      <c r="B104" s="946">
        <v>5419</v>
      </c>
      <c r="C104" s="947">
        <v>600099261</v>
      </c>
      <c r="D104" s="828">
        <v>70946752</v>
      </c>
      <c r="E104" s="948" t="s">
        <v>410</v>
      </c>
      <c r="F104" s="828">
        <v>3143</v>
      </c>
      <c r="G104" s="948" t="s">
        <v>635</v>
      </c>
      <c r="H104" s="831" t="s">
        <v>283</v>
      </c>
      <c r="I104" s="803">
        <f>SUM(J104:M104)</f>
        <v>536666</v>
      </c>
      <c r="J104" s="833">
        <v>395188</v>
      </c>
      <c r="K104" s="805">
        <f>ROUND((J104)*33.8%,0)</f>
        <v>133574</v>
      </c>
      <c r="L104" s="805">
        <f>ROUND(J104*2%,0)</f>
        <v>7904</v>
      </c>
      <c r="M104" s="833">
        <v>0</v>
      </c>
      <c r="N104" s="834">
        <f>SUM(O104:P104)</f>
        <v>0.85</v>
      </c>
      <c r="O104" s="1054">
        <v>0.85</v>
      </c>
      <c r="P104" s="1055">
        <v>0</v>
      </c>
      <c r="Q104" s="940">
        <f>V104*-1</f>
        <v>-4000</v>
      </c>
      <c r="R104" s="813">
        <v>0</v>
      </c>
      <c r="S104" s="813">
        <v>0</v>
      </c>
      <c r="T104" s="813">
        <v>0</v>
      </c>
      <c r="U104" s="813">
        <f>SUM(Q104:T104)</f>
        <v>-4000</v>
      </c>
      <c r="V104" s="813">
        <v>4000</v>
      </c>
      <c r="W104" s="941">
        <v>20800</v>
      </c>
      <c r="X104" s="813">
        <v>0</v>
      </c>
      <c r="Y104" s="813">
        <f>SUM(V104:X104)</f>
        <v>24800</v>
      </c>
      <c r="Z104" s="813">
        <f>U104+Y104</f>
        <v>20800</v>
      </c>
      <c r="AA104" s="809">
        <f>ROUND((U104+V104+W104)*33.8%,0)</f>
        <v>7030</v>
      </c>
      <c r="AB104" s="809">
        <f>ROUND(U104*2%,0)</f>
        <v>-80</v>
      </c>
      <c r="AC104" s="813">
        <v>0</v>
      </c>
      <c r="AD104" s="813">
        <v>0</v>
      </c>
      <c r="AE104" s="813">
        <f>SUM(AC104:AD104)</f>
        <v>0</v>
      </c>
      <c r="AF104" s="813">
        <f>Z104+AA104+AB104+AE104</f>
        <v>27750</v>
      </c>
      <c r="AG104" s="836">
        <v>0</v>
      </c>
      <c r="AH104" s="836">
        <v>0</v>
      </c>
      <c r="AI104" s="836">
        <v>0</v>
      </c>
      <c r="AJ104" s="836">
        <v>0</v>
      </c>
      <c r="AK104" s="836">
        <v>0</v>
      </c>
      <c r="AL104" s="836">
        <f>AG104+AI104+AJ104</f>
        <v>0</v>
      </c>
      <c r="AM104" s="836">
        <f>AH104+AK104</f>
        <v>0</v>
      </c>
      <c r="AN104" s="949">
        <f>SUM(AL104:AM104)</f>
        <v>0</v>
      </c>
      <c r="AO104" s="945">
        <f t="shared" si="87"/>
        <v>564416</v>
      </c>
      <c r="AP104" s="813">
        <f t="shared" si="88"/>
        <v>391188</v>
      </c>
      <c r="AQ104" s="813">
        <f t="shared" si="89"/>
        <v>24800</v>
      </c>
      <c r="AR104" s="813">
        <f t="shared" si="108"/>
        <v>140604</v>
      </c>
      <c r="AS104" s="813">
        <f t="shared" si="108"/>
        <v>7824</v>
      </c>
      <c r="AT104" s="813">
        <f t="shared" si="90"/>
        <v>0</v>
      </c>
      <c r="AU104" s="836">
        <f t="shared" si="91"/>
        <v>0.85</v>
      </c>
      <c r="AV104" s="836">
        <f t="shared" si="109"/>
        <v>0.85</v>
      </c>
      <c r="AW104" s="837">
        <f t="shared" si="109"/>
        <v>0</v>
      </c>
    </row>
    <row r="105" spans="1:49" ht="12.95" customHeight="1" x14ac:dyDescent="0.25">
      <c r="A105" s="827">
        <v>19</v>
      </c>
      <c r="B105" s="946">
        <v>5419</v>
      </c>
      <c r="C105" s="947">
        <v>600099261</v>
      </c>
      <c r="D105" s="828">
        <v>70946752</v>
      </c>
      <c r="E105" s="948" t="s">
        <v>410</v>
      </c>
      <c r="F105" s="828">
        <v>3143</v>
      </c>
      <c r="G105" s="948" t="s">
        <v>636</v>
      </c>
      <c r="H105" s="831" t="s">
        <v>284</v>
      </c>
      <c r="I105" s="803">
        <f>SUM(J105:M105)</f>
        <v>18959</v>
      </c>
      <c r="J105" s="833">
        <v>13365</v>
      </c>
      <c r="K105" s="805">
        <f>ROUND((J105)*33.8%,0)</f>
        <v>4517</v>
      </c>
      <c r="L105" s="805">
        <f>ROUND(J105*2%,0)</f>
        <v>267</v>
      </c>
      <c r="M105" s="833">
        <v>810</v>
      </c>
      <c r="N105" s="834">
        <f>SUM(O105:P105)</f>
        <v>0.06</v>
      </c>
      <c r="O105" s="1054">
        <v>0</v>
      </c>
      <c r="P105" s="1055">
        <v>0.06</v>
      </c>
      <c r="Q105" s="940">
        <f>V105*-1</f>
        <v>0</v>
      </c>
      <c r="R105" s="813">
        <v>0</v>
      </c>
      <c r="S105" s="813">
        <v>0</v>
      </c>
      <c r="T105" s="813">
        <v>0</v>
      </c>
      <c r="U105" s="813">
        <f>SUM(Q105:T105)</f>
        <v>0</v>
      </c>
      <c r="V105" s="813">
        <v>0</v>
      </c>
      <c r="W105" s="941">
        <v>0</v>
      </c>
      <c r="X105" s="813">
        <v>0</v>
      </c>
      <c r="Y105" s="813">
        <f>SUM(V105:X105)</f>
        <v>0</v>
      </c>
      <c r="Z105" s="813">
        <f>U105+Y105</f>
        <v>0</v>
      </c>
      <c r="AA105" s="809">
        <f>ROUND((U105+V105+W105)*33.8%,0)</f>
        <v>0</v>
      </c>
      <c r="AB105" s="809">
        <f>ROUND(U105*2%,0)</f>
        <v>0</v>
      </c>
      <c r="AC105" s="813">
        <v>0</v>
      </c>
      <c r="AD105" s="813">
        <v>0</v>
      </c>
      <c r="AE105" s="813">
        <f>SUM(AC105:AD105)</f>
        <v>0</v>
      </c>
      <c r="AF105" s="813">
        <f>Z105+AA105+AB105+AE105</f>
        <v>0</v>
      </c>
      <c r="AG105" s="836">
        <v>0</v>
      </c>
      <c r="AH105" s="836">
        <v>0</v>
      </c>
      <c r="AI105" s="836">
        <v>0</v>
      </c>
      <c r="AJ105" s="836">
        <v>0</v>
      </c>
      <c r="AK105" s="836">
        <v>0</v>
      </c>
      <c r="AL105" s="836">
        <f>AG105+AI105+AJ105</f>
        <v>0</v>
      </c>
      <c r="AM105" s="836">
        <f>AH105+AK105</f>
        <v>0</v>
      </c>
      <c r="AN105" s="949">
        <f>SUM(AL105:AM105)</f>
        <v>0</v>
      </c>
      <c r="AO105" s="945">
        <f t="shared" si="87"/>
        <v>18959</v>
      </c>
      <c r="AP105" s="813">
        <f t="shared" si="88"/>
        <v>13365</v>
      </c>
      <c r="AQ105" s="813">
        <f t="shared" si="89"/>
        <v>0</v>
      </c>
      <c r="AR105" s="813">
        <f t="shared" si="108"/>
        <v>4517</v>
      </c>
      <c r="AS105" s="813">
        <f t="shared" si="108"/>
        <v>267</v>
      </c>
      <c r="AT105" s="813">
        <f t="shared" si="90"/>
        <v>810</v>
      </c>
      <c r="AU105" s="836">
        <f t="shared" si="91"/>
        <v>0.06</v>
      </c>
      <c r="AV105" s="836">
        <f t="shared" si="109"/>
        <v>0</v>
      </c>
      <c r="AW105" s="837">
        <f t="shared" si="109"/>
        <v>0.06</v>
      </c>
    </row>
    <row r="106" spans="1:49" ht="12.95" customHeight="1" x14ac:dyDescent="0.25">
      <c r="A106" s="950">
        <v>19</v>
      </c>
      <c r="B106" s="951">
        <v>5419</v>
      </c>
      <c r="C106" s="952">
        <v>600099261</v>
      </c>
      <c r="D106" s="951">
        <v>70946752</v>
      </c>
      <c r="E106" s="953" t="s">
        <v>411</v>
      </c>
      <c r="F106" s="850"/>
      <c r="G106" s="960"/>
      <c r="H106" s="851"/>
      <c r="I106" s="964">
        <f t="shared" ref="I106:AW106" si="112">SUM(I101:I105)</f>
        <v>16157785</v>
      </c>
      <c r="J106" s="965">
        <f t="shared" si="112"/>
        <v>11703631</v>
      </c>
      <c r="K106" s="965">
        <f t="shared" si="112"/>
        <v>3955827</v>
      </c>
      <c r="L106" s="965">
        <f t="shared" si="112"/>
        <v>234073</v>
      </c>
      <c r="M106" s="965">
        <f t="shared" si="112"/>
        <v>264254</v>
      </c>
      <c r="N106" s="966">
        <f t="shared" si="112"/>
        <v>24.765499999999999</v>
      </c>
      <c r="O106" s="966">
        <f t="shared" si="112"/>
        <v>16.667899999999999</v>
      </c>
      <c r="P106" s="969">
        <f t="shared" si="112"/>
        <v>8.0975999999999999</v>
      </c>
      <c r="Q106" s="967">
        <f t="shared" si="112"/>
        <v>-40000</v>
      </c>
      <c r="R106" s="965">
        <f t="shared" si="112"/>
        <v>654397</v>
      </c>
      <c r="S106" s="965">
        <f t="shared" si="112"/>
        <v>0</v>
      </c>
      <c r="T106" s="965">
        <f t="shared" si="112"/>
        <v>0</v>
      </c>
      <c r="U106" s="965">
        <f t="shared" si="112"/>
        <v>614397</v>
      </c>
      <c r="V106" s="965">
        <f t="shared" si="112"/>
        <v>40000</v>
      </c>
      <c r="W106" s="965">
        <f t="shared" si="112"/>
        <v>20800</v>
      </c>
      <c r="X106" s="965">
        <f t="shared" si="112"/>
        <v>27418</v>
      </c>
      <c r="Y106" s="965">
        <f t="shared" si="112"/>
        <v>88218</v>
      </c>
      <c r="Z106" s="965">
        <f t="shared" si="112"/>
        <v>702615</v>
      </c>
      <c r="AA106" s="965">
        <f t="shared" si="112"/>
        <v>228216</v>
      </c>
      <c r="AB106" s="965">
        <f t="shared" si="112"/>
        <v>12288</v>
      </c>
      <c r="AC106" s="965">
        <f t="shared" si="112"/>
        <v>700</v>
      </c>
      <c r="AD106" s="965">
        <f t="shared" si="112"/>
        <v>0</v>
      </c>
      <c r="AE106" s="965">
        <f t="shared" si="112"/>
        <v>700</v>
      </c>
      <c r="AF106" s="965">
        <f t="shared" si="112"/>
        <v>943819</v>
      </c>
      <c r="AG106" s="966">
        <f t="shared" si="112"/>
        <v>-0.01</v>
      </c>
      <c r="AH106" s="966">
        <f t="shared" si="112"/>
        <v>-0.02</v>
      </c>
      <c r="AI106" s="966">
        <f t="shared" si="112"/>
        <v>1.89</v>
      </c>
      <c r="AJ106" s="966">
        <f t="shared" si="112"/>
        <v>0</v>
      </c>
      <c r="AK106" s="966">
        <f t="shared" si="112"/>
        <v>0</v>
      </c>
      <c r="AL106" s="966">
        <f t="shared" si="112"/>
        <v>1.88</v>
      </c>
      <c r="AM106" s="966">
        <f t="shared" si="112"/>
        <v>-0.02</v>
      </c>
      <c r="AN106" s="968">
        <f t="shared" si="112"/>
        <v>1.8599999999999999</v>
      </c>
      <c r="AO106" s="964">
        <f t="shared" si="112"/>
        <v>17101604</v>
      </c>
      <c r="AP106" s="965">
        <f t="shared" si="112"/>
        <v>12318028</v>
      </c>
      <c r="AQ106" s="965">
        <f t="shared" si="112"/>
        <v>88218</v>
      </c>
      <c r="AR106" s="965">
        <f t="shared" si="112"/>
        <v>4184043</v>
      </c>
      <c r="AS106" s="965">
        <f t="shared" si="112"/>
        <v>246361</v>
      </c>
      <c r="AT106" s="965">
        <f t="shared" si="112"/>
        <v>264954</v>
      </c>
      <c r="AU106" s="966">
        <f t="shared" si="112"/>
        <v>26.625499999999999</v>
      </c>
      <c r="AV106" s="966">
        <f t="shared" si="112"/>
        <v>18.547900000000002</v>
      </c>
      <c r="AW106" s="969">
        <f t="shared" si="112"/>
        <v>8.0776000000000003</v>
      </c>
    </row>
    <row r="107" spans="1:49" ht="12.95" customHeight="1" x14ac:dyDescent="0.25">
      <c r="A107" s="827">
        <v>20</v>
      </c>
      <c r="B107" s="946">
        <v>5425</v>
      </c>
      <c r="C107" s="961">
        <v>600099521</v>
      </c>
      <c r="D107" s="828">
        <v>854859</v>
      </c>
      <c r="E107" s="948" t="s">
        <v>412</v>
      </c>
      <c r="F107" s="828">
        <v>3233</v>
      </c>
      <c r="G107" s="948" t="s">
        <v>413</v>
      </c>
      <c r="H107" s="831" t="s">
        <v>284</v>
      </c>
      <c r="I107" s="803">
        <f>SUM(J107:M107)</f>
        <v>2540537</v>
      </c>
      <c r="J107" s="833">
        <v>1855989</v>
      </c>
      <c r="K107" s="805">
        <f>ROUND((J107)*33.8%,0)</f>
        <v>627324</v>
      </c>
      <c r="L107" s="805">
        <f>ROUND(J107*2%,0)</f>
        <v>37120</v>
      </c>
      <c r="M107" s="833">
        <v>20104</v>
      </c>
      <c r="N107" s="834">
        <f>SUM(O107:P107)</f>
        <v>4.17</v>
      </c>
      <c r="O107" s="1054">
        <v>2.92</v>
      </c>
      <c r="P107" s="1055">
        <v>1.25</v>
      </c>
      <c r="Q107" s="940">
        <f>V107*-1</f>
        <v>-8000</v>
      </c>
      <c r="R107" s="813">
        <v>0</v>
      </c>
      <c r="S107" s="813">
        <v>0</v>
      </c>
      <c r="T107" s="813">
        <v>0</v>
      </c>
      <c r="U107" s="813">
        <f>SUM(Q107:T107)</f>
        <v>-8000</v>
      </c>
      <c r="V107" s="813">
        <v>8000</v>
      </c>
      <c r="W107" s="941">
        <v>0</v>
      </c>
      <c r="X107" s="813">
        <v>0</v>
      </c>
      <c r="Y107" s="813">
        <f>SUM(V107:X107)</f>
        <v>8000</v>
      </c>
      <c r="Z107" s="813">
        <f>U107+Y107</f>
        <v>0</v>
      </c>
      <c r="AA107" s="809">
        <f>ROUND((U107+V107+W107)*33.8%,0)</f>
        <v>0</v>
      </c>
      <c r="AB107" s="809">
        <f>ROUND(U107*2%,0)</f>
        <v>-160</v>
      </c>
      <c r="AC107" s="813">
        <v>0</v>
      </c>
      <c r="AD107" s="813">
        <v>0</v>
      </c>
      <c r="AE107" s="813">
        <f>SUM(AC107:AD107)</f>
        <v>0</v>
      </c>
      <c r="AF107" s="813">
        <f>Z107+AA107+AB107+AE107</f>
        <v>-160</v>
      </c>
      <c r="AG107" s="836">
        <v>0</v>
      </c>
      <c r="AH107" s="836">
        <v>-0.03</v>
      </c>
      <c r="AI107" s="836">
        <v>0</v>
      </c>
      <c r="AJ107" s="836">
        <v>0</v>
      </c>
      <c r="AK107" s="836">
        <v>0</v>
      </c>
      <c r="AL107" s="836">
        <f>AG107+AI107+AJ107</f>
        <v>0</v>
      </c>
      <c r="AM107" s="836">
        <f>AH107+AK107</f>
        <v>-0.03</v>
      </c>
      <c r="AN107" s="949">
        <f>SUM(AL107:AM107)</f>
        <v>-0.03</v>
      </c>
      <c r="AO107" s="945">
        <f t="shared" si="87"/>
        <v>2540377</v>
      </c>
      <c r="AP107" s="813">
        <f t="shared" si="88"/>
        <v>1847989</v>
      </c>
      <c r="AQ107" s="813">
        <f t="shared" si="89"/>
        <v>8000</v>
      </c>
      <c r="AR107" s="813">
        <f t="shared" si="108"/>
        <v>627324</v>
      </c>
      <c r="AS107" s="813">
        <f t="shared" si="108"/>
        <v>36960</v>
      </c>
      <c r="AT107" s="813">
        <f t="shared" si="90"/>
        <v>20104</v>
      </c>
      <c r="AU107" s="836">
        <f t="shared" si="91"/>
        <v>4.1399999999999997</v>
      </c>
      <c r="AV107" s="836">
        <f t="shared" si="109"/>
        <v>2.92</v>
      </c>
      <c r="AW107" s="837">
        <f t="shared" si="109"/>
        <v>1.22</v>
      </c>
    </row>
    <row r="108" spans="1:49" ht="12.95" customHeight="1" x14ac:dyDescent="0.25">
      <c r="A108" s="950">
        <v>20</v>
      </c>
      <c r="B108" s="951">
        <v>5425</v>
      </c>
      <c r="C108" s="952">
        <v>600099521</v>
      </c>
      <c r="D108" s="951">
        <v>854859</v>
      </c>
      <c r="E108" s="953" t="s">
        <v>414</v>
      </c>
      <c r="F108" s="850"/>
      <c r="G108" s="960"/>
      <c r="H108" s="851"/>
      <c r="I108" s="954">
        <f t="shared" ref="I108:AW108" si="113">SUM(I107)</f>
        <v>2540537</v>
      </c>
      <c r="J108" s="955">
        <f t="shared" si="113"/>
        <v>1855989</v>
      </c>
      <c r="K108" s="955">
        <f t="shared" si="113"/>
        <v>627324</v>
      </c>
      <c r="L108" s="955">
        <f t="shared" si="113"/>
        <v>37120</v>
      </c>
      <c r="M108" s="955">
        <f t="shared" si="113"/>
        <v>20104</v>
      </c>
      <c r="N108" s="956">
        <f t="shared" si="113"/>
        <v>4.17</v>
      </c>
      <c r="O108" s="956">
        <f t="shared" si="113"/>
        <v>2.92</v>
      </c>
      <c r="P108" s="959">
        <f t="shared" si="113"/>
        <v>1.25</v>
      </c>
      <c r="Q108" s="957">
        <f t="shared" si="113"/>
        <v>-8000</v>
      </c>
      <c r="R108" s="955">
        <f t="shared" si="113"/>
        <v>0</v>
      </c>
      <c r="S108" s="955">
        <f t="shared" si="113"/>
        <v>0</v>
      </c>
      <c r="T108" s="955">
        <f t="shared" si="113"/>
        <v>0</v>
      </c>
      <c r="U108" s="955">
        <f t="shared" si="113"/>
        <v>-8000</v>
      </c>
      <c r="V108" s="955">
        <f t="shared" si="113"/>
        <v>8000</v>
      </c>
      <c r="W108" s="955">
        <f t="shared" si="113"/>
        <v>0</v>
      </c>
      <c r="X108" s="955">
        <f t="shared" si="113"/>
        <v>0</v>
      </c>
      <c r="Y108" s="955">
        <f t="shared" si="113"/>
        <v>8000</v>
      </c>
      <c r="Z108" s="955">
        <f t="shared" si="113"/>
        <v>0</v>
      </c>
      <c r="AA108" s="955">
        <f t="shared" si="113"/>
        <v>0</v>
      </c>
      <c r="AB108" s="955">
        <f t="shared" si="113"/>
        <v>-160</v>
      </c>
      <c r="AC108" s="955">
        <f t="shared" si="113"/>
        <v>0</v>
      </c>
      <c r="AD108" s="955">
        <f t="shared" si="113"/>
        <v>0</v>
      </c>
      <c r="AE108" s="955">
        <f t="shared" si="113"/>
        <v>0</v>
      </c>
      <c r="AF108" s="955">
        <f t="shared" si="113"/>
        <v>-160</v>
      </c>
      <c r="AG108" s="956">
        <f t="shared" si="113"/>
        <v>0</v>
      </c>
      <c r="AH108" s="956">
        <f t="shared" si="113"/>
        <v>-0.03</v>
      </c>
      <c r="AI108" s="956">
        <f t="shared" si="113"/>
        <v>0</v>
      </c>
      <c r="AJ108" s="956">
        <f t="shared" si="113"/>
        <v>0</v>
      </c>
      <c r="AK108" s="956">
        <f t="shared" si="113"/>
        <v>0</v>
      </c>
      <c r="AL108" s="956">
        <f t="shared" si="113"/>
        <v>0</v>
      </c>
      <c r="AM108" s="956">
        <f t="shared" si="113"/>
        <v>-0.03</v>
      </c>
      <c r="AN108" s="958">
        <f t="shared" si="113"/>
        <v>-0.03</v>
      </c>
      <c r="AO108" s="954">
        <f t="shared" si="113"/>
        <v>2540377</v>
      </c>
      <c r="AP108" s="955">
        <f t="shared" si="113"/>
        <v>1847989</v>
      </c>
      <c r="AQ108" s="955">
        <f t="shared" si="113"/>
        <v>8000</v>
      </c>
      <c r="AR108" s="955">
        <f t="shared" si="113"/>
        <v>627324</v>
      </c>
      <c r="AS108" s="955">
        <f t="shared" si="113"/>
        <v>36960</v>
      </c>
      <c r="AT108" s="955">
        <f t="shared" si="113"/>
        <v>20104</v>
      </c>
      <c r="AU108" s="956">
        <f t="shared" si="113"/>
        <v>4.1399999999999997</v>
      </c>
      <c r="AV108" s="956">
        <f t="shared" si="113"/>
        <v>2.92</v>
      </c>
      <c r="AW108" s="959">
        <f t="shared" si="113"/>
        <v>1.22</v>
      </c>
    </row>
    <row r="109" spans="1:49" ht="12.95" customHeight="1" x14ac:dyDescent="0.25">
      <c r="A109" s="827">
        <v>21</v>
      </c>
      <c r="B109" s="946">
        <v>5426</v>
      </c>
      <c r="C109" s="947">
        <v>600098761</v>
      </c>
      <c r="D109" s="828">
        <v>72742615</v>
      </c>
      <c r="E109" s="948" t="s">
        <v>415</v>
      </c>
      <c r="F109" s="828">
        <v>3111</v>
      </c>
      <c r="G109" s="948" t="s">
        <v>331</v>
      </c>
      <c r="H109" s="831" t="s">
        <v>283</v>
      </c>
      <c r="I109" s="803">
        <f>SUM(J109:M109)</f>
        <v>6265432</v>
      </c>
      <c r="J109" s="833">
        <v>4585885</v>
      </c>
      <c r="K109" s="805">
        <f>ROUND((J109)*33.8%,0)</f>
        <v>1550029</v>
      </c>
      <c r="L109" s="805">
        <f>ROUND(J109*2%,0)</f>
        <v>91718</v>
      </c>
      <c r="M109" s="833">
        <v>37800</v>
      </c>
      <c r="N109" s="834">
        <f>SUM(O109:P109)</f>
        <v>10.8682</v>
      </c>
      <c r="O109" s="1054">
        <v>8</v>
      </c>
      <c r="P109" s="1055">
        <v>2.8681999999999999</v>
      </c>
      <c r="Q109" s="940">
        <f>V109*-1</f>
        <v>-72000</v>
      </c>
      <c r="R109" s="813">
        <v>0</v>
      </c>
      <c r="S109" s="813">
        <v>0</v>
      </c>
      <c r="T109" s="813">
        <v>0</v>
      </c>
      <c r="U109" s="813">
        <f>SUM(Q109:T109)</f>
        <v>-72000</v>
      </c>
      <c r="V109" s="813">
        <v>72000</v>
      </c>
      <c r="W109" s="941">
        <v>0</v>
      </c>
      <c r="X109" s="813">
        <v>0</v>
      </c>
      <c r="Y109" s="813">
        <f>SUM(V109:X109)</f>
        <v>72000</v>
      </c>
      <c r="Z109" s="813">
        <f>U109+Y109</f>
        <v>0</v>
      </c>
      <c r="AA109" s="809">
        <f>ROUND((U109+V109+W109)*33.8%,0)</f>
        <v>0</v>
      </c>
      <c r="AB109" s="809">
        <f>ROUND(U109*2%,0)</f>
        <v>-1440</v>
      </c>
      <c r="AC109" s="813">
        <v>0</v>
      </c>
      <c r="AD109" s="813">
        <v>0</v>
      </c>
      <c r="AE109" s="813">
        <f>SUM(AC109:AD109)</f>
        <v>0</v>
      </c>
      <c r="AF109" s="813">
        <f>Z109+AA109+AB109+AE109</f>
        <v>-1440</v>
      </c>
      <c r="AG109" s="836">
        <v>0</v>
      </c>
      <c r="AH109" s="836">
        <v>-0.32</v>
      </c>
      <c r="AI109" s="836">
        <v>0</v>
      </c>
      <c r="AJ109" s="836">
        <v>0</v>
      </c>
      <c r="AK109" s="836">
        <v>0</v>
      </c>
      <c r="AL109" s="836">
        <f>AG109+AI109+AJ109</f>
        <v>0</v>
      </c>
      <c r="AM109" s="836">
        <f>AH109+AK109</f>
        <v>-0.32</v>
      </c>
      <c r="AN109" s="949">
        <f>SUM(AL109:AM109)</f>
        <v>-0.32</v>
      </c>
      <c r="AO109" s="945">
        <f t="shared" si="87"/>
        <v>6263992</v>
      </c>
      <c r="AP109" s="813">
        <f t="shared" si="88"/>
        <v>4513885</v>
      </c>
      <c r="AQ109" s="813">
        <f t="shared" si="89"/>
        <v>72000</v>
      </c>
      <c r="AR109" s="813">
        <f t="shared" si="108"/>
        <v>1550029</v>
      </c>
      <c r="AS109" s="813">
        <f t="shared" si="108"/>
        <v>90278</v>
      </c>
      <c r="AT109" s="813">
        <f t="shared" si="90"/>
        <v>37800</v>
      </c>
      <c r="AU109" s="836">
        <f t="shared" si="91"/>
        <v>10.5482</v>
      </c>
      <c r="AV109" s="836">
        <f t="shared" si="109"/>
        <v>8</v>
      </c>
      <c r="AW109" s="837">
        <f t="shared" si="109"/>
        <v>2.5482</v>
      </c>
    </row>
    <row r="110" spans="1:49" ht="12.95" customHeight="1" x14ac:dyDescent="0.25">
      <c r="A110" s="827">
        <v>21</v>
      </c>
      <c r="B110" s="946">
        <v>5426</v>
      </c>
      <c r="C110" s="947">
        <v>600098761</v>
      </c>
      <c r="D110" s="828">
        <v>72742615</v>
      </c>
      <c r="E110" s="948" t="s">
        <v>415</v>
      </c>
      <c r="F110" s="828">
        <v>3111</v>
      </c>
      <c r="G110" s="962" t="s">
        <v>319</v>
      </c>
      <c r="H110" s="831" t="s">
        <v>283</v>
      </c>
      <c r="I110" s="803">
        <f>SUM(J110:M110)</f>
        <v>0</v>
      </c>
      <c r="J110" s="833">
        <v>0</v>
      </c>
      <c r="K110" s="805">
        <f>ROUND((J110)*33.8%,0)</f>
        <v>0</v>
      </c>
      <c r="L110" s="805">
        <f>ROUND(J110*2%,0)</f>
        <v>0</v>
      </c>
      <c r="M110" s="833">
        <v>0</v>
      </c>
      <c r="N110" s="834">
        <f>SUM(O110:P110)</f>
        <v>0</v>
      </c>
      <c r="O110" s="1054">
        <v>0</v>
      </c>
      <c r="P110" s="1055">
        <v>0</v>
      </c>
      <c r="Q110" s="940">
        <f>V110*-1</f>
        <v>0</v>
      </c>
      <c r="R110" s="813">
        <v>0</v>
      </c>
      <c r="S110" s="813">
        <v>0</v>
      </c>
      <c r="T110" s="813">
        <v>0</v>
      </c>
      <c r="U110" s="813">
        <f>SUM(Q110:T110)</f>
        <v>0</v>
      </c>
      <c r="V110" s="813">
        <v>0</v>
      </c>
      <c r="W110" s="941">
        <v>0</v>
      </c>
      <c r="X110" s="813">
        <v>0</v>
      </c>
      <c r="Y110" s="813">
        <f>SUM(V110:X110)</f>
        <v>0</v>
      </c>
      <c r="Z110" s="813">
        <f>U110+Y110</f>
        <v>0</v>
      </c>
      <c r="AA110" s="809">
        <f>ROUND((U110+V110+W110)*33.8%,0)</f>
        <v>0</v>
      </c>
      <c r="AB110" s="809">
        <f>ROUND(U110*2%,0)</f>
        <v>0</v>
      </c>
      <c r="AC110" s="813">
        <v>0</v>
      </c>
      <c r="AD110" s="813">
        <v>0</v>
      </c>
      <c r="AE110" s="813">
        <f>SUM(AC110:AD110)</f>
        <v>0</v>
      </c>
      <c r="AF110" s="813">
        <f>Z110+AA110+AB110+AE110</f>
        <v>0</v>
      </c>
      <c r="AG110" s="836">
        <v>0</v>
      </c>
      <c r="AH110" s="836">
        <v>0</v>
      </c>
      <c r="AI110" s="836">
        <v>0</v>
      </c>
      <c r="AJ110" s="836">
        <v>0</v>
      </c>
      <c r="AK110" s="836">
        <v>0</v>
      </c>
      <c r="AL110" s="836">
        <f>AG110+AI110+AJ110</f>
        <v>0</v>
      </c>
      <c r="AM110" s="836">
        <f>AH110+AK110</f>
        <v>0</v>
      </c>
      <c r="AN110" s="949">
        <f>SUM(AL110:AM110)</f>
        <v>0</v>
      </c>
      <c r="AO110" s="945">
        <f t="shared" si="87"/>
        <v>0</v>
      </c>
      <c r="AP110" s="813">
        <f t="shared" si="88"/>
        <v>0</v>
      </c>
      <c r="AQ110" s="813">
        <f t="shared" si="89"/>
        <v>0</v>
      </c>
      <c r="AR110" s="813">
        <f t="shared" si="108"/>
        <v>0</v>
      </c>
      <c r="AS110" s="813">
        <f t="shared" si="108"/>
        <v>0</v>
      </c>
      <c r="AT110" s="813">
        <f t="shared" si="90"/>
        <v>0</v>
      </c>
      <c r="AU110" s="836">
        <f t="shared" si="91"/>
        <v>0</v>
      </c>
      <c r="AV110" s="836">
        <f t="shared" si="109"/>
        <v>0</v>
      </c>
      <c r="AW110" s="837">
        <f t="shared" si="109"/>
        <v>0</v>
      </c>
    </row>
    <row r="111" spans="1:49" ht="12.95" customHeight="1" x14ac:dyDescent="0.25">
      <c r="A111" s="827">
        <v>21</v>
      </c>
      <c r="B111" s="946">
        <v>5426</v>
      </c>
      <c r="C111" s="947">
        <v>600098761</v>
      </c>
      <c r="D111" s="828">
        <v>72742615</v>
      </c>
      <c r="E111" s="948" t="s">
        <v>415</v>
      </c>
      <c r="F111" s="828">
        <v>3111</v>
      </c>
      <c r="G111" s="962" t="s">
        <v>325</v>
      </c>
      <c r="H111" s="831" t="s">
        <v>284</v>
      </c>
      <c r="I111" s="803">
        <f>SUM(J111:M111)</f>
        <v>0</v>
      </c>
      <c r="J111" s="833">
        <v>0</v>
      </c>
      <c r="K111" s="805">
        <v>0</v>
      </c>
      <c r="L111" s="805">
        <v>0</v>
      </c>
      <c r="M111" s="833">
        <v>0</v>
      </c>
      <c r="N111" s="834">
        <f>SUM(O111:P111)</f>
        <v>0</v>
      </c>
      <c r="O111" s="1054">
        <v>0</v>
      </c>
      <c r="P111" s="1055">
        <v>0</v>
      </c>
      <c r="Q111" s="940">
        <f>V111*-1</f>
        <v>0</v>
      </c>
      <c r="R111" s="833">
        <v>346443</v>
      </c>
      <c r="S111" s="813">
        <v>0</v>
      </c>
      <c r="T111" s="813">
        <v>0</v>
      </c>
      <c r="U111" s="813">
        <f>SUM(Q111:T111)</f>
        <v>346443</v>
      </c>
      <c r="V111" s="813">
        <v>0</v>
      </c>
      <c r="W111" s="941">
        <v>0</v>
      </c>
      <c r="X111" s="813">
        <v>0</v>
      </c>
      <c r="Y111" s="813">
        <f>SUM(V111:X111)</f>
        <v>0</v>
      </c>
      <c r="Z111" s="813">
        <f>U111+Y111</f>
        <v>346443</v>
      </c>
      <c r="AA111" s="809">
        <f>ROUND((U111+V111+W111)*33.8%,0)</f>
        <v>117098</v>
      </c>
      <c r="AB111" s="809">
        <f>ROUND(U111*2%,0)</f>
        <v>6929</v>
      </c>
      <c r="AC111" s="813">
        <v>0</v>
      </c>
      <c r="AD111" s="813">
        <v>0</v>
      </c>
      <c r="AE111" s="813">
        <f>SUM(AC111:AD111)</f>
        <v>0</v>
      </c>
      <c r="AF111" s="813">
        <f>Z111+AA111+AB111+AE111</f>
        <v>470470</v>
      </c>
      <c r="AG111" s="836">
        <v>0</v>
      </c>
      <c r="AH111" s="836">
        <v>0</v>
      </c>
      <c r="AI111" s="836">
        <v>1</v>
      </c>
      <c r="AJ111" s="836">
        <v>0</v>
      </c>
      <c r="AK111" s="836">
        <v>0</v>
      </c>
      <c r="AL111" s="836">
        <f>AG111+AI111+AJ111</f>
        <v>1</v>
      </c>
      <c r="AM111" s="836">
        <f>AH111+AK111</f>
        <v>0</v>
      </c>
      <c r="AN111" s="949">
        <f>SUM(AL111:AM111)</f>
        <v>1</v>
      </c>
      <c r="AO111" s="945">
        <f t="shared" si="87"/>
        <v>470470</v>
      </c>
      <c r="AP111" s="813">
        <f t="shared" si="88"/>
        <v>346443</v>
      </c>
      <c r="AQ111" s="813">
        <f t="shared" si="89"/>
        <v>0</v>
      </c>
      <c r="AR111" s="813">
        <f t="shared" si="108"/>
        <v>117098</v>
      </c>
      <c r="AS111" s="813">
        <f t="shared" si="108"/>
        <v>6929</v>
      </c>
      <c r="AT111" s="813">
        <f t="shared" si="90"/>
        <v>0</v>
      </c>
      <c r="AU111" s="836">
        <f t="shared" si="91"/>
        <v>1</v>
      </c>
      <c r="AV111" s="836">
        <f t="shared" si="109"/>
        <v>1</v>
      </c>
      <c r="AW111" s="837">
        <f t="shared" si="109"/>
        <v>0</v>
      </c>
    </row>
    <row r="112" spans="1:49" ht="12.95" customHeight="1" x14ac:dyDescent="0.25">
      <c r="A112" s="827">
        <v>21</v>
      </c>
      <c r="B112" s="946">
        <v>5426</v>
      </c>
      <c r="C112" s="947">
        <v>600098761</v>
      </c>
      <c r="D112" s="828">
        <v>72742615</v>
      </c>
      <c r="E112" s="948" t="s">
        <v>415</v>
      </c>
      <c r="F112" s="828">
        <v>3141</v>
      </c>
      <c r="G112" s="948" t="s">
        <v>321</v>
      </c>
      <c r="H112" s="831" t="s">
        <v>284</v>
      </c>
      <c r="I112" s="803">
        <f>SUM(J112:M112)</f>
        <v>928015</v>
      </c>
      <c r="J112" s="833">
        <v>679653</v>
      </c>
      <c r="K112" s="805">
        <f>ROUND((J112)*33.8%,0)</f>
        <v>229723</v>
      </c>
      <c r="L112" s="805">
        <f>ROUND(J112*2%,0)</f>
        <v>13593</v>
      </c>
      <c r="M112" s="833">
        <v>5046</v>
      </c>
      <c r="N112" s="834">
        <f>SUM(O112:P112)</f>
        <v>2.31</v>
      </c>
      <c r="O112" s="1054">
        <v>0</v>
      </c>
      <c r="P112" s="1055">
        <v>2.31</v>
      </c>
      <c r="Q112" s="940">
        <f>V112*-1</f>
        <v>-4800</v>
      </c>
      <c r="R112" s="813">
        <v>0</v>
      </c>
      <c r="S112" s="813">
        <v>0</v>
      </c>
      <c r="T112" s="813">
        <v>0</v>
      </c>
      <c r="U112" s="813">
        <f>SUM(Q112:T112)</f>
        <v>-4800</v>
      </c>
      <c r="V112" s="813">
        <v>4800</v>
      </c>
      <c r="W112" s="941">
        <v>0</v>
      </c>
      <c r="X112" s="813">
        <v>0</v>
      </c>
      <c r="Y112" s="813">
        <f>SUM(V112:X112)</f>
        <v>4800</v>
      </c>
      <c r="Z112" s="813">
        <f>U112+Y112</f>
        <v>0</v>
      </c>
      <c r="AA112" s="809">
        <f>ROUND((U112+V112+W112)*33.8%,0)</f>
        <v>0</v>
      </c>
      <c r="AB112" s="809">
        <f>ROUND(U112*2%,0)</f>
        <v>-96</v>
      </c>
      <c r="AC112" s="813">
        <v>0</v>
      </c>
      <c r="AD112" s="813">
        <v>0</v>
      </c>
      <c r="AE112" s="813">
        <f>SUM(AC112:AD112)</f>
        <v>0</v>
      </c>
      <c r="AF112" s="813">
        <f>Z112+AA112+AB112+AE112</f>
        <v>-96</v>
      </c>
      <c r="AG112" s="836">
        <v>0</v>
      </c>
      <c r="AH112" s="836">
        <v>0</v>
      </c>
      <c r="AI112" s="836">
        <v>0</v>
      </c>
      <c r="AJ112" s="836">
        <v>0</v>
      </c>
      <c r="AK112" s="836">
        <v>0</v>
      </c>
      <c r="AL112" s="836">
        <f>AG112+AI112+AJ112</f>
        <v>0</v>
      </c>
      <c r="AM112" s="836">
        <f>AH112+AK112</f>
        <v>0</v>
      </c>
      <c r="AN112" s="949">
        <f>SUM(AL112:AM112)</f>
        <v>0</v>
      </c>
      <c r="AO112" s="945">
        <f t="shared" si="87"/>
        <v>927919</v>
      </c>
      <c r="AP112" s="813">
        <f t="shared" si="88"/>
        <v>674853</v>
      </c>
      <c r="AQ112" s="813">
        <f t="shared" si="89"/>
        <v>4800</v>
      </c>
      <c r="AR112" s="813">
        <f t="shared" si="108"/>
        <v>229723</v>
      </c>
      <c r="AS112" s="813">
        <f t="shared" si="108"/>
        <v>13497</v>
      </c>
      <c r="AT112" s="813">
        <f t="shared" si="90"/>
        <v>5046</v>
      </c>
      <c r="AU112" s="836">
        <f t="shared" si="91"/>
        <v>2.31</v>
      </c>
      <c r="AV112" s="836">
        <f t="shared" si="109"/>
        <v>0</v>
      </c>
      <c r="AW112" s="837">
        <f t="shared" si="109"/>
        <v>2.31</v>
      </c>
    </row>
    <row r="113" spans="1:49" ht="12.95" customHeight="1" x14ac:dyDescent="0.25">
      <c r="A113" s="950">
        <v>21</v>
      </c>
      <c r="B113" s="951">
        <v>5426</v>
      </c>
      <c r="C113" s="952">
        <v>600098761</v>
      </c>
      <c r="D113" s="951">
        <v>72742615</v>
      </c>
      <c r="E113" s="953" t="s">
        <v>416</v>
      </c>
      <c r="F113" s="850"/>
      <c r="G113" s="960"/>
      <c r="H113" s="851"/>
      <c r="I113" s="964">
        <f t="shared" ref="I113:AW113" si="114">SUM(I109:I112)</f>
        <v>7193447</v>
      </c>
      <c r="J113" s="965">
        <f t="shared" si="114"/>
        <v>5265538</v>
      </c>
      <c r="K113" s="965">
        <f t="shared" si="114"/>
        <v>1779752</v>
      </c>
      <c r="L113" s="965">
        <f t="shared" si="114"/>
        <v>105311</v>
      </c>
      <c r="M113" s="965">
        <f t="shared" si="114"/>
        <v>42846</v>
      </c>
      <c r="N113" s="966">
        <f t="shared" si="114"/>
        <v>13.1782</v>
      </c>
      <c r="O113" s="966">
        <f t="shared" si="114"/>
        <v>8</v>
      </c>
      <c r="P113" s="969">
        <f t="shared" si="114"/>
        <v>5.1782000000000004</v>
      </c>
      <c r="Q113" s="967">
        <f t="shared" si="114"/>
        <v>-76800</v>
      </c>
      <c r="R113" s="965">
        <f t="shared" si="114"/>
        <v>346443</v>
      </c>
      <c r="S113" s="965">
        <f t="shared" si="114"/>
        <v>0</v>
      </c>
      <c r="T113" s="965">
        <f t="shared" si="114"/>
        <v>0</v>
      </c>
      <c r="U113" s="965">
        <f t="shared" si="114"/>
        <v>269643</v>
      </c>
      <c r="V113" s="965">
        <f t="shared" si="114"/>
        <v>76800</v>
      </c>
      <c r="W113" s="965">
        <f t="shared" si="114"/>
        <v>0</v>
      </c>
      <c r="X113" s="965">
        <f t="shared" si="114"/>
        <v>0</v>
      </c>
      <c r="Y113" s="965">
        <f t="shared" si="114"/>
        <v>76800</v>
      </c>
      <c r="Z113" s="965">
        <f t="shared" si="114"/>
        <v>346443</v>
      </c>
      <c r="AA113" s="965">
        <f t="shared" si="114"/>
        <v>117098</v>
      </c>
      <c r="AB113" s="965">
        <f t="shared" si="114"/>
        <v>5393</v>
      </c>
      <c r="AC113" s="965">
        <f t="shared" si="114"/>
        <v>0</v>
      </c>
      <c r="AD113" s="965">
        <f t="shared" si="114"/>
        <v>0</v>
      </c>
      <c r="AE113" s="965">
        <f t="shared" si="114"/>
        <v>0</v>
      </c>
      <c r="AF113" s="965">
        <f t="shared" si="114"/>
        <v>468934</v>
      </c>
      <c r="AG113" s="966">
        <f t="shared" si="114"/>
        <v>0</v>
      </c>
      <c r="AH113" s="966">
        <f t="shared" si="114"/>
        <v>-0.32</v>
      </c>
      <c r="AI113" s="966">
        <f t="shared" si="114"/>
        <v>1</v>
      </c>
      <c r="AJ113" s="966">
        <f t="shared" si="114"/>
        <v>0</v>
      </c>
      <c r="AK113" s="966">
        <f t="shared" si="114"/>
        <v>0</v>
      </c>
      <c r="AL113" s="966">
        <f t="shared" si="114"/>
        <v>1</v>
      </c>
      <c r="AM113" s="966">
        <f t="shared" si="114"/>
        <v>-0.32</v>
      </c>
      <c r="AN113" s="968">
        <f t="shared" si="114"/>
        <v>0.67999999999999994</v>
      </c>
      <c r="AO113" s="964">
        <f t="shared" si="114"/>
        <v>7662381</v>
      </c>
      <c r="AP113" s="965">
        <f t="shared" si="114"/>
        <v>5535181</v>
      </c>
      <c r="AQ113" s="965">
        <f t="shared" si="114"/>
        <v>76800</v>
      </c>
      <c r="AR113" s="965">
        <f t="shared" si="114"/>
        <v>1896850</v>
      </c>
      <c r="AS113" s="965">
        <f t="shared" si="114"/>
        <v>110704</v>
      </c>
      <c r="AT113" s="965">
        <f t="shared" si="114"/>
        <v>42846</v>
      </c>
      <c r="AU113" s="966">
        <f t="shared" si="114"/>
        <v>13.8582</v>
      </c>
      <c r="AV113" s="966">
        <f t="shared" si="114"/>
        <v>9</v>
      </c>
      <c r="AW113" s="969">
        <f t="shared" si="114"/>
        <v>4.8582000000000001</v>
      </c>
    </row>
    <row r="114" spans="1:49" ht="12.95" customHeight="1" x14ac:dyDescent="0.25">
      <c r="A114" s="827">
        <v>22</v>
      </c>
      <c r="B114" s="946">
        <v>5423</v>
      </c>
      <c r="C114" s="947">
        <v>600098516</v>
      </c>
      <c r="D114" s="828">
        <v>72742453</v>
      </c>
      <c r="E114" s="948" t="s">
        <v>417</v>
      </c>
      <c r="F114" s="828">
        <v>3111</v>
      </c>
      <c r="G114" s="948" t="s">
        <v>331</v>
      </c>
      <c r="H114" s="831" t="s">
        <v>283</v>
      </c>
      <c r="I114" s="803">
        <f>SUM(J114:M114)</f>
        <v>9073105</v>
      </c>
      <c r="J114" s="833">
        <v>6637154</v>
      </c>
      <c r="K114" s="805">
        <f>ROUND((J114)*33.8%,0)</f>
        <v>2243358</v>
      </c>
      <c r="L114" s="805">
        <f>ROUND(J114*2%,0)</f>
        <v>132743</v>
      </c>
      <c r="M114" s="833">
        <v>59850</v>
      </c>
      <c r="N114" s="834">
        <f>SUM(O114:P114)</f>
        <v>15.60045</v>
      </c>
      <c r="O114" s="1054">
        <v>11</v>
      </c>
      <c r="P114" s="1055">
        <v>4.6004500000000004</v>
      </c>
      <c r="Q114" s="940">
        <f>V114*-1</f>
        <v>0</v>
      </c>
      <c r="R114" s="813">
        <v>0</v>
      </c>
      <c r="S114" s="813">
        <v>0</v>
      </c>
      <c r="T114" s="813">
        <v>0</v>
      </c>
      <c r="U114" s="813">
        <f>SUM(Q114:T114)</f>
        <v>0</v>
      </c>
      <c r="V114" s="813">
        <v>0</v>
      </c>
      <c r="W114" s="941">
        <v>0</v>
      </c>
      <c r="X114" s="813">
        <v>0</v>
      </c>
      <c r="Y114" s="813">
        <f>SUM(V114:X114)</f>
        <v>0</v>
      </c>
      <c r="Z114" s="813">
        <f>U114+Y114</f>
        <v>0</v>
      </c>
      <c r="AA114" s="809">
        <f>ROUND((U114+V114+W114)*33.8%,0)</f>
        <v>0</v>
      </c>
      <c r="AB114" s="809">
        <f>ROUND(U114*2%,0)</f>
        <v>0</v>
      </c>
      <c r="AC114" s="813">
        <v>0</v>
      </c>
      <c r="AD114" s="813">
        <v>0</v>
      </c>
      <c r="AE114" s="813">
        <f>SUM(AC114:AD114)</f>
        <v>0</v>
      </c>
      <c r="AF114" s="813">
        <f>Z114+AA114+AB114+AE114</f>
        <v>0</v>
      </c>
      <c r="AG114" s="836">
        <v>0</v>
      </c>
      <c r="AH114" s="836">
        <v>0</v>
      </c>
      <c r="AI114" s="836">
        <v>0</v>
      </c>
      <c r="AJ114" s="836">
        <v>0</v>
      </c>
      <c r="AK114" s="836">
        <v>0</v>
      </c>
      <c r="AL114" s="836">
        <f>AG114+AI114+AJ114</f>
        <v>0</v>
      </c>
      <c r="AM114" s="836">
        <f>AH114+AK114</f>
        <v>0</v>
      </c>
      <c r="AN114" s="949">
        <f>SUM(AL114:AM114)</f>
        <v>0</v>
      </c>
      <c r="AO114" s="945">
        <f t="shared" si="87"/>
        <v>9073105</v>
      </c>
      <c r="AP114" s="813">
        <f t="shared" si="88"/>
        <v>6637154</v>
      </c>
      <c r="AQ114" s="813">
        <f t="shared" si="89"/>
        <v>0</v>
      </c>
      <c r="AR114" s="813">
        <f t="shared" si="108"/>
        <v>2243358</v>
      </c>
      <c r="AS114" s="813">
        <f t="shared" si="108"/>
        <v>132743</v>
      </c>
      <c r="AT114" s="813">
        <f t="shared" si="90"/>
        <v>59850</v>
      </c>
      <c r="AU114" s="836">
        <f t="shared" si="91"/>
        <v>15.60045</v>
      </c>
      <c r="AV114" s="836">
        <f t="shared" si="109"/>
        <v>11</v>
      </c>
      <c r="AW114" s="837">
        <f t="shared" si="109"/>
        <v>4.6004500000000004</v>
      </c>
    </row>
    <row r="115" spans="1:49" ht="12.95" customHeight="1" x14ac:dyDescent="0.25">
      <c r="A115" s="827">
        <v>22</v>
      </c>
      <c r="B115" s="946">
        <v>5423</v>
      </c>
      <c r="C115" s="947">
        <v>600098516</v>
      </c>
      <c r="D115" s="828">
        <v>72742453</v>
      </c>
      <c r="E115" s="948" t="s">
        <v>417</v>
      </c>
      <c r="F115" s="828">
        <v>3111</v>
      </c>
      <c r="G115" s="948" t="s">
        <v>325</v>
      </c>
      <c r="H115" s="831" t="s">
        <v>284</v>
      </c>
      <c r="I115" s="803">
        <f>SUM(J115:M115)</f>
        <v>0</v>
      </c>
      <c r="J115" s="833">
        <v>0</v>
      </c>
      <c r="K115" s="805">
        <v>0</v>
      </c>
      <c r="L115" s="805">
        <v>0</v>
      </c>
      <c r="M115" s="833">
        <v>0</v>
      </c>
      <c r="N115" s="834">
        <f>SUM(O115:P115)</f>
        <v>0</v>
      </c>
      <c r="O115" s="1054">
        <v>0</v>
      </c>
      <c r="P115" s="1055">
        <v>0</v>
      </c>
      <c r="Q115" s="940">
        <f>V115*-1</f>
        <v>0</v>
      </c>
      <c r="R115" s="833">
        <v>346443</v>
      </c>
      <c r="S115" s="813">
        <v>0</v>
      </c>
      <c r="T115" s="813">
        <v>0</v>
      </c>
      <c r="U115" s="813">
        <f>SUM(Q115:T115)</f>
        <v>346443</v>
      </c>
      <c r="V115" s="813">
        <v>0</v>
      </c>
      <c r="W115" s="941">
        <v>0</v>
      </c>
      <c r="X115" s="813">
        <v>0</v>
      </c>
      <c r="Y115" s="813">
        <f>SUM(V115:X115)</f>
        <v>0</v>
      </c>
      <c r="Z115" s="813">
        <f>U115+Y115</f>
        <v>346443</v>
      </c>
      <c r="AA115" s="809">
        <f>ROUND((U115+V115+W115)*33.8%,0)</f>
        <v>117098</v>
      </c>
      <c r="AB115" s="809">
        <f>ROUND(U115*2%,0)</f>
        <v>6929</v>
      </c>
      <c r="AC115" s="813">
        <v>0</v>
      </c>
      <c r="AD115" s="813">
        <v>0</v>
      </c>
      <c r="AE115" s="813">
        <f>SUM(AC115:AD115)</f>
        <v>0</v>
      </c>
      <c r="AF115" s="813">
        <f>Z115+AA115+AB115+AE115</f>
        <v>470470</v>
      </c>
      <c r="AG115" s="836">
        <v>0</v>
      </c>
      <c r="AH115" s="836">
        <v>0</v>
      </c>
      <c r="AI115" s="836">
        <v>1</v>
      </c>
      <c r="AJ115" s="836">
        <v>0</v>
      </c>
      <c r="AK115" s="836">
        <v>0</v>
      </c>
      <c r="AL115" s="836">
        <f>AG115+AI115+AJ115</f>
        <v>1</v>
      </c>
      <c r="AM115" s="836">
        <f>AH115+AK115</f>
        <v>0</v>
      </c>
      <c r="AN115" s="949">
        <f>SUM(AL115:AM115)</f>
        <v>1</v>
      </c>
      <c r="AO115" s="945">
        <f t="shared" si="87"/>
        <v>470470</v>
      </c>
      <c r="AP115" s="813">
        <f t="shared" si="88"/>
        <v>346443</v>
      </c>
      <c r="AQ115" s="813">
        <f t="shared" si="89"/>
        <v>0</v>
      </c>
      <c r="AR115" s="813">
        <f t="shared" si="108"/>
        <v>117098</v>
      </c>
      <c r="AS115" s="813">
        <f t="shared" si="108"/>
        <v>6929</v>
      </c>
      <c r="AT115" s="813">
        <f t="shared" si="90"/>
        <v>0</v>
      </c>
      <c r="AU115" s="836">
        <f t="shared" si="91"/>
        <v>1</v>
      </c>
      <c r="AV115" s="836">
        <f t="shared" si="109"/>
        <v>1</v>
      </c>
      <c r="AW115" s="837">
        <f t="shared" si="109"/>
        <v>0</v>
      </c>
    </row>
    <row r="116" spans="1:49" ht="12.95" customHeight="1" x14ac:dyDescent="0.25">
      <c r="A116" s="827">
        <v>22</v>
      </c>
      <c r="B116" s="946">
        <v>5423</v>
      </c>
      <c r="C116" s="947">
        <v>600098516</v>
      </c>
      <c r="D116" s="828">
        <v>72742453</v>
      </c>
      <c r="E116" s="948" t="s">
        <v>417</v>
      </c>
      <c r="F116" s="828">
        <v>3141</v>
      </c>
      <c r="G116" s="948" t="s">
        <v>321</v>
      </c>
      <c r="H116" s="831" t="s">
        <v>284</v>
      </c>
      <c r="I116" s="803">
        <f>SUM(J116:M116)</f>
        <v>1530389</v>
      </c>
      <c r="J116" s="833">
        <v>1120653</v>
      </c>
      <c r="K116" s="805">
        <f>ROUND((J116)*33.8%,0)</f>
        <v>378781</v>
      </c>
      <c r="L116" s="805">
        <f>ROUND(J116*2%,0)</f>
        <v>22413</v>
      </c>
      <c r="M116" s="833">
        <v>8542</v>
      </c>
      <c r="N116" s="834">
        <f>SUM(O116:P116)</f>
        <v>3.81</v>
      </c>
      <c r="O116" s="1054">
        <v>0</v>
      </c>
      <c r="P116" s="1055">
        <v>3.81</v>
      </c>
      <c r="Q116" s="940">
        <f>V116*-1</f>
        <v>0</v>
      </c>
      <c r="R116" s="813">
        <v>0</v>
      </c>
      <c r="S116" s="813">
        <v>0</v>
      </c>
      <c r="T116" s="813">
        <v>0</v>
      </c>
      <c r="U116" s="813">
        <f>SUM(Q116:T116)</f>
        <v>0</v>
      </c>
      <c r="V116" s="813">
        <v>0</v>
      </c>
      <c r="W116" s="941">
        <v>0</v>
      </c>
      <c r="X116" s="813">
        <v>0</v>
      </c>
      <c r="Y116" s="813">
        <f>SUM(V116:X116)</f>
        <v>0</v>
      </c>
      <c r="Z116" s="813">
        <f>U116+Y116</f>
        <v>0</v>
      </c>
      <c r="AA116" s="809">
        <f>ROUND((U116+V116+W116)*33.8%,0)</f>
        <v>0</v>
      </c>
      <c r="AB116" s="809">
        <f>ROUND(U116*2%,0)</f>
        <v>0</v>
      </c>
      <c r="AC116" s="813">
        <v>0</v>
      </c>
      <c r="AD116" s="813">
        <v>0</v>
      </c>
      <c r="AE116" s="813">
        <f>SUM(AC116:AD116)</f>
        <v>0</v>
      </c>
      <c r="AF116" s="813">
        <f>Z116+AA116+AB116+AE116</f>
        <v>0</v>
      </c>
      <c r="AG116" s="836">
        <v>0</v>
      </c>
      <c r="AH116" s="836">
        <v>0</v>
      </c>
      <c r="AI116" s="836">
        <v>0</v>
      </c>
      <c r="AJ116" s="836">
        <v>0</v>
      </c>
      <c r="AK116" s="836">
        <v>0</v>
      </c>
      <c r="AL116" s="836">
        <f>AG116+AI116+AJ116</f>
        <v>0</v>
      </c>
      <c r="AM116" s="836">
        <f>AH116+AK116</f>
        <v>0</v>
      </c>
      <c r="AN116" s="949">
        <f>SUM(AL116:AM116)</f>
        <v>0</v>
      </c>
      <c r="AO116" s="945">
        <f t="shared" si="87"/>
        <v>1530389</v>
      </c>
      <c r="AP116" s="813">
        <f t="shared" si="88"/>
        <v>1120653</v>
      </c>
      <c r="AQ116" s="813">
        <f t="shared" si="89"/>
        <v>0</v>
      </c>
      <c r="AR116" s="813">
        <f t="shared" si="108"/>
        <v>378781</v>
      </c>
      <c r="AS116" s="813">
        <f t="shared" si="108"/>
        <v>22413</v>
      </c>
      <c r="AT116" s="813">
        <f t="shared" si="90"/>
        <v>8542</v>
      </c>
      <c r="AU116" s="836">
        <f t="shared" si="91"/>
        <v>3.81</v>
      </c>
      <c r="AV116" s="836">
        <f t="shared" si="109"/>
        <v>0</v>
      </c>
      <c r="AW116" s="837">
        <f t="shared" si="109"/>
        <v>3.81</v>
      </c>
    </row>
    <row r="117" spans="1:49" ht="12.95" customHeight="1" x14ac:dyDescent="0.25">
      <c r="A117" s="950">
        <v>22</v>
      </c>
      <c r="B117" s="951">
        <v>5423</v>
      </c>
      <c r="C117" s="952">
        <v>600098516</v>
      </c>
      <c r="D117" s="951">
        <v>72742453</v>
      </c>
      <c r="E117" s="953" t="s">
        <v>418</v>
      </c>
      <c r="F117" s="850"/>
      <c r="G117" s="960"/>
      <c r="H117" s="851"/>
      <c r="I117" s="954">
        <f t="shared" ref="I117:AW117" si="115">SUM(I114:I116)</f>
        <v>10603494</v>
      </c>
      <c r="J117" s="955">
        <f t="shared" si="115"/>
        <v>7757807</v>
      </c>
      <c r="K117" s="955">
        <f t="shared" si="115"/>
        <v>2622139</v>
      </c>
      <c r="L117" s="955">
        <f t="shared" si="115"/>
        <v>155156</v>
      </c>
      <c r="M117" s="955">
        <f t="shared" si="115"/>
        <v>68392</v>
      </c>
      <c r="N117" s="956">
        <f t="shared" si="115"/>
        <v>19.410450000000001</v>
      </c>
      <c r="O117" s="956">
        <f t="shared" si="115"/>
        <v>11</v>
      </c>
      <c r="P117" s="959">
        <f t="shared" si="115"/>
        <v>8.4104500000000009</v>
      </c>
      <c r="Q117" s="957">
        <f t="shared" si="115"/>
        <v>0</v>
      </c>
      <c r="R117" s="955">
        <f t="shared" si="115"/>
        <v>346443</v>
      </c>
      <c r="S117" s="955">
        <f t="shared" si="115"/>
        <v>0</v>
      </c>
      <c r="T117" s="955">
        <f t="shared" si="115"/>
        <v>0</v>
      </c>
      <c r="U117" s="955">
        <f t="shared" si="115"/>
        <v>346443</v>
      </c>
      <c r="V117" s="955">
        <f t="shared" si="115"/>
        <v>0</v>
      </c>
      <c r="W117" s="955">
        <f t="shared" si="115"/>
        <v>0</v>
      </c>
      <c r="X117" s="955">
        <f t="shared" si="115"/>
        <v>0</v>
      </c>
      <c r="Y117" s="955">
        <f t="shared" si="115"/>
        <v>0</v>
      </c>
      <c r="Z117" s="955">
        <f t="shared" si="115"/>
        <v>346443</v>
      </c>
      <c r="AA117" s="955">
        <f t="shared" si="115"/>
        <v>117098</v>
      </c>
      <c r="AB117" s="955">
        <f t="shared" si="115"/>
        <v>6929</v>
      </c>
      <c r="AC117" s="955">
        <f t="shared" si="115"/>
        <v>0</v>
      </c>
      <c r="AD117" s="955">
        <f t="shared" si="115"/>
        <v>0</v>
      </c>
      <c r="AE117" s="955">
        <f t="shared" si="115"/>
        <v>0</v>
      </c>
      <c r="AF117" s="955">
        <f t="shared" si="115"/>
        <v>470470</v>
      </c>
      <c r="AG117" s="956">
        <f t="shared" si="115"/>
        <v>0</v>
      </c>
      <c r="AH117" s="956">
        <f t="shared" si="115"/>
        <v>0</v>
      </c>
      <c r="AI117" s="956">
        <f t="shared" si="115"/>
        <v>1</v>
      </c>
      <c r="AJ117" s="956">
        <f t="shared" si="115"/>
        <v>0</v>
      </c>
      <c r="AK117" s="956">
        <f t="shared" si="115"/>
        <v>0</v>
      </c>
      <c r="AL117" s="956">
        <f t="shared" si="115"/>
        <v>1</v>
      </c>
      <c r="AM117" s="956">
        <f t="shared" si="115"/>
        <v>0</v>
      </c>
      <c r="AN117" s="958">
        <f t="shared" si="115"/>
        <v>1</v>
      </c>
      <c r="AO117" s="954">
        <f t="shared" si="115"/>
        <v>11073964</v>
      </c>
      <c r="AP117" s="955">
        <f t="shared" si="115"/>
        <v>8104250</v>
      </c>
      <c r="AQ117" s="955">
        <f t="shared" si="115"/>
        <v>0</v>
      </c>
      <c r="AR117" s="955">
        <f t="shared" si="115"/>
        <v>2739237</v>
      </c>
      <c r="AS117" s="955">
        <f t="shared" si="115"/>
        <v>162085</v>
      </c>
      <c r="AT117" s="955">
        <f t="shared" si="115"/>
        <v>68392</v>
      </c>
      <c r="AU117" s="956">
        <f t="shared" si="115"/>
        <v>20.410450000000001</v>
      </c>
      <c r="AV117" s="956">
        <f t="shared" si="115"/>
        <v>12</v>
      </c>
      <c r="AW117" s="959">
        <f t="shared" si="115"/>
        <v>8.4104500000000009</v>
      </c>
    </row>
    <row r="118" spans="1:49" ht="12.75" customHeight="1" x14ac:dyDescent="0.25">
      <c r="A118" s="827">
        <v>23</v>
      </c>
      <c r="B118" s="946">
        <v>5422</v>
      </c>
      <c r="C118" s="947">
        <v>600099181</v>
      </c>
      <c r="D118" s="828">
        <v>854751</v>
      </c>
      <c r="E118" s="948" t="s">
        <v>419</v>
      </c>
      <c r="F118" s="828">
        <v>3113</v>
      </c>
      <c r="G118" s="948" t="s">
        <v>335</v>
      </c>
      <c r="H118" s="831" t="s">
        <v>283</v>
      </c>
      <c r="I118" s="803">
        <f>SUM(J118:M118)</f>
        <v>34826232</v>
      </c>
      <c r="J118" s="833">
        <v>24985753</v>
      </c>
      <c r="K118" s="805">
        <f>ROUND((J118)*33.8%,0)-1</f>
        <v>8445184</v>
      </c>
      <c r="L118" s="805">
        <f>ROUND(J118*2%,0)</f>
        <v>499715</v>
      </c>
      <c r="M118" s="833">
        <v>895580</v>
      </c>
      <c r="N118" s="834">
        <f>SUM(O118:P118)</f>
        <v>46.889499999999998</v>
      </c>
      <c r="O118" s="1054">
        <v>35.636400000000002</v>
      </c>
      <c r="P118" s="1055">
        <v>11.2531</v>
      </c>
      <c r="Q118" s="940">
        <f>V118*-1</f>
        <v>-72000</v>
      </c>
      <c r="R118" s="813">
        <v>0</v>
      </c>
      <c r="S118" s="813">
        <v>0</v>
      </c>
      <c r="T118" s="813">
        <v>85650</v>
      </c>
      <c r="U118" s="813">
        <f>SUM(Q118:T118)</f>
        <v>13650</v>
      </c>
      <c r="V118" s="813">
        <v>72000</v>
      </c>
      <c r="W118" s="941">
        <v>0</v>
      </c>
      <c r="X118" s="813">
        <v>0</v>
      </c>
      <c r="Y118" s="813">
        <f>SUM(V118:X118)</f>
        <v>72000</v>
      </c>
      <c r="Z118" s="813">
        <f>U118+Y118</f>
        <v>85650</v>
      </c>
      <c r="AA118" s="809">
        <f>ROUND((U118+V118+W118)*33.8%,0)</f>
        <v>28950</v>
      </c>
      <c r="AB118" s="809">
        <f>ROUND(U118*2%,0)</f>
        <v>273</v>
      </c>
      <c r="AC118" s="813">
        <v>0</v>
      </c>
      <c r="AD118" s="813">
        <v>0</v>
      </c>
      <c r="AE118" s="813">
        <f>SUM(AC118:AD118)</f>
        <v>0</v>
      </c>
      <c r="AF118" s="813">
        <f>Z118+AA118+AB118+AE118</f>
        <v>114873</v>
      </c>
      <c r="AG118" s="836">
        <v>0</v>
      </c>
      <c r="AH118" s="836">
        <v>0</v>
      </c>
      <c r="AI118" s="836">
        <v>0</v>
      </c>
      <c r="AJ118" s="836">
        <v>0.14000000000000001</v>
      </c>
      <c r="AK118" s="836">
        <v>0</v>
      </c>
      <c r="AL118" s="836">
        <f>AG118+AI118+AJ118</f>
        <v>0.14000000000000001</v>
      </c>
      <c r="AM118" s="836">
        <f>AH118+AK118</f>
        <v>0</v>
      </c>
      <c r="AN118" s="949">
        <f>SUM(AL118:AM118)</f>
        <v>0.14000000000000001</v>
      </c>
      <c r="AO118" s="945">
        <f t="shared" si="87"/>
        <v>34941105</v>
      </c>
      <c r="AP118" s="813">
        <f t="shared" si="88"/>
        <v>24999403</v>
      </c>
      <c r="AQ118" s="813">
        <f t="shared" si="89"/>
        <v>72000</v>
      </c>
      <c r="AR118" s="813">
        <f t="shared" si="108"/>
        <v>8474134</v>
      </c>
      <c r="AS118" s="813">
        <f t="shared" si="108"/>
        <v>499988</v>
      </c>
      <c r="AT118" s="813">
        <f t="shared" si="90"/>
        <v>895580</v>
      </c>
      <c r="AU118" s="836">
        <f t="shared" si="91"/>
        <v>47.029499999999999</v>
      </c>
      <c r="AV118" s="836">
        <f t="shared" si="109"/>
        <v>35.776400000000002</v>
      </c>
      <c r="AW118" s="837">
        <f t="shared" si="109"/>
        <v>11.2531</v>
      </c>
    </row>
    <row r="119" spans="1:49" ht="12.95" customHeight="1" x14ac:dyDescent="0.25">
      <c r="A119" s="827">
        <v>23</v>
      </c>
      <c r="B119" s="946">
        <v>5422</v>
      </c>
      <c r="C119" s="947">
        <v>600099181</v>
      </c>
      <c r="D119" s="828">
        <v>854751</v>
      </c>
      <c r="E119" s="948" t="s">
        <v>419</v>
      </c>
      <c r="F119" s="828">
        <v>3113</v>
      </c>
      <c r="G119" s="948" t="s">
        <v>325</v>
      </c>
      <c r="H119" s="831" t="s">
        <v>284</v>
      </c>
      <c r="I119" s="803">
        <f>SUM(J119:M119)</f>
        <v>0</v>
      </c>
      <c r="J119" s="833">
        <v>0</v>
      </c>
      <c r="K119" s="805">
        <v>0</v>
      </c>
      <c r="L119" s="805">
        <v>0</v>
      </c>
      <c r="M119" s="833">
        <v>0</v>
      </c>
      <c r="N119" s="834">
        <f>SUM(O119:P119)</f>
        <v>0</v>
      </c>
      <c r="O119" s="1054">
        <v>0</v>
      </c>
      <c r="P119" s="1055">
        <v>0</v>
      </c>
      <c r="Q119" s="940">
        <f>V119*-1</f>
        <v>0</v>
      </c>
      <c r="R119" s="833">
        <v>1905651</v>
      </c>
      <c r="S119" s="813">
        <v>0</v>
      </c>
      <c r="T119" s="813">
        <v>0</v>
      </c>
      <c r="U119" s="813">
        <f>SUM(Q119:T119)</f>
        <v>1905651</v>
      </c>
      <c r="V119" s="813">
        <v>0</v>
      </c>
      <c r="W119" s="941">
        <v>0</v>
      </c>
      <c r="X119" s="813">
        <v>0</v>
      </c>
      <c r="Y119" s="813">
        <f>SUM(V119:X119)</f>
        <v>0</v>
      </c>
      <c r="Z119" s="813">
        <f>U119+Y119</f>
        <v>1905651</v>
      </c>
      <c r="AA119" s="809">
        <f>ROUND((U119+V119+W119)*33.8%,0)</f>
        <v>644110</v>
      </c>
      <c r="AB119" s="809">
        <f>ROUND(U119*2%,0)</f>
        <v>38113</v>
      </c>
      <c r="AC119" s="833">
        <v>1250</v>
      </c>
      <c r="AD119" s="813">
        <v>0</v>
      </c>
      <c r="AE119" s="813">
        <f>SUM(AC119:AD119)</f>
        <v>1250</v>
      </c>
      <c r="AF119" s="813">
        <f>Z119+AA119+AB119+AE119</f>
        <v>2589124</v>
      </c>
      <c r="AG119" s="836">
        <v>0</v>
      </c>
      <c r="AH119" s="836">
        <v>0</v>
      </c>
      <c r="AI119" s="836">
        <v>5.42</v>
      </c>
      <c r="AJ119" s="836">
        <v>0</v>
      </c>
      <c r="AK119" s="836">
        <v>0</v>
      </c>
      <c r="AL119" s="836">
        <f>AG119+AI119+AJ119</f>
        <v>5.42</v>
      </c>
      <c r="AM119" s="836">
        <f>AH119+AK119</f>
        <v>0</v>
      </c>
      <c r="AN119" s="949">
        <f>SUM(AL119:AM119)</f>
        <v>5.42</v>
      </c>
      <c r="AO119" s="945">
        <f t="shared" si="87"/>
        <v>2589124</v>
      </c>
      <c r="AP119" s="813">
        <f t="shared" si="88"/>
        <v>1905651</v>
      </c>
      <c r="AQ119" s="813">
        <f t="shared" si="89"/>
        <v>0</v>
      </c>
      <c r="AR119" s="813">
        <f t="shared" si="108"/>
        <v>644110</v>
      </c>
      <c r="AS119" s="813">
        <f t="shared" si="108"/>
        <v>38113</v>
      </c>
      <c r="AT119" s="813">
        <f t="shared" si="90"/>
        <v>1250</v>
      </c>
      <c r="AU119" s="836">
        <f t="shared" si="91"/>
        <v>5.42</v>
      </c>
      <c r="AV119" s="836">
        <f t="shared" si="109"/>
        <v>5.42</v>
      </c>
      <c r="AW119" s="837">
        <f t="shared" si="109"/>
        <v>0</v>
      </c>
    </row>
    <row r="120" spans="1:49" ht="12.95" customHeight="1" x14ac:dyDescent="0.25">
      <c r="A120" s="827">
        <v>23</v>
      </c>
      <c r="B120" s="946">
        <v>5422</v>
      </c>
      <c r="C120" s="947">
        <v>600099181</v>
      </c>
      <c r="D120" s="828">
        <v>854751</v>
      </c>
      <c r="E120" s="948" t="s">
        <v>419</v>
      </c>
      <c r="F120" s="828">
        <v>3141</v>
      </c>
      <c r="G120" s="948" t="s">
        <v>321</v>
      </c>
      <c r="H120" s="831" t="s">
        <v>284</v>
      </c>
      <c r="I120" s="803">
        <f>SUM(J120:M120)</f>
        <v>3456115</v>
      </c>
      <c r="J120" s="833">
        <v>2518652</v>
      </c>
      <c r="K120" s="805">
        <f>ROUND((J120)*33.8%,0)</f>
        <v>851304</v>
      </c>
      <c r="L120" s="805">
        <f>ROUND(J120*2%,0)</f>
        <v>50373</v>
      </c>
      <c r="M120" s="833">
        <v>35786</v>
      </c>
      <c r="N120" s="834">
        <f>SUM(O120:P120)</f>
        <v>8.57</v>
      </c>
      <c r="O120" s="1054">
        <v>0</v>
      </c>
      <c r="P120" s="1055">
        <v>8.57</v>
      </c>
      <c r="Q120" s="940">
        <f>V120*-1</f>
        <v>-8000</v>
      </c>
      <c r="R120" s="813">
        <v>0</v>
      </c>
      <c r="S120" s="813">
        <v>0</v>
      </c>
      <c r="T120" s="813">
        <v>0</v>
      </c>
      <c r="U120" s="813">
        <f>SUM(Q120:T120)</f>
        <v>-8000</v>
      </c>
      <c r="V120" s="813">
        <v>8000</v>
      </c>
      <c r="W120" s="941">
        <v>0</v>
      </c>
      <c r="X120" s="813">
        <v>0</v>
      </c>
      <c r="Y120" s="813">
        <f>SUM(V120:X120)</f>
        <v>8000</v>
      </c>
      <c r="Z120" s="813">
        <f>U120+Y120</f>
        <v>0</v>
      </c>
      <c r="AA120" s="809">
        <f>ROUND((U120+V120+W120)*33.8%,0)</f>
        <v>0</v>
      </c>
      <c r="AB120" s="809">
        <f>ROUND(U120*2%,0)</f>
        <v>-160</v>
      </c>
      <c r="AC120" s="813">
        <v>0</v>
      </c>
      <c r="AD120" s="813">
        <v>0</v>
      </c>
      <c r="AE120" s="813">
        <f>SUM(AC120:AD120)</f>
        <v>0</v>
      </c>
      <c r="AF120" s="813">
        <f>Z120+AA120+AB120+AE120</f>
        <v>-160</v>
      </c>
      <c r="AG120" s="836">
        <v>0</v>
      </c>
      <c r="AH120" s="836">
        <v>0</v>
      </c>
      <c r="AI120" s="836">
        <v>0</v>
      </c>
      <c r="AJ120" s="836">
        <v>0</v>
      </c>
      <c r="AK120" s="836">
        <v>0</v>
      </c>
      <c r="AL120" s="836">
        <f>AG120+AI120+AJ120</f>
        <v>0</v>
      </c>
      <c r="AM120" s="836">
        <f>AH120+AK120</f>
        <v>0</v>
      </c>
      <c r="AN120" s="949">
        <f>SUM(AL120:AM120)</f>
        <v>0</v>
      </c>
      <c r="AO120" s="945">
        <f t="shared" si="87"/>
        <v>3455955</v>
      </c>
      <c r="AP120" s="813">
        <f t="shared" si="88"/>
        <v>2510652</v>
      </c>
      <c r="AQ120" s="813">
        <f t="shared" si="89"/>
        <v>8000</v>
      </c>
      <c r="AR120" s="813">
        <f t="shared" si="108"/>
        <v>851304</v>
      </c>
      <c r="AS120" s="813">
        <f t="shared" si="108"/>
        <v>50213</v>
      </c>
      <c r="AT120" s="813">
        <f t="shared" si="90"/>
        <v>35786</v>
      </c>
      <c r="AU120" s="836">
        <f t="shared" si="91"/>
        <v>8.57</v>
      </c>
      <c r="AV120" s="836">
        <f t="shared" si="109"/>
        <v>0</v>
      </c>
      <c r="AW120" s="837">
        <f t="shared" si="109"/>
        <v>8.57</v>
      </c>
    </row>
    <row r="121" spans="1:49" ht="12.95" customHeight="1" x14ac:dyDescent="0.25">
      <c r="A121" s="827">
        <v>23</v>
      </c>
      <c r="B121" s="946">
        <v>5422</v>
      </c>
      <c r="C121" s="947">
        <v>600099181</v>
      </c>
      <c r="D121" s="828">
        <v>854751</v>
      </c>
      <c r="E121" s="948" t="s">
        <v>419</v>
      </c>
      <c r="F121" s="828">
        <v>3143</v>
      </c>
      <c r="G121" s="948" t="s">
        <v>635</v>
      </c>
      <c r="H121" s="831" t="s">
        <v>283</v>
      </c>
      <c r="I121" s="803">
        <f>SUM(J121:M121)</f>
        <v>2191655</v>
      </c>
      <c r="J121" s="833">
        <v>1613884</v>
      </c>
      <c r="K121" s="805">
        <f>ROUND((J121)*33.8%,0)</f>
        <v>545493</v>
      </c>
      <c r="L121" s="805">
        <f>ROUND(J121*2%,0)</f>
        <v>32278</v>
      </c>
      <c r="M121" s="833">
        <v>0</v>
      </c>
      <c r="N121" s="834">
        <f>SUM(O121:P121)</f>
        <v>3.4821</v>
      </c>
      <c r="O121" s="1054">
        <v>3.4821</v>
      </c>
      <c r="P121" s="1055">
        <v>0</v>
      </c>
      <c r="Q121" s="940">
        <f>V121*-1</f>
        <v>0</v>
      </c>
      <c r="R121" s="813">
        <v>0</v>
      </c>
      <c r="S121" s="813">
        <v>0</v>
      </c>
      <c r="T121" s="813">
        <v>0</v>
      </c>
      <c r="U121" s="813">
        <f>SUM(Q121:T121)</f>
        <v>0</v>
      </c>
      <c r="V121" s="813">
        <v>0</v>
      </c>
      <c r="W121" s="941">
        <v>0</v>
      </c>
      <c r="X121" s="813">
        <v>0</v>
      </c>
      <c r="Y121" s="813">
        <f>SUM(V121:X121)</f>
        <v>0</v>
      </c>
      <c r="Z121" s="813">
        <f>U121+Y121</f>
        <v>0</v>
      </c>
      <c r="AA121" s="809">
        <f>ROUND((U121+V121+W121)*33.8%,0)</f>
        <v>0</v>
      </c>
      <c r="AB121" s="809">
        <f>ROUND(U121*2%,0)</f>
        <v>0</v>
      </c>
      <c r="AC121" s="813">
        <v>0</v>
      </c>
      <c r="AD121" s="813">
        <v>0</v>
      </c>
      <c r="AE121" s="813">
        <f>SUM(AC121:AD121)</f>
        <v>0</v>
      </c>
      <c r="AF121" s="813">
        <f>Z121+AA121+AB121+AE121</f>
        <v>0</v>
      </c>
      <c r="AG121" s="836">
        <v>0</v>
      </c>
      <c r="AH121" s="836">
        <v>0</v>
      </c>
      <c r="AI121" s="836">
        <v>0</v>
      </c>
      <c r="AJ121" s="836">
        <v>0</v>
      </c>
      <c r="AK121" s="836">
        <v>0</v>
      </c>
      <c r="AL121" s="836">
        <f>AG121+AI121+AJ121</f>
        <v>0</v>
      </c>
      <c r="AM121" s="836">
        <f>AH121+AK121</f>
        <v>0</v>
      </c>
      <c r="AN121" s="949">
        <f>SUM(AL121:AM121)</f>
        <v>0</v>
      </c>
      <c r="AO121" s="945">
        <f t="shared" si="87"/>
        <v>2191655</v>
      </c>
      <c r="AP121" s="813">
        <f t="shared" si="88"/>
        <v>1613884</v>
      </c>
      <c r="AQ121" s="813">
        <f t="shared" si="89"/>
        <v>0</v>
      </c>
      <c r="AR121" s="813">
        <f t="shared" si="108"/>
        <v>545493</v>
      </c>
      <c r="AS121" s="813">
        <f t="shared" si="108"/>
        <v>32278</v>
      </c>
      <c r="AT121" s="813">
        <f t="shared" si="90"/>
        <v>0</v>
      </c>
      <c r="AU121" s="836">
        <f t="shared" si="91"/>
        <v>3.4821</v>
      </c>
      <c r="AV121" s="836">
        <f t="shared" si="109"/>
        <v>3.4821</v>
      </c>
      <c r="AW121" s="837">
        <f t="shared" si="109"/>
        <v>0</v>
      </c>
    </row>
    <row r="122" spans="1:49" ht="12.95" customHeight="1" x14ac:dyDescent="0.25">
      <c r="A122" s="827">
        <v>23</v>
      </c>
      <c r="B122" s="946">
        <v>5422</v>
      </c>
      <c r="C122" s="947">
        <v>600099181</v>
      </c>
      <c r="D122" s="828">
        <v>854751</v>
      </c>
      <c r="E122" s="948" t="s">
        <v>419</v>
      </c>
      <c r="F122" s="828">
        <v>3143</v>
      </c>
      <c r="G122" s="948" t="s">
        <v>636</v>
      </c>
      <c r="H122" s="831" t="s">
        <v>284</v>
      </c>
      <c r="I122" s="803">
        <f>SUM(J122:M122)</f>
        <v>78648</v>
      </c>
      <c r="J122" s="833">
        <v>55440</v>
      </c>
      <c r="K122" s="805">
        <f>ROUND((J122)*33.8%,0)</f>
        <v>18739</v>
      </c>
      <c r="L122" s="805">
        <f>ROUND(J122*2%,0)</f>
        <v>1109</v>
      </c>
      <c r="M122" s="833">
        <v>3360</v>
      </c>
      <c r="N122" s="834">
        <f>SUM(O122:P122)</f>
        <v>0.23</v>
      </c>
      <c r="O122" s="1054">
        <v>0</v>
      </c>
      <c r="P122" s="1055">
        <v>0.23</v>
      </c>
      <c r="Q122" s="940">
        <f>V122*-1</f>
        <v>0</v>
      </c>
      <c r="R122" s="813">
        <v>0</v>
      </c>
      <c r="S122" s="813">
        <v>0</v>
      </c>
      <c r="T122" s="813">
        <v>0</v>
      </c>
      <c r="U122" s="813">
        <f>SUM(Q122:T122)</f>
        <v>0</v>
      </c>
      <c r="V122" s="813">
        <v>0</v>
      </c>
      <c r="W122" s="941">
        <v>0</v>
      </c>
      <c r="X122" s="813">
        <v>0</v>
      </c>
      <c r="Y122" s="813">
        <f>SUM(V122:X122)</f>
        <v>0</v>
      </c>
      <c r="Z122" s="813">
        <f>U122+Y122</f>
        <v>0</v>
      </c>
      <c r="AA122" s="809">
        <f>ROUND((U122+V122+W122)*33.8%,0)</f>
        <v>0</v>
      </c>
      <c r="AB122" s="809">
        <f>ROUND(U122*2%,0)</f>
        <v>0</v>
      </c>
      <c r="AC122" s="813">
        <v>0</v>
      </c>
      <c r="AD122" s="813">
        <v>0</v>
      </c>
      <c r="AE122" s="813">
        <f>SUM(AC122:AD122)</f>
        <v>0</v>
      </c>
      <c r="AF122" s="813">
        <f>Z122+AA122+AB122+AE122</f>
        <v>0</v>
      </c>
      <c r="AG122" s="836">
        <v>0</v>
      </c>
      <c r="AH122" s="836">
        <v>0</v>
      </c>
      <c r="AI122" s="836">
        <v>0</v>
      </c>
      <c r="AJ122" s="836">
        <v>0</v>
      </c>
      <c r="AK122" s="836">
        <v>0</v>
      </c>
      <c r="AL122" s="836">
        <f>AG122+AI122+AJ122</f>
        <v>0</v>
      </c>
      <c r="AM122" s="836">
        <f>AH122+AK122</f>
        <v>0</v>
      </c>
      <c r="AN122" s="949">
        <f>SUM(AL122:AM122)</f>
        <v>0</v>
      </c>
      <c r="AO122" s="945">
        <f t="shared" si="87"/>
        <v>78648</v>
      </c>
      <c r="AP122" s="813">
        <f t="shared" si="88"/>
        <v>55440</v>
      </c>
      <c r="AQ122" s="813">
        <f t="shared" si="89"/>
        <v>0</v>
      </c>
      <c r="AR122" s="813">
        <f t="shared" si="108"/>
        <v>18739</v>
      </c>
      <c r="AS122" s="813">
        <f t="shared" si="108"/>
        <v>1109</v>
      </c>
      <c r="AT122" s="813">
        <f t="shared" si="90"/>
        <v>3360</v>
      </c>
      <c r="AU122" s="836">
        <f t="shared" si="91"/>
        <v>0.23</v>
      </c>
      <c r="AV122" s="836">
        <f t="shared" si="109"/>
        <v>0</v>
      </c>
      <c r="AW122" s="837">
        <f t="shared" si="109"/>
        <v>0.23</v>
      </c>
    </row>
    <row r="123" spans="1:49" ht="12.95" customHeight="1" x14ac:dyDescent="0.25">
      <c r="A123" s="950">
        <v>23</v>
      </c>
      <c r="B123" s="951">
        <v>5422</v>
      </c>
      <c r="C123" s="952">
        <v>600099181</v>
      </c>
      <c r="D123" s="951">
        <v>854751</v>
      </c>
      <c r="E123" s="953" t="s">
        <v>420</v>
      </c>
      <c r="F123" s="850"/>
      <c r="G123" s="960"/>
      <c r="H123" s="851"/>
      <c r="I123" s="954">
        <f t="shared" ref="I123:AW123" si="116">SUM(I118:I122)</f>
        <v>40552650</v>
      </c>
      <c r="J123" s="955">
        <f t="shared" si="116"/>
        <v>29173729</v>
      </c>
      <c r="K123" s="955">
        <f t="shared" si="116"/>
        <v>9860720</v>
      </c>
      <c r="L123" s="955">
        <f t="shared" si="116"/>
        <v>583475</v>
      </c>
      <c r="M123" s="955">
        <f t="shared" si="116"/>
        <v>934726</v>
      </c>
      <c r="N123" s="956">
        <f t="shared" si="116"/>
        <v>59.171599999999998</v>
      </c>
      <c r="O123" s="956">
        <f t="shared" si="116"/>
        <v>39.118500000000004</v>
      </c>
      <c r="P123" s="959">
        <f t="shared" si="116"/>
        <v>20.053100000000001</v>
      </c>
      <c r="Q123" s="957">
        <f t="shared" si="116"/>
        <v>-80000</v>
      </c>
      <c r="R123" s="955">
        <f t="shared" si="116"/>
        <v>1905651</v>
      </c>
      <c r="S123" s="955">
        <f t="shared" si="116"/>
        <v>0</v>
      </c>
      <c r="T123" s="955">
        <f t="shared" si="116"/>
        <v>85650</v>
      </c>
      <c r="U123" s="955">
        <f t="shared" si="116"/>
        <v>1911301</v>
      </c>
      <c r="V123" s="955">
        <f t="shared" si="116"/>
        <v>80000</v>
      </c>
      <c r="W123" s="955">
        <f t="shared" si="116"/>
        <v>0</v>
      </c>
      <c r="X123" s="955">
        <f t="shared" si="116"/>
        <v>0</v>
      </c>
      <c r="Y123" s="955">
        <f t="shared" si="116"/>
        <v>80000</v>
      </c>
      <c r="Z123" s="955">
        <f t="shared" si="116"/>
        <v>1991301</v>
      </c>
      <c r="AA123" s="955">
        <f t="shared" si="116"/>
        <v>673060</v>
      </c>
      <c r="AB123" s="955">
        <f t="shared" si="116"/>
        <v>38226</v>
      </c>
      <c r="AC123" s="955">
        <f t="shared" si="116"/>
        <v>1250</v>
      </c>
      <c r="AD123" s="955">
        <f t="shared" si="116"/>
        <v>0</v>
      </c>
      <c r="AE123" s="955">
        <f t="shared" si="116"/>
        <v>1250</v>
      </c>
      <c r="AF123" s="955">
        <f t="shared" si="116"/>
        <v>2703837</v>
      </c>
      <c r="AG123" s="956">
        <f t="shared" si="116"/>
        <v>0</v>
      </c>
      <c r="AH123" s="956">
        <f t="shared" si="116"/>
        <v>0</v>
      </c>
      <c r="AI123" s="956">
        <f t="shared" si="116"/>
        <v>5.42</v>
      </c>
      <c r="AJ123" s="956">
        <f t="shared" si="116"/>
        <v>0.14000000000000001</v>
      </c>
      <c r="AK123" s="956">
        <f t="shared" si="116"/>
        <v>0</v>
      </c>
      <c r="AL123" s="956">
        <f t="shared" si="116"/>
        <v>5.56</v>
      </c>
      <c r="AM123" s="956">
        <f t="shared" si="116"/>
        <v>0</v>
      </c>
      <c r="AN123" s="958">
        <f t="shared" si="116"/>
        <v>5.56</v>
      </c>
      <c r="AO123" s="954">
        <f t="shared" si="116"/>
        <v>43256487</v>
      </c>
      <c r="AP123" s="955">
        <f t="shared" si="116"/>
        <v>31085030</v>
      </c>
      <c r="AQ123" s="955">
        <f t="shared" si="116"/>
        <v>80000</v>
      </c>
      <c r="AR123" s="955">
        <f t="shared" si="116"/>
        <v>10533780</v>
      </c>
      <c r="AS123" s="955">
        <f t="shared" si="116"/>
        <v>621701</v>
      </c>
      <c r="AT123" s="955">
        <f t="shared" si="116"/>
        <v>935976</v>
      </c>
      <c r="AU123" s="956">
        <f t="shared" si="116"/>
        <v>64.7316</v>
      </c>
      <c r="AV123" s="956">
        <f t="shared" si="116"/>
        <v>44.678500000000007</v>
      </c>
      <c r="AW123" s="959">
        <f t="shared" si="116"/>
        <v>20.053100000000001</v>
      </c>
    </row>
    <row r="124" spans="1:49" ht="12.95" customHeight="1" x14ac:dyDescent="0.25">
      <c r="A124" s="827">
        <v>24</v>
      </c>
      <c r="B124" s="946">
        <v>5424</v>
      </c>
      <c r="C124" s="947">
        <v>600099431</v>
      </c>
      <c r="D124" s="828">
        <v>72742372</v>
      </c>
      <c r="E124" s="948" t="s">
        <v>421</v>
      </c>
      <c r="F124" s="828">
        <v>3114</v>
      </c>
      <c r="G124" s="962" t="s">
        <v>565</v>
      </c>
      <c r="H124" s="831" t="s">
        <v>283</v>
      </c>
      <c r="I124" s="803">
        <f>SUM(J124:M124)</f>
        <v>4991633</v>
      </c>
      <c r="J124" s="833">
        <v>3644722</v>
      </c>
      <c r="K124" s="805">
        <f>ROUND((J124)*33.8%,0)</f>
        <v>1231916</v>
      </c>
      <c r="L124" s="805">
        <f>ROUND(J124*2%,0)+1</f>
        <v>72895</v>
      </c>
      <c r="M124" s="833">
        <v>42100</v>
      </c>
      <c r="N124" s="834">
        <f>SUM(O124:P124)</f>
        <v>6.7599</v>
      </c>
      <c r="O124" s="1054">
        <v>5.0346000000000002</v>
      </c>
      <c r="P124" s="1055">
        <v>1.7253000000000001</v>
      </c>
      <c r="Q124" s="940">
        <f>V124*-1</f>
        <v>-11200</v>
      </c>
      <c r="R124" s="813">
        <v>0</v>
      </c>
      <c r="S124" s="813">
        <v>0</v>
      </c>
      <c r="T124" s="813">
        <v>0</v>
      </c>
      <c r="U124" s="813">
        <f>SUM(Q124:T124)</f>
        <v>-11200</v>
      </c>
      <c r="V124" s="813">
        <v>11200</v>
      </c>
      <c r="W124" s="941">
        <v>0</v>
      </c>
      <c r="X124" s="813">
        <v>0</v>
      </c>
      <c r="Y124" s="813">
        <f>SUM(V124:X124)</f>
        <v>11200</v>
      </c>
      <c r="Z124" s="813">
        <f>U124+Y124</f>
        <v>0</v>
      </c>
      <c r="AA124" s="809">
        <f>ROUND((U124+V124+W124)*33.8%,0)</f>
        <v>0</v>
      </c>
      <c r="AB124" s="809">
        <f>ROUND(U124*2%,0)</f>
        <v>-224</v>
      </c>
      <c r="AC124" s="813">
        <v>0</v>
      </c>
      <c r="AD124" s="813">
        <v>0</v>
      </c>
      <c r="AE124" s="813">
        <f>SUM(AC124:AD124)</f>
        <v>0</v>
      </c>
      <c r="AF124" s="813">
        <f>Z124+AA124+AB124+AE124</f>
        <v>-224</v>
      </c>
      <c r="AG124" s="836">
        <v>0</v>
      </c>
      <c r="AH124" s="836">
        <v>-0.03</v>
      </c>
      <c r="AI124" s="836">
        <v>0</v>
      </c>
      <c r="AJ124" s="836">
        <v>0</v>
      </c>
      <c r="AK124" s="836">
        <v>0</v>
      </c>
      <c r="AL124" s="836">
        <f>AG124+AI124+AJ124</f>
        <v>0</v>
      </c>
      <c r="AM124" s="836">
        <f>AH124+AK124</f>
        <v>-0.03</v>
      </c>
      <c r="AN124" s="949">
        <f>SUM(AL124:AM124)</f>
        <v>-0.03</v>
      </c>
      <c r="AO124" s="945">
        <f t="shared" si="87"/>
        <v>4991409</v>
      </c>
      <c r="AP124" s="813">
        <f t="shared" si="88"/>
        <v>3633522</v>
      </c>
      <c r="AQ124" s="813">
        <f t="shared" si="89"/>
        <v>11200</v>
      </c>
      <c r="AR124" s="813">
        <f t="shared" si="108"/>
        <v>1231916</v>
      </c>
      <c r="AS124" s="813">
        <f t="shared" si="108"/>
        <v>72671</v>
      </c>
      <c r="AT124" s="813">
        <f t="shared" si="90"/>
        <v>42100</v>
      </c>
      <c r="AU124" s="836">
        <f t="shared" si="91"/>
        <v>6.7298999999999998</v>
      </c>
      <c r="AV124" s="836">
        <f t="shared" si="109"/>
        <v>5.0346000000000002</v>
      </c>
      <c r="AW124" s="837">
        <f t="shared" si="109"/>
        <v>1.6953</v>
      </c>
    </row>
    <row r="125" spans="1:49" ht="12.95" customHeight="1" x14ac:dyDescent="0.25">
      <c r="A125" s="827">
        <v>24</v>
      </c>
      <c r="B125" s="946">
        <v>5424</v>
      </c>
      <c r="C125" s="947">
        <v>600099431</v>
      </c>
      <c r="D125" s="828">
        <v>72742372</v>
      </c>
      <c r="E125" s="948" t="s">
        <v>421</v>
      </c>
      <c r="F125" s="828">
        <v>3114</v>
      </c>
      <c r="G125" s="962" t="s">
        <v>319</v>
      </c>
      <c r="H125" s="831" t="s">
        <v>283</v>
      </c>
      <c r="I125" s="803">
        <f>SUM(J125:M125)</f>
        <v>517072</v>
      </c>
      <c r="J125" s="833">
        <v>380760</v>
      </c>
      <c r="K125" s="805">
        <f>ROUND((J125)*33.8%,0)</f>
        <v>128697</v>
      </c>
      <c r="L125" s="805">
        <f>ROUND(J125*2%,0)</f>
        <v>7615</v>
      </c>
      <c r="M125" s="833">
        <v>0</v>
      </c>
      <c r="N125" s="834">
        <f>SUM(O125:P125)</f>
        <v>1</v>
      </c>
      <c r="O125" s="1054">
        <v>1</v>
      </c>
      <c r="P125" s="1055">
        <v>0</v>
      </c>
      <c r="Q125" s="940">
        <f>V125*-1</f>
        <v>0</v>
      </c>
      <c r="R125" s="813">
        <v>0</v>
      </c>
      <c r="S125" s="813">
        <v>0</v>
      </c>
      <c r="T125" s="813">
        <v>0</v>
      </c>
      <c r="U125" s="813">
        <f>SUM(Q125:T125)</f>
        <v>0</v>
      </c>
      <c r="V125" s="813">
        <v>0</v>
      </c>
      <c r="W125" s="941">
        <v>0</v>
      </c>
      <c r="X125" s="813">
        <v>0</v>
      </c>
      <c r="Y125" s="813">
        <f>SUM(V125:X125)</f>
        <v>0</v>
      </c>
      <c r="Z125" s="813">
        <f>U125+Y125</f>
        <v>0</v>
      </c>
      <c r="AA125" s="809">
        <f>ROUND((U125+V125+W125)*33.8%,0)</f>
        <v>0</v>
      </c>
      <c r="AB125" s="809">
        <f>ROUND(U125*2%,0)</f>
        <v>0</v>
      </c>
      <c r="AC125" s="813">
        <v>0</v>
      </c>
      <c r="AD125" s="813">
        <v>0</v>
      </c>
      <c r="AE125" s="813">
        <f>SUM(AC125:AD125)</f>
        <v>0</v>
      </c>
      <c r="AF125" s="813">
        <f>Z125+AA125+AB125+AE125</f>
        <v>0</v>
      </c>
      <c r="AG125" s="836">
        <v>0</v>
      </c>
      <c r="AH125" s="836">
        <v>0</v>
      </c>
      <c r="AI125" s="836">
        <v>0</v>
      </c>
      <c r="AJ125" s="836">
        <v>0</v>
      </c>
      <c r="AK125" s="836">
        <v>0</v>
      </c>
      <c r="AL125" s="836">
        <f>AG125+AI125+AJ125</f>
        <v>0</v>
      </c>
      <c r="AM125" s="836">
        <f>AH125+AK125</f>
        <v>0</v>
      </c>
      <c r="AN125" s="949">
        <f>SUM(AL125:AM125)</f>
        <v>0</v>
      </c>
      <c r="AO125" s="945">
        <f t="shared" si="87"/>
        <v>517072</v>
      </c>
      <c r="AP125" s="813">
        <f t="shared" si="88"/>
        <v>380760</v>
      </c>
      <c r="AQ125" s="813">
        <f t="shared" si="89"/>
        <v>0</v>
      </c>
      <c r="AR125" s="813">
        <f t="shared" si="108"/>
        <v>128697</v>
      </c>
      <c r="AS125" s="813">
        <f t="shared" si="108"/>
        <v>7615</v>
      </c>
      <c r="AT125" s="813">
        <f t="shared" si="90"/>
        <v>0</v>
      </c>
      <c r="AU125" s="836">
        <f t="shared" si="91"/>
        <v>1</v>
      </c>
      <c r="AV125" s="836">
        <f t="shared" si="109"/>
        <v>1</v>
      </c>
      <c r="AW125" s="837">
        <f t="shared" si="109"/>
        <v>0</v>
      </c>
    </row>
    <row r="126" spans="1:49" ht="12.95" customHeight="1" x14ac:dyDescent="0.25">
      <c r="A126" s="950">
        <v>24</v>
      </c>
      <c r="B126" s="951">
        <v>5424</v>
      </c>
      <c r="C126" s="952">
        <v>600099431</v>
      </c>
      <c r="D126" s="951">
        <v>72742372</v>
      </c>
      <c r="E126" s="953" t="s">
        <v>422</v>
      </c>
      <c r="F126" s="850"/>
      <c r="G126" s="960"/>
      <c r="H126" s="851"/>
      <c r="I126" s="954">
        <f t="shared" ref="I126:AW126" si="117">SUM(I124:I125)</f>
        <v>5508705</v>
      </c>
      <c r="J126" s="955">
        <f t="shared" si="117"/>
        <v>4025482</v>
      </c>
      <c r="K126" s="955">
        <f t="shared" si="117"/>
        <v>1360613</v>
      </c>
      <c r="L126" s="955">
        <f t="shared" si="117"/>
        <v>80510</v>
      </c>
      <c r="M126" s="955">
        <f t="shared" si="117"/>
        <v>42100</v>
      </c>
      <c r="N126" s="956">
        <f t="shared" si="117"/>
        <v>7.7599</v>
      </c>
      <c r="O126" s="956">
        <f t="shared" si="117"/>
        <v>6.0346000000000002</v>
      </c>
      <c r="P126" s="959">
        <f t="shared" si="117"/>
        <v>1.7253000000000001</v>
      </c>
      <c r="Q126" s="957">
        <f t="shared" si="117"/>
        <v>-11200</v>
      </c>
      <c r="R126" s="955">
        <f t="shared" si="117"/>
        <v>0</v>
      </c>
      <c r="S126" s="955">
        <f t="shared" si="117"/>
        <v>0</v>
      </c>
      <c r="T126" s="955">
        <f t="shared" si="117"/>
        <v>0</v>
      </c>
      <c r="U126" s="955">
        <f t="shared" si="117"/>
        <v>-11200</v>
      </c>
      <c r="V126" s="955">
        <f t="shared" si="117"/>
        <v>11200</v>
      </c>
      <c r="W126" s="955">
        <f t="shared" si="117"/>
        <v>0</v>
      </c>
      <c r="X126" s="955">
        <f t="shared" si="117"/>
        <v>0</v>
      </c>
      <c r="Y126" s="955">
        <f t="shared" si="117"/>
        <v>11200</v>
      </c>
      <c r="Z126" s="955">
        <f t="shared" si="117"/>
        <v>0</v>
      </c>
      <c r="AA126" s="955">
        <f t="shared" si="117"/>
        <v>0</v>
      </c>
      <c r="AB126" s="955">
        <f t="shared" si="117"/>
        <v>-224</v>
      </c>
      <c r="AC126" s="955">
        <f t="shared" si="117"/>
        <v>0</v>
      </c>
      <c r="AD126" s="955">
        <f t="shared" si="117"/>
        <v>0</v>
      </c>
      <c r="AE126" s="955">
        <f t="shared" si="117"/>
        <v>0</v>
      </c>
      <c r="AF126" s="955">
        <f t="shared" si="117"/>
        <v>-224</v>
      </c>
      <c r="AG126" s="956">
        <f t="shared" si="117"/>
        <v>0</v>
      </c>
      <c r="AH126" s="956">
        <f t="shared" si="117"/>
        <v>-0.03</v>
      </c>
      <c r="AI126" s="956">
        <f t="shared" si="117"/>
        <v>0</v>
      </c>
      <c r="AJ126" s="956">
        <f t="shared" si="117"/>
        <v>0</v>
      </c>
      <c r="AK126" s="956">
        <f t="shared" si="117"/>
        <v>0</v>
      </c>
      <c r="AL126" s="956">
        <f t="shared" si="117"/>
        <v>0</v>
      </c>
      <c r="AM126" s="956">
        <f t="shared" si="117"/>
        <v>-0.03</v>
      </c>
      <c r="AN126" s="958">
        <f t="shared" si="117"/>
        <v>-0.03</v>
      </c>
      <c r="AO126" s="954">
        <f t="shared" si="117"/>
        <v>5508481</v>
      </c>
      <c r="AP126" s="955">
        <f t="shared" si="117"/>
        <v>4014282</v>
      </c>
      <c r="AQ126" s="955">
        <f t="shared" si="117"/>
        <v>11200</v>
      </c>
      <c r="AR126" s="955">
        <f t="shared" si="117"/>
        <v>1360613</v>
      </c>
      <c r="AS126" s="955">
        <f t="shared" si="117"/>
        <v>80286</v>
      </c>
      <c r="AT126" s="955">
        <f t="shared" si="117"/>
        <v>42100</v>
      </c>
      <c r="AU126" s="956">
        <f t="shared" si="117"/>
        <v>7.7298999999999998</v>
      </c>
      <c r="AV126" s="956">
        <f t="shared" si="117"/>
        <v>6.0346000000000002</v>
      </c>
      <c r="AW126" s="959">
        <f t="shared" si="117"/>
        <v>1.6953</v>
      </c>
    </row>
    <row r="127" spans="1:49" ht="12.95" customHeight="1" x14ac:dyDescent="0.25">
      <c r="A127" s="827">
        <v>25</v>
      </c>
      <c r="B127" s="946">
        <v>5427</v>
      </c>
      <c r="C127" s="947">
        <v>600099407</v>
      </c>
      <c r="D127" s="828">
        <v>72742534</v>
      </c>
      <c r="E127" s="948" t="s">
        <v>423</v>
      </c>
      <c r="F127" s="828">
        <v>3231</v>
      </c>
      <c r="G127" s="948" t="s">
        <v>424</v>
      </c>
      <c r="H127" s="831" t="s">
        <v>283</v>
      </c>
      <c r="I127" s="803">
        <f>SUM(J127:M127)</f>
        <v>8603055</v>
      </c>
      <c r="J127" s="833">
        <v>6311579</v>
      </c>
      <c r="K127" s="805">
        <f>ROUND((J127)*33.8%,0)</f>
        <v>2133314</v>
      </c>
      <c r="L127" s="805">
        <f>ROUND(J127*2%,0)</f>
        <v>126232</v>
      </c>
      <c r="M127" s="833">
        <v>31930</v>
      </c>
      <c r="N127" s="834">
        <f>SUM(O127:P127)</f>
        <v>12.260199999999999</v>
      </c>
      <c r="O127" s="1054">
        <v>10.808</v>
      </c>
      <c r="P127" s="1055">
        <v>1.4521999999999999</v>
      </c>
      <c r="Q127" s="940">
        <f>V127*-1</f>
        <v>0</v>
      </c>
      <c r="R127" s="813">
        <v>0</v>
      </c>
      <c r="S127" s="813">
        <v>0</v>
      </c>
      <c r="T127" s="813">
        <v>0</v>
      </c>
      <c r="U127" s="813">
        <f>SUM(Q127:T127)</f>
        <v>0</v>
      </c>
      <c r="V127" s="813">
        <v>0</v>
      </c>
      <c r="W127" s="941">
        <v>0</v>
      </c>
      <c r="X127" s="813">
        <v>0</v>
      </c>
      <c r="Y127" s="813">
        <f>SUM(V127:X127)</f>
        <v>0</v>
      </c>
      <c r="Z127" s="813">
        <f>U127+Y127</f>
        <v>0</v>
      </c>
      <c r="AA127" s="809">
        <f>ROUND((U127+V127+W127)*33.8%,0)</f>
        <v>0</v>
      </c>
      <c r="AB127" s="809">
        <f>ROUND(U127*2%,0)</f>
        <v>0</v>
      </c>
      <c r="AC127" s="813">
        <v>0</v>
      </c>
      <c r="AD127" s="813">
        <v>0</v>
      </c>
      <c r="AE127" s="813">
        <f>SUM(AC127:AD127)</f>
        <v>0</v>
      </c>
      <c r="AF127" s="813">
        <f>Z127+AA127+AB127+AE127</f>
        <v>0</v>
      </c>
      <c r="AG127" s="836">
        <v>0</v>
      </c>
      <c r="AH127" s="836">
        <v>0</v>
      </c>
      <c r="AI127" s="836">
        <v>0</v>
      </c>
      <c r="AJ127" s="836">
        <v>0</v>
      </c>
      <c r="AK127" s="836">
        <v>0</v>
      </c>
      <c r="AL127" s="836">
        <f>AG127+AI127+AJ127</f>
        <v>0</v>
      </c>
      <c r="AM127" s="836">
        <f>AH127+AK127</f>
        <v>0</v>
      </c>
      <c r="AN127" s="949">
        <f>SUM(AL127:AM127)</f>
        <v>0</v>
      </c>
      <c r="AO127" s="945">
        <f t="shared" si="87"/>
        <v>8603055</v>
      </c>
      <c r="AP127" s="813">
        <f t="shared" si="88"/>
        <v>6311579</v>
      </c>
      <c r="AQ127" s="813">
        <f t="shared" si="89"/>
        <v>0</v>
      </c>
      <c r="AR127" s="813">
        <f t="shared" si="108"/>
        <v>2133314</v>
      </c>
      <c r="AS127" s="813">
        <f t="shared" si="108"/>
        <v>126232</v>
      </c>
      <c r="AT127" s="813">
        <f t="shared" si="90"/>
        <v>31930</v>
      </c>
      <c r="AU127" s="836">
        <f t="shared" si="91"/>
        <v>12.260199999999999</v>
      </c>
      <c r="AV127" s="836">
        <f t="shared" si="109"/>
        <v>10.808</v>
      </c>
      <c r="AW127" s="837">
        <f t="shared" si="109"/>
        <v>1.4521999999999999</v>
      </c>
    </row>
    <row r="128" spans="1:49" ht="12.95" customHeight="1" x14ac:dyDescent="0.25">
      <c r="A128" s="827">
        <v>25</v>
      </c>
      <c r="B128" s="946">
        <v>5427</v>
      </c>
      <c r="C128" s="947">
        <v>600099407</v>
      </c>
      <c r="D128" s="828">
        <v>72742534</v>
      </c>
      <c r="E128" s="948" t="s">
        <v>423</v>
      </c>
      <c r="F128" s="828">
        <v>3231</v>
      </c>
      <c r="G128" s="948" t="s">
        <v>325</v>
      </c>
      <c r="H128" s="831" t="s">
        <v>284</v>
      </c>
      <c r="I128" s="803">
        <f>SUM(J128:M128)</f>
        <v>0</v>
      </c>
      <c r="J128" s="833">
        <v>0</v>
      </c>
      <c r="K128" s="805">
        <v>0</v>
      </c>
      <c r="L128" s="805">
        <v>0</v>
      </c>
      <c r="M128" s="833">
        <v>0</v>
      </c>
      <c r="N128" s="834">
        <f>SUM(O128:P128)</f>
        <v>0</v>
      </c>
      <c r="O128" s="1054">
        <v>0</v>
      </c>
      <c r="P128" s="1055">
        <v>0</v>
      </c>
      <c r="Q128" s="940">
        <f>V128*-1</f>
        <v>0</v>
      </c>
      <c r="R128" s="833">
        <v>86611</v>
      </c>
      <c r="S128" s="813">
        <v>0</v>
      </c>
      <c r="T128" s="813">
        <v>0</v>
      </c>
      <c r="U128" s="813">
        <f>SUM(Q128:T128)</f>
        <v>86611</v>
      </c>
      <c r="V128" s="813">
        <v>0</v>
      </c>
      <c r="W128" s="941">
        <v>0</v>
      </c>
      <c r="X128" s="813">
        <v>0</v>
      </c>
      <c r="Y128" s="813">
        <f>SUM(V128:X128)</f>
        <v>0</v>
      </c>
      <c r="Z128" s="813">
        <f>U128+Y128</f>
        <v>86611</v>
      </c>
      <c r="AA128" s="809">
        <f>ROUND((U128+V128+W128)*33.8%,0)</f>
        <v>29275</v>
      </c>
      <c r="AB128" s="809">
        <f>ROUND(U128*2%,0)</f>
        <v>1732</v>
      </c>
      <c r="AC128" s="813">
        <v>0</v>
      </c>
      <c r="AD128" s="813">
        <v>0</v>
      </c>
      <c r="AE128" s="813">
        <f>SUM(AC128:AD128)</f>
        <v>0</v>
      </c>
      <c r="AF128" s="813">
        <f>Z128+AA128+AB128+AE128</f>
        <v>117618</v>
      </c>
      <c r="AG128" s="836">
        <v>0</v>
      </c>
      <c r="AH128" s="836">
        <v>0</v>
      </c>
      <c r="AI128" s="836">
        <v>0.25</v>
      </c>
      <c r="AJ128" s="836">
        <v>0</v>
      </c>
      <c r="AK128" s="836">
        <v>0</v>
      </c>
      <c r="AL128" s="836">
        <f>AG128+AI128+AJ128</f>
        <v>0.25</v>
      </c>
      <c r="AM128" s="836">
        <f>AH128+AK128</f>
        <v>0</v>
      </c>
      <c r="AN128" s="949">
        <f>SUM(AL128:AM128)</f>
        <v>0.25</v>
      </c>
      <c r="AO128" s="945">
        <f t="shared" si="87"/>
        <v>117618</v>
      </c>
      <c r="AP128" s="813">
        <f t="shared" si="88"/>
        <v>86611</v>
      </c>
      <c r="AQ128" s="813">
        <f t="shared" si="89"/>
        <v>0</v>
      </c>
      <c r="AR128" s="813">
        <f t="shared" si="108"/>
        <v>29275</v>
      </c>
      <c r="AS128" s="813">
        <f t="shared" si="108"/>
        <v>1732</v>
      </c>
      <c r="AT128" s="813">
        <f t="shared" si="90"/>
        <v>0</v>
      </c>
      <c r="AU128" s="836">
        <f t="shared" si="91"/>
        <v>0.25</v>
      </c>
      <c r="AV128" s="836">
        <f t="shared" si="109"/>
        <v>0.25</v>
      </c>
      <c r="AW128" s="837">
        <f t="shared" si="109"/>
        <v>0</v>
      </c>
    </row>
    <row r="129" spans="1:49" ht="12.95" customHeight="1" x14ac:dyDescent="0.25">
      <c r="A129" s="950">
        <v>25</v>
      </c>
      <c r="B129" s="951">
        <v>5427</v>
      </c>
      <c r="C129" s="952">
        <v>600099431</v>
      </c>
      <c r="D129" s="951">
        <v>72742534</v>
      </c>
      <c r="E129" s="953" t="s">
        <v>425</v>
      </c>
      <c r="F129" s="850"/>
      <c r="G129" s="960"/>
      <c r="H129" s="851"/>
      <c r="I129" s="954">
        <f t="shared" ref="I129:AW129" si="118">SUM(I127:I128)</f>
        <v>8603055</v>
      </c>
      <c r="J129" s="955">
        <f t="shared" si="118"/>
        <v>6311579</v>
      </c>
      <c r="K129" s="955">
        <f t="shared" si="118"/>
        <v>2133314</v>
      </c>
      <c r="L129" s="955">
        <f t="shared" si="118"/>
        <v>126232</v>
      </c>
      <c r="M129" s="955">
        <f t="shared" si="118"/>
        <v>31930</v>
      </c>
      <c r="N129" s="956">
        <f t="shared" si="118"/>
        <v>12.260199999999999</v>
      </c>
      <c r="O129" s="956">
        <f t="shared" si="118"/>
        <v>10.808</v>
      </c>
      <c r="P129" s="959">
        <f t="shared" si="118"/>
        <v>1.4521999999999999</v>
      </c>
      <c r="Q129" s="957">
        <f t="shared" si="118"/>
        <v>0</v>
      </c>
      <c r="R129" s="955">
        <f t="shared" si="118"/>
        <v>86611</v>
      </c>
      <c r="S129" s="955">
        <f t="shared" si="118"/>
        <v>0</v>
      </c>
      <c r="T129" s="955">
        <f t="shared" si="118"/>
        <v>0</v>
      </c>
      <c r="U129" s="955">
        <f t="shared" si="118"/>
        <v>86611</v>
      </c>
      <c r="V129" s="955">
        <f t="shared" si="118"/>
        <v>0</v>
      </c>
      <c r="W129" s="955">
        <f t="shared" si="118"/>
        <v>0</v>
      </c>
      <c r="X129" s="955">
        <f t="shared" si="118"/>
        <v>0</v>
      </c>
      <c r="Y129" s="955">
        <f t="shared" si="118"/>
        <v>0</v>
      </c>
      <c r="Z129" s="955">
        <f t="shared" si="118"/>
        <v>86611</v>
      </c>
      <c r="AA129" s="955">
        <f t="shared" si="118"/>
        <v>29275</v>
      </c>
      <c r="AB129" s="955">
        <f t="shared" si="118"/>
        <v>1732</v>
      </c>
      <c r="AC129" s="955">
        <f t="shared" si="118"/>
        <v>0</v>
      </c>
      <c r="AD129" s="955">
        <f t="shared" si="118"/>
        <v>0</v>
      </c>
      <c r="AE129" s="955">
        <f t="shared" si="118"/>
        <v>0</v>
      </c>
      <c r="AF129" s="955">
        <f t="shared" si="118"/>
        <v>117618</v>
      </c>
      <c r="AG129" s="956">
        <f t="shared" si="118"/>
        <v>0</v>
      </c>
      <c r="AH129" s="956">
        <f t="shared" si="118"/>
        <v>0</v>
      </c>
      <c r="AI129" s="956">
        <f t="shared" si="118"/>
        <v>0.25</v>
      </c>
      <c r="AJ129" s="956">
        <f t="shared" si="118"/>
        <v>0</v>
      </c>
      <c r="AK129" s="956">
        <f t="shared" si="118"/>
        <v>0</v>
      </c>
      <c r="AL129" s="956">
        <f t="shared" si="118"/>
        <v>0.25</v>
      </c>
      <c r="AM129" s="956">
        <f t="shared" si="118"/>
        <v>0</v>
      </c>
      <c r="AN129" s="958">
        <f t="shared" si="118"/>
        <v>0.25</v>
      </c>
      <c r="AO129" s="954">
        <f t="shared" si="118"/>
        <v>8720673</v>
      </c>
      <c r="AP129" s="955">
        <f t="shared" si="118"/>
        <v>6398190</v>
      </c>
      <c r="AQ129" s="955">
        <f t="shared" si="118"/>
        <v>0</v>
      </c>
      <c r="AR129" s="955">
        <f t="shared" si="118"/>
        <v>2162589</v>
      </c>
      <c r="AS129" s="955">
        <f t="shared" si="118"/>
        <v>127964</v>
      </c>
      <c r="AT129" s="955">
        <f t="shared" si="118"/>
        <v>31930</v>
      </c>
      <c r="AU129" s="956">
        <f t="shared" si="118"/>
        <v>12.510199999999999</v>
      </c>
      <c r="AV129" s="956">
        <f t="shared" si="118"/>
        <v>11.058</v>
      </c>
      <c r="AW129" s="959">
        <f t="shared" si="118"/>
        <v>1.4521999999999999</v>
      </c>
    </row>
    <row r="130" spans="1:49" ht="12.95" customHeight="1" x14ac:dyDescent="0.25">
      <c r="A130" s="827">
        <v>26</v>
      </c>
      <c r="B130" s="946">
        <v>5432</v>
      </c>
      <c r="C130" s="947">
        <v>600099024</v>
      </c>
      <c r="D130" s="828">
        <v>71003819</v>
      </c>
      <c r="E130" s="948" t="s">
        <v>426</v>
      </c>
      <c r="F130" s="828">
        <v>3111</v>
      </c>
      <c r="G130" s="948" t="s">
        <v>331</v>
      </c>
      <c r="H130" s="831" t="s">
        <v>283</v>
      </c>
      <c r="I130" s="803">
        <f t="shared" ref="I130:I135" si="119">SUM(J130:M130)</f>
        <v>1509222</v>
      </c>
      <c r="J130" s="833">
        <v>1104066</v>
      </c>
      <c r="K130" s="805">
        <f>ROUND((J130)*33.8%,0)+1</f>
        <v>373175</v>
      </c>
      <c r="L130" s="805">
        <f t="shared" ref="L130:L135" si="120">ROUND(J130*2%,0)</f>
        <v>22081</v>
      </c>
      <c r="M130" s="833">
        <v>9900</v>
      </c>
      <c r="N130" s="834">
        <f t="shared" ref="N130:N135" si="121">SUM(O130:P130)</f>
        <v>2.5108999999999999</v>
      </c>
      <c r="O130" s="1054">
        <v>2</v>
      </c>
      <c r="P130" s="1055">
        <v>0.51090000000000002</v>
      </c>
      <c r="Q130" s="940">
        <f t="shared" ref="Q130:Q135" si="122">V130*-1</f>
        <v>-2400</v>
      </c>
      <c r="R130" s="813">
        <v>0</v>
      </c>
      <c r="S130" s="813">
        <v>0</v>
      </c>
      <c r="T130" s="813">
        <v>0</v>
      </c>
      <c r="U130" s="813">
        <f t="shared" ref="U130:U135" si="123">SUM(Q130:T130)</f>
        <v>-2400</v>
      </c>
      <c r="V130" s="813">
        <v>2400</v>
      </c>
      <c r="W130" s="941">
        <v>0</v>
      </c>
      <c r="X130" s="813">
        <v>0</v>
      </c>
      <c r="Y130" s="813">
        <f t="shared" ref="Y130:Y135" si="124">SUM(V130:X130)</f>
        <v>2400</v>
      </c>
      <c r="Z130" s="813">
        <f t="shared" ref="Z130:Z135" si="125">U130+Y130</f>
        <v>0</v>
      </c>
      <c r="AA130" s="809">
        <f t="shared" ref="AA130:AA135" si="126">ROUND((U130+V130+W130)*33.8%,0)</f>
        <v>0</v>
      </c>
      <c r="AB130" s="809">
        <f t="shared" ref="AB130:AB135" si="127">ROUND(U130*2%,0)</f>
        <v>-48</v>
      </c>
      <c r="AC130" s="813">
        <v>0</v>
      </c>
      <c r="AD130" s="813">
        <v>0</v>
      </c>
      <c r="AE130" s="813">
        <f t="shared" ref="AE130:AE135" si="128">SUM(AC130:AD130)</f>
        <v>0</v>
      </c>
      <c r="AF130" s="813">
        <f t="shared" ref="AF130:AF135" si="129">Z130+AA130+AB130+AE130</f>
        <v>-48</v>
      </c>
      <c r="AG130" s="836">
        <v>0</v>
      </c>
      <c r="AH130" s="836">
        <v>0</v>
      </c>
      <c r="AI130" s="836">
        <v>0</v>
      </c>
      <c r="AJ130" s="836">
        <v>0</v>
      </c>
      <c r="AK130" s="836">
        <v>0</v>
      </c>
      <c r="AL130" s="836">
        <f t="shared" ref="AL130:AL135" si="130">AG130+AI130+AJ130</f>
        <v>0</v>
      </c>
      <c r="AM130" s="836">
        <f t="shared" ref="AM130:AM135" si="131">AH130+AK130</f>
        <v>0</v>
      </c>
      <c r="AN130" s="949">
        <f t="shared" ref="AN130:AN135" si="132">SUM(AL130:AM130)</f>
        <v>0</v>
      </c>
      <c r="AO130" s="945">
        <f t="shared" si="87"/>
        <v>1509174</v>
      </c>
      <c r="AP130" s="813">
        <f t="shared" si="88"/>
        <v>1101666</v>
      </c>
      <c r="AQ130" s="813">
        <f t="shared" si="89"/>
        <v>2400</v>
      </c>
      <c r="AR130" s="813">
        <f t="shared" si="108"/>
        <v>373175</v>
      </c>
      <c r="AS130" s="813">
        <f t="shared" si="108"/>
        <v>22033</v>
      </c>
      <c r="AT130" s="813">
        <f t="shared" si="90"/>
        <v>9900</v>
      </c>
      <c r="AU130" s="836">
        <f t="shared" si="91"/>
        <v>2.5108999999999999</v>
      </c>
      <c r="AV130" s="836">
        <f t="shared" si="109"/>
        <v>2</v>
      </c>
      <c r="AW130" s="837">
        <f t="shared" si="109"/>
        <v>0.51090000000000002</v>
      </c>
    </row>
    <row r="131" spans="1:49" ht="12.95" customHeight="1" x14ac:dyDescent="0.25">
      <c r="A131" s="827">
        <v>26</v>
      </c>
      <c r="B131" s="946">
        <v>5432</v>
      </c>
      <c r="C131" s="947">
        <v>600099024</v>
      </c>
      <c r="D131" s="828">
        <v>71003819</v>
      </c>
      <c r="E131" s="948" t="s">
        <v>426</v>
      </c>
      <c r="F131" s="828">
        <v>3117</v>
      </c>
      <c r="G131" s="948" t="s">
        <v>320</v>
      </c>
      <c r="H131" s="831" t="s">
        <v>283</v>
      </c>
      <c r="I131" s="803">
        <f t="shared" si="119"/>
        <v>2706390</v>
      </c>
      <c r="J131" s="833">
        <v>1957666</v>
      </c>
      <c r="K131" s="805">
        <f>ROUND((J131)*33.8%,0)</f>
        <v>661691</v>
      </c>
      <c r="L131" s="805">
        <f t="shared" si="120"/>
        <v>39153</v>
      </c>
      <c r="M131" s="833">
        <v>47880</v>
      </c>
      <c r="N131" s="834">
        <f t="shared" si="121"/>
        <v>3.8822000000000001</v>
      </c>
      <c r="O131" s="1054">
        <v>2.6818</v>
      </c>
      <c r="P131" s="1055">
        <v>1.2004000000000001</v>
      </c>
      <c r="Q131" s="940">
        <f t="shared" si="122"/>
        <v>0</v>
      </c>
      <c r="R131" s="813">
        <v>0</v>
      </c>
      <c r="S131" s="813">
        <v>0</v>
      </c>
      <c r="T131" s="813">
        <v>0</v>
      </c>
      <c r="U131" s="813">
        <f t="shared" si="123"/>
        <v>0</v>
      </c>
      <c r="V131" s="813">
        <v>0</v>
      </c>
      <c r="W131" s="941">
        <v>0</v>
      </c>
      <c r="X131" s="813">
        <v>0</v>
      </c>
      <c r="Y131" s="813">
        <f t="shared" si="124"/>
        <v>0</v>
      </c>
      <c r="Z131" s="813">
        <f t="shared" si="125"/>
        <v>0</v>
      </c>
      <c r="AA131" s="809">
        <f t="shared" si="126"/>
        <v>0</v>
      </c>
      <c r="AB131" s="809">
        <f t="shared" si="127"/>
        <v>0</v>
      </c>
      <c r="AC131" s="813">
        <v>0</v>
      </c>
      <c r="AD131" s="813">
        <v>0</v>
      </c>
      <c r="AE131" s="813">
        <f t="shared" si="128"/>
        <v>0</v>
      </c>
      <c r="AF131" s="813">
        <f t="shared" si="129"/>
        <v>0</v>
      </c>
      <c r="AG131" s="836">
        <v>0</v>
      </c>
      <c r="AH131" s="836">
        <v>0</v>
      </c>
      <c r="AI131" s="836">
        <v>0</v>
      </c>
      <c r="AJ131" s="836">
        <v>0</v>
      </c>
      <c r="AK131" s="836">
        <v>0</v>
      </c>
      <c r="AL131" s="836">
        <f t="shared" si="130"/>
        <v>0</v>
      </c>
      <c r="AM131" s="836">
        <f t="shared" si="131"/>
        <v>0</v>
      </c>
      <c r="AN131" s="949">
        <f t="shared" si="132"/>
        <v>0</v>
      </c>
      <c r="AO131" s="945">
        <f t="shared" si="87"/>
        <v>2706390</v>
      </c>
      <c r="AP131" s="813">
        <f t="shared" si="88"/>
        <v>1957666</v>
      </c>
      <c r="AQ131" s="813">
        <f t="shared" si="89"/>
        <v>0</v>
      </c>
      <c r="AR131" s="813">
        <f t="shared" si="108"/>
        <v>661691</v>
      </c>
      <c r="AS131" s="813">
        <f t="shared" si="108"/>
        <v>39153</v>
      </c>
      <c r="AT131" s="813">
        <f t="shared" si="90"/>
        <v>47880</v>
      </c>
      <c r="AU131" s="836">
        <f t="shared" si="91"/>
        <v>3.8822000000000001</v>
      </c>
      <c r="AV131" s="836">
        <f t="shared" si="109"/>
        <v>2.6818</v>
      </c>
      <c r="AW131" s="837">
        <f t="shared" si="109"/>
        <v>1.2004000000000001</v>
      </c>
    </row>
    <row r="132" spans="1:49" ht="12.95" customHeight="1" x14ac:dyDescent="0.25">
      <c r="A132" s="827">
        <v>26</v>
      </c>
      <c r="B132" s="946">
        <v>5432</v>
      </c>
      <c r="C132" s="947">
        <v>600099024</v>
      </c>
      <c r="D132" s="828">
        <v>71003819</v>
      </c>
      <c r="E132" s="948" t="s">
        <v>426</v>
      </c>
      <c r="F132" s="828">
        <v>3117</v>
      </c>
      <c r="G132" s="948" t="s">
        <v>325</v>
      </c>
      <c r="H132" s="831" t="s">
        <v>284</v>
      </c>
      <c r="I132" s="803">
        <f t="shared" si="119"/>
        <v>0</v>
      </c>
      <c r="J132" s="833">
        <v>0</v>
      </c>
      <c r="K132" s="805">
        <f>ROUND((J132)*33.8%,0)</f>
        <v>0</v>
      </c>
      <c r="L132" s="805">
        <f t="shared" si="120"/>
        <v>0</v>
      </c>
      <c r="M132" s="833">
        <v>0</v>
      </c>
      <c r="N132" s="834">
        <f t="shared" si="121"/>
        <v>0</v>
      </c>
      <c r="O132" s="1054">
        <v>0</v>
      </c>
      <c r="P132" s="1055">
        <v>0</v>
      </c>
      <c r="Q132" s="940">
        <f t="shared" si="122"/>
        <v>0</v>
      </c>
      <c r="R132" s="813">
        <v>0</v>
      </c>
      <c r="S132" s="813">
        <v>0</v>
      </c>
      <c r="T132" s="813">
        <v>0</v>
      </c>
      <c r="U132" s="813">
        <f t="shared" si="123"/>
        <v>0</v>
      </c>
      <c r="V132" s="813">
        <v>0</v>
      </c>
      <c r="W132" s="941">
        <v>0</v>
      </c>
      <c r="X132" s="813">
        <v>0</v>
      </c>
      <c r="Y132" s="813">
        <f t="shared" si="124"/>
        <v>0</v>
      </c>
      <c r="Z132" s="813">
        <f t="shared" si="125"/>
        <v>0</v>
      </c>
      <c r="AA132" s="809">
        <f t="shared" si="126"/>
        <v>0</v>
      </c>
      <c r="AB132" s="809">
        <f t="shared" si="127"/>
        <v>0</v>
      </c>
      <c r="AC132" s="813">
        <v>0</v>
      </c>
      <c r="AD132" s="813">
        <v>0</v>
      </c>
      <c r="AE132" s="813">
        <f t="shared" si="128"/>
        <v>0</v>
      </c>
      <c r="AF132" s="813">
        <f t="shared" si="129"/>
        <v>0</v>
      </c>
      <c r="AG132" s="836">
        <v>0</v>
      </c>
      <c r="AH132" s="836">
        <v>0</v>
      </c>
      <c r="AI132" s="836">
        <v>0</v>
      </c>
      <c r="AJ132" s="836">
        <v>0</v>
      </c>
      <c r="AK132" s="836">
        <v>0</v>
      </c>
      <c r="AL132" s="836">
        <f t="shared" si="130"/>
        <v>0</v>
      </c>
      <c r="AM132" s="836">
        <f t="shared" si="131"/>
        <v>0</v>
      </c>
      <c r="AN132" s="949">
        <f t="shared" si="132"/>
        <v>0</v>
      </c>
      <c r="AO132" s="945">
        <f t="shared" si="87"/>
        <v>0</v>
      </c>
      <c r="AP132" s="813">
        <f t="shared" si="88"/>
        <v>0</v>
      </c>
      <c r="AQ132" s="813">
        <f t="shared" si="89"/>
        <v>0</v>
      </c>
      <c r="AR132" s="813">
        <f t="shared" si="108"/>
        <v>0</v>
      </c>
      <c r="AS132" s="813">
        <f t="shared" si="108"/>
        <v>0</v>
      </c>
      <c r="AT132" s="813">
        <f t="shared" si="90"/>
        <v>0</v>
      </c>
      <c r="AU132" s="836">
        <f t="shared" si="91"/>
        <v>0</v>
      </c>
      <c r="AV132" s="836">
        <f t="shared" si="109"/>
        <v>0</v>
      </c>
      <c r="AW132" s="837">
        <f t="shared" si="109"/>
        <v>0</v>
      </c>
    </row>
    <row r="133" spans="1:49" ht="12.95" customHeight="1" x14ac:dyDescent="0.25">
      <c r="A133" s="827">
        <v>26</v>
      </c>
      <c r="B133" s="946">
        <v>5432</v>
      </c>
      <c r="C133" s="947">
        <v>600099024</v>
      </c>
      <c r="D133" s="828">
        <v>71003819</v>
      </c>
      <c r="E133" s="948" t="s">
        <v>426</v>
      </c>
      <c r="F133" s="828">
        <v>3141</v>
      </c>
      <c r="G133" s="948" t="s">
        <v>321</v>
      </c>
      <c r="H133" s="831" t="s">
        <v>284</v>
      </c>
      <c r="I133" s="803">
        <f t="shared" si="119"/>
        <v>664464</v>
      </c>
      <c r="J133" s="833">
        <v>487161</v>
      </c>
      <c r="K133" s="805">
        <f>ROUND((J133)*33.8%,0)</f>
        <v>164660</v>
      </c>
      <c r="L133" s="805">
        <f t="shared" si="120"/>
        <v>9743</v>
      </c>
      <c r="M133" s="833">
        <v>2900</v>
      </c>
      <c r="N133" s="834">
        <f t="shared" si="121"/>
        <v>1.66</v>
      </c>
      <c r="O133" s="1054">
        <v>0</v>
      </c>
      <c r="P133" s="1055">
        <v>1.66</v>
      </c>
      <c r="Q133" s="940">
        <f t="shared" si="122"/>
        <v>-1600</v>
      </c>
      <c r="R133" s="813">
        <v>0</v>
      </c>
      <c r="S133" s="813">
        <v>0</v>
      </c>
      <c r="T133" s="813">
        <v>0</v>
      </c>
      <c r="U133" s="813">
        <f t="shared" si="123"/>
        <v>-1600</v>
      </c>
      <c r="V133" s="813">
        <v>1600</v>
      </c>
      <c r="W133" s="941">
        <v>0</v>
      </c>
      <c r="X133" s="813">
        <v>0</v>
      </c>
      <c r="Y133" s="813">
        <f t="shared" si="124"/>
        <v>1600</v>
      </c>
      <c r="Z133" s="813">
        <f t="shared" si="125"/>
        <v>0</v>
      </c>
      <c r="AA133" s="809">
        <f t="shared" si="126"/>
        <v>0</v>
      </c>
      <c r="AB133" s="809">
        <f t="shared" si="127"/>
        <v>-32</v>
      </c>
      <c r="AC133" s="813">
        <v>0</v>
      </c>
      <c r="AD133" s="813">
        <v>0</v>
      </c>
      <c r="AE133" s="813">
        <f t="shared" si="128"/>
        <v>0</v>
      </c>
      <c r="AF133" s="813">
        <f t="shared" si="129"/>
        <v>-32</v>
      </c>
      <c r="AG133" s="836">
        <v>0</v>
      </c>
      <c r="AH133" s="836">
        <v>0</v>
      </c>
      <c r="AI133" s="836">
        <v>0</v>
      </c>
      <c r="AJ133" s="836">
        <v>0</v>
      </c>
      <c r="AK133" s="836">
        <v>0</v>
      </c>
      <c r="AL133" s="836">
        <f t="shared" si="130"/>
        <v>0</v>
      </c>
      <c r="AM133" s="836">
        <f t="shared" si="131"/>
        <v>0</v>
      </c>
      <c r="AN133" s="949">
        <f t="shared" si="132"/>
        <v>0</v>
      </c>
      <c r="AO133" s="945">
        <f t="shared" si="87"/>
        <v>664432</v>
      </c>
      <c r="AP133" s="813">
        <f t="shared" si="88"/>
        <v>485561</v>
      </c>
      <c r="AQ133" s="813">
        <f t="shared" si="89"/>
        <v>1600</v>
      </c>
      <c r="AR133" s="813">
        <f t="shared" si="108"/>
        <v>164660</v>
      </c>
      <c r="AS133" s="813">
        <f t="shared" si="108"/>
        <v>9711</v>
      </c>
      <c r="AT133" s="813">
        <f t="shared" si="90"/>
        <v>2900</v>
      </c>
      <c r="AU133" s="836">
        <f t="shared" si="91"/>
        <v>1.66</v>
      </c>
      <c r="AV133" s="836">
        <f t="shared" si="109"/>
        <v>0</v>
      </c>
      <c r="AW133" s="837">
        <f t="shared" si="109"/>
        <v>1.66</v>
      </c>
    </row>
    <row r="134" spans="1:49" ht="12.95" customHeight="1" x14ac:dyDescent="0.25">
      <c r="A134" s="827">
        <v>26</v>
      </c>
      <c r="B134" s="946">
        <v>5432</v>
      </c>
      <c r="C134" s="947">
        <v>600099024</v>
      </c>
      <c r="D134" s="828">
        <v>71003819</v>
      </c>
      <c r="E134" s="948" t="s">
        <v>426</v>
      </c>
      <c r="F134" s="828">
        <v>3143</v>
      </c>
      <c r="G134" s="948" t="s">
        <v>635</v>
      </c>
      <c r="H134" s="831" t="s">
        <v>283</v>
      </c>
      <c r="I134" s="803">
        <f t="shared" si="119"/>
        <v>531972</v>
      </c>
      <c r="J134" s="833">
        <v>391732</v>
      </c>
      <c r="K134" s="805">
        <f>ROUND((J134)*33.8%,0)</f>
        <v>132405</v>
      </c>
      <c r="L134" s="805">
        <f t="shared" si="120"/>
        <v>7835</v>
      </c>
      <c r="M134" s="833">
        <v>0</v>
      </c>
      <c r="N134" s="834">
        <f t="shared" si="121"/>
        <v>0.8498</v>
      </c>
      <c r="O134" s="1054">
        <v>0.8498</v>
      </c>
      <c r="P134" s="1055">
        <v>0</v>
      </c>
      <c r="Q134" s="940">
        <f t="shared" si="122"/>
        <v>-3360</v>
      </c>
      <c r="R134" s="813">
        <v>0</v>
      </c>
      <c r="S134" s="813">
        <v>0</v>
      </c>
      <c r="T134" s="813">
        <v>0</v>
      </c>
      <c r="U134" s="813">
        <f t="shared" si="123"/>
        <v>-3360</v>
      </c>
      <c r="V134" s="813">
        <v>3360</v>
      </c>
      <c r="W134" s="941">
        <v>0</v>
      </c>
      <c r="X134" s="813">
        <v>0</v>
      </c>
      <c r="Y134" s="813">
        <f t="shared" si="124"/>
        <v>3360</v>
      </c>
      <c r="Z134" s="813">
        <f t="shared" si="125"/>
        <v>0</v>
      </c>
      <c r="AA134" s="809">
        <f t="shared" si="126"/>
        <v>0</v>
      </c>
      <c r="AB134" s="809">
        <f t="shared" si="127"/>
        <v>-67</v>
      </c>
      <c r="AC134" s="813">
        <v>0</v>
      </c>
      <c r="AD134" s="813">
        <v>0</v>
      </c>
      <c r="AE134" s="813">
        <f t="shared" si="128"/>
        <v>0</v>
      </c>
      <c r="AF134" s="813">
        <f t="shared" si="129"/>
        <v>-67</v>
      </c>
      <c r="AG134" s="836">
        <v>-0.01</v>
      </c>
      <c r="AH134" s="836">
        <v>0</v>
      </c>
      <c r="AI134" s="836">
        <v>0</v>
      </c>
      <c r="AJ134" s="836">
        <v>0</v>
      </c>
      <c r="AK134" s="836">
        <v>0</v>
      </c>
      <c r="AL134" s="836">
        <f t="shared" si="130"/>
        <v>-0.01</v>
      </c>
      <c r="AM134" s="836">
        <f t="shared" si="131"/>
        <v>0</v>
      </c>
      <c r="AN134" s="949">
        <f t="shared" si="132"/>
        <v>-0.01</v>
      </c>
      <c r="AO134" s="945">
        <f t="shared" si="87"/>
        <v>531905</v>
      </c>
      <c r="AP134" s="813">
        <f t="shared" si="88"/>
        <v>388372</v>
      </c>
      <c r="AQ134" s="813">
        <f t="shared" si="89"/>
        <v>3360</v>
      </c>
      <c r="AR134" s="813">
        <f t="shared" si="108"/>
        <v>132405</v>
      </c>
      <c r="AS134" s="813">
        <f t="shared" si="108"/>
        <v>7768</v>
      </c>
      <c r="AT134" s="813">
        <f t="shared" si="90"/>
        <v>0</v>
      </c>
      <c r="AU134" s="836">
        <f t="shared" si="91"/>
        <v>0.83979999999999999</v>
      </c>
      <c r="AV134" s="836">
        <f t="shared" si="109"/>
        <v>0.83979999999999999</v>
      </c>
      <c r="AW134" s="837">
        <f t="shared" si="109"/>
        <v>0</v>
      </c>
    </row>
    <row r="135" spans="1:49" ht="12.95" customHeight="1" x14ac:dyDescent="0.25">
      <c r="A135" s="827">
        <v>26</v>
      </c>
      <c r="B135" s="946">
        <v>5432</v>
      </c>
      <c r="C135" s="947">
        <v>600099024</v>
      </c>
      <c r="D135" s="828">
        <v>71003819</v>
      </c>
      <c r="E135" s="948" t="s">
        <v>426</v>
      </c>
      <c r="F135" s="828">
        <v>3143</v>
      </c>
      <c r="G135" s="948" t="s">
        <v>636</v>
      </c>
      <c r="H135" s="831" t="s">
        <v>284</v>
      </c>
      <c r="I135" s="803">
        <f t="shared" si="119"/>
        <v>17556</v>
      </c>
      <c r="J135" s="833">
        <v>12375</v>
      </c>
      <c r="K135" s="805">
        <f>ROUND((J135)*33.8%,0)</f>
        <v>4183</v>
      </c>
      <c r="L135" s="805">
        <f t="shared" si="120"/>
        <v>248</v>
      </c>
      <c r="M135" s="833">
        <v>750</v>
      </c>
      <c r="N135" s="834">
        <f t="shared" si="121"/>
        <v>0.05</v>
      </c>
      <c r="O135" s="1054">
        <v>0</v>
      </c>
      <c r="P135" s="1055">
        <v>0.05</v>
      </c>
      <c r="Q135" s="940">
        <f t="shared" si="122"/>
        <v>0</v>
      </c>
      <c r="R135" s="813">
        <v>0</v>
      </c>
      <c r="S135" s="813">
        <v>0</v>
      </c>
      <c r="T135" s="813">
        <v>0</v>
      </c>
      <c r="U135" s="813">
        <f t="shared" si="123"/>
        <v>0</v>
      </c>
      <c r="V135" s="813">
        <v>0</v>
      </c>
      <c r="W135" s="941">
        <v>0</v>
      </c>
      <c r="X135" s="813">
        <v>0</v>
      </c>
      <c r="Y135" s="813">
        <f t="shared" si="124"/>
        <v>0</v>
      </c>
      <c r="Z135" s="813">
        <f t="shared" si="125"/>
        <v>0</v>
      </c>
      <c r="AA135" s="809">
        <f t="shared" si="126"/>
        <v>0</v>
      </c>
      <c r="AB135" s="809">
        <f t="shared" si="127"/>
        <v>0</v>
      </c>
      <c r="AC135" s="813">
        <v>0</v>
      </c>
      <c r="AD135" s="813">
        <v>0</v>
      </c>
      <c r="AE135" s="813">
        <f t="shared" si="128"/>
        <v>0</v>
      </c>
      <c r="AF135" s="813">
        <f t="shared" si="129"/>
        <v>0</v>
      </c>
      <c r="AG135" s="836">
        <v>0</v>
      </c>
      <c r="AH135" s="836">
        <v>0</v>
      </c>
      <c r="AI135" s="836">
        <v>0</v>
      </c>
      <c r="AJ135" s="836">
        <v>0</v>
      </c>
      <c r="AK135" s="836">
        <v>0</v>
      </c>
      <c r="AL135" s="836">
        <f t="shared" si="130"/>
        <v>0</v>
      </c>
      <c r="AM135" s="836">
        <f t="shared" si="131"/>
        <v>0</v>
      </c>
      <c r="AN135" s="949">
        <f t="shared" si="132"/>
        <v>0</v>
      </c>
      <c r="AO135" s="945">
        <f t="shared" si="87"/>
        <v>17556</v>
      </c>
      <c r="AP135" s="813">
        <f t="shared" si="88"/>
        <v>12375</v>
      </c>
      <c r="AQ135" s="813">
        <f t="shared" si="89"/>
        <v>0</v>
      </c>
      <c r="AR135" s="813">
        <f t="shared" si="108"/>
        <v>4183</v>
      </c>
      <c r="AS135" s="813">
        <f t="shared" si="108"/>
        <v>248</v>
      </c>
      <c r="AT135" s="813">
        <f t="shared" si="90"/>
        <v>750</v>
      </c>
      <c r="AU135" s="836">
        <f t="shared" si="91"/>
        <v>0.05</v>
      </c>
      <c r="AV135" s="836">
        <f t="shared" si="109"/>
        <v>0</v>
      </c>
      <c r="AW135" s="837">
        <f t="shared" si="109"/>
        <v>0.05</v>
      </c>
    </row>
    <row r="136" spans="1:49" ht="12.95" customHeight="1" x14ac:dyDescent="0.25">
      <c r="A136" s="950">
        <v>26</v>
      </c>
      <c r="B136" s="951">
        <v>5432</v>
      </c>
      <c r="C136" s="952">
        <v>600099024</v>
      </c>
      <c r="D136" s="951">
        <v>71003819</v>
      </c>
      <c r="E136" s="953" t="s">
        <v>427</v>
      </c>
      <c r="F136" s="850"/>
      <c r="G136" s="960"/>
      <c r="H136" s="851"/>
      <c r="I136" s="954">
        <f t="shared" ref="I136:AW136" si="133">SUM(I130:I135)</f>
        <v>5429604</v>
      </c>
      <c r="J136" s="955">
        <f t="shared" si="133"/>
        <v>3953000</v>
      </c>
      <c r="K136" s="955">
        <f t="shared" si="133"/>
        <v>1336114</v>
      </c>
      <c r="L136" s="955">
        <f t="shared" si="133"/>
        <v>79060</v>
      </c>
      <c r="M136" s="955">
        <f t="shared" si="133"/>
        <v>61430</v>
      </c>
      <c r="N136" s="956">
        <f t="shared" si="133"/>
        <v>8.9529000000000014</v>
      </c>
      <c r="O136" s="956">
        <f t="shared" si="133"/>
        <v>5.5316000000000001</v>
      </c>
      <c r="P136" s="959">
        <f t="shared" si="133"/>
        <v>3.4212999999999996</v>
      </c>
      <c r="Q136" s="957">
        <f t="shared" si="133"/>
        <v>-7360</v>
      </c>
      <c r="R136" s="955">
        <f t="shared" si="133"/>
        <v>0</v>
      </c>
      <c r="S136" s="955">
        <f t="shared" si="133"/>
        <v>0</v>
      </c>
      <c r="T136" s="955">
        <f t="shared" si="133"/>
        <v>0</v>
      </c>
      <c r="U136" s="955">
        <f t="shared" si="133"/>
        <v>-7360</v>
      </c>
      <c r="V136" s="955">
        <f t="shared" si="133"/>
        <v>7360</v>
      </c>
      <c r="W136" s="955">
        <f t="shared" si="133"/>
        <v>0</v>
      </c>
      <c r="X136" s="955">
        <f t="shared" si="133"/>
        <v>0</v>
      </c>
      <c r="Y136" s="955">
        <f t="shared" si="133"/>
        <v>7360</v>
      </c>
      <c r="Z136" s="955">
        <f t="shared" si="133"/>
        <v>0</v>
      </c>
      <c r="AA136" s="955">
        <f t="shared" si="133"/>
        <v>0</v>
      </c>
      <c r="AB136" s="955">
        <f t="shared" si="133"/>
        <v>-147</v>
      </c>
      <c r="AC136" s="955">
        <f t="shared" si="133"/>
        <v>0</v>
      </c>
      <c r="AD136" s="955">
        <f t="shared" si="133"/>
        <v>0</v>
      </c>
      <c r="AE136" s="955">
        <f t="shared" si="133"/>
        <v>0</v>
      </c>
      <c r="AF136" s="955">
        <f t="shared" si="133"/>
        <v>-147</v>
      </c>
      <c r="AG136" s="956">
        <f t="shared" si="133"/>
        <v>-0.01</v>
      </c>
      <c r="AH136" s="956">
        <f t="shared" si="133"/>
        <v>0</v>
      </c>
      <c r="AI136" s="956">
        <f t="shared" si="133"/>
        <v>0</v>
      </c>
      <c r="AJ136" s="956">
        <f t="shared" si="133"/>
        <v>0</v>
      </c>
      <c r="AK136" s="956">
        <f t="shared" si="133"/>
        <v>0</v>
      </c>
      <c r="AL136" s="956">
        <f t="shared" si="133"/>
        <v>-0.01</v>
      </c>
      <c r="AM136" s="956">
        <f t="shared" si="133"/>
        <v>0</v>
      </c>
      <c r="AN136" s="958">
        <f t="shared" si="133"/>
        <v>-0.01</v>
      </c>
      <c r="AO136" s="954">
        <f t="shared" si="133"/>
        <v>5429457</v>
      </c>
      <c r="AP136" s="955">
        <f t="shared" si="133"/>
        <v>3945640</v>
      </c>
      <c r="AQ136" s="955">
        <f t="shared" si="133"/>
        <v>7360</v>
      </c>
      <c r="AR136" s="955">
        <f t="shared" si="133"/>
        <v>1336114</v>
      </c>
      <c r="AS136" s="955">
        <f t="shared" si="133"/>
        <v>78913</v>
      </c>
      <c r="AT136" s="955">
        <f t="shared" si="133"/>
        <v>61430</v>
      </c>
      <c r="AU136" s="956">
        <f t="shared" si="133"/>
        <v>8.9429000000000016</v>
      </c>
      <c r="AV136" s="956">
        <f t="shared" si="133"/>
        <v>5.5216000000000003</v>
      </c>
      <c r="AW136" s="959">
        <f t="shared" si="133"/>
        <v>3.4212999999999996</v>
      </c>
    </row>
    <row r="137" spans="1:49" ht="12.95" customHeight="1" x14ac:dyDescent="0.25">
      <c r="A137" s="827">
        <v>27</v>
      </c>
      <c r="B137" s="946">
        <v>5452</v>
      </c>
      <c r="C137" s="947">
        <v>600099245</v>
      </c>
      <c r="D137" s="828">
        <v>70188416</v>
      </c>
      <c r="E137" s="948" t="s">
        <v>428</v>
      </c>
      <c r="F137" s="828">
        <v>3111</v>
      </c>
      <c r="G137" s="948" t="s">
        <v>331</v>
      </c>
      <c r="H137" s="831" t="s">
        <v>283</v>
      </c>
      <c r="I137" s="803">
        <f t="shared" ref="I137:I142" si="134">SUM(J137:M137)</f>
        <v>1447910</v>
      </c>
      <c r="J137" s="833">
        <v>1059912</v>
      </c>
      <c r="K137" s="805">
        <f>ROUND((J137)*33.8%,0)</f>
        <v>358250</v>
      </c>
      <c r="L137" s="805">
        <f>ROUND(J137*2%,0)</f>
        <v>21198</v>
      </c>
      <c r="M137" s="833">
        <v>8550</v>
      </c>
      <c r="N137" s="834">
        <f t="shared" ref="N137:N142" si="135">SUM(O137:P137)</f>
        <v>2.4281000000000001</v>
      </c>
      <c r="O137" s="1054">
        <v>1.9672000000000001</v>
      </c>
      <c r="P137" s="1055">
        <v>0.46089999999999998</v>
      </c>
      <c r="Q137" s="940">
        <f t="shared" ref="Q137:Q142" si="136">V137*-1</f>
        <v>-8000</v>
      </c>
      <c r="R137" s="813">
        <v>0</v>
      </c>
      <c r="S137" s="813">
        <v>0</v>
      </c>
      <c r="T137" s="813">
        <v>0</v>
      </c>
      <c r="U137" s="813">
        <f t="shared" ref="U137:U142" si="137">SUM(Q137:T137)</f>
        <v>-8000</v>
      </c>
      <c r="V137" s="813">
        <v>8000</v>
      </c>
      <c r="W137" s="941">
        <v>0</v>
      </c>
      <c r="X137" s="813">
        <v>0</v>
      </c>
      <c r="Y137" s="813">
        <f t="shared" ref="Y137:Y142" si="138">SUM(V137:X137)</f>
        <v>8000</v>
      </c>
      <c r="Z137" s="813">
        <f t="shared" ref="Z137:Z142" si="139">U137+Y137</f>
        <v>0</v>
      </c>
      <c r="AA137" s="809">
        <f t="shared" ref="AA137:AA142" si="140">ROUND((U137+V137+W137)*33.8%,0)</f>
        <v>0</v>
      </c>
      <c r="AB137" s="809">
        <f t="shared" ref="AB137:AB142" si="141">ROUND(U137*2%,0)</f>
        <v>-160</v>
      </c>
      <c r="AC137" s="813">
        <v>0</v>
      </c>
      <c r="AD137" s="813">
        <v>0</v>
      </c>
      <c r="AE137" s="813">
        <f t="shared" ref="AE137:AE142" si="142">SUM(AC137:AD137)</f>
        <v>0</v>
      </c>
      <c r="AF137" s="813">
        <f t="shared" ref="AF137:AF142" si="143">Z137+AA137+AB137+AE137</f>
        <v>-160</v>
      </c>
      <c r="AG137" s="836">
        <v>0</v>
      </c>
      <c r="AH137" s="836">
        <v>0</v>
      </c>
      <c r="AI137" s="836">
        <v>0</v>
      </c>
      <c r="AJ137" s="836">
        <v>0</v>
      </c>
      <c r="AK137" s="836">
        <v>0</v>
      </c>
      <c r="AL137" s="836">
        <f t="shared" ref="AL137:AL142" si="144">AG137+AI137+AJ137</f>
        <v>0</v>
      </c>
      <c r="AM137" s="836">
        <f t="shared" ref="AM137:AM142" si="145">AH137+AK137</f>
        <v>0</v>
      </c>
      <c r="AN137" s="949">
        <f t="shared" ref="AN137:AN142" si="146">SUM(AL137:AM137)</f>
        <v>0</v>
      </c>
      <c r="AO137" s="945">
        <f t="shared" si="87"/>
        <v>1447750</v>
      </c>
      <c r="AP137" s="813">
        <f t="shared" si="88"/>
        <v>1051912</v>
      </c>
      <c r="AQ137" s="813">
        <f t="shared" si="89"/>
        <v>8000</v>
      </c>
      <c r="AR137" s="813">
        <f t="shared" si="108"/>
        <v>358250</v>
      </c>
      <c r="AS137" s="813">
        <f t="shared" si="108"/>
        <v>21038</v>
      </c>
      <c r="AT137" s="813">
        <f t="shared" si="90"/>
        <v>8550</v>
      </c>
      <c r="AU137" s="836">
        <f t="shared" si="91"/>
        <v>2.4281000000000001</v>
      </c>
      <c r="AV137" s="836">
        <f t="shared" si="109"/>
        <v>1.9672000000000001</v>
      </c>
      <c r="AW137" s="837">
        <f t="shared" si="109"/>
        <v>0.46089999999999998</v>
      </c>
    </row>
    <row r="138" spans="1:49" ht="12.95" customHeight="1" x14ac:dyDescent="0.25">
      <c r="A138" s="827">
        <v>27</v>
      </c>
      <c r="B138" s="946">
        <v>5452</v>
      </c>
      <c r="C138" s="947">
        <v>600099245</v>
      </c>
      <c r="D138" s="828">
        <v>70188416</v>
      </c>
      <c r="E138" s="948" t="s">
        <v>428</v>
      </c>
      <c r="F138" s="828">
        <v>3117</v>
      </c>
      <c r="G138" s="948" t="s">
        <v>320</v>
      </c>
      <c r="H138" s="831" t="s">
        <v>283</v>
      </c>
      <c r="I138" s="803">
        <f t="shared" si="134"/>
        <v>3357418</v>
      </c>
      <c r="J138" s="833">
        <v>2433290</v>
      </c>
      <c r="K138" s="805">
        <f>ROUND((J138)*33.8%,0)</f>
        <v>822452</v>
      </c>
      <c r="L138" s="805">
        <f>ROUND(J138*2%,0)</f>
        <v>48666</v>
      </c>
      <c r="M138" s="833">
        <v>53010</v>
      </c>
      <c r="N138" s="834">
        <f t="shared" si="135"/>
        <v>4.9968000000000004</v>
      </c>
      <c r="O138" s="1054">
        <v>3.1817000000000002</v>
      </c>
      <c r="P138" s="1055">
        <v>1.8150999999999999</v>
      </c>
      <c r="Q138" s="940">
        <f t="shared" si="136"/>
        <v>-8000</v>
      </c>
      <c r="R138" s="813">
        <v>0</v>
      </c>
      <c r="S138" s="813">
        <v>0</v>
      </c>
      <c r="T138" s="813">
        <v>0</v>
      </c>
      <c r="U138" s="813">
        <f t="shared" si="137"/>
        <v>-8000</v>
      </c>
      <c r="V138" s="813">
        <v>8000</v>
      </c>
      <c r="W138" s="941">
        <v>0</v>
      </c>
      <c r="X138" s="813">
        <v>0</v>
      </c>
      <c r="Y138" s="813">
        <f t="shared" si="138"/>
        <v>8000</v>
      </c>
      <c r="Z138" s="813">
        <f t="shared" si="139"/>
        <v>0</v>
      </c>
      <c r="AA138" s="809">
        <f t="shared" si="140"/>
        <v>0</v>
      </c>
      <c r="AB138" s="809">
        <f t="shared" si="141"/>
        <v>-160</v>
      </c>
      <c r="AC138" s="813">
        <v>0</v>
      </c>
      <c r="AD138" s="813">
        <v>0</v>
      </c>
      <c r="AE138" s="813">
        <f t="shared" si="142"/>
        <v>0</v>
      </c>
      <c r="AF138" s="813">
        <f t="shared" si="143"/>
        <v>-160</v>
      </c>
      <c r="AG138" s="836">
        <v>0</v>
      </c>
      <c r="AH138" s="836">
        <v>0</v>
      </c>
      <c r="AI138" s="836">
        <v>0</v>
      </c>
      <c r="AJ138" s="836">
        <v>0</v>
      </c>
      <c r="AK138" s="836">
        <v>0</v>
      </c>
      <c r="AL138" s="836">
        <f t="shared" si="144"/>
        <v>0</v>
      </c>
      <c r="AM138" s="836">
        <f t="shared" si="145"/>
        <v>0</v>
      </c>
      <c r="AN138" s="949">
        <f t="shared" si="146"/>
        <v>0</v>
      </c>
      <c r="AO138" s="945">
        <f t="shared" si="87"/>
        <v>3357258</v>
      </c>
      <c r="AP138" s="813">
        <f t="shared" si="88"/>
        <v>2425290</v>
      </c>
      <c r="AQ138" s="813">
        <f t="shared" si="89"/>
        <v>8000</v>
      </c>
      <c r="AR138" s="813">
        <f t="shared" si="108"/>
        <v>822452</v>
      </c>
      <c r="AS138" s="813">
        <f t="shared" si="108"/>
        <v>48506</v>
      </c>
      <c r="AT138" s="813">
        <f t="shared" si="90"/>
        <v>53010</v>
      </c>
      <c r="AU138" s="836">
        <f t="shared" si="91"/>
        <v>4.9968000000000004</v>
      </c>
      <c r="AV138" s="836">
        <f t="shared" si="109"/>
        <v>3.1817000000000002</v>
      </c>
      <c r="AW138" s="837">
        <f t="shared" si="109"/>
        <v>1.8150999999999999</v>
      </c>
    </row>
    <row r="139" spans="1:49" ht="12.95" customHeight="1" x14ac:dyDescent="0.25">
      <c r="A139" s="827">
        <v>27</v>
      </c>
      <c r="B139" s="946">
        <v>5452</v>
      </c>
      <c r="C139" s="947">
        <v>600099245</v>
      </c>
      <c r="D139" s="828">
        <v>70188416</v>
      </c>
      <c r="E139" s="948" t="s">
        <v>428</v>
      </c>
      <c r="F139" s="828">
        <v>3117</v>
      </c>
      <c r="G139" s="948" t="s">
        <v>325</v>
      </c>
      <c r="H139" s="831" t="s">
        <v>284</v>
      </c>
      <c r="I139" s="803">
        <f t="shared" si="134"/>
        <v>0</v>
      </c>
      <c r="J139" s="833">
        <v>0</v>
      </c>
      <c r="K139" s="805">
        <v>0</v>
      </c>
      <c r="L139" s="805">
        <v>0</v>
      </c>
      <c r="M139" s="833">
        <v>0</v>
      </c>
      <c r="N139" s="834">
        <f t="shared" si="135"/>
        <v>0</v>
      </c>
      <c r="O139" s="1054">
        <v>0</v>
      </c>
      <c r="P139" s="1055">
        <v>0</v>
      </c>
      <c r="Q139" s="940">
        <f t="shared" si="136"/>
        <v>0</v>
      </c>
      <c r="R139" s="833">
        <f>1189627+21208</f>
        <v>1210835</v>
      </c>
      <c r="S139" s="813">
        <v>0</v>
      </c>
      <c r="T139" s="813">
        <v>0</v>
      </c>
      <c r="U139" s="813">
        <f t="shared" si="137"/>
        <v>1210835</v>
      </c>
      <c r="V139" s="813">
        <v>0</v>
      </c>
      <c r="W139" s="941">
        <v>0</v>
      </c>
      <c r="X139" s="813">
        <v>0</v>
      </c>
      <c r="Y139" s="813">
        <f t="shared" si="138"/>
        <v>0</v>
      </c>
      <c r="Z139" s="813">
        <f t="shared" si="139"/>
        <v>1210835</v>
      </c>
      <c r="AA139" s="809">
        <f t="shared" si="140"/>
        <v>409262</v>
      </c>
      <c r="AB139" s="809">
        <f t="shared" si="141"/>
        <v>24217</v>
      </c>
      <c r="AC139" s="813">
        <v>3900</v>
      </c>
      <c r="AD139" s="813">
        <v>0</v>
      </c>
      <c r="AE139" s="813">
        <f t="shared" si="142"/>
        <v>3900</v>
      </c>
      <c r="AF139" s="813">
        <f t="shared" si="143"/>
        <v>1648214</v>
      </c>
      <c r="AG139" s="836">
        <v>0</v>
      </c>
      <c r="AH139" s="836">
        <v>0</v>
      </c>
      <c r="AI139" s="836">
        <v>3.37</v>
      </c>
      <c r="AJ139" s="836">
        <v>0</v>
      </c>
      <c r="AK139" s="836">
        <v>0</v>
      </c>
      <c r="AL139" s="836">
        <f t="shared" si="144"/>
        <v>3.37</v>
      </c>
      <c r="AM139" s="836">
        <f t="shared" si="145"/>
        <v>0</v>
      </c>
      <c r="AN139" s="949">
        <f t="shared" si="146"/>
        <v>3.37</v>
      </c>
      <c r="AO139" s="945">
        <f t="shared" si="87"/>
        <v>1648214</v>
      </c>
      <c r="AP139" s="813">
        <f t="shared" si="88"/>
        <v>1210835</v>
      </c>
      <c r="AQ139" s="813">
        <f t="shared" si="89"/>
        <v>0</v>
      </c>
      <c r="AR139" s="813">
        <f t="shared" si="108"/>
        <v>409262</v>
      </c>
      <c r="AS139" s="813">
        <f t="shared" si="108"/>
        <v>24217</v>
      </c>
      <c r="AT139" s="813">
        <f t="shared" si="90"/>
        <v>3900</v>
      </c>
      <c r="AU139" s="836">
        <f t="shared" si="91"/>
        <v>3.37</v>
      </c>
      <c r="AV139" s="836">
        <f t="shared" si="109"/>
        <v>3.37</v>
      </c>
      <c r="AW139" s="837">
        <f t="shared" si="109"/>
        <v>0</v>
      </c>
    </row>
    <row r="140" spans="1:49" ht="12.95" customHeight="1" x14ac:dyDescent="0.25">
      <c r="A140" s="827">
        <v>27</v>
      </c>
      <c r="B140" s="946">
        <v>5452</v>
      </c>
      <c r="C140" s="947">
        <v>600099245</v>
      </c>
      <c r="D140" s="828">
        <v>70188416</v>
      </c>
      <c r="E140" s="948" t="s">
        <v>428</v>
      </c>
      <c r="F140" s="828">
        <v>3141</v>
      </c>
      <c r="G140" s="948" t="s">
        <v>321</v>
      </c>
      <c r="H140" s="831" t="s">
        <v>284</v>
      </c>
      <c r="I140" s="803">
        <f t="shared" si="134"/>
        <v>659761</v>
      </c>
      <c r="J140" s="833">
        <v>483697</v>
      </c>
      <c r="K140" s="805">
        <f>ROUND((J140)*33.8%,0)</f>
        <v>163490</v>
      </c>
      <c r="L140" s="805">
        <f>ROUND(J140*2%,0)</f>
        <v>9674</v>
      </c>
      <c r="M140" s="833">
        <v>2900</v>
      </c>
      <c r="N140" s="834">
        <f t="shared" si="135"/>
        <v>1.65</v>
      </c>
      <c r="O140" s="1054">
        <v>0</v>
      </c>
      <c r="P140" s="1055">
        <v>1.65</v>
      </c>
      <c r="Q140" s="940">
        <f t="shared" si="136"/>
        <v>0</v>
      </c>
      <c r="R140" s="813">
        <v>0</v>
      </c>
      <c r="S140" s="813">
        <v>0</v>
      </c>
      <c r="T140" s="813">
        <v>0</v>
      </c>
      <c r="U140" s="813">
        <f t="shared" si="137"/>
        <v>0</v>
      </c>
      <c r="V140" s="813">
        <v>0</v>
      </c>
      <c r="W140" s="941">
        <v>0</v>
      </c>
      <c r="X140" s="813">
        <v>0</v>
      </c>
      <c r="Y140" s="813">
        <f t="shared" si="138"/>
        <v>0</v>
      </c>
      <c r="Z140" s="813">
        <f t="shared" si="139"/>
        <v>0</v>
      </c>
      <c r="AA140" s="809">
        <f t="shared" si="140"/>
        <v>0</v>
      </c>
      <c r="AB140" s="809">
        <f t="shared" si="141"/>
        <v>0</v>
      </c>
      <c r="AC140" s="813">
        <v>0</v>
      </c>
      <c r="AD140" s="813">
        <v>0</v>
      </c>
      <c r="AE140" s="813">
        <f t="shared" si="142"/>
        <v>0</v>
      </c>
      <c r="AF140" s="813">
        <f t="shared" si="143"/>
        <v>0</v>
      </c>
      <c r="AG140" s="836">
        <v>0</v>
      </c>
      <c r="AH140" s="836">
        <v>0</v>
      </c>
      <c r="AI140" s="836">
        <v>0</v>
      </c>
      <c r="AJ140" s="836">
        <v>0</v>
      </c>
      <c r="AK140" s="836">
        <v>0</v>
      </c>
      <c r="AL140" s="836">
        <f t="shared" si="144"/>
        <v>0</v>
      </c>
      <c r="AM140" s="836">
        <f t="shared" si="145"/>
        <v>0</v>
      </c>
      <c r="AN140" s="949">
        <f t="shared" si="146"/>
        <v>0</v>
      </c>
      <c r="AO140" s="945">
        <f t="shared" si="87"/>
        <v>659761</v>
      </c>
      <c r="AP140" s="813">
        <f t="shared" si="88"/>
        <v>483697</v>
      </c>
      <c r="AQ140" s="813">
        <f t="shared" si="89"/>
        <v>0</v>
      </c>
      <c r="AR140" s="813">
        <f t="shared" si="108"/>
        <v>163490</v>
      </c>
      <c r="AS140" s="813">
        <f t="shared" si="108"/>
        <v>9674</v>
      </c>
      <c r="AT140" s="813">
        <f t="shared" si="90"/>
        <v>2900</v>
      </c>
      <c r="AU140" s="836">
        <f t="shared" si="91"/>
        <v>1.65</v>
      </c>
      <c r="AV140" s="836">
        <f t="shared" si="109"/>
        <v>0</v>
      </c>
      <c r="AW140" s="837">
        <f t="shared" si="109"/>
        <v>1.65</v>
      </c>
    </row>
    <row r="141" spans="1:49" ht="12.95" customHeight="1" x14ac:dyDescent="0.25">
      <c r="A141" s="827">
        <v>27</v>
      </c>
      <c r="B141" s="946">
        <v>5452</v>
      </c>
      <c r="C141" s="947">
        <v>600099245</v>
      </c>
      <c r="D141" s="828">
        <v>70188416</v>
      </c>
      <c r="E141" s="948" t="s">
        <v>428</v>
      </c>
      <c r="F141" s="828">
        <v>3143</v>
      </c>
      <c r="G141" s="948" t="s">
        <v>635</v>
      </c>
      <c r="H141" s="831" t="s">
        <v>283</v>
      </c>
      <c r="I141" s="803">
        <f t="shared" si="134"/>
        <v>526639</v>
      </c>
      <c r="J141" s="833">
        <v>387805</v>
      </c>
      <c r="K141" s="805">
        <f>ROUND((J141)*33.8%,0)</f>
        <v>131078</v>
      </c>
      <c r="L141" s="805">
        <f>ROUND(J141*2%,0)</f>
        <v>7756</v>
      </c>
      <c r="M141" s="833">
        <v>0</v>
      </c>
      <c r="N141" s="834">
        <f t="shared" si="135"/>
        <v>0.86199999999999999</v>
      </c>
      <c r="O141" s="1054">
        <v>0.86199999999999999</v>
      </c>
      <c r="P141" s="1055">
        <v>0</v>
      </c>
      <c r="Q141" s="940">
        <f t="shared" si="136"/>
        <v>0</v>
      </c>
      <c r="R141" s="813">
        <v>0</v>
      </c>
      <c r="S141" s="813">
        <v>0</v>
      </c>
      <c r="T141" s="813">
        <v>0</v>
      </c>
      <c r="U141" s="813">
        <f t="shared" si="137"/>
        <v>0</v>
      </c>
      <c r="V141" s="813">
        <v>0</v>
      </c>
      <c r="W141" s="941">
        <v>0</v>
      </c>
      <c r="X141" s="813">
        <v>0</v>
      </c>
      <c r="Y141" s="813">
        <f t="shared" si="138"/>
        <v>0</v>
      </c>
      <c r="Z141" s="813">
        <f t="shared" si="139"/>
        <v>0</v>
      </c>
      <c r="AA141" s="809">
        <f t="shared" si="140"/>
        <v>0</v>
      </c>
      <c r="AB141" s="809">
        <f t="shared" si="141"/>
        <v>0</v>
      </c>
      <c r="AC141" s="813">
        <v>0</v>
      </c>
      <c r="AD141" s="813">
        <v>0</v>
      </c>
      <c r="AE141" s="813">
        <f t="shared" si="142"/>
        <v>0</v>
      </c>
      <c r="AF141" s="813">
        <f t="shared" si="143"/>
        <v>0</v>
      </c>
      <c r="AG141" s="836">
        <v>0</v>
      </c>
      <c r="AH141" s="836">
        <v>0</v>
      </c>
      <c r="AI141" s="836">
        <v>0</v>
      </c>
      <c r="AJ141" s="836">
        <v>0</v>
      </c>
      <c r="AK141" s="836">
        <v>0</v>
      </c>
      <c r="AL141" s="836">
        <f t="shared" si="144"/>
        <v>0</v>
      </c>
      <c r="AM141" s="836">
        <f t="shared" si="145"/>
        <v>0</v>
      </c>
      <c r="AN141" s="949">
        <f t="shared" si="146"/>
        <v>0</v>
      </c>
      <c r="AO141" s="945">
        <f t="shared" ref="AO141:AO162" si="147">I141+AF141</f>
        <v>526639</v>
      </c>
      <c r="AP141" s="813">
        <f t="shared" ref="AP141:AP162" si="148">J141+U141</f>
        <v>387805</v>
      </c>
      <c r="AQ141" s="813">
        <f t="shared" ref="AQ141:AQ162" si="149">Y141</f>
        <v>0</v>
      </c>
      <c r="AR141" s="813">
        <f t="shared" si="108"/>
        <v>131078</v>
      </c>
      <c r="AS141" s="813">
        <f t="shared" si="108"/>
        <v>7756</v>
      </c>
      <c r="AT141" s="813">
        <f t="shared" ref="AT141:AT162" si="150">M141+AE141</f>
        <v>0</v>
      </c>
      <c r="AU141" s="836">
        <f t="shared" ref="AU141:AU162" si="151">N141+AN141</f>
        <v>0.86199999999999999</v>
      </c>
      <c r="AV141" s="836">
        <f t="shared" si="109"/>
        <v>0.86199999999999999</v>
      </c>
      <c r="AW141" s="837">
        <f t="shared" si="109"/>
        <v>0</v>
      </c>
    </row>
    <row r="142" spans="1:49" ht="12.95" customHeight="1" x14ac:dyDescent="0.25">
      <c r="A142" s="827">
        <v>27</v>
      </c>
      <c r="B142" s="946">
        <v>5452</v>
      </c>
      <c r="C142" s="947">
        <v>600099245</v>
      </c>
      <c r="D142" s="828">
        <v>70188416</v>
      </c>
      <c r="E142" s="948" t="s">
        <v>428</v>
      </c>
      <c r="F142" s="828">
        <v>3143</v>
      </c>
      <c r="G142" s="948" t="s">
        <v>636</v>
      </c>
      <c r="H142" s="831" t="s">
        <v>284</v>
      </c>
      <c r="I142" s="803">
        <f t="shared" si="134"/>
        <v>15449</v>
      </c>
      <c r="J142" s="833">
        <v>10890</v>
      </c>
      <c r="K142" s="805">
        <f>ROUND((J142)*33.8%,0)</f>
        <v>3681</v>
      </c>
      <c r="L142" s="805">
        <f>ROUND(J142*2%,0)</f>
        <v>218</v>
      </c>
      <c r="M142" s="833">
        <v>660</v>
      </c>
      <c r="N142" s="834">
        <f t="shared" si="135"/>
        <v>0.05</v>
      </c>
      <c r="O142" s="1054">
        <v>0</v>
      </c>
      <c r="P142" s="1055">
        <v>0.05</v>
      </c>
      <c r="Q142" s="940">
        <f t="shared" si="136"/>
        <v>0</v>
      </c>
      <c r="R142" s="813">
        <v>0</v>
      </c>
      <c r="S142" s="813">
        <v>0</v>
      </c>
      <c r="T142" s="813">
        <v>0</v>
      </c>
      <c r="U142" s="813">
        <f t="shared" si="137"/>
        <v>0</v>
      </c>
      <c r="V142" s="813">
        <v>0</v>
      </c>
      <c r="W142" s="941">
        <v>0</v>
      </c>
      <c r="X142" s="813">
        <v>0</v>
      </c>
      <c r="Y142" s="813">
        <f t="shared" si="138"/>
        <v>0</v>
      </c>
      <c r="Z142" s="813">
        <f t="shared" si="139"/>
        <v>0</v>
      </c>
      <c r="AA142" s="809">
        <f t="shared" si="140"/>
        <v>0</v>
      </c>
      <c r="AB142" s="809">
        <f t="shared" si="141"/>
        <v>0</v>
      </c>
      <c r="AC142" s="813">
        <v>0</v>
      </c>
      <c r="AD142" s="813">
        <v>0</v>
      </c>
      <c r="AE142" s="813">
        <f t="shared" si="142"/>
        <v>0</v>
      </c>
      <c r="AF142" s="813">
        <f t="shared" si="143"/>
        <v>0</v>
      </c>
      <c r="AG142" s="836">
        <v>0</v>
      </c>
      <c r="AH142" s="836">
        <v>0</v>
      </c>
      <c r="AI142" s="836">
        <v>0</v>
      </c>
      <c r="AJ142" s="836">
        <v>0</v>
      </c>
      <c r="AK142" s="836">
        <v>0</v>
      </c>
      <c r="AL142" s="836">
        <f t="shared" si="144"/>
        <v>0</v>
      </c>
      <c r="AM142" s="836">
        <f t="shared" si="145"/>
        <v>0</v>
      </c>
      <c r="AN142" s="949">
        <f t="shared" si="146"/>
        <v>0</v>
      </c>
      <c r="AO142" s="945">
        <f t="shared" si="147"/>
        <v>15449</v>
      </c>
      <c r="AP142" s="813">
        <f t="shared" si="148"/>
        <v>10890</v>
      </c>
      <c r="AQ142" s="813">
        <f t="shared" si="149"/>
        <v>0</v>
      </c>
      <c r="AR142" s="813">
        <f t="shared" si="108"/>
        <v>3681</v>
      </c>
      <c r="AS142" s="813">
        <f t="shared" si="108"/>
        <v>218</v>
      </c>
      <c r="AT142" s="813">
        <f t="shared" si="150"/>
        <v>660</v>
      </c>
      <c r="AU142" s="836">
        <f t="shared" si="151"/>
        <v>0.05</v>
      </c>
      <c r="AV142" s="836">
        <f t="shared" si="109"/>
        <v>0</v>
      </c>
      <c r="AW142" s="837">
        <f t="shared" si="109"/>
        <v>0.05</v>
      </c>
    </row>
    <row r="143" spans="1:49" ht="12.95" customHeight="1" x14ac:dyDescent="0.25">
      <c r="A143" s="950">
        <v>27</v>
      </c>
      <c r="B143" s="951">
        <v>5452</v>
      </c>
      <c r="C143" s="952">
        <v>600099245</v>
      </c>
      <c r="D143" s="951">
        <v>70188416</v>
      </c>
      <c r="E143" s="953" t="s">
        <v>429</v>
      </c>
      <c r="F143" s="850"/>
      <c r="G143" s="960"/>
      <c r="H143" s="851"/>
      <c r="I143" s="954">
        <f t="shared" ref="I143:AW143" si="152">SUM(I137:I142)</f>
        <v>6007177</v>
      </c>
      <c r="J143" s="955">
        <f t="shared" si="152"/>
        <v>4375594</v>
      </c>
      <c r="K143" s="955">
        <f t="shared" si="152"/>
        <v>1478951</v>
      </c>
      <c r="L143" s="955">
        <f t="shared" si="152"/>
        <v>87512</v>
      </c>
      <c r="M143" s="955">
        <f t="shared" si="152"/>
        <v>65120</v>
      </c>
      <c r="N143" s="956">
        <f t="shared" si="152"/>
        <v>9.9869000000000021</v>
      </c>
      <c r="O143" s="956">
        <f t="shared" si="152"/>
        <v>6.0109000000000004</v>
      </c>
      <c r="P143" s="959">
        <f t="shared" si="152"/>
        <v>3.9759999999999995</v>
      </c>
      <c r="Q143" s="957">
        <f t="shared" si="152"/>
        <v>-16000</v>
      </c>
      <c r="R143" s="955">
        <f t="shared" si="152"/>
        <v>1210835</v>
      </c>
      <c r="S143" s="955">
        <f t="shared" si="152"/>
        <v>0</v>
      </c>
      <c r="T143" s="955">
        <f t="shared" si="152"/>
        <v>0</v>
      </c>
      <c r="U143" s="955">
        <f t="shared" si="152"/>
        <v>1194835</v>
      </c>
      <c r="V143" s="955">
        <f t="shared" si="152"/>
        <v>16000</v>
      </c>
      <c r="W143" s="955">
        <f t="shared" si="152"/>
        <v>0</v>
      </c>
      <c r="X143" s="955">
        <f t="shared" si="152"/>
        <v>0</v>
      </c>
      <c r="Y143" s="955">
        <f t="shared" si="152"/>
        <v>16000</v>
      </c>
      <c r="Z143" s="955">
        <f t="shared" si="152"/>
        <v>1210835</v>
      </c>
      <c r="AA143" s="955">
        <f t="shared" si="152"/>
        <v>409262</v>
      </c>
      <c r="AB143" s="955">
        <f t="shared" si="152"/>
        <v>23897</v>
      </c>
      <c r="AC143" s="955">
        <f t="shared" si="152"/>
        <v>3900</v>
      </c>
      <c r="AD143" s="955">
        <f t="shared" si="152"/>
        <v>0</v>
      </c>
      <c r="AE143" s="955">
        <f t="shared" si="152"/>
        <v>3900</v>
      </c>
      <c r="AF143" s="955">
        <f t="shared" si="152"/>
        <v>1647894</v>
      </c>
      <c r="AG143" s="956">
        <f t="shared" si="152"/>
        <v>0</v>
      </c>
      <c r="AH143" s="956">
        <f t="shared" si="152"/>
        <v>0</v>
      </c>
      <c r="AI143" s="956">
        <f t="shared" si="152"/>
        <v>3.37</v>
      </c>
      <c r="AJ143" s="956">
        <f t="shared" si="152"/>
        <v>0</v>
      </c>
      <c r="AK143" s="956">
        <f t="shared" si="152"/>
        <v>0</v>
      </c>
      <c r="AL143" s="956">
        <f t="shared" si="152"/>
        <v>3.37</v>
      </c>
      <c r="AM143" s="956">
        <f t="shared" si="152"/>
        <v>0</v>
      </c>
      <c r="AN143" s="958">
        <f t="shared" si="152"/>
        <v>3.37</v>
      </c>
      <c r="AO143" s="954">
        <f t="shared" si="152"/>
        <v>7655071</v>
      </c>
      <c r="AP143" s="955">
        <f t="shared" si="152"/>
        <v>5570429</v>
      </c>
      <c r="AQ143" s="955">
        <f t="shared" si="152"/>
        <v>16000</v>
      </c>
      <c r="AR143" s="955">
        <f t="shared" si="152"/>
        <v>1888213</v>
      </c>
      <c r="AS143" s="955">
        <f t="shared" si="152"/>
        <v>111409</v>
      </c>
      <c r="AT143" s="955">
        <f t="shared" si="152"/>
        <v>69020</v>
      </c>
      <c r="AU143" s="956">
        <f t="shared" si="152"/>
        <v>13.356900000000003</v>
      </c>
      <c r="AV143" s="956">
        <f t="shared" si="152"/>
        <v>9.3809000000000005</v>
      </c>
      <c r="AW143" s="959">
        <f t="shared" si="152"/>
        <v>3.9759999999999995</v>
      </c>
    </row>
    <row r="144" spans="1:49" ht="12.95" customHeight="1" x14ac:dyDescent="0.25">
      <c r="A144" s="827">
        <v>28</v>
      </c>
      <c r="B144" s="946">
        <v>5428</v>
      </c>
      <c r="C144" s="947">
        <v>600099059</v>
      </c>
      <c r="D144" s="828">
        <v>70985740</v>
      </c>
      <c r="E144" s="948" t="s">
        <v>430</v>
      </c>
      <c r="F144" s="828">
        <v>3111</v>
      </c>
      <c r="G144" s="948" t="s">
        <v>331</v>
      </c>
      <c r="H144" s="831" t="s">
        <v>283</v>
      </c>
      <c r="I144" s="803">
        <f t="shared" ref="I144:I149" si="153">SUM(J144:M144)</f>
        <v>1399942</v>
      </c>
      <c r="J144" s="833">
        <v>1024258</v>
      </c>
      <c r="K144" s="805">
        <f t="shared" ref="K144:K149" si="154">ROUND((J144)*33.8%,0)</f>
        <v>346199</v>
      </c>
      <c r="L144" s="805">
        <f t="shared" ref="L144:L149" si="155">ROUND(J144*2%,0)</f>
        <v>20485</v>
      </c>
      <c r="M144" s="833">
        <v>9000</v>
      </c>
      <c r="N144" s="834">
        <f t="shared" ref="N144:N149" si="156">SUM(O144:P144)</f>
        <v>2.3963999999999999</v>
      </c>
      <c r="O144" s="1054">
        <v>1.9355</v>
      </c>
      <c r="P144" s="1055">
        <v>0.46089999999999998</v>
      </c>
      <c r="Q144" s="940">
        <f t="shared" ref="Q144:Q149" si="157">V144*-1</f>
        <v>-16000</v>
      </c>
      <c r="R144" s="813">
        <v>0</v>
      </c>
      <c r="S144" s="813">
        <v>0</v>
      </c>
      <c r="T144" s="813">
        <v>0</v>
      </c>
      <c r="U144" s="813">
        <f t="shared" ref="U144:U149" si="158">SUM(Q144:T144)</f>
        <v>-16000</v>
      </c>
      <c r="V144" s="813">
        <v>16000</v>
      </c>
      <c r="W144" s="941">
        <v>0</v>
      </c>
      <c r="X144" s="813">
        <v>0</v>
      </c>
      <c r="Y144" s="813">
        <f t="shared" ref="Y144:Y149" si="159">SUM(V144:X144)</f>
        <v>16000</v>
      </c>
      <c r="Z144" s="813">
        <f t="shared" ref="Z144:Z149" si="160">U144+Y144</f>
        <v>0</v>
      </c>
      <c r="AA144" s="809">
        <f t="shared" ref="AA144:AA149" si="161">ROUND((U144+V144+W144)*33.8%,0)</f>
        <v>0</v>
      </c>
      <c r="AB144" s="809">
        <f t="shared" ref="AB144:AB149" si="162">ROUND(U144*2%,0)</f>
        <v>-320</v>
      </c>
      <c r="AC144" s="813">
        <v>0</v>
      </c>
      <c r="AD144" s="813">
        <v>0</v>
      </c>
      <c r="AE144" s="813">
        <f t="shared" ref="AE144:AE149" si="163">SUM(AC144:AD144)</f>
        <v>0</v>
      </c>
      <c r="AF144" s="813">
        <f t="shared" ref="AF144:AF149" si="164">Z144+AA144+AB144+AE144</f>
        <v>-320</v>
      </c>
      <c r="AG144" s="836">
        <v>0</v>
      </c>
      <c r="AH144" s="836">
        <v>0</v>
      </c>
      <c r="AI144" s="836">
        <v>0</v>
      </c>
      <c r="AJ144" s="836">
        <v>0</v>
      </c>
      <c r="AK144" s="836">
        <v>0</v>
      </c>
      <c r="AL144" s="836">
        <f t="shared" ref="AL144:AL149" si="165">AG144+AI144+AJ144</f>
        <v>0</v>
      </c>
      <c r="AM144" s="836">
        <f t="shared" ref="AM144:AM149" si="166">AH144+AK144</f>
        <v>0</v>
      </c>
      <c r="AN144" s="949">
        <f t="shared" ref="AN144:AN149" si="167">SUM(AL144:AM144)</f>
        <v>0</v>
      </c>
      <c r="AO144" s="945">
        <f t="shared" si="147"/>
        <v>1399622</v>
      </c>
      <c r="AP144" s="813">
        <f t="shared" si="148"/>
        <v>1008258</v>
      </c>
      <c r="AQ144" s="813">
        <f t="shared" si="149"/>
        <v>16000</v>
      </c>
      <c r="AR144" s="813">
        <f t="shared" si="108"/>
        <v>346199</v>
      </c>
      <c r="AS144" s="813">
        <f t="shared" si="108"/>
        <v>20165</v>
      </c>
      <c r="AT144" s="813">
        <f t="shared" si="150"/>
        <v>9000</v>
      </c>
      <c r="AU144" s="836">
        <f t="shared" si="151"/>
        <v>2.3963999999999999</v>
      </c>
      <c r="AV144" s="836">
        <f t="shared" si="109"/>
        <v>1.9355</v>
      </c>
      <c r="AW144" s="837">
        <f t="shared" si="109"/>
        <v>0.46089999999999998</v>
      </c>
    </row>
    <row r="145" spans="1:49" ht="12.95" customHeight="1" x14ac:dyDescent="0.25">
      <c r="A145" s="827">
        <v>28</v>
      </c>
      <c r="B145" s="946">
        <v>5428</v>
      </c>
      <c r="C145" s="947">
        <v>600099059</v>
      </c>
      <c r="D145" s="828">
        <v>70985740</v>
      </c>
      <c r="E145" s="948" t="s">
        <v>430</v>
      </c>
      <c r="F145" s="828">
        <v>3117</v>
      </c>
      <c r="G145" s="948" t="s">
        <v>320</v>
      </c>
      <c r="H145" s="831" t="s">
        <v>283</v>
      </c>
      <c r="I145" s="803">
        <f t="shared" si="153"/>
        <v>2396708</v>
      </c>
      <c r="J145" s="833">
        <v>1747252</v>
      </c>
      <c r="K145" s="805">
        <f t="shared" si="154"/>
        <v>590571</v>
      </c>
      <c r="L145" s="805">
        <f t="shared" si="155"/>
        <v>34945</v>
      </c>
      <c r="M145" s="833">
        <v>23940</v>
      </c>
      <c r="N145" s="834">
        <f t="shared" si="156"/>
        <v>3.2918000000000003</v>
      </c>
      <c r="O145" s="1054">
        <v>2.2726999999999999</v>
      </c>
      <c r="P145" s="1055">
        <v>1.0191000000000001</v>
      </c>
      <c r="Q145" s="940">
        <f t="shared" si="157"/>
        <v>-32000</v>
      </c>
      <c r="R145" s="813">
        <v>0</v>
      </c>
      <c r="S145" s="813">
        <v>0</v>
      </c>
      <c r="T145" s="813">
        <v>0</v>
      </c>
      <c r="U145" s="813">
        <f t="shared" si="158"/>
        <v>-32000</v>
      </c>
      <c r="V145" s="813">
        <v>32000</v>
      </c>
      <c r="W145" s="941">
        <v>36544</v>
      </c>
      <c r="X145" s="813">
        <v>0</v>
      </c>
      <c r="Y145" s="813">
        <f t="shared" si="159"/>
        <v>68544</v>
      </c>
      <c r="Z145" s="813">
        <f t="shared" si="160"/>
        <v>36544</v>
      </c>
      <c r="AA145" s="809">
        <f t="shared" si="161"/>
        <v>12352</v>
      </c>
      <c r="AB145" s="809">
        <f t="shared" si="162"/>
        <v>-640</v>
      </c>
      <c r="AC145" s="813">
        <v>0</v>
      </c>
      <c r="AD145" s="813">
        <v>0</v>
      </c>
      <c r="AE145" s="813">
        <f t="shared" si="163"/>
        <v>0</v>
      </c>
      <c r="AF145" s="813">
        <f t="shared" si="164"/>
        <v>48256</v>
      </c>
      <c r="AG145" s="836">
        <v>-0.03</v>
      </c>
      <c r="AH145" s="836">
        <v>0</v>
      </c>
      <c r="AI145" s="836">
        <v>0</v>
      </c>
      <c r="AJ145" s="836">
        <v>0</v>
      </c>
      <c r="AK145" s="836">
        <v>0</v>
      </c>
      <c r="AL145" s="836">
        <f t="shared" si="165"/>
        <v>-0.03</v>
      </c>
      <c r="AM145" s="836">
        <f t="shared" si="166"/>
        <v>0</v>
      </c>
      <c r="AN145" s="949">
        <f t="shared" si="167"/>
        <v>-0.03</v>
      </c>
      <c r="AO145" s="945">
        <f t="shared" si="147"/>
        <v>2444964</v>
      </c>
      <c r="AP145" s="813">
        <f t="shared" si="148"/>
        <v>1715252</v>
      </c>
      <c r="AQ145" s="813">
        <f t="shared" si="149"/>
        <v>68544</v>
      </c>
      <c r="AR145" s="813">
        <f t="shared" si="108"/>
        <v>602923</v>
      </c>
      <c r="AS145" s="813">
        <f t="shared" si="108"/>
        <v>34305</v>
      </c>
      <c r="AT145" s="813">
        <f t="shared" si="150"/>
        <v>23940</v>
      </c>
      <c r="AU145" s="836">
        <f t="shared" si="151"/>
        <v>3.2618000000000005</v>
      </c>
      <c r="AV145" s="836">
        <f t="shared" si="109"/>
        <v>2.2427000000000001</v>
      </c>
      <c r="AW145" s="837">
        <f t="shared" si="109"/>
        <v>1.0191000000000001</v>
      </c>
    </row>
    <row r="146" spans="1:49" ht="12.95" customHeight="1" x14ac:dyDescent="0.25">
      <c r="A146" s="827">
        <v>28</v>
      </c>
      <c r="B146" s="946">
        <v>5428</v>
      </c>
      <c r="C146" s="947">
        <v>600099059</v>
      </c>
      <c r="D146" s="828">
        <v>70985740</v>
      </c>
      <c r="E146" s="948" t="s">
        <v>430</v>
      </c>
      <c r="F146" s="828">
        <v>3117</v>
      </c>
      <c r="G146" s="948" t="s">
        <v>325</v>
      </c>
      <c r="H146" s="831" t="s">
        <v>284</v>
      </c>
      <c r="I146" s="803">
        <f t="shared" si="153"/>
        <v>0</v>
      </c>
      <c r="J146" s="833">
        <v>0</v>
      </c>
      <c r="K146" s="805">
        <f t="shared" si="154"/>
        <v>0</v>
      </c>
      <c r="L146" s="805">
        <f t="shared" si="155"/>
        <v>0</v>
      </c>
      <c r="M146" s="833">
        <v>0</v>
      </c>
      <c r="N146" s="834">
        <f t="shared" si="156"/>
        <v>0</v>
      </c>
      <c r="O146" s="1054">
        <v>0</v>
      </c>
      <c r="P146" s="1055">
        <v>0</v>
      </c>
      <c r="Q146" s="940">
        <f t="shared" si="157"/>
        <v>0</v>
      </c>
      <c r="R146" s="813">
        <v>0</v>
      </c>
      <c r="S146" s="813">
        <v>0</v>
      </c>
      <c r="T146" s="813">
        <v>0</v>
      </c>
      <c r="U146" s="813">
        <f t="shared" si="158"/>
        <v>0</v>
      </c>
      <c r="V146" s="813">
        <v>0</v>
      </c>
      <c r="W146" s="941">
        <v>0</v>
      </c>
      <c r="X146" s="813">
        <v>0</v>
      </c>
      <c r="Y146" s="813">
        <f t="shared" si="159"/>
        <v>0</v>
      </c>
      <c r="Z146" s="813">
        <f t="shared" si="160"/>
        <v>0</v>
      </c>
      <c r="AA146" s="809">
        <f t="shared" si="161"/>
        <v>0</v>
      </c>
      <c r="AB146" s="809">
        <f t="shared" si="162"/>
        <v>0</v>
      </c>
      <c r="AC146" s="813">
        <v>0</v>
      </c>
      <c r="AD146" s="813">
        <v>0</v>
      </c>
      <c r="AE146" s="813">
        <f t="shared" si="163"/>
        <v>0</v>
      </c>
      <c r="AF146" s="813">
        <f t="shared" si="164"/>
        <v>0</v>
      </c>
      <c r="AG146" s="836">
        <v>0</v>
      </c>
      <c r="AH146" s="836">
        <v>0</v>
      </c>
      <c r="AI146" s="836">
        <v>0</v>
      </c>
      <c r="AJ146" s="836">
        <v>0</v>
      </c>
      <c r="AK146" s="836">
        <v>0</v>
      </c>
      <c r="AL146" s="836">
        <f t="shared" si="165"/>
        <v>0</v>
      </c>
      <c r="AM146" s="836">
        <f t="shared" si="166"/>
        <v>0</v>
      </c>
      <c r="AN146" s="949">
        <f t="shared" si="167"/>
        <v>0</v>
      </c>
      <c r="AO146" s="945">
        <f t="shared" si="147"/>
        <v>0</v>
      </c>
      <c r="AP146" s="813">
        <f t="shared" si="148"/>
        <v>0</v>
      </c>
      <c r="AQ146" s="813">
        <f t="shared" si="149"/>
        <v>0</v>
      </c>
      <c r="AR146" s="813">
        <f t="shared" si="108"/>
        <v>0</v>
      </c>
      <c r="AS146" s="813">
        <f t="shared" si="108"/>
        <v>0</v>
      </c>
      <c r="AT146" s="813">
        <f t="shared" si="150"/>
        <v>0</v>
      </c>
      <c r="AU146" s="836">
        <f t="shared" si="151"/>
        <v>0</v>
      </c>
      <c r="AV146" s="836">
        <f t="shared" si="109"/>
        <v>0</v>
      </c>
      <c r="AW146" s="837">
        <f t="shared" si="109"/>
        <v>0</v>
      </c>
    </row>
    <row r="147" spans="1:49" ht="12.95" customHeight="1" x14ac:dyDescent="0.25">
      <c r="A147" s="827">
        <v>28</v>
      </c>
      <c r="B147" s="946">
        <v>5428</v>
      </c>
      <c r="C147" s="947">
        <v>600099059</v>
      </c>
      <c r="D147" s="828">
        <v>70985740</v>
      </c>
      <c r="E147" s="948" t="s">
        <v>430</v>
      </c>
      <c r="F147" s="828">
        <v>3141</v>
      </c>
      <c r="G147" s="948" t="s">
        <v>321</v>
      </c>
      <c r="H147" s="831" t="s">
        <v>284</v>
      </c>
      <c r="I147" s="803">
        <f t="shared" si="153"/>
        <v>493336</v>
      </c>
      <c r="J147" s="833">
        <v>361786</v>
      </c>
      <c r="K147" s="805">
        <f t="shared" si="154"/>
        <v>122284</v>
      </c>
      <c r="L147" s="805">
        <f t="shared" si="155"/>
        <v>7236</v>
      </c>
      <c r="M147" s="833">
        <v>2030</v>
      </c>
      <c r="N147" s="834">
        <f t="shared" si="156"/>
        <v>1.23</v>
      </c>
      <c r="O147" s="1054">
        <v>0</v>
      </c>
      <c r="P147" s="1055">
        <v>1.23</v>
      </c>
      <c r="Q147" s="940">
        <f t="shared" si="157"/>
        <v>-4000</v>
      </c>
      <c r="R147" s="813">
        <v>0</v>
      </c>
      <c r="S147" s="813">
        <v>0</v>
      </c>
      <c r="T147" s="813">
        <v>0</v>
      </c>
      <c r="U147" s="813">
        <f t="shared" si="158"/>
        <v>-4000</v>
      </c>
      <c r="V147" s="813">
        <v>4000</v>
      </c>
      <c r="W147" s="941">
        <v>0</v>
      </c>
      <c r="X147" s="813">
        <v>0</v>
      </c>
      <c r="Y147" s="813">
        <f t="shared" si="159"/>
        <v>4000</v>
      </c>
      <c r="Z147" s="813">
        <f t="shared" si="160"/>
        <v>0</v>
      </c>
      <c r="AA147" s="809">
        <f t="shared" si="161"/>
        <v>0</v>
      </c>
      <c r="AB147" s="809">
        <f t="shared" si="162"/>
        <v>-80</v>
      </c>
      <c r="AC147" s="813">
        <v>0</v>
      </c>
      <c r="AD147" s="813">
        <v>0</v>
      </c>
      <c r="AE147" s="813">
        <f t="shared" si="163"/>
        <v>0</v>
      </c>
      <c r="AF147" s="813">
        <f t="shared" si="164"/>
        <v>-80</v>
      </c>
      <c r="AG147" s="836">
        <v>0</v>
      </c>
      <c r="AH147" s="836">
        <v>0</v>
      </c>
      <c r="AI147" s="836">
        <v>0</v>
      </c>
      <c r="AJ147" s="836">
        <v>0</v>
      </c>
      <c r="AK147" s="836">
        <v>0</v>
      </c>
      <c r="AL147" s="836">
        <f t="shared" si="165"/>
        <v>0</v>
      </c>
      <c r="AM147" s="836">
        <f t="shared" si="166"/>
        <v>0</v>
      </c>
      <c r="AN147" s="949">
        <f t="shared" si="167"/>
        <v>0</v>
      </c>
      <c r="AO147" s="945">
        <f t="shared" si="147"/>
        <v>493256</v>
      </c>
      <c r="AP147" s="813">
        <f t="shared" si="148"/>
        <v>357786</v>
      </c>
      <c r="AQ147" s="813">
        <f t="shared" si="149"/>
        <v>4000</v>
      </c>
      <c r="AR147" s="813">
        <f t="shared" si="108"/>
        <v>122284</v>
      </c>
      <c r="AS147" s="813">
        <f t="shared" si="108"/>
        <v>7156</v>
      </c>
      <c r="AT147" s="813">
        <f t="shared" si="150"/>
        <v>2030</v>
      </c>
      <c r="AU147" s="836">
        <f t="shared" si="151"/>
        <v>1.23</v>
      </c>
      <c r="AV147" s="836">
        <f t="shared" si="109"/>
        <v>0</v>
      </c>
      <c r="AW147" s="837">
        <f t="shared" si="109"/>
        <v>1.23</v>
      </c>
    </row>
    <row r="148" spans="1:49" ht="12.95" customHeight="1" x14ac:dyDescent="0.25">
      <c r="A148" s="827">
        <v>28</v>
      </c>
      <c r="B148" s="946">
        <v>5428</v>
      </c>
      <c r="C148" s="947">
        <v>600099059</v>
      </c>
      <c r="D148" s="828">
        <v>70985740</v>
      </c>
      <c r="E148" s="948" t="s">
        <v>430</v>
      </c>
      <c r="F148" s="828">
        <v>3143</v>
      </c>
      <c r="G148" s="948" t="s">
        <v>635</v>
      </c>
      <c r="H148" s="831" t="s">
        <v>283</v>
      </c>
      <c r="I148" s="803">
        <f t="shared" si="153"/>
        <v>540145</v>
      </c>
      <c r="J148" s="833">
        <v>397750</v>
      </c>
      <c r="K148" s="805">
        <f t="shared" si="154"/>
        <v>134440</v>
      </c>
      <c r="L148" s="805">
        <f t="shared" si="155"/>
        <v>7955</v>
      </c>
      <c r="M148" s="833">
        <v>0</v>
      </c>
      <c r="N148" s="834">
        <f t="shared" si="156"/>
        <v>0.8417</v>
      </c>
      <c r="O148" s="1054">
        <v>0.8417</v>
      </c>
      <c r="P148" s="1055">
        <v>0</v>
      </c>
      <c r="Q148" s="940">
        <f t="shared" si="157"/>
        <v>-8000</v>
      </c>
      <c r="R148" s="813">
        <v>0</v>
      </c>
      <c r="S148" s="813">
        <v>0</v>
      </c>
      <c r="T148" s="813">
        <v>0</v>
      </c>
      <c r="U148" s="813">
        <f t="shared" si="158"/>
        <v>-8000</v>
      </c>
      <c r="V148" s="813">
        <v>8000</v>
      </c>
      <c r="W148" s="941">
        <v>0</v>
      </c>
      <c r="X148" s="813">
        <v>0</v>
      </c>
      <c r="Y148" s="813">
        <f t="shared" si="159"/>
        <v>8000</v>
      </c>
      <c r="Z148" s="813">
        <f t="shared" si="160"/>
        <v>0</v>
      </c>
      <c r="AA148" s="809">
        <f t="shared" si="161"/>
        <v>0</v>
      </c>
      <c r="AB148" s="809">
        <f t="shared" si="162"/>
        <v>-160</v>
      </c>
      <c r="AC148" s="813">
        <v>0</v>
      </c>
      <c r="AD148" s="813">
        <v>0</v>
      </c>
      <c r="AE148" s="813">
        <f t="shared" si="163"/>
        <v>0</v>
      </c>
      <c r="AF148" s="813">
        <f t="shared" si="164"/>
        <v>-160</v>
      </c>
      <c r="AG148" s="836">
        <v>0</v>
      </c>
      <c r="AH148" s="836">
        <v>0</v>
      </c>
      <c r="AI148" s="836">
        <v>0</v>
      </c>
      <c r="AJ148" s="836">
        <v>0</v>
      </c>
      <c r="AK148" s="836">
        <v>0</v>
      </c>
      <c r="AL148" s="836">
        <f t="shared" si="165"/>
        <v>0</v>
      </c>
      <c r="AM148" s="836">
        <f t="shared" si="166"/>
        <v>0</v>
      </c>
      <c r="AN148" s="949">
        <f t="shared" si="167"/>
        <v>0</v>
      </c>
      <c r="AO148" s="945">
        <f t="shared" si="147"/>
        <v>539985</v>
      </c>
      <c r="AP148" s="813">
        <f t="shared" si="148"/>
        <v>389750</v>
      </c>
      <c r="AQ148" s="813">
        <f t="shared" si="149"/>
        <v>8000</v>
      </c>
      <c r="AR148" s="813">
        <f t="shared" si="108"/>
        <v>134440</v>
      </c>
      <c r="AS148" s="813">
        <f t="shared" si="108"/>
        <v>7795</v>
      </c>
      <c r="AT148" s="813">
        <f t="shared" si="150"/>
        <v>0</v>
      </c>
      <c r="AU148" s="836">
        <f t="shared" si="151"/>
        <v>0.8417</v>
      </c>
      <c r="AV148" s="836">
        <f t="shared" si="109"/>
        <v>0.8417</v>
      </c>
      <c r="AW148" s="837">
        <f t="shared" si="109"/>
        <v>0</v>
      </c>
    </row>
    <row r="149" spans="1:49" ht="12.95" customHeight="1" x14ac:dyDescent="0.25">
      <c r="A149" s="827">
        <v>28</v>
      </c>
      <c r="B149" s="946">
        <v>5428</v>
      </c>
      <c r="C149" s="947">
        <v>600099059</v>
      </c>
      <c r="D149" s="828">
        <v>70985740</v>
      </c>
      <c r="E149" s="948" t="s">
        <v>430</v>
      </c>
      <c r="F149" s="828">
        <v>3143</v>
      </c>
      <c r="G149" s="948" t="s">
        <v>636</v>
      </c>
      <c r="H149" s="831" t="s">
        <v>284</v>
      </c>
      <c r="I149" s="803">
        <f t="shared" si="153"/>
        <v>9831</v>
      </c>
      <c r="J149" s="833">
        <v>6930</v>
      </c>
      <c r="K149" s="805">
        <f t="shared" si="154"/>
        <v>2342</v>
      </c>
      <c r="L149" s="805">
        <f t="shared" si="155"/>
        <v>139</v>
      </c>
      <c r="M149" s="833">
        <v>420</v>
      </c>
      <c r="N149" s="834">
        <f t="shared" si="156"/>
        <v>0.03</v>
      </c>
      <c r="O149" s="1054">
        <v>0</v>
      </c>
      <c r="P149" s="1055">
        <v>0.03</v>
      </c>
      <c r="Q149" s="940">
        <f t="shared" si="157"/>
        <v>-4000</v>
      </c>
      <c r="R149" s="813">
        <v>0</v>
      </c>
      <c r="S149" s="813">
        <v>0</v>
      </c>
      <c r="T149" s="813">
        <v>0</v>
      </c>
      <c r="U149" s="813">
        <f t="shared" si="158"/>
        <v>-4000</v>
      </c>
      <c r="V149" s="813">
        <v>4000</v>
      </c>
      <c r="W149" s="941">
        <v>0</v>
      </c>
      <c r="X149" s="813">
        <v>0</v>
      </c>
      <c r="Y149" s="813">
        <f t="shared" si="159"/>
        <v>4000</v>
      </c>
      <c r="Z149" s="813">
        <f t="shared" si="160"/>
        <v>0</v>
      </c>
      <c r="AA149" s="809">
        <f t="shared" si="161"/>
        <v>0</v>
      </c>
      <c r="AB149" s="809">
        <f t="shared" si="162"/>
        <v>-80</v>
      </c>
      <c r="AC149" s="813">
        <v>0</v>
      </c>
      <c r="AD149" s="813">
        <v>0</v>
      </c>
      <c r="AE149" s="813">
        <f t="shared" si="163"/>
        <v>0</v>
      </c>
      <c r="AF149" s="813">
        <f t="shared" si="164"/>
        <v>-80</v>
      </c>
      <c r="AG149" s="836">
        <v>0</v>
      </c>
      <c r="AH149" s="836">
        <v>0</v>
      </c>
      <c r="AI149" s="836">
        <v>0</v>
      </c>
      <c r="AJ149" s="836">
        <v>0</v>
      </c>
      <c r="AK149" s="836">
        <v>0</v>
      </c>
      <c r="AL149" s="836">
        <f t="shared" si="165"/>
        <v>0</v>
      </c>
      <c r="AM149" s="836">
        <f t="shared" si="166"/>
        <v>0</v>
      </c>
      <c r="AN149" s="949">
        <f t="shared" si="167"/>
        <v>0</v>
      </c>
      <c r="AO149" s="945">
        <f t="shared" si="147"/>
        <v>9751</v>
      </c>
      <c r="AP149" s="813">
        <f t="shared" si="148"/>
        <v>2930</v>
      </c>
      <c r="AQ149" s="813">
        <f t="shared" si="149"/>
        <v>4000</v>
      </c>
      <c r="AR149" s="813">
        <f t="shared" si="108"/>
        <v>2342</v>
      </c>
      <c r="AS149" s="813">
        <f t="shared" si="108"/>
        <v>59</v>
      </c>
      <c r="AT149" s="813">
        <f t="shared" si="150"/>
        <v>420</v>
      </c>
      <c r="AU149" s="836">
        <f t="shared" si="151"/>
        <v>0.03</v>
      </c>
      <c r="AV149" s="836">
        <f t="shared" si="109"/>
        <v>0</v>
      </c>
      <c r="AW149" s="837">
        <f t="shared" si="109"/>
        <v>0.03</v>
      </c>
    </row>
    <row r="150" spans="1:49" ht="12.95" customHeight="1" x14ac:dyDescent="0.25">
      <c r="A150" s="950">
        <v>28</v>
      </c>
      <c r="B150" s="951">
        <v>5428</v>
      </c>
      <c r="C150" s="952">
        <v>600099059</v>
      </c>
      <c r="D150" s="951">
        <v>70985740</v>
      </c>
      <c r="E150" s="953" t="s">
        <v>431</v>
      </c>
      <c r="F150" s="850"/>
      <c r="G150" s="960"/>
      <c r="H150" s="851"/>
      <c r="I150" s="954">
        <f t="shared" ref="I150:AW150" si="168">SUM(I144:I149)</f>
        <v>4839962</v>
      </c>
      <c r="J150" s="955">
        <f t="shared" si="168"/>
        <v>3537976</v>
      </c>
      <c r="K150" s="955">
        <f t="shared" si="168"/>
        <v>1195836</v>
      </c>
      <c r="L150" s="955">
        <f t="shared" si="168"/>
        <v>70760</v>
      </c>
      <c r="M150" s="955">
        <f t="shared" si="168"/>
        <v>35390</v>
      </c>
      <c r="N150" s="956">
        <f t="shared" si="168"/>
        <v>7.7899000000000012</v>
      </c>
      <c r="O150" s="956">
        <f t="shared" si="168"/>
        <v>5.0499000000000001</v>
      </c>
      <c r="P150" s="959">
        <f t="shared" si="168"/>
        <v>2.7399999999999998</v>
      </c>
      <c r="Q150" s="957">
        <f t="shared" si="168"/>
        <v>-64000</v>
      </c>
      <c r="R150" s="955">
        <f t="shared" si="168"/>
        <v>0</v>
      </c>
      <c r="S150" s="955">
        <f t="shared" si="168"/>
        <v>0</v>
      </c>
      <c r="T150" s="955">
        <f t="shared" si="168"/>
        <v>0</v>
      </c>
      <c r="U150" s="955">
        <f t="shared" si="168"/>
        <v>-64000</v>
      </c>
      <c r="V150" s="955">
        <f t="shared" si="168"/>
        <v>64000</v>
      </c>
      <c r="W150" s="955">
        <f t="shared" si="168"/>
        <v>36544</v>
      </c>
      <c r="X150" s="955">
        <f t="shared" si="168"/>
        <v>0</v>
      </c>
      <c r="Y150" s="955">
        <f t="shared" si="168"/>
        <v>100544</v>
      </c>
      <c r="Z150" s="955">
        <f t="shared" si="168"/>
        <v>36544</v>
      </c>
      <c r="AA150" s="955">
        <f t="shared" si="168"/>
        <v>12352</v>
      </c>
      <c r="AB150" s="955">
        <f t="shared" si="168"/>
        <v>-1280</v>
      </c>
      <c r="AC150" s="955">
        <f t="shared" si="168"/>
        <v>0</v>
      </c>
      <c r="AD150" s="955">
        <f t="shared" si="168"/>
        <v>0</v>
      </c>
      <c r="AE150" s="955">
        <f t="shared" si="168"/>
        <v>0</v>
      </c>
      <c r="AF150" s="955">
        <f t="shared" si="168"/>
        <v>47616</v>
      </c>
      <c r="AG150" s="956">
        <f t="shared" si="168"/>
        <v>-0.03</v>
      </c>
      <c r="AH150" s="956">
        <f t="shared" si="168"/>
        <v>0</v>
      </c>
      <c r="AI150" s="956">
        <f t="shared" si="168"/>
        <v>0</v>
      </c>
      <c r="AJ150" s="956">
        <f t="shared" si="168"/>
        <v>0</v>
      </c>
      <c r="AK150" s="956">
        <f t="shared" si="168"/>
        <v>0</v>
      </c>
      <c r="AL150" s="956">
        <f t="shared" si="168"/>
        <v>-0.03</v>
      </c>
      <c r="AM150" s="956">
        <f t="shared" si="168"/>
        <v>0</v>
      </c>
      <c r="AN150" s="958">
        <f t="shared" si="168"/>
        <v>-0.03</v>
      </c>
      <c r="AO150" s="954">
        <f t="shared" si="168"/>
        <v>4887578</v>
      </c>
      <c r="AP150" s="955">
        <f t="shared" si="168"/>
        <v>3473976</v>
      </c>
      <c r="AQ150" s="955">
        <f t="shared" si="168"/>
        <v>100544</v>
      </c>
      <c r="AR150" s="955">
        <f t="shared" si="168"/>
        <v>1208188</v>
      </c>
      <c r="AS150" s="955">
        <f t="shared" si="168"/>
        <v>69480</v>
      </c>
      <c r="AT150" s="955">
        <f t="shared" si="168"/>
        <v>35390</v>
      </c>
      <c r="AU150" s="956">
        <f t="shared" si="168"/>
        <v>7.7599000000000018</v>
      </c>
      <c r="AV150" s="956">
        <f t="shared" si="168"/>
        <v>5.0199000000000007</v>
      </c>
      <c r="AW150" s="959">
        <f t="shared" si="168"/>
        <v>2.7399999999999998</v>
      </c>
    </row>
    <row r="151" spans="1:49" ht="12.95" customHeight="1" x14ac:dyDescent="0.25">
      <c r="A151" s="827">
        <v>29</v>
      </c>
      <c r="B151" s="946">
        <v>5472</v>
      </c>
      <c r="C151" s="947">
        <v>600098672</v>
      </c>
      <c r="D151" s="828">
        <v>72743565</v>
      </c>
      <c r="E151" s="948" t="s">
        <v>432</v>
      </c>
      <c r="F151" s="828">
        <v>3111</v>
      </c>
      <c r="G151" s="948" t="s">
        <v>331</v>
      </c>
      <c r="H151" s="831" t="s">
        <v>283</v>
      </c>
      <c r="I151" s="803">
        <f>SUM(J151:M151)</f>
        <v>3371617</v>
      </c>
      <c r="J151" s="833">
        <v>2465550</v>
      </c>
      <c r="K151" s="805">
        <f>ROUND((J151)*33.8%,0)</f>
        <v>833356</v>
      </c>
      <c r="L151" s="805">
        <f>ROUND(J151*2%,0)</f>
        <v>49311</v>
      </c>
      <c r="M151" s="833">
        <v>23400</v>
      </c>
      <c r="N151" s="834">
        <f>SUM(O151:P151)</f>
        <v>5.5417999999999994</v>
      </c>
      <c r="O151" s="1054">
        <v>4.0519999999999996</v>
      </c>
      <c r="P151" s="1055">
        <v>1.4898</v>
      </c>
      <c r="Q151" s="940">
        <f>V151*-1</f>
        <v>0</v>
      </c>
      <c r="R151" s="813">
        <v>0</v>
      </c>
      <c r="S151" s="813">
        <v>0</v>
      </c>
      <c r="T151" s="813">
        <v>0</v>
      </c>
      <c r="U151" s="813">
        <f>SUM(Q151:T151)</f>
        <v>0</v>
      </c>
      <c r="V151" s="813">
        <v>0</v>
      </c>
      <c r="W151" s="941">
        <v>0</v>
      </c>
      <c r="X151" s="813">
        <v>0</v>
      </c>
      <c r="Y151" s="813">
        <f>SUM(V151:X151)</f>
        <v>0</v>
      </c>
      <c r="Z151" s="813">
        <f>U151+Y151</f>
        <v>0</v>
      </c>
      <c r="AA151" s="809">
        <f>ROUND((U151+V151+W151)*33.8%,0)</f>
        <v>0</v>
      </c>
      <c r="AB151" s="809">
        <f>ROUND(U151*2%,0)</f>
        <v>0</v>
      </c>
      <c r="AC151" s="813">
        <v>0</v>
      </c>
      <c r="AD151" s="813">
        <v>0</v>
      </c>
      <c r="AE151" s="813">
        <f>SUM(AC151:AD151)</f>
        <v>0</v>
      </c>
      <c r="AF151" s="813">
        <f>Z151+AA151+AB151+AE151</f>
        <v>0</v>
      </c>
      <c r="AG151" s="836">
        <v>0</v>
      </c>
      <c r="AH151" s="836">
        <v>0</v>
      </c>
      <c r="AI151" s="836">
        <v>0</v>
      </c>
      <c r="AJ151" s="836">
        <v>0</v>
      </c>
      <c r="AK151" s="836">
        <v>0</v>
      </c>
      <c r="AL151" s="836">
        <f>AG151+AI151+AJ151</f>
        <v>0</v>
      </c>
      <c r="AM151" s="836">
        <f>AH151+AK151</f>
        <v>0</v>
      </c>
      <c r="AN151" s="949">
        <f>SUM(AL151:AM151)</f>
        <v>0</v>
      </c>
      <c r="AO151" s="945">
        <f t="shared" si="147"/>
        <v>3371617</v>
      </c>
      <c r="AP151" s="813">
        <f t="shared" si="148"/>
        <v>2465550</v>
      </c>
      <c r="AQ151" s="813">
        <f t="shared" si="149"/>
        <v>0</v>
      </c>
      <c r="AR151" s="813">
        <f t="shared" si="108"/>
        <v>833356</v>
      </c>
      <c r="AS151" s="813">
        <f t="shared" si="108"/>
        <v>49311</v>
      </c>
      <c r="AT151" s="813">
        <f t="shared" si="150"/>
        <v>23400</v>
      </c>
      <c r="AU151" s="836">
        <f t="shared" si="151"/>
        <v>5.5417999999999994</v>
      </c>
      <c r="AV151" s="836">
        <f t="shared" si="109"/>
        <v>4.0519999999999996</v>
      </c>
      <c r="AW151" s="837">
        <f t="shared" si="109"/>
        <v>1.4898</v>
      </c>
    </row>
    <row r="152" spans="1:49" ht="12.95" customHeight="1" x14ac:dyDescent="0.25">
      <c r="A152" s="827">
        <v>29</v>
      </c>
      <c r="B152" s="946">
        <v>5472</v>
      </c>
      <c r="C152" s="947">
        <v>600098672</v>
      </c>
      <c r="D152" s="828">
        <v>72743565</v>
      </c>
      <c r="E152" s="948" t="s">
        <v>432</v>
      </c>
      <c r="F152" s="828">
        <v>3141</v>
      </c>
      <c r="G152" s="948" t="s">
        <v>321</v>
      </c>
      <c r="H152" s="831" t="s">
        <v>284</v>
      </c>
      <c r="I152" s="803">
        <f>SUM(J152:M152)</f>
        <v>654261</v>
      </c>
      <c r="J152" s="833">
        <v>479562</v>
      </c>
      <c r="K152" s="805">
        <f>ROUND((J152)*33.8%,0)</f>
        <v>162092</v>
      </c>
      <c r="L152" s="805">
        <f>ROUND(J152*2%,0)</f>
        <v>9591</v>
      </c>
      <c r="M152" s="833">
        <v>3016</v>
      </c>
      <c r="N152" s="834">
        <f>SUM(O152:P152)</f>
        <v>1.63</v>
      </c>
      <c r="O152" s="1054">
        <v>0</v>
      </c>
      <c r="P152" s="1055">
        <v>1.63</v>
      </c>
      <c r="Q152" s="940">
        <f>V152*-1</f>
        <v>0</v>
      </c>
      <c r="R152" s="813">
        <v>0</v>
      </c>
      <c r="S152" s="813">
        <v>0</v>
      </c>
      <c r="T152" s="813">
        <v>0</v>
      </c>
      <c r="U152" s="813">
        <f>SUM(Q152:T152)</f>
        <v>0</v>
      </c>
      <c r="V152" s="813">
        <v>0</v>
      </c>
      <c r="W152" s="941">
        <v>0</v>
      </c>
      <c r="X152" s="813">
        <v>0</v>
      </c>
      <c r="Y152" s="813">
        <f>SUM(V152:X152)</f>
        <v>0</v>
      </c>
      <c r="Z152" s="813">
        <f>U152+Y152</f>
        <v>0</v>
      </c>
      <c r="AA152" s="809">
        <f>ROUND((U152+V152+W152)*33.8%,0)</f>
        <v>0</v>
      </c>
      <c r="AB152" s="809">
        <f>ROUND(U152*2%,0)</f>
        <v>0</v>
      </c>
      <c r="AC152" s="813">
        <v>0</v>
      </c>
      <c r="AD152" s="813">
        <v>0</v>
      </c>
      <c r="AE152" s="813">
        <f>SUM(AC152:AD152)</f>
        <v>0</v>
      </c>
      <c r="AF152" s="813">
        <f>Z152+AA152+AB152+AE152</f>
        <v>0</v>
      </c>
      <c r="AG152" s="836">
        <v>0</v>
      </c>
      <c r="AH152" s="836">
        <v>0</v>
      </c>
      <c r="AI152" s="836">
        <v>0</v>
      </c>
      <c r="AJ152" s="836">
        <v>0</v>
      </c>
      <c r="AK152" s="836">
        <v>0</v>
      </c>
      <c r="AL152" s="836">
        <f>AG152+AI152+AJ152</f>
        <v>0</v>
      </c>
      <c r="AM152" s="836">
        <f>AH152+AK152</f>
        <v>0</v>
      </c>
      <c r="AN152" s="949">
        <f>SUM(AL152:AM152)</f>
        <v>0</v>
      </c>
      <c r="AO152" s="945">
        <f t="shared" si="147"/>
        <v>654261</v>
      </c>
      <c r="AP152" s="813">
        <f t="shared" si="148"/>
        <v>479562</v>
      </c>
      <c r="AQ152" s="813">
        <f t="shared" si="149"/>
        <v>0</v>
      </c>
      <c r="AR152" s="813">
        <f t="shared" si="108"/>
        <v>162092</v>
      </c>
      <c r="AS152" s="813">
        <f t="shared" si="108"/>
        <v>9591</v>
      </c>
      <c r="AT152" s="813">
        <f t="shared" si="150"/>
        <v>3016</v>
      </c>
      <c r="AU152" s="836">
        <f t="shared" si="151"/>
        <v>1.63</v>
      </c>
      <c r="AV152" s="836">
        <f t="shared" si="109"/>
        <v>0</v>
      </c>
      <c r="AW152" s="837">
        <f t="shared" si="109"/>
        <v>1.63</v>
      </c>
    </row>
    <row r="153" spans="1:49" ht="12.95" customHeight="1" x14ac:dyDescent="0.25">
      <c r="A153" s="950">
        <v>29</v>
      </c>
      <c r="B153" s="951">
        <v>5472</v>
      </c>
      <c r="C153" s="952">
        <v>600098672</v>
      </c>
      <c r="D153" s="951">
        <v>72743565</v>
      </c>
      <c r="E153" s="953" t="s">
        <v>433</v>
      </c>
      <c r="F153" s="850"/>
      <c r="G153" s="960"/>
      <c r="H153" s="851"/>
      <c r="I153" s="843">
        <f t="shared" ref="I153:AW153" si="169">SUM(I151:I152)</f>
        <v>4025878</v>
      </c>
      <c r="J153" s="844">
        <f t="shared" si="169"/>
        <v>2945112</v>
      </c>
      <c r="K153" s="844">
        <f t="shared" si="169"/>
        <v>995448</v>
      </c>
      <c r="L153" s="844">
        <f t="shared" si="169"/>
        <v>58902</v>
      </c>
      <c r="M153" s="844">
        <f t="shared" si="169"/>
        <v>26416</v>
      </c>
      <c r="N153" s="845">
        <f t="shared" si="169"/>
        <v>7.1717999999999993</v>
      </c>
      <c r="O153" s="845">
        <f t="shared" si="169"/>
        <v>4.0519999999999996</v>
      </c>
      <c r="P153" s="847">
        <f t="shared" si="169"/>
        <v>3.1197999999999997</v>
      </c>
      <c r="Q153" s="848">
        <f t="shared" si="169"/>
        <v>0</v>
      </c>
      <c r="R153" s="844">
        <f t="shared" si="169"/>
        <v>0</v>
      </c>
      <c r="S153" s="844">
        <f t="shared" si="169"/>
        <v>0</v>
      </c>
      <c r="T153" s="844">
        <f t="shared" si="169"/>
        <v>0</v>
      </c>
      <c r="U153" s="844">
        <f t="shared" si="169"/>
        <v>0</v>
      </c>
      <c r="V153" s="844">
        <f t="shared" si="169"/>
        <v>0</v>
      </c>
      <c r="W153" s="844">
        <f t="shared" si="169"/>
        <v>0</v>
      </c>
      <c r="X153" s="844">
        <f t="shared" si="169"/>
        <v>0</v>
      </c>
      <c r="Y153" s="844">
        <f t="shared" si="169"/>
        <v>0</v>
      </c>
      <c r="Z153" s="844">
        <f t="shared" si="169"/>
        <v>0</v>
      </c>
      <c r="AA153" s="844">
        <f t="shared" si="169"/>
        <v>0</v>
      </c>
      <c r="AB153" s="844">
        <f t="shared" si="169"/>
        <v>0</v>
      </c>
      <c r="AC153" s="844">
        <f t="shared" si="169"/>
        <v>0</v>
      </c>
      <c r="AD153" s="844">
        <f t="shared" si="169"/>
        <v>0</v>
      </c>
      <c r="AE153" s="844">
        <f t="shared" si="169"/>
        <v>0</v>
      </c>
      <c r="AF153" s="844">
        <f t="shared" si="169"/>
        <v>0</v>
      </c>
      <c r="AG153" s="845">
        <f t="shared" si="169"/>
        <v>0</v>
      </c>
      <c r="AH153" s="845">
        <f t="shared" si="169"/>
        <v>0</v>
      </c>
      <c r="AI153" s="845">
        <f t="shared" si="169"/>
        <v>0</v>
      </c>
      <c r="AJ153" s="845">
        <f t="shared" si="169"/>
        <v>0</v>
      </c>
      <c r="AK153" s="845">
        <f t="shared" si="169"/>
        <v>0</v>
      </c>
      <c r="AL153" s="845">
        <f t="shared" si="169"/>
        <v>0</v>
      </c>
      <c r="AM153" s="845">
        <f t="shared" si="169"/>
        <v>0</v>
      </c>
      <c r="AN153" s="971">
        <f t="shared" si="169"/>
        <v>0</v>
      </c>
      <c r="AO153" s="843">
        <f t="shared" si="169"/>
        <v>4025878</v>
      </c>
      <c r="AP153" s="844">
        <f t="shared" si="169"/>
        <v>2945112</v>
      </c>
      <c r="AQ153" s="844">
        <f t="shared" si="169"/>
        <v>0</v>
      </c>
      <c r="AR153" s="844">
        <f t="shared" si="169"/>
        <v>995448</v>
      </c>
      <c r="AS153" s="844">
        <f t="shared" si="169"/>
        <v>58902</v>
      </c>
      <c r="AT153" s="844">
        <f t="shared" si="169"/>
        <v>26416</v>
      </c>
      <c r="AU153" s="845">
        <f t="shared" si="169"/>
        <v>7.1717999999999993</v>
      </c>
      <c r="AV153" s="845">
        <f t="shared" si="169"/>
        <v>4.0519999999999996</v>
      </c>
      <c r="AW153" s="847">
        <f t="shared" si="169"/>
        <v>3.1197999999999997</v>
      </c>
    </row>
    <row r="154" spans="1:49" ht="12.95" customHeight="1" x14ac:dyDescent="0.25">
      <c r="A154" s="827">
        <v>30</v>
      </c>
      <c r="B154" s="946">
        <v>5471</v>
      </c>
      <c r="C154" s="947">
        <v>600099229</v>
      </c>
      <c r="D154" s="828">
        <v>72743646</v>
      </c>
      <c r="E154" s="948" t="s">
        <v>434</v>
      </c>
      <c r="F154" s="828">
        <v>3113</v>
      </c>
      <c r="G154" s="948" t="s">
        <v>335</v>
      </c>
      <c r="H154" s="831" t="s">
        <v>283</v>
      </c>
      <c r="I154" s="803">
        <f>SUM(J154:M154)</f>
        <v>12871830</v>
      </c>
      <c r="J154" s="833">
        <v>9294595</v>
      </c>
      <c r="K154" s="805">
        <f>ROUND((J154)*33.8%,0)</f>
        <v>3141573</v>
      </c>
      <c r="L154" s="805">
        <f>ROUND(J154*2%,0)</f>
        <v>185892</v>
      </c>
      <c r="M154" s="833">
        <v>249770</v>
      </c>
      <c r="N154" s="834">
        <f>SUM(O154:P154)</f>
        <v>17.7363</v>
      </c>
      <c r="O154" s="1054">
        <v>13.181800000000001</v>
      </c>
      <c r="P154" s="1055">
        <v>4.5545</v>
      </c>
      <c r="Q154" s="940">
        <f>V154*-1</f>
        <v>-22400</v>
      </c>
      <c r="R154" s="813">
        <v>0</v>
      </c>
      <c r="S154" s="813">
        <v>0</v>
      </c>
      <c r="T154" s="813">
        <v>0</v>
      </c>
      <c r="U154" s="813">
        <f>SUM(Q154:T154)</f>
        <v>-22400</v>
      </c>
      <c r="V154" s="813">
        <v>22400</v>
      </c>
      <c r="W154" s="941">
        <v>18272</v>
      </c>
      <c r="X154" s="813">
        <v>0</v>
      </c>
      <c r="Y154" s="813">
        <f>SUM(V154:X154)</f>
        <v>40672</v>
      </c>
      <c r="Z154" s="813">
        <f>U154+Y154</f>
        <v>18272</v>
      </c>
      <c r="AA154" s="809">
        <f>ROUND((U154+V154+W154)*33.8%,0)</f>
        <v>6176</v>
      </c>
      <c r="AB154" s="809">
        <f>ROUND(U154*2%,0)</f>
        <v>-448</v>
      </c>
      <c r="AC154" s="813">
        <v>0</v>
      </c>
      <c r="AD154" s="813">
        <v>0</v>
      </c>
      <c r="AE154" s="813">
        <f>SUM(AC154:AD154)</f>
        <v>0</v>
      </c>
      <c r="AF154" s="813">
        <f>Z154+AA154+AB154+AE154</f>
        <v>24000</v>
      </c>
      <c r="AG154" s="836">
        <v>-0.03</v>
      </c>
      <c r="AH154" s="836">
        <v>0</v>
      </c>
      <c r="AI154" s="836">
        <v>0</v>
      </c>
      <c r="AJ154" s="836">
        <v>0</v>
      </c>
      <c r="AK154" s="836">
        <v>0</v>
      </c>
      <c r="AL154" s="836">
        <f>AG154+AI154+AJ154</f>
        <v>-0.03</v>
      </c>
      <c r="AM154" s="836">
        <f>AH154+AK154</f>
        <v>0</v>
      </c>
      <c r="AN154" s="949">
        <f>SUM(AL154:AM154)</f>
        <v>-0.03</v>
      </c>
      <c r="AO154" s="945">
        <f t="shared" si="147"/>
        <v>12895830</v>
      </c>
      <c r="AP154" s="813">
        <f t="shared" si="148"/>
        <v>9272195</v>
      </c>
      <c r="AQ154" s="813">
        <f t="shared" si="149"/>
        <v>40672</v>
      </c>
      <c r="AR154" s="813">
        <f t="shared" si="108"/>
        <v>3147749</v>
      </c>
      <c r="AS154" s="813">
        <f t="shared" si="108"/>
        <v>185444</v>
      </c>
      <c r="AT154" s="813">
        <f t="shared" si="150"/>
        <v>249770</v>
      </c>
      <c r="AU154" s="836">
        <f t="shared" si="151"/>
        <v>17.706299999999999</v>
      </c>
      <c r="AV154" s="836">
        <f t="shared" si="109"/>
        <v>13.151800000000001</v>
      </c>
      <c r="AW154" s="837">
        <f t="shared" si="109"/>
        <v>4.5545</v>
      </c>
    </row>
    <row r="155" spans="1:49" ht="12.95" customHeight="1" x14ac:dyDescent="0.25">
      <c r="A155" s="827">
        <v>30</v>
      </c>
      <c r="B155" s="946">
        <v>5471</v>
      </c>
      <c r="C155" s="947">
        <v>600099229</v>
      </c>
      <c r="D155" s="828">
        <v>72743646</v>
      </c>
      <c r="E155" s="948" t="s">
        <v>434</v>
      </c>
      <c r="F155" s="828">
        <v>3113</v>
      </c>
      <c r="G155" s="948" t="s">
        <v>325</v>
      </c>
      <c r="H155" s="831" t="s">
        <v>284</v>
      </c>
      <c r="I155" s="803">
        <f>SUM(J155:M155)</f>
        <v>0</v>
      </c>
      <c r="J155" s="833">
        <v>0</v>
      </c>
      <c r="K155" s="805">
        <v>0</v>
      </c>
      <c r="L155" s="805">
        <v>0</v>
      </c>
      <c r="M155" s="833">
        <v>0</v>
      </c>
      <c r="N155" s="834">
        <f>SUM(O155:P155)</f>
        <v>0</v>
      </c>
      <c r="O155" s="1054">
        <v>0</v>
      </c>
      <c r="P155" s="1055">
        <v>0</v>
      </c>
      <c r="Q155" s="940">
        <f>V155*-1</f>
        <v>0</v>
      </c>
      <c r="R155" s="833">
        <v>465820</v>
      </c>
      <c r="S155" s="813">
        <v>0</v>
      </c>
      <c r="T155" s="813">
        <v>0</v>
      </c>
      <c r="U155" s="813">
        <f>SUM(Q155:T155)</f>
        <v>465820</v>
      </c>
      <c r="V155" s="813">
        <v>0</v>
      </c>
      <c r="W155" s="941">
        <v>0</v>
      </c>
      <c r="X155" s="813">
        <v>0</v>
      </c>
      <c r="Y155" s="813">
        <f>SUM(V155:X155)</f>
        <v>0</v>
      </c>
      <c r="Z155" s="813">
        <f>U155+Y155</f>
        <v>465820</v>
      </c>
      <c r="AA155" s="809">
        <f>ROUND((U155+V155+W155)*33.8%,0)</f>
        <v>157447</v>
      </c>
      <c r="AB155" s="809">
        <f>ROUND(U155*2%,0)</f>
        <v>9316</v>
      </c>
      <c r="AC155" s="813">
        <v>3000</v>
      </c>
      <c r="AD155" s="813">
        <v>0</v>
      </c>
      <c r="AE155" s="813">
        <f>SUM(AC155:AD155)</f>
        <v>3000</v>
      </c>
      <c r="AF155" s="813">
        <f>Z155+AA155+AB155+AE155</f>
        <v>635583</v>
      </c>
      <c r="AG155" s="836">
        <v>0</v>
      </c>
      <c r="AH155" s="836">
        <v>0</v>
      </c>
      <c r="AI155" s="836">
        <v>1.33</v>
      </c>
      <c r="AJ155" s="836">
        <v>0</v>
      </c>
      <c r="AK155" s="836">
        <v>0</v>
      </c>
      <c r="AL155" s="836">
        <f>AG155+AI155+AJ155</f>
        <v>1.33</v>
      </c>
      <c r="AM155" s="836">
        <f>AH155+AK155</f>
        <v>0</v>
      </c>
      <c r="AN155" s="949">
        <f>SUM(AL155:AM155)</f>
        <v>1.33</v>
      </c>
      <c r="AO155" s="945">
        <f t="shared" si="147"/>
        <v>635583</v>
      </c>
      <c r="AP155" s="813">
        <f t="shared" si="148"/>
        <v>465820</v>
      </c>
      <c r="AQ155" s="813">
        <f t="shared" si="149"/>
        <v>0</v>
      </c>
      <c r="AR155" s="813">
        <f t="shared" si="108"/>
        <v>157447</v>
      </c>
      <c r="AS155" s="813">
        <f t="shared" si="108"/>
        <v>9316</v>
      </c>
      <c r="AT155" s="813">
        <f t="shared" si="150"/>
        <v>3000</v>
      </c>
      <c r="AU155" s="836">
        <f t="shared" si="151"/>
        <v>1.33</v>
      </c>
      <c r="AV155" s="836">
        <f t="shared" si="109"/>
        <v>1.33</v>
      </c>
      <c r="AW155" s="837">
        <f t="shared" si="109"/>
        <v>0</v>
      </c>
    </row>
    <row r="156" spans="1:49" ht="12.95" customHeight="1" x14ac:dyDescent="0.25">
      <c r="A156" s="827">
        <v>30</v>
      </c>
      <c r="B156" s="946">
        <v>5471</v>
      </c>
      <c r="C156" s="947">
        <v>600099229</v>
      </c>
      <c r="D156" s="828">
        <v>72743646</v>
      </c>
      <c r="E156" s="948" t="s">
        <v>434</v>
      </c>
      <c r="F156" s="828">
        <v>3141</v>
      </c>
      <c r="G156" s="948" t="s">
        <v>321</v>
      </c>
      <c r="H156" s="831" t="s">
        <v>284</v>
      </c>
      <c r="I156" s="803">
        <f>SUM(J156:M156)</f>
        <v>1211879</v>
      </c>
      <c r="J156" s="833">
        <v>885310</v>
      </c>
      <c r="K156" s="805">
        <f>ROUND((J156)*33.8%,0)</f>
        <v>299235</v>
      </c>
      <c r="L156" s="805">
        <v>17706</v>
      </c>
      <c r="M156" s="833">
        <v>9628</v>
      </c>
      <c r="N156" s="834">
        <f>SUM(O156:P156)</f>
        <v>3.01</v>
      </c>
      <c r="O156" s="1054">
        <v>0</v>
      </c>
      <c r="P156" s="1055">
        <v>3.01</v>
      </c>
      <c r="Q156" s="940">
        <f>V156*-1</f>
        <v>-24000</v>
      </c>
      <c r="R156" s="813">
        <v>0</v>
      </c>
      <c r="S156" s="813">
        <v>0</v>
      </c>
      <c r="T156" s="813">
        <v>0</v>
      </c>
      <c r="U156" s="813">
        <f>SUM(Q156:T156)</f>
        <v>-24000</v>
      </c>
      <c r="V156" s="813">
        <v>24000</v>
      </c>
      <c r="W156" s="941">
        <v>0</v>
      </c>
      <c r="X156" s="813">
        <v>0</v>
      </c>
      <c r="Y156" s="813">
        <f>SUM(V156:X156)</f>
        <v>24000</v>
      </c>
      <c r="Z156" s="813">
        <f>U156+Y156</f>
        <v>0</v>
      </c>
      <c r="AA156" s="809">
        <f>ROUND((U156+V156+W156)*33.8%,0)</f>
        <v>0</v>
      </c>
      <c r="AB156" s="809">
        <f>ROUND(U156*2%,0)</f>
        <v>-480</v>
      </c>
      <c r="AC156" s="813">
        <v>0</v>
      </c>
      <c r="AD156" s="813">
        <v>0</v>
      </c>
      <c r="AE156" s="813">
        <f>SUM(AC156:AD156)</f>
        <v>0</v>
      </c>
      <c r="AF156" s="813">
        <f>Z156+AA156+AB156+AE156</f>
        <v>-480</v>
      </c>
      <c r="AG156" s="836">
        <v>0</v>
      </c>
      <c r="AH156" s="836">
        <v>-0.06</v>
      </c>
      <c r="AI156" s="836">
        <v>0</v>
      </c>
      <c r="AJ156" s="836">
        <v>0</v>
      </c>
      <c r="AK156" s="836">
        <v>0</v>
      </c>
      <c r="AL156" s="836">
        <f>AG156+AI156+AJ156</f>
        <v>0</v>
      </c>
      <c r="AM156" s="836">
        <f>AH156+AK156</f>
        <v>-0.06</v>
      </c>
      <c r="AN156" s="949">
        <f>SUM(AL156:AM156)</f>
        <v>-0.06</v>
      </c>
      <c r="AO156" s="945">
        <f t="shared" si="147"/>
        <v>1211399</v>
      </c>
      <c r="AP156" s="813">
        <f t="shared" si="148"/>
        <v>861310</v>
      </c>
      <c r="AQ156" s="813">
        <f t="shared" si="149"/>
        <v>24000</v>
      </c>
      <c r="AR156" s="813">
        <f t="shared" ref="AR156:AS162" si="170">K156+AA156</f>
        <v>299235</v>
      </c>
      <c r="AS156" s="813">
        <f t="shared" si="170"/>
        <v>17226</v>
      </c>
      <c r="AT156" s="813">
        <f t="shared" si="150"/>
        <v>9628</v>
      </c>
      <c r="AU156" s="836">
        <f t="shared" si="151"/>
        <v>2.9499999999999997</v>
      </c>
      <c r="AV156" s="836">
        <f t="shared" ref="AV156:AW162" si="171">O156+AL156</f>
        <v>0</v>
      </c>
      <c r="AW156" s="837">
        <f t="shared" si="171"/>
        <v>2.9499999999999997</v>
      </c>
    </row>
    <row r="157" spans="1:49" ht="12.95" customHeight="1" x14ac:dyDescent="0.25">
      <c r="A157" s="827">
        <v>30</v>
      </c>
      <c r="B157" s="946">
        <v>5471</v>
      </c>
      <c r="C157" s="947">
        <v>600099229</v>
      </c>
      <c r="D157" s="828">
        <v>72743646</v>
      </c>
      <c r="E157" s="948" t="s">
        <v>434</v>
      </c>
      <c r="F157" s="828">
        <v>3143</v>
      </c>
      <c r="G157" s="948" t="s">
        <v>635</v>
      </c>
      <c r="H157" s="831" t="s">
        <v>283</v>
      </c>
      <c r="I157" s="803">
        <f>SUM(J157:M157)</f>
        <v>572067</v>
      </c>
      <c r="J157" s="833">
        <v>421257</v>
      </c>
      <c r="K157" s="805">
        <f>ROUND((J157)*33.8%,0)</f>
        <v>142385</v>
      </c>
      <c r="L157" s="805">
        <f>ROUND(J157*2%,0)</f>
        <v>8425</v>
      </c>
      <c r="M157" s="833">
        <v>0</v>
      </c>
      <c r="N157" s="834">
        <f>SUM(O157:P157)</f>
        <v>0.875</v>
      </c>
      <c r="O157" s="1054">
        <v>0.875</v>
      </c>
      <c r="P157" s="1055">
        <v>0</v>
      </c>
      <c r="Q157" s="940">
        <f>V157*-1</f>
        <v>0</v>
      </c>
      <c r="R157" s="813">
        <v>0</v>
      </c>
      <c r="S157" s="813">
        <v>0</v>
      </c>
      <c r="T157" s="813">
        <v>0</v>
      </c>
      <c r="U157" s="813">
        <f>SUM(Q157:T157)</f>
        <v>0</v>
      </c>
      <c r="V157" s="813">
        <v>0</v>
      </c>
      <c r="W157" s="941">
        <v>52000</v>
      </c>
      <c r="X157" s="813">
        <v>0</v>
      </c>
      <c r="Y157" s="813">
        <f>SUM(V157:X157)</f>
        <v>52000</v>
      </c>
      <c r="Z157" s="813">
        <f>U157+Y157</f>
        <v>52000</v>
      </c>
      <c r="AA157" s="809">
        <f>ROUND((U157+V157+W157)*33.8%,0)</f>
        <v>17576</v>
      </c>
      <c r="AB157" s="809">
        <f>ROUND(U157*2%,0)</f>
        <v>0</v>
      </c>
      <c r="AC157" s="813">
        <v>0</v>
      </c>
      <c r="AD157" s="813">
        <v>0</v>
      </c>
      <c r="AE157" s="813">
        <f>SUM(AC157:AD157)</f>
        <v>0</v>
      </c>
      <c r="AF157" s="813">
        <f>Z157+AA157+AB157+AE157</f>
        <v>69576</v>
      </c>
      <c r="AG157" s="836">
        <v>0</v>
      </c>
      <c r="AH157" s="836">
        <v>0</v>
      </c>
      <c r="AI157" s="836">
        <v>0</v>
      </c>
      <c r="AJ157" s="836">
        <v>0</v>
      </c>
      <c r="AK157" s="836">
        <v>0</v>
      </c>
      <c r="AL157" s="836">
        <f>AG157+AI157+AJ157</f>
        <v>0</v>
      </c>
      <c r="AM157" s="836">
        <f>AH157+AK157</f>
        <v>0</v>
      </c>
      <c r="AN157" s="949">
        <f>SUM(AL157:AM157)</f>
        <v>0</v>
      </c>
      <c r="AO157" s="945">
        <f t="shared" si="147"/>
        <v>641643</v>
      </c>
      <c r="AP157" s="813">
        <f t="shared" si="148"/>
        <v>421257</v>
      </c>
      <c r="AQ157" s="813">
        <f t="shared" si="149"/>
        <v>52000</v>
      </c>
      <c r="AR157" s="813">
        <f t="shared" si="170"/>
        <v>159961</v>
      </c>
      <c r="AS157" s="813">
        <f t="shared" si="170"/>
        <v>8425</v>
      </c>
      <c r="AT157" s="813">
        <f t="shared" si="150"/>
        <v>0</v>
      </c>
      <c r="AU157" s="836">
        <f t="shared" si="151"/>
        <v>0.875</v>
      </c>
      <c r="AV157" s="836">
        <f t="shared" si="171"/>
        <v>0.875</v>
      </c>
      <c r="AW157" s="837">
        <f t="shared" si="171"/>
        <v>0</v>
      </c>
    </row>
    <row r="158" spans="1:49" ht="12.95" customHeight="1" x14ac:dyDescent="0.25">
      <c r="A158" s="827">
        <v>30</v>
      </c>
      <c r="B158" s="946">
        <v>5471</v>
      </c>
      <c r="C158" s="947">
        <v>600099229</v>
      </c>
      <c r="D158" s="828">
        <v>72743646</v>
      </c>
      <c r="E158" s="948" t="s">
        <v>434</v>
      </c>
      <c r="F158" s="828">
        <v>3143</v>
      </c>
      <c r="G158" s="948" t="s">
        <v>636</v>
      </c>
      <c r="H158" s="831" t="s">
        <v>284</v>
      </c>
      <c r="I158" s="803">
        <f>SUM(J158:M158)</f>
        <v>31600</v>
      </c>
      <c r="J158" s="833">
        <v>22275</v>
      </c>
      <c r="K158" s="805">
        <f>ROUND((J158)*33.8%,0)</f>
        <v>7529</v>
      </c>
      <c r="L158" s="805">
        <f>ROUND(J158*2%,0)</f>
        <v>446</v>
      </c>
      <c r="M158" s="833">
        <v>1350</v>
      </c>
      <c r="N158" s="834">
        <f>SUM(O158:P158)</f>
        <v>0.09</v>
      </c>
      <c r="O158" s="1054">
        <v>0</v>
      </c>
      <c r="P158" s="1055">
        <v>0.09</v>
      </c>
      <c r="Q158" s="940">
        <f>V158*-1</f>
        <v>0</v>
      </c>
      <c r="R158" s="813">
        <v>0</v>
      </c>
      <c r="S158" s="813">
        <v>0</v>
      </c>
      <c r="T158" s="813">
        <v>0</v>
      </c>
      <c r="U158" s="813">
        <f>SUM(Q158:T158)</f>
        <v>0</v>
      </c>
      <c r="V158" s="813">
        <v>0</v>
      </c>
      <c r="W158" s="941">
        <v>0</v>
      </c>
      <c r="X158" s="813">
        <v>0</v>
      </c>
      <c r="Y158" s="813">
        <f>SUM(V158:X158)</f>
        <v>0</v>
      </c>
      <c r="Z158" s="813">
        <f>U158+Y158</f>
        <v>0</v>
      </c>
      <c r="AA158" s="809">
        <f>ROUND((U158+V158+W158)*33.8%,0)</f>
        <v>0</v>
      </c>
      <c r="AB158" s="809">
        <f>ROUND(U158*2%,0)</f>
        <v>0</v>
      </c>
      <c r="AC158" s="813">
        <v>0</v>
      </c>
      <c r="AD158" s="813">
        <v>0</v>
      </c>
      <c r="AE158" s="813">
        <f>SUM(AC158:AD158)</f>
        <v>0</v>
      </c>
      <c r="AF158" s="813">
        <f>Z158+AA158+AB158+AE158</f>
        <v>0</v>
      </c>
      <c r="AG158" s="836">
        <v>0</v>
      </c>
      <c r="AH158" s="836">
        <v>0</v>
      </c>
      <c r="AI158" s="836">
        <v>0</v>
      </c>
      <c r="AJ158" s="836">
        <v>0</v>
      </c>
      <c r="AK158" s="836">
        <v>0</v>
      </c>
      <c r="AL158" s="836">
        <f>AG158+AI158+AJ158</f>
        <v>0</v>
      </c>
      <c r="AM158" s="836">
        <f>AH158+AK158</f>
        <v>0</v>
      </c>
      <c r="AN158" s="949">
        <f>SUM(AL158:AM158)</f>
        <v>0</v>
      </c>
      <c r="AO158" s="945">
        <f t="shared" si="147"/>
        <v>31600</v>
      </c>
      <c r="AP158" s="813">
        <f t="shared" si="148"/>
        <v>22275</v>
      </c>
      <c r="AQ158" s="813">
        <f t="shared" si="149"/>
        <v>0</v>
      </c>
      <c r="AR158" s="813">
        <f t="shared" si="170"/>
        <v>7529</v>
      </c>
      <c r="AS158" s="813">
        <f t="shared" si="170"/>
        <v>446</v>
      </c>
      <c r="AT158" s="813">
        <f t="shared" si="150"/>
        <v>1350</v>
      </c>
      <c r="AU158" s="836">
        <f t="shared" si="151"/>
        <v>0.09</v>
      </c>
      <c r="AV158" s="836">
        <f t="shared" si="171"/>
        <v>0</v>
      </c>
      <c r="AW158" s="837">
        <f t="shared" si="171"/>
        <v>0.09</v>
      </c>
    </row>
    <row r="159" spans="1:49" ht="12.95" customHeight="1" x14ac:dyDescent="0.25">
      <c r="A159" s="950">
        <v>30</v>
      </c>
      <c r="B159" s="951">
        <v>5471</v>
      </c>
      <c r="C159" s="952">
        <v>600099229</v>
      </c>
      <c r="D159" s="951">
        <v>72743646</v>
      </c>
      <c r="E159" s="953" t="s">
        <v>435</v>
      </c>
      <c r="F159" s="850"/>
      <c r="G159" s="960"/>
      <c r="H159" s="851"/>
      <c r="I159" s="843">
        <f t="shared" ref="I159:AW159" si="172">SUM(I154:I158)</f>
        <v>14687376</v>
      </c>
      <c r="J159" s="844">
        <f t="shared" si="172"/>
        <v>10623437</v>
      </c>
      <c r="K159" s="844">
        <f t="shared" si="172"/>
        <v>3590722</v>
      </c>
      <c r="L159" s="844">
        <f t="shared" si="172"/>
        <v>212469</v>
      </c>
      <c r="M159" s="844">
        <f t="shared" si="172"/>
        <v>260748</v>
      </c>
      <c r="N159" s="845">
        <f t="shared" si="172"/>
        <v>21.711299999999998</v>
      </c>
      <c r="O159" s="845">
        <f t="shared" si="172"/>
        <v>14.056800000000001</v>
      </c>
      <c r="P159" s="847">
        <f t="shared" si="172"/>
        <v>7.6544999999999996</v>
      </c>
      <c r="Q159" s="848">
        <f t="shared" si="172"/>
        <v>-46400</v>
      </c>
      <c r="R159" s="844">
        <f t="shared" si="172"/>
        <v>465820</v>
      </c>
      <c r="S159" s="844">
        <f t="shared" si="172"/>
        <v>0</v>
      </c>
      <c r="T159" s="844">
        <f t="shared" si="172"/>
        <v>0</v>
      </c>
      <c r="U159" s="844">
        <f t="shared" si="172"/>
        <v>419420</v>
      </c>
      <c r="V159" s="844">
        <f t="shared" si="172"/>
        <v>46400</v>
      </c>
      <c r="W159" s="844">
        <f t="shared" si="172"/>
        <v>70272</v>
      </c>
      <c r="X159" s="844">
        <f t="shared" si="172"/>
        <v>0</v>
      </c>
      <c r="Y159" s="844">
        <f t="shared" si="172"/>
        <v>116672</v>
      </c>
      <c r="Z159" s="844">
        <f t="shared" si="172"/>
        <v>536092</v>
      </c>
      <c r="AA159" s="844">
        <f t="shared" si="172"/>
        <v>181199</v>
      </c>
      <c r="AB159" s="844">
        <f t="shared" si="172"/>
        <v>8388</v>
      </c>
      <c r="AC159" s="844">
        <f t="shared" si="172"/>
        <v>3000</v>
      </c>
      <c r="AD159" s="844">
        <f t="shared" si="172"/>
        <v>0</v>
      </c>
      <c r="AE159" s="844">
        <f t="shared" si="172"/>
        <v>3000</v>
      </c>
      <c r="AF159" s="844">
        <f t="shared" si="172"/>
        <v>728679</v>
      </c>
      <c r="AG159" s="845">
        <f t="shared" si="172"/>
        <v>-0.03</v>
      </c>
      <c r="AH159" s="845">
        <f t="shared" si="172"/>
        <v>-0.06</v>
      </c>
      <c r="AI159" s="845">
        <f t="shared" si="172"/>
        <v>1.33</v>
      </c>
      <c r="AJ159" s="845">
        <f t="shared" si="172"/>
        <v>0</v>
      </c>
      <c r="AK159" s="845">
        <f t="shared" si="172"/>
        <v>0</v>
      </c>
      <c r="AL159" s="845">
        <f t="shared" si="172"/>
        <v>1.3</v>
      </c>
      <c r="AM159" s="845">
        <f t="shared" si="172"/>
        <v>-0.06</v>
      </c>
      <c r="AN159" s="971">
        <f t="shared" si="172"/>
        <v>1.24</v>
      </c>
      <c r="AO159" s="843">
        <f t="shared" si="172"/>
        <v>15416055</v>
      </c>
      <c r="AP159" s="844">
        <f t="shared" si="172"/>
        <v>11042857</v>
      </c>
      <c r="AQ159" s="844">
        <f t="shared" si="172"/>
        <v>116672</v>
      </c>
      <c r="AR159" s="844">
        <f t="shared" si="172"/>
        <v>3771921</v>
      </c>
      <c r="AS159" s="844">
        <f t="shared" si="172"/>
        <v>220857</v>
      </c>
      <c r="AT159" s="844">
        <f t="shared" si="172"/>
        <v>263748</v>
      </c>
      <c r="AU159" s="845">
        <f t="shared" si="172"/>
        <v>22.951299999999996</v>
      </c>
      <c r="AV159" s="845">
        <f t="shared" si="172"/>
        <v>15.356800000000002</v>
      </c>
      <c r="AW159" s="847">
        <f t="shared" si="172"/>
        <v>7.5945</v>
      </c>
    </row>
    <row r="160" spans="1:49" ht="12.95" customHeight="1" x14ac:dyDescent="0.25">
      <c r="A160" s="827">
        <v>31</v>
      </c>
      <c r="B160" s="946">
        <v>5473</v>
      </c>
      <c r="C160" s="947">
        <v>600098583</v>
      </c>
      <c r="D160" s="828">
        <v>75016320</v>
      </c>
      <c r="E160" s="948" t="s">
        <v>436</v>
      </c>
      <c r="F160" s="828">
        <v>3111</v>
      </c>
      <c r="G160" s="948" t="s">
        <v>331</v>
      </c>
      <c r="H160" s="831" t="s">
        <v>283</v>
      </c>
      <c r="I160" s="803">
        <f>SUM(J160:M160)</f>
        <v>2122229</v>
      </c>
      <c r="J160" s="833">
        <v>1553482</v>
      </c>
      <c r="K160" s="805">
        <f>ROUND((J160)*33.8%,0)</f>
        <v>525077</v>
      </c>
      <c r="L160" s="805">
        <f>ROUND(J160*2%,0)</f>
        <v>31070</v>
      </c>
      <c r="M160" s="833">
        <v>12600</v>
      </c>
      <c r="N160" s="834">
        <f>SUM(O160:P160)</f>
        <v>3.1897000000000002</v>
      </c>
      <c r="O160" s="1054">
        <v>2.3548</v>
      </c>
      <c r="P160" s="1055">
        <v>0.83489999999999998</v>
      </c>
      <c r="Q160" s="940">
        <f>V160*-1</f>
        <v>0</v>
      </c>
      <c r="R160" s="813">
        <v>0</v>
      </c>
      <c r="S160" s="813">
        <v>0</v>
      </c>
      <c r="T160" s="813">
        <v>0</v>
      </c>
      <c r="U160" s="813">
        <f>SUM(Q160:T160)</f>
        <v>0</v>
      </c>
      <c r="V160" s="813">
        <v>0</v>
      </c>
      <c r="W160" s="941">
        <v>0</v>
      </c>
      <c r="X160" s="813">
        <v>0</v>
      </c>
      <c r="Y160" s="813">
        <f>SUM(V160:X160)</f>
        <v>0</v>
      </c>
      <c r="Z160" s="813">
        <f>U160+Y160</f>
        <v>0</v>
      </c>
      <c r="AA160" s="809">
        <f>ROUND((U160+V160+W160)*33.8%,0)</f>
        <v>0</v>
      </c>
      <c r="AB160" s="809">
        <f>ROUND(U160*2%,0)</f>
        <v>0</v>
      </c>
      <c r="AC160" s="813">
        <v>0</v>
      </c>
      <c r="AD160" s="813">
        <v>0</v>
      </c>
      <c r="AE160" s="813">
        <f>SUM(AC160:AD160)</f>
        <v>0</v>
      </c>
      <c r="AF160" s="813">
        <f>Z160+AA160+AB160+AE160</f>
        <v>0</v>
      </c>
      <c r="AG160" s="836">
        <v>0</v>
      </c>
      <c r="AH160" s="836">
        <v>0</v>
      </c>
      <c r="AI160" s="836">
        <v>0</v>
      </c>
      <c r="AJ160" s="836">
        <v>0</v>
      </c>
      <c r="AK160" s="836">
        <v>0</v>
      </c>
      <c r="AL160" s="836">
        <f>AG160+AI160+AJ160</f>
        <v>0</v>
      </c>
      <c r="AM160" s="836">
        <f>AH160+AK160</f>
        <v>0</v>
      </c>
      <c r="AN160" s="949">
        <f>SUM(AL160:AM160)</f>
        <v>0</v>
      </c>
      <c r="AO160" s="945">
        <f t="shared" si="147"/>
        <v>2122229</v>
      </c>
      <c r="AP160" s="813">
        <f t="shared" si="148"/>
        <v>1553482</v>
      </c>
      <c r="AQ160" s="813">
        <f t="shared" si="149"/>
        <v>0</v>
      </c>
      <c r="AR160" s="813">
        <f t="shared" si="170"/>
        <v>525077</v>
      </c>
      <c r="AS160" s="813">
        <f t="shared" si="170"/>
        <v>31070</v>
      </c>
      <c r="AT160" s="813">
        <f t="shared" si="150"/>
        <v>12600</v>
      </c>
      <c r="AU160" s="836">
        <f t="shared" si="151"/>
        <v>3.1897000000000002</v>
      </c>
      <c r="AV160" s="836">
        <f t="shared" si="171"/>
        <v>2.3548</v>
      </c>
      <c r="AW160" s="837">
        <f t="shared" si="171"/>
        <v>0.83489999999999998</v>
      </c>
    </row>
    <row r="161" spans="1:51" ht="12.95" customHeight="1" x14ac:dyDescent="0.25">
      <c r="A161" s="827">
        <v>31</v>
      </c>
      <c r="B161" s="946">
        <v>5473</v>
      </c>
      <c r="C161" s="947">
        <v>600098583</v>
      </c>
      <c r="D161" s="828">
        <v>75016320</v>
      </c>
      <c r="E161" s="948" t="s">
        <v>436</v>
      </c>
      <c r="F161" s="828">
        <v>3111</v>
      </c>
      <c r="G161" s="948" t="s">
        <v>325</v>
      </c>
      <c r="H161" s="831" t="s">
        <v>284</v>
      </c>
      <c r="I161" s="803">
        <f>SUM(J161:M161)</f>
        <v>0</v>
      </c>
      <c r="J161" s="833">
        <v>0</v>
      </c>
      <c r="K161" s="805">
        <f>ROUND((J161)*33.8%,0)</f>
        <v>0</v>
      </c>
      <c r="L161" s="805">
        <f>ROUND(J161*2%,0)</f>
        <v>0</v>
      </c>
      <c r="M161" s="833">
        <v>0</v>
      </c>
      <c r="N161" s="834">
        <f>SUM(O161:P161)</f>
        <v>0</v>
      </c>
      <c r="O161" s="1054">
        <v>0</v>
      </c>
      <c r="P161" s="1055">
        <v>0</v>
      </c>
      <c r="Q161" s="940">
        <f>V161*-1</f>
        <v>0</v>
      </c>
      <c r="R161" s="813">
        <v>0</v>
      </c>
      <c r="S161" s="813">
        <v>0</v>
      </c>
      <c r="T161" s="813">
        <v>0</v>
      </c>
      <c r="U161" s="813">
        <f>SUM(Q161:T161)</f>
        <v>0</v>
      </c>
      <c r="V161" s="813">
        <v>0</v>
      </c>
      <c r="W161" s="941">
        <v>0</v>
      </c>
      <c r="X161" s="813">
        <v>0</v>
      </c>
      <c r="Y161" s="813">
        <f>SUM(V161:X161)</f>
        <v>0</v>
      </c>
      <c r="Z161" s="813">
        <f>U161+Y161</f>
        <v>0</v>
      </c>
      <c r="AA161" s="809">
        <f>ROUND((U161+V161+W161)*33.8%,0)</f>
        <v>0</v>
      </c>
      <c r="AB161" s="809">
        <f>ROUND(U161*2%,0)</f>
        <v>0</v>
      </c>
      <c r="AC161" s="813">
        <v>0</v>
      </c>
      <c r="AD161" s="813">
        <v>0</v>
      </c>
      <c r="AE161" s="813">
        <f>SUM(AC161:AD161)</f>
        <v>0</v>
      </c>
      <c r="AF161" s="813">
        <f>Z161+AA161+AB161+AE161</f>
        <v>0</v>
      </c>
      <c r="AG161" s="836">
        <v>0</v>
      </c>
      <c r="AH161" s="836">
        <v>0</v>
      </c>
      <c r="AI161" s="836">
        <v>0</v>
      </c>
      <c r="AJ161" s="836">
        <v>0</v>
      </c>
      <c r="AK161" s="836">
        <v>0</v>
      </c>
      <c r="AL161" s="836">
        <f>AG161+AI161+AJ161</f>
        <v>0</v>
      </c>
      <c r="AM161" s="836">
        <f>AH161+AK161</f>
        <v>0</v>
      </c>
      <c r="AN161" s="949">
        <f>SUM(AL161:AM161)</f>
        <v>0</v>
      </c>
      <c r="AO161" s="945">
        <f t="shared" si="147"/>
        <v>0</v>
      </c>
      <c r="AP161" s="813">
        <f t="shared" si="148"/>
        <v>0</v>
      </c>
      <c r="AQ161" s="813">
        <f t="shared" si="149"/>
        <v>0</v>
      </c>
      <c r="AR161" s="813">
        <f t="shared" si="170"/>
        <v>0</v>
      </c>
      <c r="AS161" s="813">
        <f t="shared" si="170"/>
        <v>0</v>
      </c>
      <c r="AT161" s="813">
        <f t="shared" si="150"/>
        <v>0</v>
      </c>
      <c r="AU161" s="836">
        <f t="shared" si="151"/>
        <v>0</v>
      </c>
      <c r="AV161" s="836">
        <f t="shared" si="171"/>
        <v>0</v>
      </c>
      <c r="AW161" s="837">
        <f t="shared" si="171"/>
        <v>0</v>
      </c>
    </row>
    <row r="162" spans="1:51" ht="12.95" customHeight="1" x14ac:dyDescent="0.25">
      <c r="A162" s="827">
        <v>31</v>
      </c>
      <c r="B162" s="946">
        <v>5473</v>
      </c>
      <c r="C162" s="947">
        <v>600098583</v>
      </c>
      <c r="D162" s="828">
        <v>75016320</v>
      </c>
      <c r="E162" s="948" t="s">
        <v>436</v>
      </c>
      <c r="F162" s="828">
        <v>3141</v>
      </c>
      <c r="G162" s="948" t="s">
        <v>321</v>
      </c>
      <c r="H162" s="831" t="s">
        <v>284</v>
      </c>
      <c r="I162" s="803">
        <f>SUM(J162:M162)</f>
        <v>421368</v>
      </c>
      <c r="J162" s="833">
        <v>309090</v>
      </c>
      <c r="K162" s="805">
        <f>ROUND((J162)*33.8%,0)</f>
        <v>104472</v>
      </c>
      <c r="L162" s="805">
        <f>ROUND(J162*2%,0)</f>
        <v>6182</v>
      </c>
      <c r="M162" s="833">
        <v>1624</v>
      </c>
      <c r="N162" s="834">
        <f>SUM(O162:P162)</f>
        <v>1.05</v>
      </c>
      <c r="O162" s="1054">
        <v>0</v>
      </c>
      <c r="P162" s="1055">
        <v>1.05</v>
      </c>
      <c r="Q162" s="940">
        <f>V162*-1</f>
        <v>0</v>
      </c>
      <c r="R162" s="813">
        <v>0</v>
      </c>
      <c r="S162" s="813">
        <v>0</v>
      </c>
      <c r="T162" s="813">
        <v>0</v>
      </c>
      <c r="U162" s="813">
        <f>SUM(Q162:T162)</f>
        <v>0</v>
      </c>
      <c r="V162" s="813">
        <v>0</v>
      </c>
      <c r="W162" s="941">
        <v>0</v>
      </c>
      <c r="X162" s="813">
        <v>0</v>
      </c>
      <c r="Y162" s="813">
        <f>SUM(V162:X162)</f>
        <v>0</v>
      </c>
      <c r="Z162" s="813">
        <f>U162+Y162</f>
        <v>0</v>
      </c>
      <c r="AA162" s="809">
        <f>ROUND((U162+V162+W162)*33.8%,0)</f>
        <v>0</v>
      </c>
      <c r="AB162" s="809">
        <f>ROUND(U162*2%,0)</f>
        <v>0</v>
      </c>
      <c r="AC162" s="813">
        <v>0</v>
      </c>
      <c r="AD162" s="813">
        <v>0</v>
      </c>
      <c r="AE162" s="813">
        <f>SUM(AC162:AD162)</f>
        <v>0</v>
      </c>
      <c r="AF162" s="813">
        <f>Z162+AA162+AB162+AE162</f>
        <v>0</v>
      </c>
      <c r="AG162" s="836">
        <v>0</v>
      </c>
      <c r="AH162" s="836">
        <v>0</v>
      </c>
      <c r="AI162" s="836">
        <v>0</v>
      </c>
      <c r="AJ162" s="836">
        <v>0</v>
      </c>
      <c r="AK162" s="836">
        <v>0</v>
      </c>
      <c r="AL162" s="836">
        <f>AG162+AI162+AJ162</f>
        <v>0</v>
      </c>
      <c r="AM162" s="836">
        <f>AH162+AK162</f>
        <v>0</v>
      </c>
      <c r="AN162" s="949">
        <f>SUM(AL162:AM162)</f>
        <v>0</v>
      </c>
      <c r="AO162" s="945">
        <f t="shared" si="147"/>
        <v>421368</v>
      </c>
      <c r="AP162" s="813">
        <f t="shared" si="148"/>
        <v>309090</v>
      </c>
      <c r="AQ162" s="813">
        <f t="shared" si="149"/>
        <v>0</v>
      </c>
      <c r="AR162" s="813">
        <f t="shared" si="170"/>
        <v>104472</v>
      </c>
      <c r="AS162" s="813">
        <f t="shared" si="170"/>
        <v>6182</v>
      </c>
      <c r="AT162" s="813">
        <f t="shared" si="150"/>
        <v>1624</v>
      </c>
      <c r="AU162" s="836">
        <f t="shared" si="151"/>
        <v>1.05</v>
      </c>
      <c r="AV162" s="836">
        <f t="shared" si="171"/>
        <v>0</v>
      </c>
      <c r="AW162" s="837">
        <f t="shared" si="171"/>
        <v>1.05</v>
      </c>
    </row>
    <row r="163" spans="1:51" ht="13.5" customHeight="1" thickBot="1" x14ac:dyDescent="0.3">
      <c r="A163" s="972">
        <v>31</v>
      </c>
      <c r="B163" s="973">
        <v>5473</v>
      </c>
      <c r="C163" s="974">
        <v>600098583</v>
      </c>
      <c r="D163" s="973">
        <v>75016320</v>
      </c>
      <c r="E163" s="975" t="s">
        <v>437</v>
      </c>
      <c r="F163" s="854"/>
      <c r="G163" s="976"/>
      <c r="H163" s="855"/>
      <c r="I163" s="977">
        <f t="shared" ref="I163:AW163" si="173">SUM(I160:I162)</f>
        <v>2543597</v>
      </c>
      <c r="J163" s="978">
        <f t="shared" si="173"/>
        <v>1862572</v>
      </c>
      <c r="K163" s="978">
        <f t="shared" si="173"/>
        <v>629549</v>
      </c>
      <c r="L163" s="978">
        <f t="shared" si="173"/>
        <v>37252</v>
      </c>
      <c r="M163" s="978">
        <f t="shared" si="173"/>
        <v>14224</v>
      </c>
      <c r="N163" s="979">
        <f t="shared" si="173"/>
        <v>4.2397</v>
      </c>
      <c r="O163" s="979">
        <f t="shared" si="173"/>
        <v>2.3548</v>
      </c>
      <c r="P163" s="1122">
        <f t="shared" si="173"/>
        <v>1.8849</v>
      </c>
      <c r="Q163" s="864">
        <f t="shared" si="173"/>
        <v>0</v>
      </c>
      <c r="R163" s="862">
        <f t="shared" si="173"/>
        <v>0</v>
      </c>
      <c r="S163" s="862">
        <f t="shared" si="173"/>
        <v>0</v>
      </c>
      <c r="T163" s="862">
        <f t="shared" si="173"/>
        <v>0</v>
      </c>
      <c r="U163" s="862">
        <f t="shared" si="173"/>
        <v>0</v>
      </c>
      <c r="V163" s="862">
        <f t="shared" si="173"/>
        <v>0</v>
      </c>
      <c r="W163" s="862">
        <f t="shared" si="173"/>
        <v>0</v>
      </c>
      <c r="X163" s="862">
        <f t="shared" si="173"/>
        <v>0</v>
      </c>
      <c r="Y163" s="862">
        <f t="shared" si="173"/>
        <v>0</v>
      </c>
      <c r="Z163" s="862">
        <f t="shared" si="173"/>
        <v>0</v>
      </c>
      <c r="AA163" s="862">
        <f t="shared" si="173"/>
        <v>0</v>
      </c>
      <c r="AB163" s="862">
        <f t="shared" si="173"/>
        <v>0</v>
      </c>
      <c r="AC163" s="862">
        <f t="shared" si="173"/>
        <v>0</v>
      </c>
      <c r="AD163" s="862">
        <f t="shared" si="173"/>
        <v>0</v>
      </c>
      <c r="AE163" s="862">
        <f t="shared" si="173"/>
        <v>0</v>
      </c>
      <c r="AF163" s="862">
        <f t="shared" si="173"/>
        <v>0</v>
      </c>
      <c r="AG163" s="863">
        <f t="shared" si="173"/>
        <v>0</v>
      </c>
      <c r="AH163" s="863">
        <f t="shared" si="173"/>
        <v>0</v>
      </c>
      <c r="AI163" s="863">
        <f t="shared" si="173"/>
        <v>0</v>
      </c>
      <c r="AJ163" s="863">
        <f t="shared" si="173"/>
        <v>0</v>
      </c>
      <c r="AK163" s="863">
        <f t="shared" si="173"/>
        <v>0</v>
      </c>
      <c r="AL163" s="863">
        <f t="shared" si="173"/>
        <v>0</v>
      </c>
      <c r="AM163" s="863">
        <f t="shared" si="173"/>
        <v>0</v>
      </c>
      <c r="AN163" s="980">
        <f t="shared" si="173"/>
        <v>0</v>
      </c>
      <c r="AO163" s="843">
        <f t="shared" si="173"/>
        <v>2543597</v>
      </c>
      <c r="AP163" s="844">
        <f t="shared" si="173"/>
        <v>1862572</v>
      </c>
      <c r="AQ163" s="844">
        <f t="shared" si="173"/>
        <v>0</v>
      </c>
      <c r="AR163" s="844">
        <f t="shared" si="173"/>
        <v>629549</v>
      </c>
      <c r="AS163" s="844">
        <f t="shared" si="173"/>
        <v>37252</v>
      </c>
      <c r="AT163" s="844">
        <f t="shared" si="173"/>
        <v>14224</v>
      </c>
      <c r="AU163" s="845">
        <f t="shared" si="173"/>
        <v>4.2397</v>
      </c>
      <c r="AV163" s="845">
        <f t="shared" si="173"/>
        <v>2.3548</v>
      </c>
      <c r="AW163" s="847">
        <f t="shared" si="173"/>
        <v>1.8849</v>
      </c>
    </row>
    <row r="164" spans="1:51" ht="12.75" customHeight="1" thickBot="1" x14ac:dyDescent="0.3">
      <c r="A164" s="981"/>
      <c r="B164" s="867"/>
      <c r="C164" s="982"/>
      <c r="D164" s="867"/>
      <c r="E164" s="869" t="s">
        <v>804</v>
      </c>
      <c r="F164" s="867"/>
      <c r="G164" s="867"/>
      <c r="H164" s="870"/>
      <c r="I164" s="983">
        <f t="shared" ref="I164:AW164" si="174">I163+I159+I153+I150+I143+I136+I129+I126+I123+I117+I113+I108+I106+I100+I96+I90+I87+I80+I73+I66+I59+I53+I51+I44+I38+I32+I25+I23+I19+I15</f>
        <v>319098199</v>
      </c>
      <c r="J164" s="984">
        <f t="shared" si="174"/>
        <v>231797449</v>
      </c>
      <c r="K164" s="984">
        <f t="shared" si="174"/>
        <v>78347538</v>
      </c>
      <c r="L164" s="984">
        <f t="shared" si="174"/>
        <v>4635953</v>
      </c>
      <c r="M164" s="984">
        <f t="shared" si="174"/>
        <v>4317259</v>
      </c>
      <c r="N164" s="985">
        <f t="shared" si="174"/>
        <v>492.25704999999994</v>
      </c>
      <c r="O164" s="985">
        <f t="shared" si="174"/>
        <v>329.47040000000004</v>
      </c>
      <c r="P164" s="1123">
        <f t="shared" si="174"/>
        <v>162.78664999999998</v>
      </c>
      <c r="Q164" s="875">
        <f t="shared" si="174"/>
        <v>-1248160</v>
      </c>
      <c r="R164" s="873">
        <f t="shared" si="174"/>
        <v>9373570</v>
      </c>
      <c r="S164" s="873">
        <f t="shared" si="174"/>
        <v>0</v>
      </c>
      <c r="T164" s="873">
        <f t="shared" si="174"/>
        <v>85650</v>
      </c>
      <c r="U164" s="873">
        <f t="shared" si="174"/>
        <v>8211060</v>
      </c>
      <c r="V164" s="873">
        <f t="shared" si="174"/>
        <v>1248160</v>
      </c>
      <c r="W164" s="873">
        <f t="shared" si="174"/>
        <v>203968</v>
      </c>
      <c r="X164" s="873">
        <f t="shared" si="174"/>
        <v>27418</v>
      </c>
      <c r="Y164" s="873">
        <f t="shared" si="174"/>
        <v>1479546</v>
      </c>
      <c r="Z164" s="873">
        <f t="shared" si="174"/>
        <v>9690606</v>
      </c>
      <c r="AA164" s="873">
        <f t="shared" si="174"/>
        <v>3266159</v>
      </c>
      <c r="AB164" s="873">
        <f t="shared" si="174"/>
        <v>164222</v>
      </c>
      <c r="AC164" s="873">
        <f t="shared" si="174"/>
        <v>15050</v>
      </c>
      <c r="AD164" s="873">
        <f t="shared" si="174"/>
        <v>0</v>
      </c>
      <c r="AE164" s="873">
        <f t="shared" si="174"/>
        <v>15050</v>
      </c>
      <c r="AF164" s="873">
        <f t="shared" si="174"/>
        <v>13136037</v>
      </c>
      <c r="AG164" s="874">
        <f t="shared" si="174"/>
        <v>-0.65</v>
      </c>
      <c r="AH164" s="874">
        <f t="shared" si="174"/>
        <v>-1.2100000000000004</v>
      </c>
      <c r="AI164" s="874">
        <f t="shared" si="174"/>
        <v>25.460000000000008</v>
      </c>
      <c r="AJ164" s="874">
        <f t="shared" si="174"/>
        <v>0.14000000000000001</v>
      </c>
      <c r="AK164" s="874">
        <f t="shared" si="174"/>
        <v>0</v>
      </c>
      <c r="AL164" s="874">
        <f t="shared" si="174"/>
        <v>24.950000000000003</v>
      </c>
      <c r="AM164" s="874">
        <f t="shared" si="174"/>
        <v>-1.2100000000000004</v>
      </c>
      <c r="AN164" s="986">
        <f t="shared" si="174"/>
        <v>23.740000000000002</v>
      </c>
      <c r="AO164" s="987">
        <f t="shared" si="174"/>
        <v>332234236</v>
      </c>
      <c r="AP164" s="988">
        <f t="shared" si="174"/>
        <v>240008509</v>
      </c>
      <c r="AQ164" s="988">
        <f t="shared" si="174"/>
        <v>1479546</v>
      </c>
      <c r="AR164" s="988">
        <f t="shared" si="174"/>
        <v>81613697</v>
      </c>
      <c r="AS164" s="988">
        <f t="shared" si="174"/>
        <v>4800175</v>
      </c>
      <c r="AT164" s="988">
        <f t="shared" si="174"/>
        <v>4332309</v>
      </c>
      <c r="AU164" s="1128">
        <f t="shared" si="174"/>
        <v>515.99704999999994</v>
      </c>
      <c r="AV164" s="1128">
        <f t="shared" si="174"/>
        <v>354.42040000000009</v>
      </c>
      <c r="AW164" s="1129">
        <f t="shared" si="174"/>
        <v>161.57664999999997</v>
      </c>
    </row>
    <row r="165" spans="1:51" ht="12.75" customHeight="1" x14ac:dyDescent="0.25">
      <c r="B165" s="878"/>
      <c r="D165" s="878"/>
      <c r="E165" s="879"/>
      <c r="F165" s="878"/>
      <c r="I165" s="880">
        <f>SUM(J164:M164)</f>
        <v>319098199</v>
      </c>
      <c r="J165" s="880"/>
      <c r="K165" s="880"/>
      <c r="L165" s="880"/>
      <c r="M165" s="880"/>
      <c r="N165" s="881">
        <f>SUM(O164:P164)</f>
        <v>492.25705000000005</v>
      </c>
      <c r="O165" s="881"/>
      <c r="P165" s="881"/>
      <c r="Q165" s="880"/>
      <c r="R165" s="880"/>
      <c r="S165" s="880"/>
      <c r="T165" s="880"/>
      <c r="U165" s="882">
        <f>SUM(Q164:T164)</f>
        <v>8211060</v>
      </c>
      <c r="V165" s="883"/>
      <c r="W165" s="883"/>
      <c r="X165" s="883"/>
      <c r="Y165" s="882">
        <f>SUM(V164:X164)</f>
        <v>1479546</v>
      </c>
      <c r="Z165" s="882">
        <f>U164+Y164</f>
        <v>9690606</v>
      </c>
      <c r="AA165" s="884"/>
      <c r="AB165" s="884"/>
      <c r="AC165" s="883"/>
      <c r="AD165" s="883"/>
      <c r="AE165" s="882">
        <f>SUM(AC164:AD164)</f>
        <v>15050</v>
      </c>
      <c r="AF165" s="882">
        <f>Z164+AA164+AB164+AE164</f>
        <v>13136037</v>
      </c>
      <c r="AG165" s="885"/>
      <c r="AH165" s="885"/>
      <c r="AI165" s="885"/>
      <c r="AJ165" s="885"/>
      <c r="AK165" s="885"/>
      <c r="AL165" s="886">
        <f>AG164+AI164+AJ164</f>
        <v>24.95000000000001</v>
      </c>
      <c r="AM165" s="886">
        <f>AH164+AK164</f>
        <v>-1.2100000000000004</v>
      </c>
      <c r="AN165" s="886">
        <f>SUM(AL164:AM164)</f>
        <v>23.740000000000002</v>
      </c>
      <c r="AO165" s="880">
        <f>SUM(AP164:AT164)</f>
        <v>332234236</v>
      </c>
      <c r="AP165" s="990"/>
      <c r="AQ165" s="990"/>
      <c r="AR165" s="990"/>
      <c r="AS165" s="990"/>
      <c r="AT165" s="990"/>
      <c r="AU165" s="881">
        <f>SUM(AV164:AW164)</f>
        <v>515.99705000000006</v>
      </c>
      <c r="AV165" s="1127"/>
      <c r="AW165" s="1127"/>
    </row>
    <row r="166" spans="1:51" ht="12.75" customHeight="1" thickBot="1" x14ac:dyDescent="0.3">
      <c r="B166" s="878"/>
      <c r="D166" s="878"/>
      <c r="F166" s="878"/>
      <c r="I166" s="888">
        <f>SUM(J167:M167)</f>
        <v>319098199</v>
      </c>
      <c r="J166" s="760"/>
      <c r="K166" s="760"/>
      <c r="L166" s="760"/>
      <c r="M166" s="760"/>
      <c r="N166" s="889">
        <f ca="1">SUM(O167:P167)</f>
        <v>492.25704999999994</v>
      </c>
      <c r="O166" s="1112"/>
      <c r="P166" s="1112"/>
      <c r="Q166" s="880"/>
      <c r="R166" s="880"/>
      <c r="S166" s="880"/>
      <c r="T166" s="880"/>
      <c r="U166" s="882">
        <f ca="1">SUM(Q167:T167)</f>
        <v>8211060</v>
      </c>
      <c r="V166" s="883"/>
      <c r="W166" s="883"/>
      <c r="X166" s="883"/>
      <c r="Y166" s="882">
        <f ca="1">SUM(V167:X167)</f>
        <v>1479546</v>
      </c>
      <c r="Z166" s="882">
        <f ca="1">U167+Y167</f>
        <v>9690606</v>
      </c>
      <c r="AA166" s="884"/>
      <c r="AB166" s="884"/>
      <c r="AC166" s="883"/>
      <c r="AD166" s="883"/>
      <c r="AE166" s="882">
        <f ca="1">SUM(AC167:AD167)</f>
        <v>15050</v>
      </c>
      <c r="AF166" s="882">
        <f ca="1">Z167+AA167+AB167+AE167</f>
        <v>13136037</v>
      </c>
      <c r="AG166" s="885"/>
      <c r="AH166" s="885"/>
      <c r="AI166" s="885"/>
      <c r="AJ166" s="885"/>
      <c r="AK166" s="885"/>
      <c r="AL166" s="886">
        <f ca="1">AG167+AI167+AJ167</f>
        <v>24.950000000000003</v>
      </c>
      <c r="AM166" s="886">
        <f ca="1">AH167+AK167</f>
        <v>-1.2100000000000002</v>
      </c>
      <c r="AN166" s="886">
        <f ca="1">SUM(AL167:AM167)</f>
        <v>23.740000000000002</v>
      </c>
      <c r="AO166" s="880">
        <f ca="1">SUM(AP167:AT167)</f>
        <v>332234236</v>
      </c>
      <c r="AP166" s="990"/>
      <c r="AQ166" s="990"/>
      <c r="AR166" s="990"/>
      <c r="AS166" s="990"/>
      <c r="AT166" s="990"/>
      <c r="AU166" s="881">
        <f ca="1">SUM(AV167:AW167)</f>
        <v>515.99704999999994</v>
      </c>
      <c r="AV166" s="1127"/>
      <c r="AW166" s="1127"/>
    </row>
    <row r="167" spans="1:51" s="183" customFormat="1" ht="12.95" customHeight="1" thickBot="1" x14ac:dyDescent="0.3">
      <c r="D167" s="898"/>
      <c r="E167" s="899"/>
      <c r="F167" s="898"/>
      <c r="G167" s="900"/>
      <c r="H167" s="901" t="s">
        <v>0</v>
      </c>
      <c r="I167" s="991">
        <f t="shared" ref="I167:AW167" si="175">SUM(I168:I177)</f>
        <v>319098199</v>
      </c>
      <c r="J167" s="992">
        <f t="shared" si="175"/>
        <v>231797449</v>
      </c>
      <c r="K167" s="992">
        <f t="shared" si="175"/>
        <v>78347538</v>
      </c>
      <c r="L167" s="992">
        <f t="shared" si="175"/>
        <v>4635953</v>
      </c>
      <c r="M167" s="992">
        <f t="shared" si="175"/>
        <v>4317259</v>
      </c>
      <c r="N167" s="906">
        <f t="shared" ca="1" si="175"/>
        <v>492.25704999999999</v>
      </c>
      <c r="O167" s="904">
        <f t="shared" ca="1" si="175"/>
        <v>329.47039999999998</v>
      </c>
      <c r="P167" s="1035">
        <f t="shared" ca="1" si="175"/>
        <v>162.78664999999995</v>
      </c>
      <c r="Q167" s="902">
        <f t="shared" ca="1" si="175"/>
        <v>-1248160</v>
      </c>
      <c r="R167" s="903">
        <f t="shared" ca="1" si="175"/>
        <v>9373570</v>
      </c>
      <c r="S167" s="903">
        <f t="shared" ca="1" si="175"/>
        <v>0</v>
      </c>
      <c r="T167" s="903">
        <f t="shared" ca="1" si="175"/>
        <v>85650</v>
      </c>
      <c r="U167" s="903">
        <f t="shared" ca="1" si="175"/>
        <v>8211060</v>
      </c>
      <c r="V167" s="903">
        <f t="shared" ca="1" si="175"/>
        <v>1248160</v>
      </c>
      <c r="W167" s="903">
        <f t="shared" ca="1" si="175"/>
        <v>203968</v>
      </c>
      <c r="X167" s="903">
        <f t="shared" ca="1" si="175"/>
        <v>27418</v>
      </c>
      <c r="Y167" s="903">
        <f t="shared" ca="1" si="175"/>
        <v>1479546</v>
      </c>
      <c r="Z167" s="903">
        <f t="shared" ca="1" si="175"/>
        <v>9690606</v>
      </c>
      <c r="AA167" s="903">
        <f t="shared" ca="1" si="175"/>
        <v>3266159</v>
      </c>
      <c r="AB167" s="903">
        <f t="shared" ca="1" si="175"/>
        <v>164222</v>
      </c>
      <c r="AC167" s="903">
        <f t="shared" ca="1" si="175"/>
        <v>15050</v>
      </c>
      <c r="AD167" s="903">
        <f t="shared" ca="1" si="175"/>
        <v>0</v>
      </c>
      <c r="AE167" s="903">
        <f t="shared" ca="1" si="175"/>
        <v>15050</v>
      </c>
      <c r="AF167" s="903">
        <f t="shared" ca="1" si="175"/>
        <v>13136037</v>
      </c>
      <c r="AG167" s="904">
        <f t="shared" ca="1" si="175"/>
        <v>-0.64999999999999991</v>
      </c>
      <c r="AH167" s="904">
        <f t="shared" ca="1" si="175"/>
        <v>-1.2100000000000002</v>
      </c>
      <c r="AI167" s="904">
        <f t="shared" ca="1" si="175"/>
        <v>25.46</v>
      </c>
      <c r="AJ167" s="904">
        <f t="shared" ca="1" si="175"/>
        <v>0.14000000000000001</v>
      </c>
      <c r="AK167" s="904">
        <f t="shared" ca="1" si="175"/>
        <v>0</v>
      </c>
      <c r="AL167" s="904">
        <f t="shared" ca="1" si="175"/>
        <v>24.950000000000003</v>
      </c>
      <c r="AM167" s="904">
        <f t="shared" ca="1" si="175"/>
        <v>-1.2100000000000002</v>
      </c>
      <c r="AN167" s="993">
        <f t="shared" ca="1" si="175"/>
        <v>23.74</v>
      </c>
      <c r="AO167" s="905">
        <f t="shared" ca="1" si="175"/>
        <v>332234236</v>
      </c>
      <c r="AP167" s="903">
        <f t="shared" ca="1" si="175"/>
        <v>240008509</v>
      </c>
      <c r="AQ167" s="903">
        <f t="shared" ca="1" si="175"/>
        <v>1479546</v>
      </c>
      <c r="AR167" s="903">
        <f t="shared" ca="1" si="175"/>
        <v>81613697</v>
      </c>
      <c r="AS167" s="903">
        <f t="shared" ca="1" si="175"/>
        <v>4800175</v>
      </c>
      <c r="AT167" s="903">
        <f t="shared" ca="1" si="175"/>
        <v>4332309</v>
      </c>
      <c r="AU167" s="904">
        <f t="shared" ca="1" si="175"/>
        <v>515.99704999999994</v>
      </c>
      <c r="AV167" s="904">
        <f t="shared" ca="1" si="175"/>
        <v>354.42039999999992</v>
      </c>
      <c r="AW167" s="993">
        <f t="shared" ca="1" si="175"/>
        <v>161.57665</v>
      </c>
      <c r="AX167" s="994"/>
      <c r="AY167" s="994"/>
    </row>
    <row r="168" spans="1:51" s="183" customFormat="1" ht="12.95" customHeight="1" x14ac:dyDescent="0.25">
      <c r="D168" s="898"/>
      <c r="E168" s="899"/>
      <c r="F168" s="898"/>
      <c r="G168" s="900"/>
      <c r="H168" s="909">
        <v>3111</v>
      </c>
      <c r="I168" s="564">
        <f>SUMIF($F$12:$F$430,"=3111",I$12:I$430)</f>
        <v>61796063</v>
      </c>
      <c r="J168" s="565">
        <f>SUMIF($F$12:$F$430,"=3111",J$12:J$430)</f>
        <v>45218343</v>
      </c>
      <c r="K168" s="565">
        <f>SUMIF($F$12:$F$430,"=3111",K$12:K$430)</f>
        <v>15283804</v>
      </c>
      <c r="L168" s="565">
        <f>SUMIF($F$12:$F$430,"=3111",L$12:L$430)</f>
        <v>904366</v>
      </c>
      <c r="M168" s="565">
        <f>SUMIF($F$12:$F$430,"=3111",M$12:M$430)</f>
        <v>389550</v>
      </c>
      <c r="N168" s="910">
        <f t="shared" ref="N168:AW168" ca="1" si="176">SUMIF($F$12:$F$430,"=3111",N$12:N$386)</f>
        <v>104.35174999999998</v>
      </c>
      <c r="O168" s="610">
        <f t="shared" ca="1" si="176"/>
        <v>77.015900000000002</v>
      </c>
      <c r="P168" s="621">
        <f t="shared" ca="1" si="176"/>
        <v>27.335849999999994</v>
      </c>
      <c r="Q168" s="609">
        <f t="shared" ca="1" si="176"/>
        <v>-195200</v>
      </c>
      <c r="R168" s="608">
        <f t="shared" ca="1" si="176"/>
        <v>1328072</v>
      </c>
      <c r="S168" s="608">
        <f t="shared" ca="1" si="176"/>
        <v>0</v>
      </c>
      <c r="T168" s="608">
        <f t="shared" ca="1" si="176"/>
        <v>0</v>
      </c>
      <c r="U168" s="608">
        <f t="shared" ca="1" si="176"/>
        <v>1132872</v>
      </c>
      <c r="V168" s="608">
        <f t="shared" ca="1" si="176"/>
        <v>195200</v>
      </c>
      <c r="W168" s="608">
        <f t="shared" ca="1" si="176"/>
        <v>0</v>
      </c>
      <c r="X168" s="608">
        <f t="shared" ca="1" si="176"/>
        <v>0</v>
      </c>
      <c r="Y168" s="608">
        <f t="shared" ca="1" si="176"/>
        <v>195200</v>
      </c>
      <c r="Z168" s="608">
        <f t="shared" ca="1" si="176"/>
        <v>1328072</v>
      </c>
      <c r="AA168" s="608">
        <f t="shared" ca="1" si="176"/>
        <v>448889</v>
      </c>
      <c r="AB168" s="608">
        <f t="shared" ca="1" si="176"/>
        <v>22658</v>
      </c>
      <c r="AC168" s="608">
        <f t="shared" ca="1" si="176"/>
        <v>3000</v>
      </c>
      <c r="AD168" s="608">
        <f t="shared" ca="1" si="176"/>
        <v>0</v>
      </c>
      <c r="AE168" s="608">
        <f t="shared" ca="1" si="176"/>
        <v>3000</v>
      </c>
      <c r="AF168" s="608">
        <f t="shared" ca="1" si="176"/>
        <v>1802619</v>
      </c>
      <c r="AG168" s="610">
        <f t="shared" ca="1" si="176"/>
        <v>-0.08</v>
      </c>
      <c r="AH168" s="610">
        <f t="shared" ca="1" si="176"/>
        <v>-0.46</v>
      </c>
      <c r="AI168" s="610">
        <f t="shared" ca="1" si="176"/>
        <v>3.81</v>
      </c>
      <c r="AJ168" s="610">
        <f t="shared" ca="1" si="176"/>
        <v>0</v>
      </c>
      <c r="AK168" s="610">
        <f t="shared" ca="1" si="176"/>
        <v>0</v>
      </c>
      <c r="AL168" s="610">
        <f t="shared" ca="1" si="176"/>
        <v>3.73</v>
      </c>
      <c r="AM168" s="610">
        <f t="shared" ca="1" si="176"/>
        <v>-0.46</v>
      </c>
      <c r="AN168" s="611">
        <f t="shared" ca="1" si="176"/>
        <v>3.2699999999999996</v>
      </c>
      <c r="AO168" s="620">
        <f t="shared" ca="1" si="176"/>
        <v>63598682</v>
      </c>
      <c r="AP168" s="608">
        <f t="shared" ca="1" si="176"/>
        <v>46351215</v>
      </c>
      <c r="AQ168" s="608">
        <f t="shared" ca="1" si="176"/>
        <v>195200</v>
      </c>
      <c r="AR168" s="608">
        <f t="shared" ca="1" si="176"/>
        <v>15732693</v>
      </c>
      <c r="AS168" s="608">
        <f t="shared" ca="1" si="176"/>
        <v>927024</v>
      </c>
      <c r="AT168" s="608">
        <f t="shared" ca="1" si="176"/>
        <v>392550</v>
      </c>
      <c r="AU168" s="610">
        <f t="shared" ca="1" si="176"/>
        <v>107.62174999999999</v>
      </c>
      <c r="AV168" s="610">
        <f t="shared" ca="1" si="176"/>
        <v>80.745899999999992</v>
      </c>
      <c r="AW168" s="611">
        <f t="shared" ca="1" si="176"/>
        <v>26.87585</v>
      </c>
      <c r="AX168" s="994"/>
      <c r="AY168" s="995"/>
    </row>
    <row r="169" spans="1:51" s="183" customFormat="1" ht="12.95" customHeight="1" x14ac:dyDescent="0.25">
      <c r="D169" s="898"/>
      <c r="E169" s="899"/>
      <c r="F169" s="898"/>
      <c r="G169" s="900"/>
      <c r="H169" s="913">
        <v>3113</v>
      </c>
      <c r="I169" s="579">
        <f t="shared" ref="I169:AW169" si="177">SUMIF($F$12:$F$430,"=3113",I$12:I$430)</f>
        <v>132056862</v>
      </c>
      <c r="J169" s="498">
        <f t="shared" si="177"/>
        <v>95094185</v>
      </c>
      <c r="K169" s="498">
        <f t="shared" si="177"/>
        <v>32141834</v>
      </c>
      <c r="L169" s="498">
        <f t="shared" si="177"/>
        <v>1901883</v>
      </c>
      <c r="M169" s="498">
        <f t="shared" si="177"/>
        <v>2918960</v>
      </c>
      <c r="N169" s="914">
        <f t="shared" si="177"/>
        <v>180.89959999999999</v>
      </c>
      <c r="O169" s="499">
        <f t="shared" si="177"/>
        <v>136.4641</v>
      </c>
      <c r="P169" s="529">
        <f t="shared" si="177"/>
        <v>44.435499999999998</v>
      </c>
      <c r="Q169" s="579">
        <f t="shared" si="177"/>
        <v>-428800</v>
      </c>
      <c r="R169" s="498">
        <f t="shared" si="177"/>
        <v>6045535</v>
      </c>
      <c r="S169" s="498">
        <f t="shared" si="177"/>
        <v>0</v>
      </c>
      <c r="T169" s="498">
        <f t="shared" si="177"/>
        <v>85650</v>
      </c>
      <c r="U169" s="498">
        <f t="shared" si="177"/>
        <v>5702385</v>
      </c>
      <c r="V169" s="498">
        <f t="shared" si="177"/>
        <v>428800</v>
      </c>
      <c r="W169" s="498">
        <f t="shared" si="177"/>
        <v>36544</v>
      </c>
      <c r="X169" s="498">
        <f t="shared" si="177"/>
        <v>27418</v>
      </c>
      <c r="Y169" s="498">
        <f t="shared" si="177"/>
        <v>492762</v>
      </c>
      <c r="Z169" s="498">
        <f t="shared" si="177"/>
        <v>6195147</v>
      </c>
      <c r="AA169" s="498">
        <f t="shared" si="177"/>
        <v>2084692</v>
      </c>
      <c r="AB169" s="498">
        <f t="shared" si="177"/>
        <v>114047</v>
      </c>
      <c r="AC169" s="498">
        <f t="shared" si="177"/>
        <v>8150</v>
      </c>
      <c r="AD169" s="498">
        <f t="shared" si="177"/>
        <v>0</v>
      </c>
      <c r="AE169" s="498">
        <f t="shared" si="177"/>
        <v>8150</v>
      </c>
      <c r="AF169" s="498">
        <f t="shared" si="177"/>
        <v>8402036</v>
      </c>
      <c r="AG169" s="499">
        <f t="shared" si="177"/>
        <v>-0.24000000000000002</v>
      </c>
      <c r="AH169" s="499">
        <f t="shared" si="177"/>
        <v>-0.12000000000000001</v>
      </c>
      <c r="AI169" s="499">
        <f t="shared" si="177"/>
        <v>16</v>
      </c>
      <c r="AJ169" s="499">
        <f t="shared" si="177"/>
        <v>0.14000000000000001</v>
      </c>
      <c r="AK169" s="499">
        <f t="shared" si="177"/>
        <v>0</v>
      </c>
      <c r="AL169" s="499">
        <f t="shared" si="177"/>
        <v>15.900000000000002</v>
      </c>
      <c r="AM169" s="499">
        <f t="shared" si="177"/>
        <v>-0.12000000000000001</v>
      </c>
      <c r="AN169" s="500">
        <f t="shared" si="177"/>
        <v>15.780000000000001</v>
      </c>
      <c r="AO169" s="497">
        <f t="shared" si="177"/>
        <v>140458898</v>
      </c>
      <c r="AP169" s="498">
        <f t="shared" si="177"/>
        <v>100796570</v>
      </c>
      <c r="AQ169" s="498">
        <f t="shared" si="177"/>
        <v>492762</v>
      </c>
      <c r="AR169" s="498">
        <f t="shared" si="177"/>
        <v>34226526</v>
      </c>
      <c r="AS169" s="498">
        <f t="shared" si="177"/>
        <v>2015930</v>
      </c>
      <c r="AT169" s="498">
        <f t="shared" si="177"/>
        <v>2927110</v>
      </c>
      <c r="AU169" s="499">
        <f t="shared" si="177"/>
        <v>196.67959999999999</v>
      </c>
      <c r="AV169" s="499">
        <f t="shared" si="177"/>
        <v>152.36410000000001</v>
      </c>
      <c r="AW169" s="500">
        <f t="shared" si="177"/>
        <v>44.315499999999993</v>
      </c>
      <c r="AX169" s="994"/>
      <c r="AY169" s="995"/>
    </row>
    <row r="170" spans="1:51" s="183" customFormat="1" ht="12.95" customHeight="1" x14ac:dyDescent="0.25">
      <c r="D170" s="898"/>
      <c r="E170" s="899"/>
      <c r="F170" s="898"/>
      <c r="G170" s="900"/>
      <c r="H170" s="913">
        <v>3114</v>
      </c>
      <c r="I170" s="579">
        <f t="shared" ref="I170:AW170" si="178">SUMIF($F$12:$F$430,"=3114",I$12:I$430)</f>
        <v>17584256</v>
      </c>
      <c r="J170" s="498">
        <f t="shared" si="178"/>
        <v>12846285</v>
      </c>
      <c r="K170" s="498">
        <f t="shared" si="178"/>
        <v>4342045</v>
      </c>
      <c r="L170" s="498">
        <f t="shared" si="178"/>
        <v>256926</v>
      </c>
      <c r="M170" s="498">
        <f t="shared" si="178"/>
        <v>139000</v>
      </c>
      <c r="N170" s="914">
        <f t="shared" si="178"/>
        <v>23.892000000000003</v>
      </c>
      <c r="O170" s="499">
        <f t="shared" si="178"/>
        <v>18.353999999999999</v>
      </c>
      <c r="P170" s="529">
        <f t="shared" si="178"/>
        <v>5.5379999999999994</v>
      </c>
      <c r="Q170" s="579">
        <f t="shared" si="178"/>
        <v>-71200</v>
      </c>
      <c r="R170" s="498">
        <f t="shared" si="178"/>
        <v>0</v>
      </c>
      <c r="S170" s="498">
        <f t="shared" si="178"/>
        <v>0</v>
      </c>
      <c r="T170" s="498">
        <f t="shared" si="178"/>
        <v>0</v>
      </c>
      <c r="U170" s="498">
        <f t="shared" si="178"/>
        <v>-71200</v>
      </c>
      <c r="V170" s="498">
        <f t="shared" si="178"/>
        <v>71200</v>
      </c>
      <c r="W170" s="498">
        <f t="shared" si="178"/>
        <v>0</v>
      </c>
      <c r="X170" s="498">
        <f t="shared" si="178"/>
        <v>0</v>
      </c>
      <c r="Y170" s="498">
        <f t="shared" si="178"/>
        <v>71200</v>
      </c>
      <c r="Z170" s="498">
        <f t="shared" si="178"/>
        <v>0</v>
      </c>
      <c r="AA170" s="498">
        <f t="shared" si="178"/>
        <v>0</v>
      </c>
      <c r="AB170" s="498">
        <f t="shared" si="178"/>
        <v>-1424</v>
      </c>
      <c r="AC170" s="498">
        <f t="shared" si="178"/>
        <v>0</v>
      </c>
      <c r="AD170" s="498">
        <f t="shared" si="178"/>
        <v>0</v>
      </c>
      <c r="AE170" s="498">
        <f t="shared" si="178"/>
        <v>0</v>
      </c>
      <c r="AF170" s="498">
        <f t="shared" si="178"/>
        <v>-1424</v>
      </c>
      <c r="AG170" s="499">
        <f t="shared" si="178"/>
        <v>0</v>
      </c>
      <c r="AH170" s="499">
        <f t="shared" si="178"/>
        <v>-0.28000000000000003</v>
      </c>
      <c r="AI170" s="499">
        <f t="shared" si="178"/>
        <v>0</v>
      </c>
      <c r="AJ170" s="499">
        <f t="shared" si="178"/>
        <v>0</v>
      </c>
      <c r="AK170" s="499">
        <f t="shared" si="178"/>
        <v>0</v>
      </c>
      <c r="AL170" s="499">
        <f t="shared" si="178"/>
        <v>0</v>
      </c>
      <c r="AM170" s="499">
        <f t="shared" si="178"/>
        <v>-0.28000000000000003</v>
      </c>
      <c r="AN170" s="500">
        <f t="shared" si="178"/>
        <v>-0.28000000000000003</v>
      </c>
      <c r="AO170" s="497">
        <f t="shared" si="178"/>
        <v>17582832</v>
      </c>
      <c r="AP170" s="498">
        <f t="shared" si="178"/>
        <v>12775085</v>
      </c>
      <c r="AQ170" s="498">
        <f t="shared" si="178"/>
        <v>71200</v>
      </c>
      <c r="AR170" s="498">
        <f t="shared" si="178"/>
        <v>4342045</v>
      </c>
      <c r="AS170" s="498">
        <f t="shared" si="178"/>
        <v>255502</v>
      </c>
      <c r="AT170" s="498">
        <f t="shared" si="178"/>
        <v>139000</v>
      </c>
      <c r="AU170" s="499">
        <f t="shared" si="178"/>
        <v>23.611999999999998</v>
      </c>
      <c r="AV170" s="499">
        <f t="shared" si="178"/>
        <v>18.353999999999999</v>
      </c>
      <c r="AW170" s="500">
        <f t="shared" si="178"/>
        <v>5.2579999999999991</v>
      </c>
      <c r="AX170" s="994"/>
      <c r="AY170" s="995"/>
    </row>
    <row r="171" spans="1:51" s="183" customFormat="1" ht="12.95" customHeight="1" x14ac:dyDescent="0.25">
      <c r="D171" s="898"/>
      <c r="E171" s="899"/>
      <c r="F171" s="898"/>
      <c r="G171" s="900"/>
      <c r="H171" s="913">
        <v>3117</v>
      </c>
      <c r="I171" s="579">
        <f t="shared" ref="I171:AW171" si="179">SUMIF($F$12:$F$430,"=3117",I$12:I$430)</f>
        <v>25370789</v>
      </c>
      <c r="J171" s="498">
        <f t="shared" si="179"/>
        <v>18365148</v>
      </c>
      <c r="K171" s="498">
        <f t="shared" si="179"/>
        <v>6207417</v>
      </c>
      <c r="L171" s="498">
        <f t="shared" si="179"/>
        <v>367304</v>
      </c>
      <c r="M171" s="498">
        <f t="shared" si="179"/>
        <v>430920</v>
      </c>
      <c r="N171" s="914">
        <f t="shared" si="179"/>
        <v>35.78820000000001</v>
      </c>
      <c r="O171" s="499">
        <f t="shared" si="179"/>
        <v>24.221799999999998</v>
      </c>
      <c r="P171" s="529">
        <f t="shared" si="179"/>
        <v>11.5664</v>
      </c>
      <c r="Q171" s="579">
        <f t="shared" si="179"/>
        <v>-136000</v>
      </c>
      <c r="R171" s="498">
        <f t="shared" si="179"/>
        <v>1913352</v>
      </c>
      <c r="S171" s="498">
        <f t="shared" si="179"/>
        <v>0</v>
      </c>
      <c r="T171" s="498">
        <f t="shared" si="179"/>
        <v>0</v>
      </c>
      <c r="U171" s="498">
        <f t="shared" si="179"/>
        <v>1777352</v>
      </c>
      <c r="V171" s="498">
        <f t="shared" si="179"/>
        <v>136000</v>
      </c>
      <c r="W171" s="498">
        <f t="shared" si="179"/>
        <v>36544</v>
      </c>
      <c r="X171" s="498">
        <f t="shared" si="179"/>
        <v>0</v>
      </c>
      <c r="Y171" s="498">
        <f t="shared" si="179"/>
        <v>172544</v>
      </c>
      <c r="Z171" s="498">
        <f t="shared" si="179"/>
        <v>1949896</v>
      </c>
      <c r="AA171" s="498">
        <f t="shared" si="179"/>
        <v>659066</v>
      </c>
      <c r="AB171" s="498">
        <f t="shared" si="179"/>
        <v>35548</v>
      </c>
      <c r="AC171" s="498">
        <f t="shared" si="179"/>
        <v>3900</v>
      </c>
      <c r="AD171" s="498">
        <f t="shared" si="179"/>
        <v>0</v>
      </c>
      <c r="AE171" s="498">
        <f t="shared" si="179"/>
        <v>3900</v>
      </c>
      <c r="AF171" s="498">
        <f t="shared" si="179"/>
        <v>2648410</v>
      </c>
      <c r="AG171" s="499">
        <f t="shared" si="179"/>
        <v>-0.03</v>
      </c>
      <c r="AH171" s="499">
        <f t="shared" si="179"/>
        <v>-0.19</v>
      </c>
      <c r="AI171" s="499">
        <f t="shared" si="179"/>
        <v>5.4</v>
      </c>
      <c r="AJ171" s="499">
        <f t="shared" si="179"/>
        <v>0</v>
      </c>
      <c r="AK171" s="499">
        <f t="shared" si="179"/>
        <v>0</v>
      </c>
      <c r="AL171" s="499">
        <f t="shared" si="179"/>
        <v>5.37</v>
      </c>
      <c r="AM171" s="499">
        <f t="shared" si="179"/>
        <v>-0.19</v>
      </c>
      <c r="AN171" s="500">
        <f t="shared" si="179"/>
        <v>5.18</v>
      </c>
      <c r="AO171" s="497">
        <f t="shared" si="179"/>
        <v>28019199</v>
      </c>
      <c r="AP171" s="498">
        <f t="shared" si="179"/>
        <v>20142500</v>
      </c>
      <c r="AQ171" s="498">
        <f t="shared" si="179"/>
        <v>172544</v>
      </c>
      <c r="AR171" s="498">
        <f t="shared" si="179"/>
        <v>6866483</v>
      </c>
      <c r="AS171" s="498">
        <f t="shared" si="179"/>
        <v>402852</v>
      </c>
      <c r="AT171" s="498">
        <f t="shared" si="179"/>
        <v>434820</v>
      </c>
      <c r="AU171" s="499">
        <f t="shared" si="179"/>
        <v>40.968199999999996</v>
      </c>
      <c r="AV171" s="499">
        <f t="shared" si="179"/>
        <v>29.591799999999999</v>
      </c>
      <c r="AW171" s="500">
        <f t="shared" si="179"/>
        <v>11.376399999999999</v>
      </c>
      <c r="AX171" s="994"/>
      <c r="AY171" s="995"/>
    </row>
    <row r="172" spans="1:51" s="183" customFormat="1" ht="12.95" customHeight="1" x14ac:dyDescent="0.25">
      <c r="D172" s="898"/>
      <c r="E172" s="899"/>
      <c r="F172" s="898"/>
      <c r="G172" s="900"/>
      <c r="H172" s="913">
        <v>3122</v>
      </c>
      <c r="I172" s="579">
        <f t="shared" ref="I172:AW172" si="180">SUMIF($F$12:$F$386,"=3122",I$12:I$386)</f>
        <v>8132482</v>
      </c>
      <c r="J172" s="498">
        <f t="shared" si="180"/>
        <v>5920826</v>
      </c>
      <c r="K172" s="498">
        <f t="shared" si="180"/>
        <v>2001239</v>
      </c>
      <c r="L172" s="498">
        <f t="shared" si="180"/>
        <v>118417</v>
      </c>
      <c r="M172" s="498">
        <f t="shared" si="180"/>
        <v>92000</v>
      </c>
      <c r="N172" s="914">
        <f t="shared" si="180"/>
        <v>10.152899999999999</v>
      </c>
      <c r="O172" s="499">
        <f t="shared" si="180"/>
        <v>8.8300999999999998</v>
      </c>
      <c r="P172" s="529">
        <f t="shared" si="180"/>
        <v>1.3228</v>
      </c>
      <c r="Q172" s="579">
        <f t="shared" si="180"/>
        <v>-128000</v>
      </c>
      <c r="R172" s="498">
        <f t="shared" si="180"/>
        <v>0</v>
      </c>
      <c r="S172" s="498">
        <f t="shared" si="180"/>
        <v>0</v>
      </c>
      <c r="T172" s="498">
        <f t="shared" si="180"/>
        <v>0</v>
      </c>
      <c r="U172" s="498">
        <f t="shared" si="180"/>
        <v>-128000</v>
      </c>
      <c r="V172" s="498">
        <f t="shared" si="180"/>
        <v>128000</v>
      </c>
      <c r="W172" s="498">
        <f t="shared" si="180"/>
        <v>58080</v>
      </c>
      <c r="X172" s="498">
        <f t="shared" si="180"/>
        <v>0</v>
      </c>
      <c r="Y172" s="498">
        <f t="shared" si="180"/>
        <v>186080</v>
      </c>
      <c r="Z172" s="498">
        <f t="shared" si="180"/>
        <v>58080</v>
      </c>
      <c r="AA172" s="498">
        <f t="shared" si="180"/>
        <v>19631</v>
      </c>
      <c r="AB172" s="498">
        <f t="shared" si="180"/>
        <v>-2560</v>
      </c>
      <c r="AC172" s="498">
        <f t="shared" si="180"/>
        <v>0</v>
      </c>
      <c r="AD172" s="498">
        <f t="shared" si="180"/>
        <v>0</v>
      </c>
      <c r="AE172" s="498">
        <f t="shared" si="180"/>
        <v>0</v>
      </c>
      <c r="AF172" s="498">
        <f t="shared" si="180"/>
        <v>75151</v>
      </c>
      <c r="AG172" s="499">
        <f t="shared" si="180"/>
        <v>-0.1</v>
      </c>
      <c r="AH172" s="499">
        <f t="shared" si="180"/>
        <v>0</v>
      </c>
      <c r="AI172" s="499">
        <f t="shared" si="180"/>
        <v>0</v>
      </c>
      <c r="AJ172" s="499">
        <f t="shared" si="180"/>
        <v>0</v>
      </c>
      <c r="AK172" s="499">
        <f t="shared" si="180"/>
        <v>0</v>
      </c>
      <c r="AL172" s="499">
        <f t="shared" si="180"/>
        <v>-0.1</v>
      </c>
      <c r="AM172" s="499">
        <f t="shared" si="180"/>
        <v>0</v>
      </c>
      <c r="AN172" s="500">
        <f t="shared" si="180"/>
        <v>-0.1</v>
      </c>
      <c r="AO172" s="497">
        <f t="shared" si="180"/>
        <v>8207633</v>
      </c>
      <c r="AP172" s="498">
        <f t="shared" si="180"/>
        <v>5792826</v>
      </c>
      <c r="AQ172" s="498">
        <f t="shared" si="180"/>
        <v>186080</v>
      </c>
      <c r="AR172" s="498">
        <f t="shared" si="180"/>
        <v>2020870</v>
      </c>
      <c r="AS172" s="498">
        <f t="shared" si="180"/>
        <v>115857</v>
      </c>
      <c r="AT172" s="498">
        <f t="shared" si="180"/>
        <v>92000</v>
      </c>
      <c r="AU172" s="499">
        <f t="shared" si="180"/>
        <v>10.052899999999999</v>
      </c>
      <c r="AV172" s="499">
        <f t="shared" si="180"/>
        <v>8.7301000000000002</v>
      </c>
      <c r="AW172" s="500">
        <f t="shared" si="180"/>
        <v>1.3228</v>
      </c>
      <c r="AX172" s="994"/>
      <c r="AY172" s="995"/>
    </row>
    <row r="173" spans="1:51" s="183" customFormat="1" ht="12.95" customHeight="1" x14ac:dyDescent="0.25">
      <c r="D173" s="898"/>
      <c r="E173" s="899"/>
      <c r="F173" s="898"/>
      <c r="G173" s="900"/>
      <c r="H173" s="913">
        <v>3124</v>
      </c>
      <c r="I173" s="579">
        <f t="shared" ref="I173:AW173" si="181">SUMIF($F$12:$F$386,"=3124",I$12:I$386)</f>
        <v>0</v>
      </c>
      <c r="J173" s="498">
        <f t="shared" si="181"/>
        <v>0</v>
      </c>
      <c r="K173" s="498">
        <f t="shared" si="181"/>
        <v>0</v>
      </c>
      <c r="L173" s="498">
        <f t="shared" si="181"/>
        <v>0</v>
      </c>
      <c r="M173" s="498">
        <f t="shared" si="181"/>
        <v>0</v>
      </c>
      <c r="N173" s="914">
        <f t="shared" si="181"/>
        <v>0</v>
      </c>
      <c r="O173" s="499">
        <f t="shared" si="181"/>
        <v>0</v>
      </c>
      <c r="P173" s="529">
        <f t="shared" si="181"/>
        <v>0</v>
      </c>
      <c r="Q173" s="579">
        <f t="shared" si="181"/>
        <v>0</v>
      </c>
      <c r="R173" s="498">
        <f t="shared" si="181"/>
        <v>0</v>
      </c>
      <c r="S173" s="498">
        <f t="shared" si="181"/>
        <v>0</v>
      </c>
      <c r="T173" s="498">
        <f t="shared" si="181"/>
        <v>0</v>
      </c>
      <c r="U173" s="498">
        <f t="shared" si="181"/>
        <v>0</v>
      </c>
      <c r="V173" s="498">
        <f t="shared" si="181"/>
        <v>0</v>
      </c>
      <c r="W173" s="498">
        <f t="shared" si="181"/>
        <v>0</v>
      </c>
      <c r="X173" s="498">
        <f t="shared" si="181"/>
        <v>0</v>
      </c>
      <c r="Y173" s="498">
        <f t="shared" si="181"/>
        <v>0</v>
      </c>
      <c r="Z173" s="498">
        <f t="shared" si="181"/>
        <v>0</v>
      </c>
      <c r="AA173" s="498">
        <f t="shared" si="181"/>
        <v>0</v>
      </c>
      <c r="AB173" s="498">
        <f t="shared" si="181"/>
        <v>0</v>
      </c>
      <c r="AC173" s="498">
        <f t="shared" si="181"/>
        <v>0</v>
      </c>
      <c r="AD173" s="498">
        <f t="shared" si="181"/>
        <v>0</v>
      </c>
      <c r="AE173" s="498">
        <f t="shared" si="181"/>
        <v>0</v>
      </c>
      <c r="AF173" s="498">
        <f t="shared" si="181"/>
        <v>0</v>
      </c>
      <c r="AG173" s="499">
        <f t="shared" si="181"/>
        <v>0</v>
      </c>
      <c r="AH173" s="499">
        <f t="shared" si="181"/>
        <v>0</v>
      </c>
      <c r="AI173" s="499">
        <f t="shared" si="181"/>
        <v>0</v>
      </c>
      <c r="AJ173" s="499">
        <f t="shared" si="181"/>
        <v>0</v>
      </c>
      <c r="AK173" s="499">
        <f t="shared" si="181"/>
        <v>0</v>
      </c>
      <c r="AL173" s="499">
        <f t="shared" si="181"/>
        <v>0</v>
      </c>
      <c r="AM173" s="499">
        <f t="shared" si="181"/>
        <v>0</v>
      </c>
      <c r="AN173" s="500">
        <f t="shared" si="181"/>
        <v>0</v>
      </c>
      <c r="AO173" s="497">
        <f t="shared" si="181"/>
        <v>0</v>
      </c>
      <c r="AP173" s="498">
        <f t="shared" si="181"/>
        <v>0</v>
      </c>
      <c r="AQ173" s="498">
        <f t="shared" si="181"/>
        <v>0</v>
      </c>
      <c r="AR173" s="498">
        <f t="shared" si="181"/>
        <v>0</v>
      </c>
      <c r="AS173" s="498">
        <f t="shared" si="181"/>
        <v>0</v>
      </c>
      <c r="AT173" s="498">
        <f t="shared" si="181"/>
        <v>0</v>
      </c>
      <c r="AU173" s="499">
        <f t="shared" si="181"/>
        <v>0</v>
      </c>
      <c r="AV173" s="499">
        <f t="shared" si="181"/>
        <v>0</v>
      </c>
      <c r="AW173" s="500">
        <f t="shared" si="181"/>
        <v>0</v>
      </c>
      <c r="AX173" s="994"/>
      <c r="AY173" s="995"/>
    </row>
    <row r="174" spans="1:51" s="183" customFormat="1" ht="12.95" customHeight="1" x14ac:dyDescent="0.25">
      <c r="D174" s="898"/>
      <c r="E174" s="899"/>
      <c r="F174" s="898"/>
      <c r="G174" s="900"/>
      <c r="H174" s="913">
        <v>3141</v>
      </c>
      <c r="I174" s="579">
        <f t="shared" ref="I174:AW174" si="182">SUMIF($F$12:$F$430,"=3141",I$12:I$430)</f>
        <v>25457170</v>
      </c>
      <c r="J174" s="498">
        <f t="shared" si="182"/>
        <v>18618443</v>
      </c>
      <c r="K174" s="498">
        <f t="shared" si="182"/>
        <v>6293035</v>
      </c>
      <c r="L174" s="498">
        <f t="shared" si="182"/>
        <v>372368</v>
      </c>
      <c r="M174" s="498">
        <f t="shared" si="182"/>
        <v>173324</v>
      </c>
      <c r="N174" s="914">
        <f t="shared" si="182"/>
        <v>63.319999999999993</v>
      </c>
      <c r="O174" s="499">
        <f t="shared" si="182"/>
        <v>0</v>
      </c>
      <c r="P174" s="529">
        <f t="shared" si="182"/>
        <v>63.319999999999993</v>
      </c>
      <c r="Q174" s="579">
        <f t="shared" si="182"/>
        <v>-74400</v>
      </c>
      <c r="R174" s="498">
        <f t="shared" si="182"/>
        <v>0</v>
      </c>
      <c r="S174" s="498">
        <f t="shared" si="182"/>
        <v>0</v>
      </c>
      <c r="T174" s="498">
        <f t="shared" si="182"/>
        <v>0</v>
      </c>
      <c r="U174" s="498">
        <f t="shared" si="182"/>
        <v>-74400</v>
      </c>
      <c r="V174" s="498">
        <f t="shared" si="182"/>
        <v>74400</v>
      </c>
      <c r="W174" s="498">
        <f t="shared" si="182"/>
        <v>0</v>
      </c>
      <c r="X174" s="498">
        <f t="shared" si="182"/>
        <v>0</v>
      </c>
      <c r="Y174" s="498">
        <f t="shared" si="182"/>
        <v>74400</v>
      </c>
      <c r="Z174" s="498">
        <f t="shared" si="182"/>
        <v>0</v>
      </c>
      <c r="AA174" s="498">
        <f t="shared" si="182"/>
        <v>0</v>
      </c>
      <c r="AB174" s="498">
        <f t="shared" si="182"/>
        <v>-1488</v>
      </c>
      <c r="AC174" s="498">
        <f t="shared" si="182"/>
        <v>0</v>
      </c>
      <c r="AD174" s="498">
        <f t="shared" si="182"/>
        <v>0</v>
      </c>
      <c r="AE174" s="498">
        <f t="shared" si="182"/>
        <v>0</v>
      </c>
      <c r="AF174" s="498">
        <f t="shared" si="182"/>
        <v>-1488</v>
      </c>
      <c r="AG174" s="499">
        <f t="shared" si="182"/>
        <v>0</v>
      </c>
      <c r="AH174" s="499">
        <f t="shared" si="182"/>
        <v>-6.9999999999999993E-2</v>
      </c>
      <c r="AI174" s="499">
        <f t="shared" si="182"/>
        <v>0</v>
      </c>
      <c r="AJ174" s="499">
        <f t="shared" si="182"/>
        <v>0</v>
      </c>
      <c r="AK174" s="499">
        <f t="shared" si="182"/>
        <v>0</v>
      </c>
      <c r="AL174" s="499">
        <f t="shared" si="182"/>
        <v>0</v>
      </c>
      <c r="AM174" s="499">
        <f t="shared" si="182"/>
        <v>-6.9999999999999993E-2</v>
      </c>
      <c r="AN174" s="500">
        <f t="shared" si="182"/>
        <v>-6.9999999999999993E-2</v>
      </c>
      <c r="AO174" s="497">
        <f t="shared" si="182"/>
        <v>25455682</v>
      </c>
      <c r="AP174" s="498">
        <f t="shared" si="182"/>
        <v>18544043</v>
      </c>
      <c r="AQ174" s="498">
        <f t="shared" si="182"/>
        <v>74400</v>
      </c>
      <c r="AR174" s="498">
        <f t="shared" si="182"/>
        <v>6293035</v>
      </c>
      <c r="AS174" s="498">
        <f t="shared" si="182"/>
        <v>370880</v>
      </c>
      <c r="AT174" s="498">
        <f t="shared" si="182"/>
        <v>173324</v>
      </c>
      <c r="AU174" s="499">
        <f t="shared" si="182"/>
        <v>63.25</v>
      </c>
      <c r="AV174" s="499">
        <f t="shared" si="182"/>
        <v>0</v>
      </c>
      <c r="AW174" s="500">
        <f t="shared" si="182"/>
        <v>63.25</v>
      </c>
      <c r="AX174" s="994"/>
      <c r="AY174" s="995"/>
    </row>
    <row r="175" spans="1:51" s="183" customFormat="1" ht="12.95" customHeight="1" x14ac:dyDescent="0.25">
      <c r="D175" s="898"/>
      <c r="E175" s="899"/>
      <c r="F175" s="898"/>
      <c r="G175" s="900"/>
      <c r="H175" s="913">
        <v>3143</v>
      </c>
      <c r="I175" s="579">
        <f t="shared" ref="I175:AW175" si="183">SUMIF($F$12:$F$430,"=3143",I$12:I$430)</f>
        <v>13695865</v>
      </c>
      <c r="J175" s="498">
        <f t="shared" si="183"/>
        <v>10071268</v>
      </c>
      <c r="K175" s="498">
        <f t="shared" si="183"/>
        <v>3404087</v>
      </c>
      <c r="L175" s="498">
        <f t="shared" si="183"/>
        <v>201430</v>
      </c>
      <c r="M175" s="498">
        <f t="shared" si="183"/>
        <v>19080</v>
      </c>
      <c r="N175" s="914">
        <f t="shared" si="183"/>
        <v>22.632299999999997</v>
      </c>
      <c r="O175" s="499">
        <f t="shared" si="183"/>
        <v>21.312299999999993</v>
      </c>
      <c r="P175" s="529">
        <f t="shared" si="183"/>
        <v>1.3200000000000003</v>
      </c>
      <c r="Q175" s="579">
        <f t="shared" si="183"/>
        <v>-142560</v>
      </c>
      <c r="R175" s="498">
        <f t="shared" si="183"/>
        <v>0</v>
      </c>
      <c r="S175" s="498">
        <f t="shared" si="183"/>
        <v>0</v>
      </c>
      <c r="T175" s="498">
        <f t="shared" si="183"/>
        <v>0</v>
      </c>
      <c r="U175" s="498">
        <f t="shared" si="183"/>
        <v>-142560</v>
      </c>
      <c r="V175" s="498">
        <f t="shared" si="183"/>
        <v>142560</v>
      </c>
      <c r="W175" s="498">
        <f t="shared" si="183"/>
        <v>72800</v>
      </c>
      <c r="X175" s="498">
        <f t="shared" si="183"/>
        <v>0</v>
      </c>
      <c r="Y175" s="498">
        <f t="shared" si="183"/>
        <v>215360</v>
      </c>
      <c r="Z175" s="498">
        <f t="shared" si="183"/>
        <v>72800</v>
      </c>
      <c r="AA175" s="498">
        <f t="shared" si="183"/>
        <v>24606</v>
      </c>
      <c r="AB175" s="498">
        <f t="shared" si="183"/>
        <v>-2851</v>
      </c>
      <c r="AC175" s="498">
        <f t="shared" si="183"/>
        <v>0</v>
      </c>
      <c r="AD175" s="498">
        <f t="shared" si="183"/>
        <v>0</v>
      </c>
      <c r="AE175" s="498">
        <f t="shared" si="183"/>
        <v>0</v>
      </c>
      <c r="AF175" s="498">
        <f t="shared" si="183"/>
        <v>94555</v>
      </c>
      <c r="AG175" s="499">
        <f t="shared" si="183"/>
        <v>-0.12</v>
      </c>
      <c r="AH175" s="499">
        <f t="shared" si="183"/>
        <v>0</v>
      </c>
      <c r="AI175" s="499">
        <f t="shared" si="183"/>
        <v>0</v>
      </c>
      <c r="AJ175" s="499">
        <f t="shared" si="183"/>
        <v>0</v>
      </c>
      <c r="AK175" s="499">
        <f t="shared" si="183"/>
        <v>0</v>
      </c>
      <c r="AL175" s="499">
        <f t="shared" si="183"/>
        <v>-0.12</v>
      </c>
      <c r="AM175" s="499">
        <f t="shared" si="183"/>
        <v>0</v>
      </c>
      <c r="AN175" s="500">
        <f t="shared" si="183"/>
        <v>-0.12</v>
      </c>
      <c r="AO175" s="497">
        <f t="shared" si="183"/>
        <v>13790420</v>
      </c>
      <c r="AP175" s="498">
        <f t="shared" si="183"/>
        <v>9928708</v>
      </c>
      <c r="AQ175" s="498">
        <f t="shared" si="183"/>
        <v>215360</v>
      </c>
      <c r="AR175" s="498">
        <f t="shared" si="183"/>
        <v>3428693</v>
      </c>
      <c r="AS175" s="498">
        <f t="shared" si="183"/>
        <v>198579</v>
      </c>
      <c r="AT175" s="498">
        <f t="shared" si="183"/>
        <v>19080</v>
      </c>
      <c r="AU175" s="499">
        <f t="shared" si="183"/>
        <v>22.5123</v>
      </c>
      <c r="AV175" s="499">
        <f t="shared" si="183"/>
        <v>21.192299999999996</v>
      </c>
      <c r="AW175" s="500">
        <f t="shared" si="183"/>
        <v>1.3200000000000003</v>
      </c>
      <c r="AX175" s="994"/>
      <c r="AY175" s="995"/>
    </row>
    <row r="176" spans="1:51" s="183" customFormat="1" ht="12.95" customHeight="1" x14ac:dyDescent="0.25">
      <c r="D176" s="898"/>
      <c r="E176" s="899"/>
      <c r="F176" s="898"/>
      <c r="G176" s="900"/>
      <c r="H176" s="913">
        <v>3231</v>
      </c>
      <c r="I176" s="579">
        <f t="shared" ref="I176:AW176" si="184">SUMIF($F$12:$F$430,"=3231",I$12:I$430)</f>
        <v>29170939</v>
      </c>
      <c r="J176" s="498">
        <f t="shared" si="184"/>
        <v>21404296</v>
      </c>
      <c r="K176" s="498">
        <f t="shared" si="184"/>
        <v>7234652</v>
      </c>
      <c r="L176" s="498">
        <f t="shared" si="184"/>
        <v>428086</v>
      </c>
      <c r="M176" s="498">
        <f t="shared" si="184"/>
        <v>103905</v>
      </c>
      <c r="N176" s="914">
        <f t="shared" si="184"/>
        <v>41.530299999999997</v>
      </c>
      <c r="O176" s="499">
        <f t="shared" si="184"/>
        <v>36.722200000000001</v>
      </c>
      <c r="P176" s="529">
        <f t="shared" si="184"/>
        <v>4.8080999999999996</v>
      </c>
      <c r="Q176" s="579">
        <f t="shared" si="184"/>
        <v>-48000</v>
      </c>
      <c r="R176" s="498">
        <f t="shared" si="184"/>
        <v>86611</v>
      </c>
      <c r="S176" s="498">
        <f t="shared" si="184"/>
        <v>0</v>
      </c>
      <c r="T176" s="498">
        <f t="shared" si="184"/>
        <v>0</v>
      </c>
      <c r="U176" s="498">
        <f t="shared" si="184"/>
        <v>38611</v>
      </c>
      <c r="V176" s="498">
        <f t="shared" si="184"/>
        <v>48000</v>
      </c>
      <c r="W176" s="498">
        <f t="shared" si="184"/>
        <v>0</v>
      </c>
      <c r="X176" s="498">
        <f t="shared" si="184"/>
        <v>0</v>
      </c>
      <c r="Y176" s="498">
        <f t="shared" si="184"/>
        <v>48000</v>
      </c>
      <c r="Z176" s="498">
        <f t="shared" si="184"/>
        <v>86611</v>
      </c>
      <c r="AA176" s="498">
        <f t="shared" si="184"/>
        <v>29275</v>
      </c>
      <c r="AB176" s="498">
        <f t="shared" si="184"/>
        <v>772</v>
      </c>
      <c r="AC176" s="498">
        <f t="shared" si="184"/>
        <v>0</v>
      </c>
      <c r="AD176" s="498">
        <f t="shared" si="184"/>
        <v>0</v>
      </c>
      <c r="AE176" s="498">
        <f t="shared" si="184"/>
        <v>0</v>
      </c>
      <c r="AF176" s="498">
        <f t="shared" si="184"/>
        <v>116658</v>
      </c>
      <c r="AG176" s="499">
        <f t="shared" si="184"/>
        <v>-0.06</v>
      </c>
      <c r="AH176" s="499">
        <f t="shared" si="184"/>
        <v>-0.05</v>
      </c>
      <c r="AI176" s="499">
        <f t="shared" si="184"/>
        <v>0.25</v>
      </c>
      <c r="AJ176" s="499">
        <f t="shared" si="184"/>
        <v>0</v>
      </c>
      <c r="AK176" s="499">
        <f t="shared" si="184"/>
        <v>0</v>
      </c>
      <c r="AL176" s="499">
        <f t="shared" si="184"/>
        <v>0.19</v>
      </c>
      <c r="AM176" s="499">
        <f t="shared" si="184"/>
        <v>-0.05</v>
      </c>
      <c r="AN176" s="500">
        <f t="shared" si="184"/>
        <v>0.14000000000000001</v>
      </c>
      <c r="AO176" s="497">
        <f t="shared" si="184"/>
        <v>29287597</v>
      </c>
      <c r="AP176" s="498">
        <f t="shared" si="184"/>
        <v>21442907</v>
      </c>
      <c r="AQ176" s="498">
        <f t="shared" si="184"/>
        <v>48000</v>
      </c>
      <c r="AR176" s="498">
        <f t="shared" si="184"/>
        <v>7263927</v>
      </c>
      <c r="AS176" s="498">
        <f t="shared" si="184"/>
        <v>428858</v>
      </c>
      <c r="AT176" s="498">
        <f t="shared" si="184"/>
        <v>103905</v>
      </c>
      <c r="AU176" s="499">
        <f t="shared" si="184"/>
        <v>41.670299999999997</v>
      </c>
      <c r="AV176" s="499">
        <f t="shared" si="184"/>
        <v>36.912199999999999</v>
      </c>
      <c r="AW176" s="500">
        <f t="shared" si="184"/>
        <v>4.7581000000000007</v>
      </c>
      <c r="AX176" s="994"/>
      <c r="AY176" s="995"/>
    </row>
    <row r="177" spans="1:51" s="183" customFormat="1" ht="12.95" customHeight="1" thickBot="1" x14ac:dyDescent="0.3">
      <c r="D177" s="898"/>
      <c r="E177" s="899"/>
      <c r="F177" s="898"/>
      <c r="G177" s="900"/>
      <c r="H177" s="917">
        <v>3233</v>
      </c>
      <c r="I177" s="918">
        <f t="shared" ref="I177:AW177" si="185">SUMIF($F$12:$F$430,"=3233",I$12:I$430)</f>
        <v>5833773</v>
      </c>
      <c r="J177" s="919">
        <f t="shared" si="185"/>
        <v>4258655</v>
      </c>
      <c r="K177" s="919">
        <f t="shared" si="185"/>
        <v>1439425</v>
      </c>
      <c r="L177" s="919">
        <f t="shared" si="185"/>
        <v>85173</v>
      </c>
      <c r="M177" s="919">
        <f t="shared" si="185"/>
        <v>50520</v>
      </c>
      <c r="N177" s="922">
        <f t="shared" si="185"/>
        <v>9.69</v>
      </c>
      <c r="O177" s="920">
        <f t="shared" si="185"/>
        <v>6.55</v>
      </c>
      <c r="P177" s="1036">
        <f t="shared" si="185"/>
        <v>3.1399999999999997</v>
      </c>
      <c r="Q177" s="918">
        <f t="shared" si="185"/>
        <v>-24000</v>
      </c>
      <c r="R177" s="919">
        <f t="shared" si="185"/>
        <v>0</v>
      </c>
      <c r="S177" s="919">
        <f t="shared" si="185"/>
        <v>0</v>
      </c>
      <c r="T177" s="919">
        <f t="shared" si="185"/>
        <v>0</v>
      </c>
      <c r="U177" s="919">
        <f t="shared" si="185"/>
        <v>-24000</v>
      </c>
      <c r="V177" s="919">
        <f t="shared" si="185"/>
        <v>24000</v>
      </c>
      <c r="W177" s="919">
        <f t="shared" si="185"/>
        <v>0</v>
      </c>
      <c r="X177" s="919">
        <f t="shared" si="185"/>
        <v>0</v>
      </c>
      <c r="Y177" s="919">
        <f t="shared" si="185"/>
        <v>24000</v>
      </c>
      <c r="Z177" s="919">
        <f t="shared" si="185"/>
        <v>0</v>
      </c>
      <c r="AA177" s="919">
        <f t="shared" si="185"/>
        <v>0</v>
      </c>
      <c r="AB177" s="919">
        <f t="shared" si="185"/>
        <v>-480</v>
      </c>
      <c r="AC177" s="919">
        <f t="shared" si="185"/>
        <v>0</v>
      </c>
      <c r="AD177" s="919">
        <f t="shared" si="185"/>
        <v>0</v>
      </c>
      <c r="AE177" s="919">
        <f t="shared" si="185"/>
        <v>0</v>
      </c>
      <c r="AF177" s="919">
        <f t="shared" si="185"/>
        <v>-480</v>
      </c>
      <c r="AG177" s="920">
        <f t="shared" si="185"/>
        <v>-0.02</v>
      </c>
      <c r="AH177" s="920">
        <f t="shared" si="185"/>
        <v>-0.04</v>
      </c>
      <c r="AI177" s="920">
        <f t="shared" si="185"/>
        <v>0</v>
      </c>
      <c r="AJ177" s="920">
        <f t="shared" si="185"/>
        <v>0</v>
      </c>
      <c r="AK177" s="920">
        <f t="shared" si="185"/>
        <v>0</v>
      </c>
      <c r="AL177" s="920">
        <f t="shared" si="185"/>
        <v>-0.02</v>
      </c>
      <c r="AM177" s="920">
        <f t="shared" si="185"/>
        <v>-0.04</v>
      </c>
      <c r="AN177" s="996">
        <f t="shared" si="185"/>
        <v>-0.06</v>
      </c>
      <c r="AO177" s="921">
        <f t="shared" si="185"/>
        <v>5833293</v>
      </c>
      <c r="AP177" s="919">
        <f t="shared" si="185"/>
        <v>4234655</v>
      </c>
      <c r="AQ177" s="919">
        <f t="shared" si="185"/>
        <v>24000</v>
      </c>
      <c r="AR177" s="919">
        <f t="shared" si="185"/>
        <v>1439425</v>
      </c>
      <c r="AS177" s="919">
        <f t="shared" si="185"/>
        <v>84693</v>
      </c>
      <c r="AT177" s="919">
        <f t="shared" si="185"/>
        <v>50520</v>
      </c>
      <c r="AU177" s="920">
        <f t="shared" si="185"/>
        <v>9.629999999999999</v>
      </c>
      <c r="AV177" s="920">
        <f t="shared" si="185"/>
        <v>6.5299999999999994</v>
      </c>
      <c r="AW177" s="996">
        <f t="shared" si="185"/>
        <v>3.0999999999999996</v>
      </c>
      <c r="AX177" s="994"/>
      <c r="AY177" s="995"/>
    </row>
    <row r="179" spans="1:51" s="925" customFormat="1" x14ac:dyDescent="0.25">
      <c r="A179" s="877"/>
      <c r="B179" s="751"/>
      <c r="C179" s="989"/>
      <c r="D179" s="751"/>
      <c r="E179" s="751"/>
      <c r="F179" s="751"/>
      <c r="G179" s="751"/>
      <c r="H179" s="751"/>
      <c r="J179" s="751"/>
      <c r="K179" s="751"/>
      <c r="L179" s="751"/>
      <c r="M179" s="751"/>
      <c r="N179" s="926"/>
      <c r="O179" s="926"/>
      <c r="P179" s="926"/>
      <c r="AG179" s="926"/>
      <c r="AH179" s="926"/>
      <c r="AI179" s="926"/>
      <c r="AJ179" s="926"/>
      <c r="AK179" s="926"/>
      <c r="AL179" s="926"/>
      <c r="AM179" s="926"/>
      <c r="AN179" s="926"/>
      <c r="AU179" s="926"/>
      <c r="AV179" s="926"/>
      <c r="AW179" s="926"/>
      <c r="AX179" s="927"/>
      <c r="AY179" s="927"/>
    </row>
    <row r="181" spans="1:51" x14ac:dyDescent="0.25">
      <c r="N181" s="751"/>
      <c r="O181" s="751"/>
      <c r="P181" s="751"/>
      <c r="Q181" s="751"/>
    </row>
    <row r="182" spans="1:51" x14ac:dyDescent="0.25">
      <c r="N182" s="751"/>
      <c r="O182" s="751"/>
      <c r="P182" s="751"/>
      <c r="Q182" s="751"/>
    </row>
    <row r="183" spans="1:51" x14ac:dyDescent="0.25">
      <c r="N183" s="751"/>
      <c r="O183" s="751"/>
      <c r="P183" s="751"/>
    </row>
    <row r="184" spans="1:51" x14ac:dyDescent="0.25">
      <c r="N184" s="751"/>
      <c r="O184" s="751"/>
      <c r="P184" s="751"/>
    </row>
  </sheetData>
  <mergeCells count="24">
    <mergeCell ref="AV8:AW9"/>
    <mergeCell ref="A3:E3"/>
    <mergeCell ref="AO6:AW7"/>
    <mergeCell ref="Z7:Z10"/>
    <mergeCell ref="AB7:AB10"/>
    <mergeCell ref="AC7:AE9"/>
    <mergeCell ref="AF7:AF10"/>
    <mergeCell ref="AG7:AN7"/>
    <mergeCell ref="AG8:AH9"/>
    <mergeCell ref="AI8:AI9"/>
    <mergeCell ref="AJ8:AK9"/>
    <mergeCell ref="AL8:AN9"/>
    <mergeCell ref="AO8:AO10"/>
    <mergeCell ref="AU8:AU10"/>
    <mergeCell ref="AP8:AT9"/>
    <mergeCell ref="I8:I10"/>
    <mergeCell ref="AA7:AA10"/>
    <mergeCell ref="I6:P7"/>
    <mergeCell ref="Q6:AN6"/>
    <mergeCell ref="Q7:U9"/>
    <mergeCell ref="V7:Y9"/>
    <mergeCell ref="J8:M9"/>
    <mergeCell ref="N8:N10"/>
    <mergeCell ref="O8:P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W251"/>
  <sheetViews>
    <sheetView workbookViewId="0">
      <pane xSplit="8" ySplit="11" topLeftCell="AJ12" activePane="bottomRight" state="frozen"/>
      <selection activeCell="AU1" sqref="AU1:AW1048576"/>
      <selection pane="topRight" activeCell="AU1" sqref="AU1:AW1048576"/>
      <selection pane="bottomLeft" activeCell="AU1" sqref="AU1:AW1048576"/>
      <selection pane="bottomRight" activeCell="AP15" sqref="AP15"/>
    </sheetView>
  </sheetViews>
  <sheetFormatPr defaultColWidth="9.140625" defaultRowHeight="15" x14ac:dyDescent="0.25"/>
  <cols>
    <col min="1" max="1" width="5" style="877" customWidth="1"/>
    <col min="2" max="2" width="6.140625" style="751" bestFit="1" customWidth="1"/>
    <col min="3" max="3" width="8.7109375" style="1037" bestFit="1" customWidth="1"/>
    <col min="4" max="4" width="7.85546875" style="751" bestFit="1" customWidth="1"/>
    <col min="5" max="5" width="27.85546875" style="751" customWidth="1"/>
    <col min="6" max="6" width="4.85546875" style="751" customWidth="1"/>
    <col min="7" max="7" width="10.28515625" style="751" bestFit="1" customWidth="1"/>
    <col min="8" max="8" width="8.7109375" style="751" customWidth="1"/>
    <col min="9" max="9" width="10.7109375" style="751" customWidth="1"/>
    <col min="10" max="10" width="12" style="751" customWidth="1"/>
    <col min="11" max="13" width="10.7109375" style="751" customWidth="1"/>
    <col min="14" max="14" width="11.7109375" style="926" customWidth="1"/>
    <col min="15" max="16" width="10.7109375" style="926" customWidth="1"/>
    <col min="17" max="17" width="10.7109375" style="925" customWidth="1"/>
    <col min="18" max="32" width="10.7109375" style="751" customWidth="1"/>
    <col min="33" max="40" width="10.7109375" style="926" customWidth="1"/>
    <col min="41" max="46" width="10.7109375" style="751" customWidth="1"/>
    <col min="47" max="47" width="11.7109375" style="926" customWidth="1"/>
    <col min="48" max="49" width="10.7109375" style="926" customWidth="1"/>
    <col min="50" max="50" width="9.140625" style="751" customWidth="1"/>
    <col min="51" max="16384" width="9.140625" style="751"/>
  </cols>
  <sheetData>
    <row r="1" spans="1:49" ht="12" customHeight="1" x14ac:dyDescent="0.25">
      <c r="A1" s="742" t="s">
        <v>2</v>
      </c>
      <c r="B1" s="742"/>
      <c r="C1" s="743"/>
      <c r="D1" s="742"/>
      <c r="E1" s="742"/>
      <c r="F1" s="744"/>
      <c r="G1" s="744"/>
      <c r="H1" s="744"/>
      <c r="I1" s="745"/>
      <c r="J1" s="746"/>
      <c r="K1" s="746"/>
      <c r="L1" s="746"/>
      <c r="M1" s="746"/>
      <c r="N1" s="747"/>
      <c r="O1" s="748"/>
      <c r="P1" s="748"/>
      <c r="Q1" s="748"/>
      <c r="R1" s="745"/>
      <c r="S1" s="745"/>
      <c r="T1" s="749"/>
      <c r="U1" s="749"/>
      <c r="V1" s="749"/>
      <c r="W1" s="749"/>
      <c r="X1" s="749"/>
      <c r="Y1" s="749"/>
      <c r="Z1" s="749"/>
      <c r="AA1" s="749"/>
      <c r="AB1" s="749"/>
      <c r="AC1" s="749"/>
      <c r="AD1" s="749"/>
      <c r="AE1" s="749"/>
      <c r="AF1" s="749"/>
      <c r="AG1" s="750"/>
      <c r="AH1" s="750"/>
      <c r="AI1" s="750"/>
      <c r="AJ1" s="747"/>
      <c r="AK1" s="747"/>
      <c r="AL1" s="747"/>
      <c r="AM1" s="747"/>
      <c r="AN1" s="747"/>
      <c r="AO1" s="745"/>
      <c r="AP1" s="745"/>
      <c r="AQ1" s="745"/>
      <c r="AR1" s="745"/>
      <c r="AS1" s="745"/>
      <c r="AT1" s="747"/>
      <c r="AU1" s="747"/>
      <c r="AV1" s="747"/>
      <c r="AW1" s="747"/>
    </row>
    <row r="2" spans="1:49" ht="12" customHeight="1" x14ac:dyDescent="0.25">
      <c r="A2" s="742" t="s">
        <v>3</v>
      </c>
      <c r="B2" s="742"/>
      <c r="C2" s="743"/>
      <c r="D2" s="742"/>
      <c r="E2" s="742"/>
      <c r="F2" s="744"/>
      <c r="G2" s="744"/>
      <c r="H2" s="744"/>
      <c r="I2" s="752"/>
      <c r="J2" s="752"/>
      <c r="K2" s="752"/>
      <c r="L2" s="752"/>
      <c r="M2" s="752"/>
      <c r="N2" s="753"/>
      <c r="O2" s="753"/>
      <c r="P2" s="753"/>
      <c r="Q2" s="752"/>
      <c r="R2" s="752"/>
      <c r="S2" s="752"/>
      <c r="T2" s="752"/>
      <c r="U2" s="752"/>
      <c r="V2" s="752"/>
      <c r="W2" s="752"/>
      <c r="X2" s="752"/>
      <c r="Y2" s="752"/>
      <c r="Z2" s="752"/>
      <c r="AA2" s="752"/>
      <c r="AB2" s="752"/>
      <c r="AC2" s="752"/>
      <c r="AD2" s="752"/>
      <c r="AE2" s="752"/>
      <c r="AF2" s="753"/>
      <c r="AG2" s="753"/>
      <c r="AH2" s="753"/>
      <c r="AI2" s="753"/>
      <c r="AJ2" s="753"/>
      <c r="AK2" s="753"/>
      <c r="AL2" s="753"/>
      <c r="AM2" s="753"/>
      <c r="AN2" s="753"/>
      <c r="AO2" s="752"/>
      <c r="AP2" s="752"/>
      <c r="AQ2" s="752"/>
      <c r="AR2" s="752"/>
      <c r="AS2" s="752"/>
      <c r="AT2" s="753"/>
      <c r="AU2" s="753"/>
      <c r="AV2" s="753"/>
      <c r="AW2" s="747"/>
    </row>
    <row r="3" spans="1:49" ht="12" customHeight="1" x14ac:dyDescent="0.25">
      <c r="A3" s="1281" t="s">
        <v>4</v>
      </c>
      <c r="B3" s="1281"/>
      <c r="C3" s="1281"/>
      <c r="D3" s="1281"/>
      <c r="E3" s="1281"/>
      <c r="F3" s="744"/>
      <c r="G3" s="744"/>
      <c r="H3" s="744"/>
      <c r="I3" s="752"/>
      <c r="J3" s="752"/>
      <c r="K3" s="752"/>
      <c r="L3" s="752"/>
      <c r="M3" s="752"/>
      <c r="N3" s="753"/>
      <c r="O3" s="753"/>
      <c r="P3" s="753"/>
      <c r="Q3" s="754"/>
      <c r="R3" s="754"/>
      <c r="S3" s="754"/>
      <c r="T3" s="754"/>
      <c r="U3" s="754"/>
      <c r="V3" s="754"/>
      <c r="W3" s="754"/>
      <c r="X3" s="754"/>
      <c r="Y3" s="755"/>
      <c r="Z3" s="755"/>
      <c r="AA3" s="755"/>
      <c r="AB3" s="756"/>
      <c r="AC3" s="756"/>
      <c r="AD3" s="756"/>
      <c r="AE3" s="755"/>
      <c r="AF3" s="757"/>
      <c r="AG3" s="757"/>
      <c r="AH3" s="757"/>
      <c r="AI3" s="757"/>
      <c r="AJ3" s="757"/>
      <c r="AK3" s="757"/>
      <c r="AL3" s="757"/>
      <c r="AM3" s="757"/>
      <c r="AN3" s="753"/>
      <c r="AO3" s="752"/>
      <c r="AP3" s="752"/>
      <c r="AQ3" s="752"/>
      <c r="AR3" s="752"/>
      <c r="AS3" s="752"/>
      <c r="AT3" s="753"/>
      <c r="AU3" s="753"/>
      <c r="AV3" s="753"/>
      <c r="AW3" s="747"/>
    </row>
    <row r="4" spans="1:49" ht="12" customHeight="1" x14ac:dyDescent="0.25">
      <c r="A4" s="758"/>
      <c r="B4" s="742"/>
      <c r="C4" s="742"/>
      <c r="D4" s="742"/>
      <c r="E4" s="742"/>
      <c r="F4" s="744"/>
      <c r="G4" s="744"/>
      <c r="H4" s="744"/>
      <c r="I4" s="752"/>
      <c r="J4" s="752"/>
      <c r="K4" s="752"/>
      <c r="L4" s="752"/>
      <c r="M4" s="752"/>
      <c r="N4" s="753"/>
      <c r="O4" s="753"/>
      <c r="P4" s="753"/>
      <c r="Q4" s="754"/>
      <c r="R4" s="754"/>
      <c r="S4" s="754"/>
      <c r="T4" s="754"/>
      <c r="U4" s="754"/>
      <c r="V4" s="754"/>
      <c r="W4" s="754"/>
      <c r="X4" s="754"/>
      <c r="Y4" s="755"/>
      <c r="Z4" s="755"/>
      <c r="AA4" s="755"/>
      <c r="AB4" s="756"/>
      <c r="AC4" s="756"/>
      <c r="AD4" s="756"/>
      <c r="AE4" s="755"/>
      <c r="AF4" s="757"/>
      <c r="AG4" s="757"/>
      <c r="AH4" s="757"/>
      <c r="AI4" s="757"/>
      <c r="AJ4" s="757"/>
      <c r="AK4" s="757"/>
      <c r="AL4" s="757"/>
      <c r="AM4" s="757"/>
      <c r="AN4" s="753"/>
      <c r="AO4" s="752"/>
      <c r="AP4" s="752"/>
      <c r="AQ4" s="752"/>
      <c r="AR4" s="752"/>
      <c r="AS4" s="752"/>
      <c r="AT4" s="753"/>
      <c r="AU4" s="753"/>
      <c r="AV4" s="753"/>
      <c r="AW4" s="747"/>
    </row>
    <row r="5" spans="1:49" ht="16.5" thickBot="1" x14ac:dyDescent="0.3">
      <c r="A5" s="759" t="s">
        <v>838</v>
      </c>
      <c r="B5" s="760"/>
      <c r="C5" s="760"/>
      <c r="D5" s="760"/>
      <c r="E5" s="761"/>
      <c r="F5" s="761"/>
      <c r="G5" s="761"/>
      <c r="H5" s="761"/>
      <c r="I5" s="762"/>
      <c r="J5" s="762"/>
      <c r="K5" s="762"/>
      <c r="L5" s="762"/>
      <c r="M5" s="762"/>
      <c r="N5" s="763"/>
      <c r="O5" s="763"/>
      <c r="P5" s="763"/>
      <c r="Q5" s="754"/>
      <c r="R5" s="754"/>
      <c r="S5" s="754"/>
      <c r="T5" s="754"/>
      <c r="U5" s="745"/>
      <c r="V5" s="754"/>
      <c r="W5" s="754"/>
      <c r="X5" s="754"/>
      <c r="Y5" s="755"/>
      <c r="Z5" s="755"/>
      <c r="AA5" s="755"/>
      <c r="AB5" s="756"/>
      <c r="AC5" s="756"/>
      <c r="AD5" s="756"/>
      <c r="AE5" s="755"/>
      <c r="AF5" s="747"/>
      <c r="AG5" s="747"/>
      <c r="AH5" s="764"/>
      <c r="AI5" s="764"/>
      <c r="AJ5" s="764"/>
      <c r="AK5" s="764"/>
      <c r="AL5" s="764"/>
      <c r="AM5" s="764"/>
      <c r="AN5" s="763"/>
      <c r="AO5" s="762"/>
      <c r="AP5" s="762"/>
      <c r="AQ5" s="762"/>
      <c r="AR5" s="762"/>
      <c r="AS5" s="762"/>
      <c r="AT5" s="763"/>
      <c r="AU5" s="763"/>
      <c r="AV5" s="763"/>
      <c r="AW5" s="747"/>
    </row>
    <row r="6" spans="1:49" x14ac:dyDescent="0.25">
      <c r="A6" s="744"/>
      <c r="B6" s="758"/>
      <c r="C6" s="758"/>
      <c r="D6" s="758"/>
      <c r="E6" s="744"/>
      <c r="F6" s="744"/>
      <c r="G6" s="744"/>
      <c r="H6" s="744"/>
      <c r="I6" s="1252" t="s">
        <v>837</v>
      </c>
      <c r="J6" s="1253"/>
      <c r="K6" s="1253"/>
      <c r="L6" s="1253"/>
      <c r="M6" s="1253"/>
      <c r="N6" s="1253"/>
      <c r="O6" s="1253"/>
      <c r="P6" s="1254"/>
      <c r="Q6" s="1182" t="s">
        <v>839</v>
      </c>
      <c r="R6" s="1183"/>
      <c r="S6" s="1183"/>
      <c r="T6" s="1183"/>
      <c r="U6" s="1183"/>
      <c r="V6" s="1183"/>
      <c r="W6" s="1183"/>
      <c r="X6" s="1183"/>
      <c r="Y6" s="1183"/>
      <c r="Z6" s="1183"/>
      <c r="AA6" s="1183"/>
      <c r="AB6" s="1183"/>
      <c r="AC6" s="1183"/>
      <c r="AD6" s="1183"/>
      <c r="AE6" s="1183"/>
      <c r="AF6" s="1183"/>
      <c r="AG6" s="1183"/>
      <c r="AH6" s="1183"/>
      <c r="AI6" s="1183"/>
      <c r="AJ6" s="1183"/>
      <c r="AK6" s="1183"/>
      <c r="AL6" s="1183"/>
      <c r="AM6" s="1183"/>
      <c r="AN6" s="1184"/>
      <c r="AO6" s="1185" t="s">
        <v>868</v>
      </c>
      <c r="AP6" s="1186"/>
      <c r="AQ6" s="1186"/>
      <c r="AR6" s="1186"/>
      <c r="AS6" s="1186"/>
      <c r="AT6" s="1186"/>
      <c r="AU6" s="1186"/>
      <c r="AV6" s="1186"/>
      <c r="AW6" s="1187"/>
    </row>
    <row r="7" spans="1:49" ht="24" customHeight="1" thickBot="1" x14ac:dyDescent="0.3">
      <c r="A7" s="758"/>
      <c r="B7" s="765"/>
      <c r="C7" s="183"/>
      <c r="D7" s="766"/>
      <c r="E7" s="765"/>
      <c r="F7" s="744"/>
      <c r="G7" s="744"/>
      <c r="H7" s="744"/>
      <c r="I7" s="1255"/>
      <c r="J7" s="1256"/>
      <c r="K7" s="1256"/>
      <c r="L7" s="1256"/>
      <c r="M7" s="1256"/>
      <c r="N7" s="1256"/>
      <c r="O7" s="1256"/>
      <c r="P7" s="1257"/>
      <c r="Q7" s="1259" t="s">
        <v>289</v>
      </c>
      <c r="R7" s="1259"/>
      <c r="S7" s="1259"/>
      <c r="T7" s="1259"/>
      <c r="U7" s="1260"/>
      <c r="V7" s="1267" t="s">
        <v>290</v>
      </c>
      <c r="W7" s="1259"/>
      <c r="X7" s="1259"/>
      <c r="Y7" s="1260"/>
      <c r="Z7" s="1249" t="s">
        <v>291</v>
      </c>
      <c r="AA7" s="1249" t="s">
        <v>5</v>
      </c>
      <c r="AB7" s="1249" t="s">
        <v>292</v>
      </c>
      <c r="AC7" s="1282" t="s">
        <v>293</v>
      </c>
      <c r="AD7" s="1283"/>
      <c r="AE7" s="1284"/>
      <c r="AF7" s="1249" t="s">
        <v>315</v>
      </c>
      <c r="AG7" s="1291" t="s">
        <v>294</v>
      </c>
      <c r="AH7" s="1292"/>
      <c r="AI7" s="1292"/>
      <c r="AJ7" s="1292"/>
      <c r="AK7" s="1292"/>
      <c r="AL7" s="1292"/>
      <c r="AM7" s="1292"/>
      <c r="AN7" s="1293"/>
      <c r="AO7" s="1188"/>
      <c r="AP7" s="1189"/>
      <c r="AQ7" s="1189"/>
      <c r="AR7" s="1189"/>
      <c r="AS7" s="1189"/>
      <c r="AT7" s="1189"/>
      <c r="AU7" s="1189"/>
      <c r="AV7" s="1189"/>
      <c r="AW7" s="1190"/>
    </row>
    <row r="8" spans="1:49" ht="12" customHeight="1" x14ac:dyDescent="0.25">
      <c r="A8" s="767"/>
      <c r="B8" s="768"/>
      <c r="C8" s="768"/>
      <c r="D8" s="768"/>
      <c r="E8" s="768"/>
      <c r="F8" s="768"/>
      <c r="G8" s="768"/>
      <c r="H8" s="768"/>
      <c r="I8" s="1168" t="s">
        <v>6</v>
      </c>
      <c r="J8" s="1270" t="s">
        <v>827</v>
      </c>
      <c r="K8" s="1271"/>
      <c r="L8" s="1271"/>
      <c r="M8" s="1272"/>
      <c r="N8" s="1276" t="s">
        <v>286</v>
      </c>
      <c r="O8" s="1270" t="s">
        <v>828</v>
      </c>
      <c r="P8" s="1279"/>
      <c r="Q8" s="1262"/>
      <c r="R8" s="1262"/>
      <c r="S8" s="1262"/>
      <c r="T8" s="1262"/>
      <c r="U8" s="1263"/>
      <c r="V8" s="1268"/>
      <c r="W8" s="1262"/>
      <c r="X8" s="1262"/>
      <c r="Y8" s="1263"/>
      <c r="Z8" s="1250"/>
      <c r="AA8" s="1250"/>
      <c r="AB8" s="1250"/>
      <c r="AC8" s="1285"/>
      <c r="AD8" s="1286"/>
      <c r="AE8" s="1287"/>
      <c r="AF8" s="1250"/>
      <c r="AG8" s="1294" t="s">
        <v>295</v>
      </c>
      <c r="AH8" s="1295"/>
      <c r="AI8" s="1298" t="s">
        <v>296</v>
      </c>
      <c r="AJ8" s="1294" t="s">
        <v>297</v>
      </c>
      <c r="AK8" s="1295"/>
      <c r="AL8" s="1300" t="s">
        <v>298</v>
      </c>
      <c r="AM8" s="1301"/>
      <c r="AN8" s="1302"/>
      <c r="AO8" s="1168" t="s">
        <v>6</v>
      </c>
      <c r="AP8" s="1306" t="s">
        <v>827</v>
      </c>
      <c r="AQ8" s="1307"/>
      <c r="AR8" s="1307"/>
      <c r="AS8" s="1307"/>
      <c r="AT8" s="1308"/>
      <c r="AU8" s="1276" t="s">
        <v>286</v>
      </c>
      <c r="AV8" s="1270" t="s">
        <v>829</v>
      </c>
      <c r="AW8" s="1279"/>
    </row>
    <row r="9" spans="1:49" ht="17.25" customHeight="1" thickBot="1" x14ac:dyDescent="0.3">
      <c r="A9" s="769" t="s">
        <v>824</v>
      </c>
      <c r="B9" s="183"/>
      <c r="C9" s="183"/>
      <c r="D9" s="770"/>
      <c r="E9" s="183"/>
      <c r="F9" s="771"/>
      <c r="G9" s="772"/>
      <c r="H9" s="772"/>
      <c r="I9" s="1169"/>
      <c r="J9" s="1273"/>
      <c r="K9" s="1274"/>
      <c r="L9" s="1274"/>
      <c r="M9" s="1275"/>
      <c r="N9" s="1277"/>
      <c r="O9" s="1273"/>
      <c r="P9" s="1280"/>
      <c r="Q9" s="1265"/>
      <c r="R9" s="1265"/>
      <c r="S9" s="1265"/>
      <c r="T9" s="1265"/>
      <c r="U9" s="1266"/>
      <c r="V9" s="1269"/>
      <c r="W9" s="1265"/>
      <c r="X9" s="1265"/>
      <c r="Y9" s="1266"/>
      <c r="Z9" s="1250"/>
      <c r="AA9" s="1250"/>
      <c r="AB9" s="1250"/>
      <c r="AC9" s="1288"/>
      <c r="AD9" s="1289"/>
      <c r="AE9" s="1290"/>
      <c r="AF9" s="1250"/>
      <c r="AG9" s="1296"/>
      <c r="AH9" s="1297"/>
      <c r="AI9" s="1299"/>
      <c r="AJ9" s="1296"/>
      <c r="AK9" s="1297"/>
      <c r="AL9" s="1303"/>
      <c r="AM9" s="1304"/>
      <c r="AN9" s="1305"/>
      <c r="AO9" s="1169"/>
      <c r="AP9" s="1309"/>
      <c r="AQ9" s="1310"/>
      <c r="AR9" s="1310"/>
      <c r="AS9" s="1310"/>
      <c r="AT9" s="1311"/>
      <c r="AU9" s="1277"/>
      <c r="AV9" s="1273"/>
      <c r="AW9" s="1280"/>
    </row>
    <row r="10" spans="1:49" ht="33.75" customHeight="1" thickBot="1" x14ac:dyDescent="0.3">
      <c r="A10" s="773" t="s">
        <v>800</v>
      </c>
      <c r="B10" s="774" t="s">
        <v>566</v>
      </c>
      <c r="C10" s="774" t="s">
        <v>567</v>
      </c>
      <c r="D10" s="774" t="s">
        <v>270</v>
      </c>
      <c r="E10" s="310" t="s">
        <v>802</v>
      </c>
      <c r="F10" s="774" t="s">
        <v>0</v>
      </c>
      <c r="G10" s="775" t="s">
        <v>271</v>
      </c>
      <c r="H10" s="74" t="s">
        <v>282</v>
      </c>
      <c r="I10" s="1170"/>
      <c r="J10" s="75" t="s">
        <v>280</v>
      </c>
      <c r="K10" s="76" t="s">
        <v>5</v>
      </c>
      <c r="L10" s="76" t="s">
        <v>1</v>
      </c>
      <c r="M10" s="76" t="s">
        <v>7</v>
      </c>
      <c r="N10" s="1278"/>
      <c r="O10" s="782" t="s">
        <v>287</v>
      </c>
      <c r="P10" s="783" t="s">
        <v>288</v>
      </c>
      <c r="Q10" s="997" t="s">
        <v>299</v>
      </c>
      <c r="R10" s="777" t="s">
        <v>296</v>
      </c>
      <c r="S10" s="777" t="s">
        <v>815</v>
      </c>
      <c r="T10" s="777" t="s">
        <v>297</v>
      </c>
      <c r="U10" s="777" t="s">
        <v>791</v>
      </c>
      <c r="V10" s="778" t="s">
        <v>300</v>
      </c>
      <c r="W10" s="777" t="s">
        <v>826</v>
      </c>
      <c r="X10" s="778" t="s">
        <v>301</v>
      </c>
      <c r="Y10" s="777" t="s">
        <v>792</v>
      </c>
      <c r="Z10" s="1251"/>
      <c r="AA10" s="1251"/>
      <c r="AB10" s="1251"/>
      <c r="AC10" s="777" t="s">
        <v>296</v>
      </c>
      <c r="AD10" s="777" t="s">
        <v>302</v>
      </c>
      <c r="AE10" s="777" t="s">
        <v>793</v>
      </c>
      <c r="AF10" s="1251"/>
      <c r="AG10" s="779" t="s">
        <v>287</v>
      </c>
      <c r="AH10" s="780" t="s">
        <v>288</v>
      </c>
      <c r="AI10" s="779" t="s">
        <v>287</v>
      </c>
      <c r="AJ10" s="779" t="s">
        <v>287</v>
      </c>
      <c r="AK10" s="780" t="s">
        <v>288</v>
      </c>
      <c r="AL10" s="779" t="s">
        <v>287</v>
      </c>
      <c r="AM10" s="780" t="s">
        <v>288</v>
      </c>
      <c r="AN10" s="781" t="s">
        <v>311</v>
      </c>
      <c r="AO10" s="1170"/>
      <c r="AP10" s="79" t="s">
        <v>280</v>
      </c>
      <c r="AQ10" s="80" t="s">
        <v>290</v>
      </c>
      <c r="AR10" s="76" t="s">
        <v>5</v>
      </c>
      <c r="AS10" s="76" t="s">
        <v>1</v>
      </c>
      <c r="AT10" s="76" t="s">
        <v>7</v>
      </c>
      <c r="AU10" s="1278"/>
      <c r="AV10" s="782" t="s">
        <v>287</v>
      </c>
      <c r="AW10" s="783" t="s">
        <v>288</v>
      </c>
    </row>
    <row r="11" spans="1:49" s="797" customFormat="1" ht="11.25" customHeight="1" thickBot="1" x14ac:dyDescent="0.25">
      <c r="A11" s="784" t="s">
        <v>568</v>
      </c>
      <c r="B11" s="785" t="s">
        <v>569</v>
      </c>
      <c r="C11" s="785" t="s">
        <v>272</v>
      </c>
      <c r="D11" s="785" t="s">
        <v>273</v>
      </c>
      <c r="E11" s="785" t="s">
        <v>570</v>
      </c>
      <c r="F11" s="785" t="s">
        <v>0</v>
      </c>
      <c r="G11" s="785" t="s">
        <v>571</v>
      </c>
      <c r="H11" s="786" t="s">
        <v>796</v>
      </c>
      <c r="I11" s="787" t="s">
        <v>274</v>
      </c>
      <c r="J11" s="788" t="s">
        <v>275</v>
      </c>
      <c r="K11" s="788" t="s">
        <v>276</v>
      </c>
      <c r="L11" s="788" t="s">
        <v>277</v>
      </c>
      <c r="M11" s="788" t="s">
        <v>278</v>
      </c>
      <c r="N11" s="789" t="s">
        <v>279</v>
      </c>
      <c r="O11" s="793" t="s">
        <v>572</v>
      </c>
      <c r="P11" s="1043" t="s">
        <v>573</v>
      </c>
      <c r="Q11" s="790" t="s">
        <v>303</v>
      </c>
      <c r="R11" s="790" t="s">
        <v>303</v>
      </c>
      <c r="S11" s="791" t="s">
        <v>303</v>
      </c>
      <c r="T11" s="791" t="s">
        <v>303</v>
      </c>
      <c r="U11" s="791" t="s">
        <v>303</v>
      </c>
      <c r="V11" s="791" t="s">
        <v>304</v>
      </c>
      <c r="W11" s="791" t="s">
        <v>304</v>
      </c>
      <c r="X11" s="791" t="s">
        <v>305</v>
      </c>
      <c r="Y11" s="791" t="s">
        <v>304</v>
      </c>
      <c r="Z11" s="791" t="s">
        <v>306</v>
      </c>
      <c r="AA11" s="791" t="s">
        <v>307</v>
      </c>
      <c r="AB11" s="791" t="s">
        <v>308</v>
      </c>
      <c r="AC11" s="791" t="s">
        <v>310</v>
      </c>
      <c r="AD11" s="791" t="s">
        <v>309</v>
      </c>
      <c r="AE11" s="791" t="s">
        <v>309</v>
      </c>
      <c r="AF11" s="791" t="s">
        <v>316</v>
      </c>
      <c r="AG11" s="793" t="s">
        <v>312</v>
      </c>
      <c r="AH11" s="793" t="s">
        <v>313</v>
      </c>
      <c r="AI11" s="793" t="s">
        <v>312</v>
      </c>
      <c r="AJ11" s="793" t="s">
        <v>312</v>
      </c>
      <c r="AK11" s="793" t="s">
        <v>313</v>
      </c>
      <c r="AL11" s="793" t="s">
        <v>312</v>
      </c>
      <c r="AM11" s="793" t="s">
        <v>313</v>
      </c>
      <c r="AN11" s="794" t="s">
        <v>314</v>
      </c>
      <c r="AO11" s="787" t="s">
        <v>274</v>
      </c>
      <c r="AP11" s="788" t="s">
        <v>275</v>
      </c>
      <c r="AQ11" s="788" t="s">
        <v>281</v>
      </c>
      <c r="AR11" s="788" t="s">
        <v>276</v>
      </c>
      <c r="AS11" s="788" t="s">
        <v>277</v>
      </c>
      <c r="AT11" s="788" t="s">
        <v>278</v>
      </c>
      <c r="AU11" s="795" t="s">
        <v>279</v>
      </c>
      <c r="AV11" s="795" t="s">
        <v>572</v>
      </c>
      <c r="AW11" s="796" t="s">
        <v>573</v>
      </c>
    </row>
    <row r="12" spans="1:49" ht="15" customHeight="1" x14ac:dyDescent="0.25">
      <c r="A12" s="800">
        <v>1</v>
      </c>
      <c r="B12" s="934">
        <v>5415</v>
      </c>
      <c r="C12" s="935">
        <v>667000135</v>
      </c>
      <c r="D12" s="934">
        <v>71011170</v>
      </c>
      <c r="E12" s="998" t="s">
        <v>814</v>
      </c>
      <c r="F12" s="934">
        <v>3111</v>
      </c>
      <c r="G12" s="999" t="s">
        <v>331</v>
      </c>
      <c r="H12" s="937" t="s">
        <v>283</v>
      </c>
      <c r="I12" s="938">
        <f>SUM(J12:M12)</f>
        <v>17767179</v>
      </c>
      <c r="J12" s="804">
        <v>13008490</v>
      </c>
      <c r="K12" s="805">
        <f>ROUND((J12)*33.8%,0)</f>
        <v>4396870</v>
      </c>
      <c r="L12" s="805">
        <f>ROUND(J12*2%,0)-1</f>
        <v>260169</v>
      </c>
      <c r="M12" s="804">
        <v>101650</v>
      </c>
      <c r="N12" s="806">
        <f>SUM(O12:P12)</f>
        <v>30.407899999999998</v>
      </c>
      <c r="O12" s="1047">
        <v>22.8476</v>
      </c>
      <c r="P12" s="1048">
        <v>7.5602999999999989</v>
      </c>
      <c r="Q12" s="835">
        <f>V12*-1</f>
        <v>-56000</v>
      </c>
      <c r="R12" s="808">
        <v>0</v>
      </c>
      <c r="S12" s="808">
        <v>0</v>
      </c>
      <c r="T12" s="808">
        <v>0</v>
      </c>
      <c r="U12" s="808">
        <f>SUM(Q12:T12)</f>
        <v>-56000</v>
      </c>
      <c r="V12" s="808">
        <v>56000</v>
      </c>
      <c r="W12" s="808">
        <v>0</v>
      </c>
      <c r="X12" s="808">
        <v>0</v>
      </c>
      <c r="Y12" s="808">
        <f>SUM(V12:X12)</f>
        <v>56000</v>
      </c>
      <c r="Z12" s="808">
        <f>U12+Y12</f>
        <v>0</v>
      </c>
      <c r="AA12" s="809">
        <f>ROUND((U12+V12+W12)*33.8%,0)</f>
        <v>0</v>
      </c>
      <c r="AB12" s="810">
        <f>ROUND(U12*2%,0)</f>
        <v>-1120</v>
      </c>
      <c r="AC12" s="808">
        <v>0</v>
      </c>
      <c r="AD12" s="808">
        <v>0</v>
      </c>
      <c r="AE12" s="808">
        <f>SUM(AC12:AD12)</f>
        <v>0</v>
      </c>
      <c r="AF12" s="808">
        <f>Z12+AA12+AB12+AE12</f>
        <v>-1120</v>
      </c>
      <c r="AG12" s="811">
        <v>0</v>
      </c>
      <c r="AH12" s="811">
        <v>-0.11</v>
      </c>
      <c r="AI12" s="811">
        <v>0</v>
      </c>
      <c r="AJ12" s="811">
        <v>0</v>
      </c>
      <c r="AK12" s="811">
        <v>0</v>
      </c>
      <c r="AL12" s="811">
        <f>AG12+AI12+AJ12</f>
        <v>0</v>
      </c>
      <c r="AM12" s="811">
        <f>AH12+AK12</f>
        <v>-0.11</v>
      </c>
      <c r="AN12" s="812">
        <f>SUM(AL12:AM12)</f>
        <v>-0.11</v>
      </c>
      <c r="AO12" s="807">
        <f>I12+AF12</f>
        <v>17766059</v>
      </c>
      <c r="AP12" s="808">
        <f>J12+U12</f>
        <v>12952490</v>
      </c>
      <c r="AQ12" s="813">
        <f>Y12</f>
        <v>56000</v>
      </c>
      <c r="AR12" s="808">
        <f t="shared" ref="AR12:AS15" si="0">K12+AA12</f>
        <v>4396870</v>
      </c>
      <c r="AS12" s="808">
        <f t="shared" si="0"/>
        <v>259049</v>
      </c>
      <c r="AT12" s="808">
        <f>M12+AE12</f>
        <v>101650</v>
      </c>
      <c r="AU12" s="811">
        <f>N12+AN12</f>
        <v>30.297899999999998</v>
      </c>
      <c r="AV12" s="811">
        <f t="shared" ref="AV12:AW15" si="1">O12+AL12</f>
        <v>22.8476</v>
      </c>
      <c r="AW12" s="812">
        <f t="shared" si="1"/>
        <v>7.4502999999999986</v>
      </c>
    </row>
    <row r="13" spans="1:49" ht="13.5" customHeight="1" x14ac:dyDescent="0.25">
      <c r="A13" s="828">
        <v>1</v>
      </c>
      <c r="B13" s="946">
        <v>5415</v>
      </c>
      <c r="C13" s="947">
        <v>667000135</v>
      </c>
      <c r="D13" s="946">
        <v>71011170</v>
      </c>
      <c r="E13" s="998" t="s">
        <v>814</v>
      </c>
      <c r="F13" s="946">
        <v>3111</v>
      </c>
      <c r="G13" s="831" t="s">
        <v>318</v>
      </c>
      <c r="H13" s="831" t="s">
        <v>284</v>
      </c>
      <c r="I13" s="803">
        <f>SUM(J13:M13)</f>
        <v>0</v>
      </c>
      <c r="J13" s="833">
        <v>0</v>
      </c>
      <c r="K13" s="833">
        <v>0</v>
      </c>
      <c r="L13" s="833">
        <v>0</v>
      </c>
      <c r="M13" s="833">
        <v>0</v>
      </c>
      <c r="N13" s="834">
        <f>SUM(O13:P13)</f>
        <v>0</v>
      </c>
      <c r="O13" s="1054">
        <v>0</v>
      </c>
      <c r="P13" s="1055">
        <v>0</v>
      </c>
      <c r="Q13" s="835">
        <f>V13*-1</f>
        <v>0</v>
      </c>
      <c r="R13" s="833">
        <v>513875</v>
      </c>
      <c r="S13" s="813">
        <v>0</v>
      </c>
      <c r="T13" s="813">
        <v>0</v>
      </c>
      <c r="U13" s="813">
        <f>SUM(Q13:T13)</f>
        <v>513875</v>
      </c>
      <c r="V13" s="813">
        <v>0</v>
      </c>
      <c r="W13" s="813">
        <v>0</v>
      </c>
      <c r="X13" s="813">
        <v>0</v>
      </c>
      <c r="Y13" s="813">
        <f>SUM(V13:X13)</f>
        <v>0</v>
      </c>
      <c r="Z13" s="813">
        <f>U13+Y13</f>
        <v>513875</v>
      </c>
      <c r="AA13" s="809">
        <f>ROUND((U13+V13+W13)*33.8%,0)</f>
        <v>173690</v>
      </c>
      <c r="AB13" s="809">
        <f>ROUND(U13*2%,0)</f>
        <v>10278</v>
      </c>
      <c r="AC13" s="813">
        <v>500</v>
      </c>
      <c r="AD13" s="813">
        <v>0</v>
      </c>
      <c r="AE13" s="813">
        <f>SUM(AC13:AD13)</f>
        <v>500</v>
      </c>
      <c r="AF13" s="813">
        <f>Z13+AA13+AB13+AE13</f>
        <v>698343</v>
      </c>
      <c r="AG13" s="836">
        <v>0</v>
      </c>
      <c r="AH13" s="836">
        <v>0</v>
      </c>
      <c r="AI13" s="836">
        <v>1.75</v>
      </c>
      <c r="AJ13" s="836">
        <v>0</v>
      </c>
      <c r="AK13" s="836">
        <v>0</v>
      </c>
      <c r="AL13" s="836">
        <f>AG13+AI13+AJ13</f>
        <v>1.75</v>
      </c>
      <c r="AM13" s="836">
        <f>AH13+AK13</f>
        <v>0</v>
      </c>
      <c r="AN13" s="837">
        <f>SUM(AL13:AM13)</f>
        <v>1.75</v>
      </c>
      <c r="AO13" s="835">
        <f>I13+AF13</f>
        <v>698343</v>
      </c>
      <c r="AP13" s="813">
        <f>J13+U13</f>
        <v>513875</v>
      </c>
      <c r="AQ13" s="813">
        <f>Y13</f>
        <v>0</v>
      </c>
      <c r="AR13" s="813">
        <f t="shared" si="0"/>
        <v>173690</v>
      </c>
      <c r="AS13" s="813">
        <f t="shared" si="0"/>
        <v>10278</v>
      </c>
      <c r="AT13" s="813">
        <f>M13+AE13</f>
        <v>500</v>
      </c>
      <c r="AU13" s="836">
        <f>N13+AN13</f>
        <v>1.75</v>
      </c>
      <c r="AV13" s="836">
        <f t="shared" si="1"/>
        <v>1.75</v>
      </c>
      <c r="AW13" s="837">
        <f t="shared" si="1"/>
        <v>0</v>
      </c>
    </row>
    <row r="14" spans="1:49" ht="12.95" customHeight="1" x14ac:dyDescent="0.25">
      <c r="A14" s="828">
        <v>1</v>
      </c>
      <c r="B14" s="946">
        <v>5415</v>
      </c>
      <c r="C14" s="947">
        <v>667000135</v>
      </c>
      <c r="D14" s="946">
        <v>71011170</v>
      </c>
      <c r="E14" s="998" t="s">
        <v>814</v>
      </c>
      <c r="F14" s="946">
        <v>3111</v>
      </c>
      <c r="G14" s="839" t="s">
        <v>319</v>
      </c>
      <c r="H14" s="831" t="s">
        <v>283</v>
      </c>
      <c r="I14" s="803">
        <f>SUM(J14:M14)</f>
        <v>539919</v>
      </c>
      <c r="J14" s="833">
        <v>397584</v>
      </c>
      <c r="K14" s="833">
        <f>ROUND((J14)*33.8%,0)</f>
        <v>134383</v>
      </c>
      <c r="L14" s="833">
        <f>ROUND(J14*2%,0)</f>
        <v>7952</v>
      </c>
      <c r="M14" s="833">
        <v>0</v>
      </c>
      <c r="N14" s="834">
        <f>SUM(O14:P14)</f>
        <v>1</v>
      </c>
      <c r="O14" s="1054">
        <v>1</v>
      </c>
      <c r="P14" s="1055">
        <v>0</v>
      </c>
      <c r="Q14" s="835">
        <f>V14*-1</f>
        <v>0</v>
      </c>
      <c r="R14" s="813">
        <v>0</v>
      </c>
      <c r="S14" s="813">
        <v>0</v>
      </c>
      <c r="T14" s="813">
        <v>0</v>
      </c>
      <c r="U14" s="813">
        <f>SUM(Q14:T14)</f>
        <v>0</v>
      </c>
      <c r="V14" s="813">
        <v>0</v>
      </c>
      <c r="W14" s="813">
        <v>0</v>
      </c>
      <c r="X14" s="813">
        <v>0</v>
      </c>
      <c r="Y14" s="813">
        <f>SUM(V14:X14)</f>
        <v>0</v>
      </c>
      <c r="Z14" s="813">
        <f>U14+Y14</f>
        <v>0</v>
      </c>
      <c r="AA14" s="809">
        <f>ROUND((U14+V14+W14)*33.8%,0)</f>
        <v>0</v>
      </c>
      <c r="AB14" s="809">
        <f>ROUND(U14*2%,0)</f>
        <v>0</v>
      </c>
      <c r="AC14" s="813">
        <v>0</v>
      </c>
      <c r="AD14" s="813">
        <v>0</v>
      </c>
      <c r="AE14" s="813">
        <f>SUM(AC14:AD14)</f>
        <v>0</v>
      </c>
      <c r="AF14" s="813">
        <f>Z14+AA14+AB14+AE14</f>
        <v>0</v>
      </c>
      <c r="AG14" s="836">
        <v>0</v>
      </c>
      <c r="AH14" s="836">
        <v>0</v>
      </c>
      <c r="AI14" s="836">
        <v>0</v>
      </c>
      <c r="AJ14" s="836">
        <v>0</v>
      </c>
      <c r="AK14" s="836">
        <v>0</v>
      </c>
      <c r="AL14" s="836">
        <f>AG14+AI14+AJ14</f>
        <v>0</v>
      </c>
      <c r="AM14" s="836">
        <f>AH14+AK14</f>
        <v>0</v>
      </c>
      <c r="AN14" s="837">
        <f>SUM(AL14:AM14)</f>
        <v>0</v>
      </c>
      <c r="AO14" s="835">
        <f>I14+AF14</f>
        <v>539919</v>
      </c>
      <c r="AP14" s="813">
        <f>J14+U14</f>
        <v>397584</v>
      </c>
      <c r="AQ14" s="813">
        <f>Y14</f>
        <v>0</v>
      </c>
      <c r="AR14" s="813">
        <f t="shared" si="0"/>
        <v>134383</v>
      </c>
      <c r="AS14" s="813">
        <f t="shared" si="0"/>
        <v>7952</v>
      </c>
      <c r="AT14" s="813">
        <f>M14+AE14</f>
        <v>0</v>
      </c>
      <c r="AU14" s="836">
        <f>N14+AN14</f>
        <v>1</v>
      </c>
      <c r="AV14" s="836">
        <f t="shared" si="1"/>
        <v>1</v>
      </c>
      <c r="AW14" s="837">
        <f t="shared" si="1"/>
        <v>0</v>
      </c>
    </row>
    <row r="15" spans="1:49" ht="12.95" customHeight="1" x14ac:dyDescent="0.25">
      <c r="A15" s="828">
        <v>1</v>
      </c>
      <c r="B15" s="946">
        <v>5415</v>
      </c>
      <c r="C15" s="947">
        <v>667000135</v>
      </c>
      <c r="D15" s="946">
        <v>71011170</v>
      </c>
      <c r="E15" s="998" t="s">
        <v>814</v>
      </c>
      <c r="F15" s="946">
        <v>3141</v>
      </c>
      <c r="G15" s="1000" t="s">
        <v>321</v>
      </c>
      <c r="H15" s="831" t="s">
        <v>284</v>
      </c>
      <c r="I15" s="803">
        <f>SUM(J15:M15)</f>
        <v>2358784</v>
      </c>
      <c r="J15" s="833">
        <v>1727900</v>
      </c>
      <c r="K15" s="805">
        <f>ROUND((J15)*33.8%,0)</f>
        <v>584030</v>
      </c>
      <c r="L15" s="833">
        <f>ROUND(J15*2%,0)</f>
        <v>34558</v>
      </c>
      <c r="M15" s="833">
        <v>12296</v>
      </c>
      <c r="N15" s="834">
        <f>O15+P15</f>
        <v>5.88</v>
      </c>
      <c r="O15" s="1054">
        <v>0</v>
      </c>
      <c r="P15" s="1055">
        <v>5.88</v>
      </c>
      <c r="Q15" s="835">
        <f>V15*-1</f>
        <v>-16000</v>
      </c>
      <c r="R15" s="813">
        <v>0</v>
      </c>
      <c r="S15" s="813">
        <v>0</v>
      </c>
      <c r="T15" s="813">
        <v>0</v>
      </c>
      <c r="U15" s="813">
        <f>SUM(Q15:T15)</f>
        <v>-16000</v>
      </c>
      <c r="V15" s="813">
        <v>16000</v>
      </c>
      <c r="W15" s="813">
        <v>0</v>
      </c>
      <c r="X15" s="813">
        <v>0</v>
      </c>
      <c r="Y15" s="813">
        <f>SUM(V15:X15)</f>
        <v>16000</v>
      </c>
      <c r="Z15" s="813">
        <f>U15+Y15</f>
        <v>0</v>
      </c>
      <c r="AA15" s="809">
        <f>ROUND((U15+V15+W15)*33.8%,0)</f>
        <v>0</v>
      </c>
      <c r="AB15" s="809">
        <f>ROUND(U15*2%,0)</f>
        <v>-320</v>
      </c>
      <c r="AC15" s="813">
        <v>0</v>
      </c>
      <c r="AD15" s="813">
        <v>0</v>
      </c>
      <c r="AE15" s="813">
        <f>SUM(AC15:AD15)</f>
        <v>0</v>
      </c>
      <c r="AF15" s="813">
        <f>Z15+AA15+AB15+AE15</f>
        <v>-320</v>
      </c>
      <c r="AG15" s="836">
        <v>0</v>
      </c>
      <c r="AH15" s="836">
        <v>0</v>
      </c>
      <c r="AI15" s="836">
        <v>0</v>
      </c>
      <c r="AJ15" s="836">
        <v>0</v>
      </c>
      <c r="AK15" s="836">
        <v>0</v>
      </c>
      <c r="AL15" s="836">
        <f>AG15+AI15+AJ15</f>
        <v>0</v>
      </c>
      <c r="AM15" s="836">
        <f>AH15+AK15</f>
        <v>0</v>
      </c>
      <c r="AN15" s="837">
        <f>SUM(AL15:AM15)</f>
        <v>0</v>
      </c>
      <c r="AO15" s="835">
        <f>I15+AF15</f>
        <v>2358464</v>
      </c>
      <c r="AP15" s="813">
        <f>J15+U15</f>
        <v>1711900</v>
      </c>
      <c r="AQ15" s="813">
        <f>Y15</f>
        <v>16000</v>
      </c>
      <c r="AR15" s="813">
        <f t="shared" si="0"/>
        <v>584030</v>
      </c>
      <c r="AS15" s="813">
        <f t="shared" si="0"/>
        <v>34238</v>
      </c>
      <c r="AT15" s="813">
        <f>M15+AE15</f>
        <v>12296</v>
      </c>
      <c r="AU15" s="836">
        <f>N15+AN15</f>
        <v>5.88</v>
      </c>
      <c r="AV15" s="836">
        <f t="shared" si="1"/>
        <v>0</v>
      </c>
      <c r="AW15" s="837">
        <f t="shared" si="1"/>
        <v>5.88</v>
      </c>
    </row>
    <row r="16" spans="1:49" ht="12.95" customHeight="1" x14ac:dyDescent="0.25">
      <c r="A16" s="850">
        <v>1</v>
      </c>
      <c r="B16" s="816">
        <v>5415</v>
      </c>
      <c r="C16" s="1001">
        <v>667000135</v>
      </c>
      <c r="D16" s="816">
        <v>71011170</v>
      </c>
      <c r="E16" s="841" t="s">
        <v>438</v>
      </c>
      <c r="F16" s="816"/>
      <c r="G16" s="1002"/>
      <c r="H16" s="1003"/>
      <c r="I16" s="820">
        <f t="shared" ref="I16:AW16" si="2">SUM(I12:I15)</f>
        <v>20665882</v>
      </c>
      <c r="J16" s="821">
        <f t="shared" si="2"/>
        <v>15133974</v>
      </c>
      <c r="K16" s="821">
        <f t="shared" si="2"/>
        <v>5115283</v>
      </c>
      <c r="L16" s="821">
        <f t="shared" si="2"/>
        <v>302679</v>
      </c>
      <c r="M16" s="821">
        <f t="shared" si="2"/>
        <v>113946</v>
      </c>
      <c r="N16" s="822">
        <f t="shared" si="2"/>
        <v>37.2879</v>
      </c>
      <c r="O16" s="822">
        <f t="shared" si="2"/>
        <v>23.8476</v>
      </c>
      <c r="P16" s="824">
        <f t="shared" si="2"/>
        <v>13.440299999999999</v>
      </c>
      <c r="Q16" s="825">
        <f t="shared" si="2"/>
        <v>-72000</v>
      </c>
      <c r="R16" s="821">
        <f t="shared" si="2"/>
        <v>513875</v>
      </c>
      <c r="S16" s="821">
        <f t="shared" si="2"/>
        <v>0</v>
      </c>
      <c r="T16" s="821">
        <f t="shared" si="2"/>
        <v>0</v>
      </c>
      <c r="U16" s="821">
        <f t="shared" si="2"/>
        <v>441875</v>
      </c>
      <c r="V16" s="821">
        <f t="shared" si="2"/>
        <v>72000</v>
      </c>
      <c r="W16" s="821">
        <f t="shared" si="2"/>
        <v>0</v>
      </c>
      <c r="X16" s="821">
        <f t="shared" si="2"/>
        <v>0</v>
      </c>
      <c r="Y16" s="821">
        <f t="shared" si="2"/>
        <v>72000</v>
      </c>
      <c r="Z16" s="821">
        <f t="shared" si="2"/>
        <v>513875</v>
      </c>
      <c r="AA16" s="821">
        <f t="shared" si="2"/>
        <v>173690</v>
      </c>
      <c r="AB16" s="821">
        <f t="shared" si="2"/>
        <v>8838</v>
      </c>
      <c r="AC16" s="821">
        <f t="shared" si="2"/>
        <v>500</v>
      </c>
      <c r="AD16" s="821">
        <f t="shared" si="2"/>
        <v>0</v>
      </c>
      <c r="AE16" s="821">
        <f t="shared" si="2"/>
        <v>500</v>
      </c>
      <c r="AF16" s="821">
        <f t="shared" si="2"/>
        <v>696903</v>
      </c>
      <c r="AG16" s="822">
        <f t="shared" si="2"/>
        <v>0</v>
      </c>
      <c r="AH16" s="822">
        <f t="shared" si="2"/>
        <v>-0.11</v>
      </c>
      <c r="AI16" s="822">
        <f t="shared" si="2"/>
        <v>1.75</v>
      </c>
      <c r="AJ16" s="822">
        <f t="shared" si="2"/>
        <v>0</v>
      </c>
      <c r="AK16" s="822">
        <f t="shared" si="2"/>
        <v>0</v>
      </c>
      <c r="AL16" s="822">
        <f t="shared" si="2"/>
        <v>1.75</v>
      </c>
      <c r="AM16" s="822">
        <f t="shared" si="2"/>
        <v>-0.11</v>
      </c>
      <c r="AN16" s="824">
        <f t="shared" si="2"/>
        <v>1.64</v>
      </c>
      <c r="AO16" s="825">
        <f t="shared" si="2"/>
        <v>21362785</v>
      </c>
      <c r="AP16" s="821">
        <f t="shared" si="2"/>
        <v>15575849</v>
      </c>
      <c r="AQ16" s="821">
        <f t="shared" si="2"/>
        <v>72000</v>
      </c>
      <c r="AR16" s="821">
        <f t="shared" si="2"/>
        <v>5288973</v>
      </c>
      <c r="AS16" s="821">
        <f t="shared" si="2"/>
        <v>311517</v>
      </c>
      <c r="AT16" s="821">
        <f t="shared" si="2"/>
        <v>114446</v>
      </c>
      <c r="AU16" s="822">
        <f t="shared" si="2"/>
        <v>38.927900000000001</v>
      </c>
      <c r="AV16" s="822">
        <f t="shared" si="2"/>
        <v>25.5976</v>
      </c>
      <c r="AW16" s="824">
        <f t="shared" si="2"/>
        <v>13.330299999999998</v>
      </c>
    </row>
    <row r="17" spans="1:49" ht="12.95" customHeight="1" x14ac:dyDescent="0.25">
      <c r="A17" s="828">
        <v>2</v>
      </c>
      <c r="B17" s="946">
        <v>5416</v>
      </c>
      <c r="C17" s="947">
        <v>600099342</v>
      </c>
      <c r="D17" s="946">
        <v>854719</v>
      </c>
      <c r="E17" s="1004" t="s">
        <v>439</v>
      </c>
      <c r="F17" s="946">
        <v>3113</v>
      </c>
      <c r="G17" s="1000" t="s">
        <v>335</v>
      </c>
      <c r="H17" s="831" t="s">
        <v>283</v>
      </c>
      <c r="I17" s="803">
        <f>SUM(J17:M17)</f>
        <v>21290188</v>
      </c>
      <c r="J17" s="833">
        <v>15330064</v>
      </c>
      <c r="K17" s="833">
        <f>ROUND((J17)*33.8%,0)</f>
        <v>5181562</v>
      </c>
      <c r="L17" s="833">
        <f>ROUND(J17*2%,0)+1</f>
        <v>306602</v>
      </c>
      <c r="M17" s="833">
        <v>471960</v>
      </c>
      <c r="N17" s="834">
        <f>SUM(O17:P17)</f>
        <v>28.044400000000003</v>
      </c>
      <c r="O17" s="1054">
        <v>21.408200000000001</v>
      </c>
      <c r="P17" s="1055">
        <v>6.6362000000000005</v>
      </c>
      <c r="Q17" s="835">
        <f>V17*-1</f>
        <v>-72000</v>
      </c>
      <c r="R17" s="813">
        <v>0</v>
      </c>
      <c r="S17" s="813">
        <v>0</v>
      </c>
      <c r="T17" s="813">
        <v>0</v>
      </c>
      <c r="U17" s="813">
        <f>SUM(Q17:T17)</f>
        <v>-72000</v>
      </c>
      <c r="V17" s="813">
        <v>72000</v>
      </c>
      <c r="W17" s="813">
        <v>0</v>
      </c>
      <c r="X17" s="813">
        <v>0</v>
      </c>
      <c r="Y17" s="813">
        <f>SUM(V17:X17)</f>
        <v>72000</v>
      </c>
      <c r="Z17" s="813">
        <f>U17+Y17</f>
        <v>0</v>
      </c>
      <c r="AA17" s="809">
        <f>ROUND((U17+V17+W17)*33.8%,0)</f>
        <v>0</v>
      </c>
      <c r="AB17" s="809">
        <f>ROUND(U17*2%,0)</f>
        <v>-1440</v>
      </c>
      <c r="AC17" s="813">
        <v>0</v>
      </c>
      <c r="AD17" s="813">
        <v>0</v>
      </c>
      <c r="AE17" s="813">
        <f>SUM(AC17:AD17)</f>
        <v>0</v>
      </c>
      <c r="AF17" s="813">
        <f>Z17+AA17+AB17+AE17</f>
        <v>-1440</v>
      </c>
      <c r="AG17" s="836">
        <v>-7.0000000000000007E-2</v>
      </c>
      <c r="AH17" s="836">
        <v>-0.03</v>
      </c>
      <c r="AI17" s="836">
        <v>0</v>
      </c>
      <c r="AJ17" s="836">
        <v>0</v>
      </c>
      <c r="AK17" s="836">
        <v>0</v>
      </c>
      <c r="AL17" s="836">
        <f>AG17+AI17+AJ17</f>
        <v>-7.0000000000000007E-2</v>
      </c>
      <c r="AM17" s="836">
        <f>AH17+AK17</f>
        <v>-0.03</v>
      </c>
      <c r="AN17" s="837">
        <f>SUM(AL17:AM17)</f>
        <v>-0.1</v>
      </c>
      <c r="AO17" s="835">
        <f>I17+AF17</f>
        <v>21288748</v>
      </c>
      <c r="AP17" s="813">
        <f>J17+U17</f>
        <v>15258064</v>
      </c>
      <c r="AQ17" s="813">
        <f>Y17</f>
        <v>72000</v>
      </c>
      <c r="AR17" s="813">
        <f t="shared" ref="AR17:AS20" si="3">K17+AA17</f>
        <v>5181562</v>
      </c>
      <c r="AS17" s="813">
        <f t="shared" si="3"/>
        <v>305162</v>
      </c>
      <c r="AT17" s="813">
        <f>M17+AE17</f>
        <v>471960</v>
      </c>
      <c r="AU17" s="836">
        <f>N17+AN17</f>
        <v>27.944400000000002</v>
      </c>
      <c r="AV17" s="836">
        <f t="shared" ref="AV17:AW20" si="4">O17+AL17</f>
        <v>21.338200000000001</v>
      </c>
      <c r="AW17" s="837">
        <f t="shared" si="4"/>
        <v>6.6062000000000003</v>
      </c>
    </row>
    <row r="18" spans="1:49" ht="12.95" customHeight="1" x14ac:dyDescent="0.25">
      <c r="A18" s="828">
        <v>2</v>
      </c>
      <c r="B18" s="946">
        <v>5416</v>
      </c>
      <c r="C18" s="947">
        <v>600099342</v>
      </c>
      <c r="D18" s="946">
        <v>854719</v>
      </c>
      <c r="E18" s="1004" t="s">
        <v>439</v>
      </c>
      <c r="F18" s="946">
        <v>3113</v>
      </c>
      <c r="G18" s="831" t="s">
        <v>318</v>
      </c>
      <c r="H18" s="831" t="s">
        <v>284</v>
      </c>
      <c r="I18" s="803">
        <f>SUM(J18:M18)</f>
        <v>0</v>
      </c>
      <c r="J18" s="833">
        <v>0</v>
      </c>
      <c r="K18" s="833">
        <v>0</v>
      </c>
      <c r="L18" s="833">
        <v>0</v>
      </c>
      <c r="M18" s="833">
        <v>0</v>
      </c>
      <c r="N18" s="834">
        <f>SUM(O18:P18)</f>
        <v>0</v>
      </c>
      <c r="O18" s="1054">
        <v>0</v>
      </c>
      <c r="P18" s="1055">
        <v>0</v>
      </c>
      <c r="Q18" s="835">
        <f>V18*-1</f>
        <v>0</v>
      </c>
      <c r="R18" s="833">
        <f>960503+166007</f>
        <v>1126510</v>
      </c>
      <c r="S18" s="813">
        <v>0</v>
      </c>
      <c r="T18" s="813">
        <v>0</v>
      </c>
      <c r="U18" s="813">
        <f>SUM(Q18:T18)</f>
        <v>1126510</v>
      </c>
      <c r="V18" s="813">
        <v>0</v>
      </c>
      <c r="W18" s="813">
        <v>0</v>
      </c>
      <c r="X18" s="813">
        <v>0</v>
      </c>
      <c r="Y18" s="813">
        <f>SUM(V18:X18)</f>
        <v>0</v>
      </c>
      <c r="Z18" s="813">
        <f>U18+Y18</f>
        <v>1126510</v>
      </c>
      <c r="AA18" s="809">
        <f>ROUND((U18+V18+W18)*33.8%,0)</f>
        <v>380760</v>
      </c>
      <c r="AB18" s="809">
        <f>ROUND(U18*2%,0)</f>
        <v>22530</v>
      </c>
      <c r="AC18" s="813">
        <v>0</v>
      </c>
      <c r="AD18" s="813">
        <v>0</v>
      </c>
      <c r="AE18" s="813">
        <f>SUM(AC18:AD18)</f>
        <v>0</v>
      </c>
      <c r="AF18" s="813">
        <f>Z18+AA18+AB18+AE18</f>
        <v>1529800</v>
      </c>
      <c r="AG18" s="836">
        <v>0</v>
      </c>
      <c r="AH18" s="836">
        <v>0</v>
      </c>
      <c r="AI18" s="836">
        <f>2.54+0.48</f>
        <v>3.02</v>
      </c>
      <c r="AJ18" s="836">
        <v>0</v>
      </c>
      <c r="AK18" s="836">
        <v>0</v>
      </c>
      <c r="AL18" s="836">
        <f>AG18+AI18+AJ18</f>
        <v>3.02</v>
      </c>
      <c r="AM18" s="836">
        <f>AH18+AK18</f>
        <v>0</v>
      </c>
      <c r="AN18" s="837">
        <f>SUM(AL18:AM18)</f>
        <v>3.02</v>
      </c>
      <c r="AO18" s="835">
        <f>I18+AF18</f>
        <v>1529800</v>
      </c>
      <c r="AP18" s="813">
        <f>J18+U18</f>
        <v>1126510</v>
      </c>
      <c r="AQ18" s="813">
        <f>Y18</f>
        <v>0</v>
      </c>
      <c r="AR18" s="813">
        <f t="shared" si="3"/>
        <v>380760</v>
      </c>
      <c r="AS18" s="813">
        <f t="shared" si="3"/>
        <v>22530</v>
      </c>
      <c r="AT18" s="813">
        <f>M18+AE18</f>
        <v>0</v>
      </c>
      <c r="AU18" s="836">
        <f>N18+AN18</f>
        <v>3.02</v>
      </c>
      <c r="AV18" s="836">
        <f t="shared" si="4"/>
        <v>3.02</v>
      </c>
      <c r="AW18" s="837">
        <f t="shared" si="4"/>
        <v>0</v>
      </c>
    </row>
    <row r="19" spans="1:49" ht="12.95" customHeight="1" x14ac:dyDescent="0.25">
      <c r="A19" s="828">
        <v>2</v>
      </c>
      <c r="B19" s="946">
        <v>5416</v>
      </c>
      <c r="C19" s="947">
        <v>600099342</v>
      </c>
      <c r="D19" s="946">
        <v>854719</v>
      </c>
      <c r="E19" s="1004" t="s">
        <v>439</v>
      </c>
      <c r="F19" s="946">
        <v>3143</v>
      </c>
      <c r="G19" s="831" t="s">
        <v>635</v>
      </c>
      <c r="H19" s="831" t="s">
        <v>283</v>
      </c>
      <c r="I19" s="803">
        <f>SUM(J19:M19)</f>
        <v>1773375</v>
      </c>
      <c r="J19" s="833">
        <v>1305873</v>
      </c>
      <c r="K19" s="833">
        <f>ROUND((J19)*33.8%,0)</f>
        <v>441385</v>
      </c>
      <c r="L19" s="833">
        <f>ROUND(J19*2%,0)</f>
        <v>26117</v>
      </c>
      <c r="M19" s="833">
        <v>0</v>
      </c>
      <c r="N19" s="834">
        <f>SUM(O19:P19)</f>
        <v>2.625</v>
      </c>
      <c r="O19" s="1054">
        <v>2.625</v>
      </c>
      <c r="P19" s="1055">
        <v>0</v>
      </c>
      <c r="Q19" s="835">
        <f>V19*-1</f>
        <v>0</v>
      </c>
      <c r="R19" s="813">
        <v>0</v>
      </c>
      <c r="S19" s="813">
        <v>0</v>
      </c>
      <c r="T19" s="813">
        <v>0</v>
      </c>
      <c r="U19" s="813">
        <f>SUM(Q19:T19)</f>
        <v>0</v>
      </c>
      <c r="V19" s="813">
        <v>0</v>
      </c>
      <c r="W19" s="813">
        <v>0</v>
      </c>
      <c r="X19" s="813">
        <v>0</v>
      </c>
      <c r="Y19" s="813">
        <f>SUM(V19:X19)</f>
        <v>0</v>
      </c>
      <c r="Z19" s="813">
        <f>U19+Y19</f>
        <v>0</v>
      </c>
      <c r="AA19" s="809">
        <f>ROUND((U19+V19+W19)*33.8%,0)</f>
        <v>0</v>
      </c>
      <c r="AB19" s="809">
        <f>ROUND(U19*2%,0)</f>
        <v>0</v>
      </c>
      <c r="AC19" s="813">
        <v>0</v>
      </c>
      <c r="AD19" s="813">
        <v>0</v>
      </c>
      <c r="AE19" s="813">
        <f>SUM(AC19:AD19)</f>
        <v>0</v>
      </c>
      <c r="AF19" s="813">
        <f>Z19+AA19+AB19+AE19</f>
        <v>0</v>
      </c>
      <c r="AG19" s="836">
        <v>0</v>
      </c>
      <c r="AH19" s="836">
        <v>0</v>
      </c>
      <c r="AI19" s="836">
        <v>0</v>
      </c>
      <c r="AJ19" s="836">
        <v>0</v>
      </c>
      <c r="AK19" s="836">
        <v>0</v>
      </c>
      <c r="AL19" s="836">
        <f>AG19+AI19+AJ19</f>
        <v>0</v>
      </c>
      <c r="AM19" s="836">
        <f>AH19+AK19</f>
        <v>0</v>
      </c>
      <c r="AN19" s="837">
        <f>SUM(AL19:AM19)</f>
        <v>0</v>
      </c>
      <c r="AO19" s="835">
        <f>I19+AF19</f>
        <v>1773375</v>
      </c>
      <c r="AP19" s="813">
        <f>J19+U19</f>
        <v>1305873</v>
      </c>
      <c r="AQ19" s="813">
        <f>Y19</f>
        <v>0</v>
      </c>
      <c r="AR19" s="813">
        <f t="shared" si="3"/>
        <v>441385</v>
      </c>
      <c r="AS19" s="813">
        <f t="shared" si="3"/>
        <v>26117</v>
      </c>
      <c r="AT19" s="813">
        <f>M19+AE19</f>
        <v>0</v>
      </c>
      <c r="AU19" s="836">
        <f>N19+AN19</f>
        <v>2.625</v>
      </c>
      <c r="AV19" s="836">
        <f t="shared" si="4"/>
        <v>2.625</v>
      </c>
      <c r="AW19" s="837">
        <f t="shared" si="4"/>
        <v>0</v>
      </c>
    </row>
    <row r="20" spans="1:49" ht="12.95" customHeight="1" x14ac:dyDescent="0.25">
      <c r="A20" s="828">
        <v>2</v>
      </c>
      <c r="B20" s="946">
        <v>5416</v>
      </c>
      <c r="C20" s="947">
        <v>600099342</v>
      </c>
      <c r="D20" s="946">
        <v>854719</v>
      </c>
      <c r="E20" s="1004" t="s">
        <v>439</v>
      </c>
      <c r="F20" s="946">
        <v>3143</v>
      </c>
      <c r="G20" s="831" t="s">
        <v>636</v>
      </c>
      <c r="H20" s="831" t="s">
        <v>284</v>
      </c>
      <c r="I20" s="803">
        <f>SUM(J20:M20)</f>
        <v>62497</v>
      </c>
      <c r="J20" s="833">
        <v>44055</v>
      </c>
      <c r="K20" s="805">
        <f>ROUND((J20)*33.8%,0)</f>
        <v>14891</v>
      </c>
      <c r="L20" s="833">
        <f>ROUND(J20*2%,0)</f>
        <v>881</v>
      </c>
      <c r="M20" s="833">
        <v>2670</v>
      </c>
      <c r="N20" s="834">
        <f>SUM(O20:P20)</f>
        <v>0.17</v>
      </c>
      <c r="O20" s="1054">
        <v>0</v>
      </c>
      <c r="P20" s="1055">
        <v>0.17</v>
      </c>
      <c r="Q20" s="835">
        <f>V20*-1</f>
        <v>0</v>
      </c>
      <c r="R20" s="813">
        <v>0</v>
      </c>
      <c r="S20" s="813">
        <v>0</v>
      </c>
      <c r="T20" s="813">
        <v>0</v>
      </c>
      <c r="U20" s="813">
        <f>SUM(Q20:T20)</f>
        <v>0</v>
      </c>
      <c r="V20" s="813">
        <v>0</v>
      </c>
      <c r="W20" s="813">
        <v>0</v>
      </c>
      <c r="X20" s="813">
        <v>0</v>
      </c>
      <c r="Y20" s="813">
        <f>SUM(V20:X20)</f>
        <v>0</v>
      </c>
      <c r="Z20" s="813">
        <f>U20+Y20</f>
        <v>0</v>
      </c>
      <c r="AA20" s="809">
        <f>ROUND((U20+V20+W20)*33.8%,0)</f>
        <v>0</v>
      </c>
      <c r="AB20" s="809">
        <f>ROUND(U20*2%,0)</f>
        <v>0</v>
      </c>
      <c r="AC20" s="813">
        <v>0</v>
      </c>
      <c r="AD20" s="813">
        <v>0</v>
      </c>
      <c r="AE20" s="813">
        <f>SUM(AC20:AD20)</f>
        <v>0</v>
      </c>
      <c r="AF20" s="813">
        <f>Z20+AA20+AB20+AE20</f>
        <v>0</v>
      </c>
      <c r="AG20" s="836">
        <v>0</v>
      </c>
      <c r="AH20" s="836">
        <v>0</v>
      </c>
      <c r="AI20" s="836">
        <v>0</v>
      </c>
      <c r="AJ20" s="836">
        <v>0</v>
      </c>
      <c r="AK20" s="836">
        <v>0</v>
      </c>
      <c r="AL20" s="836">
        <f>AG20+AI20+AJ20</f>
        <v>0</v>
      </c>
      <c r="AM20" s="836">
        <f>AH20+AK20</f>
        <v>0</v>
      </c>
      <c r="AN20" s="837">
        <f>SUM(AL20:AM20)</f>
        <v>0</v>
      </c>
      <c r="AO20" s="835">
        <f>I20+AF20</f>
        <v>62497</v>
      </c>
      <c r="AP20" s="813">
        <f>J20+U20</f>
        <v>44055</v>
      </c>
      <c r="AQ20" s="813">
        <f>Y20</f>
        <v>0</v>
      </c>
      <c r="AR20" s="813">
        <f t="shared" si="3"/>
        <v>14891</v>
      </c>
      <c r="AS20" s="813">
        <f t="shared" si="3"/>
        <v>881</v>
      </c>
      <c r="AT20" s="813">
        <f>M20+AE20</f>
        <v>2670</v>
      </c>
      <c r="AU20" s="836">
        <f>N20+AN20</f>
        <v>0.17</v>
      </c>
      <c r="AV20" s="836">
        <f t="shared" si="4"/>
        <v>0</v>
      </c>
      <c r="AW20" s="837">
        <f t="shared" si="4"/>
        <v>0.17</v>
      </c>
    </row>
    <row r="21" spans="1:49" ht="12.95" customHeight="1" x14ac:dyDescent="0.25">
      <c r="A21" s="850">
        <v>2</v>
      </c>
      <c r="B21" s="951">
        <v>5416</v>
      </c>
      <c r="C21" s="952">
        <v>600099342</v>
      </c>
      <c r="D21" s="951">
        <v>854719</v>
      </c>
      <c r="E21" s="1005" t="s">
        <v>440</v>
      </c>
      <c r="F21" s="951"/>
      <c r="G21" s="1006"/>
      <c r="H21" s="1007"/>
      <c r="I21" s="820">
        <f t="shared" ref="I21:AW21" si="5">SUM(I17:I20)</f>
        <v>23126060</v>
      </c>
      <c r="J21" s="821">
        <f t="shared" si="5"/>
        <v>16679992</v>
      </c>
      <c r="K21" s="821">
        <f t="shared" si="5"/>
        <v>5637838</v>
      </c>
      <c r="L21" s="821">
        <f t="shared" si="5"/>
        <v>333600</v>
      </c>
      <c r="M21" s="821">
        <f t="shared" si="5"/>
        <v>474630</v>
      </c>
      <c r="N21" s="822">
        <f t="shared" si="5"/>
        <v>30.839400000000005</v>
      </c>
      <c r="O21" s="822">
        <f t="shared" si="5"/>
        <v>24.033200000000001</v>
      </c>
      <c r="P21" s="824">
        <f t="shared" si="5"/>
        <v>6.8062000000000005</v>
      </c>
      <c r="Q21" s="825">
        <f t="shared" si="5"/>
        <v>-72000</v>
      </c>
      <c r="R21" s="821">
        <f t="shared" si="5"/>
        <v>1126510</v>
      </c>
      <c r="S21" s="821">
        <f t="shared" si="5"/>
        <v>0</v>
      </c>
      <c r="T21" s="821">
        <f t="shared" si="5"/>
        <v>0</v>
      </c>
      <c r="U21" s="821">
        <f t="shared" si="5"/>
        <v>1054510</v>
      </c>
      <c r="V21" s="821">
        <f t="shared" si="5"/>
        <v>72000</v>
      </c>
      <c r="W21" s="821">
        <f t="shared" si="5"/>
        <v>0</v>
      </c>
      <c r="X21" s="821">
        <f t="shared" si="5"/>
        <v>0</v>
      </c>
      <c r="Y21" s="821">
        <f t="shared" si="5"/>
        <v>72000</v>
      </c>
      <c r="Z21" s="821">
        <f t="shared" si="5"/>
        <v>1126510</v>
      </c>
      <c r="AA21" s="821">
        <f t="shared" si="5"/>
        <v>380760</v>
      </c>
      <c r="AB21" s="821">
        <f t="shared" si="5"/>
        <v>21090</v>
      </c>
      <c r="AC21" s="821">
        <f t="shared" si="5"/>
        <v>0</v>
      </c>
      <c r="AD21" s="821">
        <f t="shared" si="5"/>
        <v>0</v>
      </c>
      <c r="AE21" s="821">
        <f t="shared" si="5"/>
        <v>0</v>
      </c>
      <c r="AF21" s="821">
        <f t="shared" si="5"/>
        <v>1528360</v>
      </c>
      <c r="AG21" s="822">
        <f t="shared" si="5"/>
        <v>-7.0000000000000007E-2</v>
      </c>
      <c r="AH21" s="822">
        <f t="shared" si="5"/>
        <v>-0.03</v>
      </c>
      <c r="AI21" s="822">
        <f t="shared" si="5"/>
        <v>3.02</v>
      </c>
      <c r="AJ21" s="822">
        <f t="shared" si="5"/>
        <v>0</v>
      </c>
      <c r="AK21" s="822">
        <f t="shared" si="5"/>
        <v>0</v>
      </c>
      <c r="AL21" s="822">
        <f t="shared" si="5"/>
        <v>2.95</v>
      </c>
      <c r="AM21" s="822">
        <f t="shared" si="5"/>
        <v>-0.03</v>
      </c>
      <c r="AN21" s="824">
        <f t="shared" si="5"/>
        <v>2.92</v>
      </c>
      <c r="AO21" s="825">
        <f t="shared" si="5"/>
        <v>24654420</v>
      </c>
      <c r="AP21" s="821">
        <f t="shared" si="5"/>
        <v>17734502</v>
      </c>
      <c r="AQ21" s="821">
        <f t="shared" si="5"/>
        <v>72000</v>
      </c>
      <c r="AR21" s="821">
        <f t="shared" si="5"/>
        <v>6018598</v>
      </c>
      <c r="AS21" s="821">
        <f t="shared" si="5"/>
        <v>354690</v>
      </c>
      <c r="AT21" s="821">
        <f t="shared" si="5"/>
        <v>474630</v>
      </c>
      <c r="AU21" s="822">
        <f t="shared" si="5"/>
        <v>33.759399999999999</v>
      </c>
      <c r="AV21" s="822">
        <f t="shared" si="5"/>
        <v>26.9832</v>
      </c>
      <c r="AW21" s="824">
        <f t="shared" si="5"/>
        <v>6.7762000000000002</v>
      </c>
    </row>
    <row r="22" spans="1:49" ht="12.95" customHeight="1" x14ac:dyDescent="0.25">
      <c r="A22" s="828">
        <v>3</v>
      </c>
      <c r="B22" s="946">
        <v>5413</v>
      </c>
      <c r="C22" s="947">
        <v>600099334</v>
      </c>
      <c r="D22" s="946">
        <v>854697</v>
      </c>
      <c r="E22" s="1004" t="s">
        <v>441</v>
      </c>
      <c r="F22" s="946">
        <v>3113</v>
      </c>
      <c r="G22" s="1000" t="s">
        <v>335</v>
      </c>
      <c r="H22" s="831" t="s">
        <v>283</v>
      </c>
      <c r="I22" s="803">
        <f>SUM(J22:M22)</f>
        <v>23216348</v>
      </c>
      <c r="J22" s="833">
        <v>16736067</v>
      </c>
      <c r="K22" s="833">
        <f>ROUND((J22)*33.8%,0)-1</f>
        <v>5656790</v>
      </c>
      <c r="L22" s="833">
        <f>ROUND(J22*2%,0)</f>
        <v>334721</v>
      </c>
      <c r="M22" s="833">
        <v>488770</v>
      </c>
      <c r="N22" s="834">
        <f>SUM(O22:P22)</f>
        <v>30.112500000000001</v>
      </c>
      <c r="O22" s="1054">
        <v>23.0763</v>
      </c>
      <c r="P22" s="1055">
        <v>7.0362</v>
      </c>
      <c r="Q22" s="835">
        <f>V22*-1</f>
        <v>-48000</v>
      </c>
      <c r="R22" s="813">
        <v>0</v>
      </c>
      <c r="S22" s="813">
        <v>0</v>
      </c>
      <c r="T22" s="813">
        <v>0</v>
      </c>
      <c r="U22" s="813">
        <f>SUM(Q22:T22)</f>
        <v>-48000</v>
      </c>
      <c r="V22" s="813">
        <v>48000</v>
      </c>
      <c r="W22" s="813">
        <v>0</v>
      </c>
      <c r="X22" s="813">
        <v>0</v>
      </c>
      <c r="Y22" s="813">
        <f>SUM(V22:X22)</f>
        <v>48000</v>
      </c>
      <c r="Z22" s="813">
        <f>U22+Y22</f>
        <v>0</v>
      </c>
      <c r="AA22" s="809">
        <f>ROUND((U22+V22+W22)*33.8%,0)</f>
        <v>0</v>
      </c>
      <c r="AB22" s="809">
        <f>ROUND(U22*2%,0)</f>
        <v>-960</v>
      </c>
      <c r="AC22" s="813">
        <v>0</v>
      </c>
      <c r="AD22" s="813">
        <v>0</v>
      </c>
      <c r="AE22" s="813">
        <f>SUM(AC22:AD22)</f>
        <v>0</v>
      </c>
      <c r="AF22" s="813">
        <f>Z22+AA22+AB22+AE22</f>
        <v>-960</v>
      </c>
      <c r="AG22" s="836">
        <v>-0.05</v>
      </c>
      <c r="AH22" s="836">
        <v>-7.0000000000000007E-2</v>
      </c>
      <c r="AI22" s="836">
        <v>0</v>
      </c>
      <c r="AJ22" s="836">
        <v>0</v>
      </c>
      <c r="AK22" s="836">
        <v>0</v>
      </c>
      <c r="AL22" s="836">
        <f>AG22+AI22+AJ22</f>
        <v>-0.05</v>
      </c>
      <c r="AM22" s="836">
        <f>AH22+AK22</f>
        <v>-7.0000000000000007E-2</v>
      </c>
      <c r="AN22" s="837">
        <f>SUM(AL22:AM22)</f>
        <v>-0.12000000000000001</v>
      </c>
      <c r="AO22" s="835">
        <f>I22+AF22</f>
        <v>23215388</v>
      </c>
      <c r="AP22" s="813">
        <f>J22+U22</f>
        <v>16688067</v>
      </c>
      <c r="AQ22" s="813">
        <f>Y22</f>
        <v>48000</v>
      </c>
      <c r="AR22" s="813">
        <f t="shared" ref="AR22:AS26" si="6">K22+AA22</f>
        <v>5656790</v>
      </c>
      <c r="AS22" s="813">
        <f t="shared" si="6"/>
        <v>333761</v>
      </c>
      <c r="AT22" s="813">
        <f>M22+AE22</f>
        <v>488770</v>
      </c>
      <c r="AU22" s="836">
        <f>N22+AN22</f>
        <v>29.9925</v>
      </c>
      <c r="AV22" s="836">
        <f t="shared" ref="AV22:AW26" si="7">O22+AL22</f>
        <v>23.026299999999999</v>
      </c>
      <c r="AW22" s="837">
        <f t="shared" si="7"/>
        <v>6.9661999999999997</v>
      </c>
    </row>
    <row r="23" spans="1:49" ht="12.95" customHeight="1" x14ac:dyDescent="0.25">
      <c r="A23" s="828">
        <v>3</v>
      </c>
      <c r="B23" s="946">
        <v>5413</v>
      </c>
      <c r="C23" s="947">
        <v>600099334</v>
      </c>
      <c r="D23" s="946">
        <v>854697</v>
      </c>
      <c r="E23" s="1004" t="s">
        <v>441</v>
      </c>
      <c r="F23" s="946">
        <v>3113</v>
      </c>
      <c r="G23" s="831" t="s">
        <v>318</v>
      </c>
      <c r="H23" s="831" t="s">
        <v>284</v>
      </c>
      <c r="I23" s="803">
        <f>SUM(J23:M23)</f>
        <v>0</v>
      </c>
      <c r="J23" s="833">
        <v>0</v>
      </c>
      <c r="K23" s="833">
        <v>0</v>
      </c>
      <c r="L23" s="833">
        <v>0</v>
      </c>
      <c r="M23" s="833">
        <v>0</v>
      </c>
      <c r="N23" s="834">
        <f>SUM(O23:P23)</f>
        <v>0</v>
      </c>
      <c r="O23" s="1054">
        <v>0</v>
      </c>
      <c r="P23" s="1055">
        <v>0</v>
      </c>
      <c r="Q23" s="835">
        <f>V23*-1</f>
        <v>0</v>
      </c>
      <c r="R23" s="833">
        <f>1289743-129917</f>
        <v>1159826</v>
      </c>
      <c r="S23" s="813">
        <v>0</v>
      </c>
      <c r="T23" s="813">
        <v>0</v>
      </c>
      <c r="U23" s="813">
        <f>SUM(Q23:T23)</f>
        <v>1159826</v>
      </c>
      <c r="V23" s="813">
        <v>0</v>
      </c>
      <c r="W23" s="813">
        <v>0</v>
      </c>
      <c r="X23" s="813">
        <v>0</v>
      </c>
      <c r="Y23" s="813">
        <f>SUM(V23:X23)</f>
        <v>0</v>
      </c>
      <c r="Z23" s="813">
        <f>U23+Y23</f>
        <v>1159826</v>
      </c>
      <c r="AA23" s="809">
        <f>ROUND((U23+V23+W23)*33.8%,0)</f>
        <v>392021</v>
      </c>
      <c r="AB23" s="809">
        <f>ROUND(U23*2%,0)</f>
        <v>23197</v>
      </c>
      <c r="AC23" s="813">
        <f>500+700</f>
        <v>1200</v>
      </c>
      <c r="AD23" s="813">
        <v>0</v>
      </c>
      <c r="AE23" s="813">
        <f>SUM(AC23:AD23)</f>
        <v>1200</v>
      </c>
      <c r="AF23" s="813">
        <f>Z23+AA23+AB23+AE23</f>
        <v>1576244</v>
      </c>
      <c r="AG23" s="836">
        <v>0</v>
      </c>
      <c r="AH23" s="836">
        <v>0</v>
      </c>
      <c r="AI23" s="836">
        <f>3.64-0.38</f>
        <v>3.2600000000000002</v>
      </c>
      <c r="AJ23" s="836">
        <v>0</v>
      </c>
      <c r="AK23" s="836">
        <v>0</v>
      </c>
      <c r="AL23" s="836">
        <f>AG23+AI23+AJ23</f>
        <v>3.2600000000000002</v>
      </c>
      <c r="AM23" s="836">
        <f>AH23+AK23</f>
        <v>0</v>
      </c>
      <c r="AN23" s="837">
        <f>SUM(AL23:AM23)</f>
        <v>3.2600000000000002</v>
      </c>
      <c r="AO23" s="835">
        <f>I23+AF23</f>
        <v>1576244</v>
      </c>
      <c r="AP23" s="813">
        <f>J23+U23</f>
        <v>1159826</v>
      </c>
      <c r="AQ23" s="813">
        <f>Y23</f>
        <v>0</v>
      </c>
      <c r="AR23" s="813">
        <f t="shared" si="6"/>
        <v>392021</v>
      </c>
      <c r="AS23" s="813">
        <f t="shared" si="6"/>
        <v>23197</v>
      </c>
      <c r="AT23" s="813">
        <f>M23+AE23</f>
        <v>1200</v>
      </c>
      <c r="AU23" s="836">
        <f>N23+AN23</f>
        <v>3.2600000000000002</v>
      </c>
      <c r="AV23" s="836">
        <f t="shared" si="7"/>
        <v>3.2600000000000002</v>
      </c>
      <c r="AW23" s="837">
        <f t="shared" si="7"/>
        <v>0</v>
      </c>
    </row>
    <row r="24" spans="1:49" ht="12.95" customHeight="1" x14ac:dyDescent="0.25">
      <c r="A24" s="828">
        <v>3</v>
      </c>
      <c r="B24" s="946">
        <v>5413</v>
      </c>
      <c r="C24" s="947">
        <v>600099334</v>
      </c>
      <c r="D24" s="946">
        <v>854697</v>
      </c>
      <c r="E24" s="1004" t="s">
        <v>441</v>
      </c>
      <c r="F24" s="946">
        <v>3143</v>
      </c>
      <c r="G24" s="831" t="s">
        <v>635</v>
      </c>
      <c r="H24" s="831" t="s">
        <v>283</v>
      </c>
      <c r="I24" s="803">
        <f>SUM(J24:M24)</f>
        <v>1829912</v>
      </c>
      <c r="J24" s="833">
        <v>1347505</v>
      </c>
      <c r="K24" s="833">
        <f>ROUND((J24)*33.8%,0)</f>
        <v>455457</v>
      </c>
      <c r="L24" s="833">
        <f>ROUND(J24*2%,0)</f>
        <v>26950</v>
      </c>
      <c r="M24" s="833">
        <v>0</v>
      </c>
      <c r="N24" s="834">
        <f>SUM(O24:P24)</f>
        <v>2.8</v>
      </c>
      <c r="O24" s="1054">
        <v>2.8</v>
      </c>
      <c r="P24" s="1055">
        <v>0</v>
      </c>
      <c r="Q24" s="835">
        <f>V24*-1</f>
        <v>0</v>
      </c>
      <c r="R24" s="813">
        <v>0</v>
      </c>
      <c r="S24" s="813">
        <v>0</v>
      </c>
      <c r="T24" s="813">
        <v>0</v>
      </c>
      <c r="U24" s="813">
        <f>SUM(Q24:T24)</f>
        <v>0</v>
      </c>
      <c r="V24" s="813">
        <v>0</v>
      </c>
      <c r="W24" s="813">
        <v>0</v>
      </c>
      <c r="X24" s="813">
        <v>0</v>
      </c>
      <c r="Y24" s="813">
        <f>SUM(V24:X24)</f>
        <v>0</v>
      </c>
      <c r="Z24" s="813">
        <f>U24+Y24</f>
        <v>0</v>
      </c>
      <c r="AA24" s="809">
        <f>ROUND((U24+V24+W24)*33.8%,0)</f>
        <v>0</v>
      </c>
      <c r="AB24" s="809">
        <f>ROUND(U24*2%,0)</f>
        <v>0</v>
      </c>
      <c r="AC24" s="813">
        <v>0</v>
      </c>
      <c r="AD24" s="813">
        <v>0</v>
      </c>
      <c r="AE24" s="813">
        <f>SUM(AC24:AD24)</f>
        <v>0</v>
      </c>
      <c r="AF24" s="813">
        <f>Z24+AA24+AB24+AE24</f>
        <v>0</v>
      </c>
      <c r="AG24" s="836">
        <v>0</v>
      </c>
      <c r="AH24" s="836">
        <v>0</v>
      </c>
      <c r="AI24" s="836">
        <v>0</v>
      </c>
      <c r="AJ24" s="836">
        <v>0</v>
      </c>
      <c r="AK24" s="836">
        <v>0</v>
      </c>
      <c r="AL24" s="836">
        <f>AG24+AI24+AJ24</f>
        <v>0</v>
      </c>
      <c r="AM24" s="836">
        <f>AH24+AK24</f>
        <v>0</v>
      </c>
      <c r="AN24" s="837">
        <f>SUM(AL24:AM24)</f>
        <v>0</v>
      </c>
      <c r="AO24" s="835">
        <f>I24+AF24</f>
        <v>1829912</v>
      </c>
      <c r="AP24" s="813">
        <f>J24+U24</f>
        <v>1347505</v>
      </c>
      <c r="AQ24" s="813">
        <f>Y24</f>
        <v>0</v>
      </c>
      <c r="AR24" s="813">
        <f t="shared" si="6"/>
        <v>455457</v>
      </c>
      <c r="AS24" s="813">
        <f t="shared" si="6"/>
        <v>26950</v>
      </c>
      <c r="AT24" s="813">
        <f>M24+AE24</f>
        <v>0</v>
      </c>
      <c r="AU24" s="836">
        <f>N24+AN24</f>
        <v>2.8</v>
      </c>
      <c r="AV24" s="836">
        <f t="shared" si="7"/>
        <v>2.8</v>
      </c>
      <c r="AW24" s="837">
        <f t="shared" si="7"/>
        <v>0</v>
      </c>
    </row>
    <row r="25" spans="1:49" ht="12.95" customHeight="1" x14ac:dyDescent="0.25">
      <c r="A25" s="828">
        <v>3</v>
      </c>
      <c r="B25" s="946">
        <v>5413</v>
      </c>
      <c r="C25" s="947">
        <v>600099334</v>
      </c>
      <c r="D25" s="946">
        <v>854697</v>
      </c>
      <c r="E25" s="1004" t="s">
        <v>441</v>
      </c>
      <c r="F25" s="946">
        <v>3143</v>
      </c>
      <c r="G25" s="831" t="s">
        <v>636</v>
      </c>
      <c r="H25" s="831" t="s">
        <v>284</v>
      </c>
      <c r="I25" s="803">
        <f>SUM(J25:M25)</f>
        <v>56177</v>
      </c>
      <c r="J25" s="833">
        <v>39600</v>
      </c>
      <c r="K25" s="805">
        <f t="shared" ref="K25:K26" si="8">ROUND((J25)*33.8%,0)</f>
        <v>13385</v>
      </c>
      <c r="L25" s="833">
        <f t="shared" ref="L25:L26" si="9">ROUND(J25*2%,0)</f>
        <v>792</v>
      </c>
      <c r="M25" s="833">
        <v>2400</v>
      </c>
      <c r="N25" s="834">
        <f>SUM(O25:P25)</f>
        <v>0.19</v>
      </c>
      <c r="O25" s="1054">
        <v>0</v>
      </c>
      <c r="P25" s="1055">
        <v>0.19</v>
      </c>
      <c r="Q25" s="835">
        <f>V25*-1</f>
        <v>0</v>
      </c>
      <c r="R25" s="813">
        <v>0</v>
      </c>
      <c r="S25" s="813">
        <v>0</v>
      </c>
      <c r="T25" s="813">
        <v>0</v>
      </c>
      <c r="U25" s="813">
        <f>SUM(Q25:T25)</f>
        <v>0</v>
      </c>
      <c r="V25" s="813">
        <v>0</v>
      </c>
      <c r="W25" s="813">
        <v>0</v>
      </c>
      <c r="X25" s="813">
        <v>0</v>
      </c>
      <c r="Y25" s="813">
        <f>SUM(V25:X25)</f>
        <v>0</v>
      </c>
      <c r="Z25" s="813">
        <f>U25+Y25</f>
        <v>0</v>
      </c>
      <c r="AA25" s="809">
        <f>ROUND((U25+V25+W25)*33.8%,0)</f>
        <v>0</v>
      </c>
      <c r="AB25" s="809">
        <f>ROUND(U25*2%,0)</f>
        <v>0</v>
      </c>
      <c r="AC25" s="813">
        <v>0</v>
      </c>
      <c r="AD25" s="813">
        <v>0</v>
      </c>
      <c r="AE25" s="813">
        <f>SUM(AC25:AD25)</f>
        <v>0</v>
      </c>
      <c r="AF25" s="813">
        <f>Z25+AA25+AB25+AE25</f>
        <v>0</v>
      </c>
      <c r="AG25" s="836">
        <v>0</v>
      </c>
      <c r="AH25" s="836">
        <v>0</v>
      </c>
      <c r="AI25" s="836">
        <v>0</v>
      </c>
      <c r="AJ25" s="836">
        <v>0</v>
      </c>
      <c r="AK25" s="836">
        <v>0</v>
      </c>
      <c r="AL25" s="836">
        <f>AG25+AI25+AJ25</f>
        <v>0</v>
      </c>
      <c r="AM25" s="836">
        <f>AH25+AK25</f>
        <v>0</v>
      </c>
      <c r="AN25" s="837">
        <f>SUM(AL25:AM25)</f>
        <v>0</v>
      </c>
      <c r="AO25" s="835">
        <f>I25+AF25</f>
        <v>56177</v>
      </c>
      <c r="AP25" s="813">
        <f>J25+U25</f>
        <v>39600</v>
      </c>
      <c r="AQ25" s="813">
        <f>Y25</f>
        <v>0</v>
      </c>
      <c r="AR25" s="813">
        <f t="shared" si="6"/>
        <v>13385</v>
      </c>
      <c r="AS25" s="813">
        <f t="shared" si="6"/>
        <v>792</v>
      </c>
      <c r="AT25" s="813">
        <f>M25+AE25</f>
        <v>2400</v>
      </c>
      <c r="AU25" s="836">
        <f>N25+AN25</f>
        <v>0.19</v>
      </c>
      <c r="AV25" s="836">
        <f t="shared" si="7"/>
        <v>0</v>
      </c>
      <c r="AW25" s="837">
        <f t="shared" si="7"/>
        <v>0.19</v>
      </c>
    </row>
    <row r="26" spans="1:49" ht="12.95" customHeight="1" x14ac:dyDescent="0.25">
      <c r="A26" s="828">
        <v>3</v>
      </c>
      <c r="B26" s="946">
        <v>5413</v>
      </c>
      <c r="C26" s="947">
        <v>600099334</v>
      </c>
      <c r="D26" s="946">
        <v>854697</v>
      </c>
      <c r="E26" s="1004" t="s">
        <v>441</v>
      </c>
      <c r="F26" s="946">
        <v>3143</v>
      </c>
      <c r="G26" s="1000" t="s">
        <v>442</v>
      </c>
      <c r="H26" s="831" t="s">
        <v>284</v>
      </c>
      <c r="I26" s="803">
        <f>SUM(J26:M26)</f>
        <v>498499</v>
      </c>
      <c r="J26" s="833">
        <v>365073</v>
      </c>
      <c r="K26" s="805">
        <f t="shared" si="8"/>
        <v>123395</v>
      </c>
      <c r="L26" s="833">
        <f t="shared" si="9"/>
        <v>7301</v>
      </c>
      <c r="M26" s="833">
        <v>2730</v>
      </c>
      <c r="N26" s="834">
        <f>SUM(O26:P26)</f>
        <v>0.87000000000000011</v>
      </c>
      <c r="O26" s="1054">
        <v>0.68</v>
      </c>
      <c r="P26" s="1055">
        <v>0.19</v>
      </c>
      <c r="Q26" s="835">
        <f>V26*-1</f>
        <v>0</v>
      </c>
      <c r="R26" s="813">
        <v>0</v>
      </c>
      <c r="S26" s="813">
        <v>0</v>
      </c>
      <c r="T26" s="813">
        <v>0</v>
      </c>
      <c r="U26" s="813">
        <f>SUM(Q26:T26)</f>
        <v>0</v>
      </c>
      <c r="V26" s="813">
        <v>0</v>
      </c>
      <c r="W26" s="813">
        <v>0</v>
      </c>
      <c r="X26" s="813">
        <v>0</v>
      </c>
      <c r="Y26" s="813">
        <f>SUM(V26:X26)</f>
        <v>0</v>
      </c>
      <c r="Z26" s="813">
        <f>U26+Y26</f>
        <v>0</v>
      </c>
      <c r="AA26" s="809">
        <f>ROUND((U26+V26+W26)*33.8%,0)</f>
        <v>0</v>
      </c>
      <c r="AB26" s="809">
        <f>ROUND(U26*2%,0)</f>
        <v>0</v>
      </c>
      <c r="AC26" s="813">
        <v>0</v>
      </c>
      <c r="AD26" s="813">
        <v>0</v>
      </c>
      <c r="AE26" s="813">
        <f>SUM(AC26:AD26)</f>
        <v>0</v>
      </c>
      <c r="AF26" s="813">
        <f>Z26+AA26+AB26+AE26</f>
        <v>0</v>
      </c>
      <c r="AG26" s="836">
        <v>0</v>
      </c>
      <c r="AH26" s="836">
        <v>0</v>
      </c>
      <c r="AI26" s="836">
        <v>0</v>
      </c>
      <c r="AJ26" s="836">
        <v>0</v>
      </c>
      <c r="AK26" s="836">
        <v>0</v>
      </c>
      <c r="AL26" s="836">
        <f>AG26+AI26+AJ26</f>
        <v>0</v>
      </c>
      <c r="AM26" s="836">
        <f>AH26+AK26</f>
        <v>0</v>
      </c>
      <c r="AN26" s="837">
        <f>SUM(AL26:AM26)</f>
        <v>0</v>
      </c>
      <c r="AO26" s="835">
        <f>I26+AF26</f>
        <v>498499</v>
      </c>
      <c r="AP26" s="813">
        <f>J26+U26</f>
        <v>365073</v>
      </c>
      <c r="AQ26" s="813">
        <f>Y26</f>
        <v>0</v>
      </c>
      <c r="AR26" s="813">
        <f t="shared" si="6"/>
        <v>123395</v>
      </c>
      <c r="AS26" s="813">
        <f t="shared" si="6"/>
        <v>7301</v>
      </c>
      <c r="AT26" s="813">
        <f>M26+AE26</f>
        <v>2730</v>
      </c>
      <c r="AU26" s="836">
        <f>N26+AN26</f>
        <v>0.87000000000000011</v>
      </c>
      <c r="AV26" s="836">
        <f t="shared" si="7"/>
        <v>0.68</v>
      </c>
      <c r="AW26" s="837">
        <f t="shared" si="7"/>
        <v>0.19</v>
      </c>
    </row>
    <row r="27" spans="1:49" ht="12.95" customHeight="1" x14ac:dyDescent="0.25">
      <c r="A27" s="850">
        <v>3</v>
      </c>
      <c r="B27" s="951">
        <v>5413</v>
      </c>
      <c r="C27" s="952">
        <v>600099334</v>
      </c>
      <c r="D27" s="951">
        <v>854697</v>
      </c>
      <c r="E27" s="1005" t="s">
        <v>443</v>
      </c>
      <c r="F27" s="951"/>
      <c r="G27" s="1006"/>
      <c r="H27" s="1007"/>
      <c r="I27" s="820">
        <f t="shared" ref="I27:AW27" si="10">SUM(I22:I26)</f>
        <v>25600936</v>
      </c>
      <c r="J27" s="821">
        <f t="shared" si="10"/>
        <v>18488245</v>
      </c>
      <c r="K27" s="821">
        <f t="shared" si="10"/>
        <v>6249027</v>
      </c>
      <c r="L27" s="821">
        <f t="shared" si="10"/>
        <v>369764</v>
      </c>
      <c r="M27" s="821">
        <f t="shared" si="10"/>
        <v>493900</v>
      </c>
      <c r="N27" s="822">
        <f t="shared" si="10"/>
        <v>33.972499999999997</v>
      </c>
      <c r="O27" s="822">
        <f t="shared" si="10"/>
        <v>26.5563</v>
      </c>
      <c r="P27" s="824">
        <f t="shared" si="10"/>
        <v>7.4162000000000008</v>
      </c>
      <c r="Q27" s="825">
        <f t="shared" si="10"/>
        <v>-48000</v>
      </c>
      <c r="R27" s="821">
        <f t="shared" si="10"/>
        <v>1159826</v>
      </c>
      <c r="S27" s="821">
        <f t="shared" si="10"/>
        <v>0</v>
      </c>
      <c r="T27" s="821">
        <f t="shared" si="10"/>
        <v>0</v>
      </c>
      <c r="U27" s="821">
        <f t="shared" si="10"/>
        <v>1111826</v>
      </c>
      <c r="V27" s="821">
        <f t="shared" si="10"/>
        <v>48000</v>
      </c>
      <c r="W27" s="821">
        <f t="shared" si="10"/>
        <v>0</v>
      </c>
      <c r="X27" s="821">
        <f t="shared" si="10"/>
        <v>0</v>
      </c>
      <c r="Y27" s="821">
        <f t="shared" si="10"/>
        <v>48000</v>
      </c>
      <c r="Z27" s="821">
        <f t="shared" si="10"/>
        <v>1159826</v>
      </c>
      <c r="AA27" s="821">
        <f t="shared" si="10"/>
        <v>392021</v>
      </c>
      <c r="AB27" s="821">
        <f t="shared" si="10"/>
        <v>22237</v>
      </c>
      <c r="AC27" s="821">
        <f t="shared" si="10"/>
        <v>1200</v>
      </c>
      <c r="AD27" s="821">
        <f t="shared" si="10"/>
        <v>0</v>
      </c>
      <c r="AE27" s="821">
        <f t="shared" si="10"/>
        <v>1200</v>
      </c>
      <c r="AF27" s="821">
        <f t="shared" si="10"/>
        <v>1575284</v>
      </c>
      <c r="AG27" s="822">
        <f t="shared" si="10"/>
        <v>-0.05</v>
      </c>
      <c r="AH27" s="822">
        <f t="shared" si="10"/>
        <v>-7.0000000000000007E-2</v>
      </c>
      <c r="AI27" s="822">
        <f t="shared" si="10"/>
        <v>3.2600000000000002</v>
      </c>
      <c r="AJ27" s="822">
        <f t="shared" si="10"/>
        <v>0</v>
      </c>
      <c r="AK27" s="822">
        <f t="shared" si="10"/>
        <v>0</v>
      </c>
      <c r="AL27" s="822">
        <f t="shared" si="10"/>
        <v>3.2100000000000004</v>
      </c>
      <c r="AM27" s="822">
        <f t="shared" si="10"/>
        <v>-7.0000000000000007E-2</v>
      </c>
      <c r="AN27" s="824">
        <f t="shared" si="10"/>
        <v>3.14</v>
      </c>
      <c r="AO27" s="825">
        <f t="shared" si="10"/>
        <v>27176220</v>
      </c>
      <c r="AP27" s="821">
        <f t="shared" si="10"/>
        <v>19600071</v>
      </c>
      <c r="AQ27" s="821">
        <f t="shared" si="10"/>
        <v>48000</v>
      </c>
      <c r="AR27" s="821">
        <f t="shared" si="10"/>
        <v>6641048</v>
      </c>
      <c r="AS27" s="821">
        <f t="shared" si="10"/>
        <v>392001</v>
      </c>
      <c r="AT27" s="821">
        <f t="shared" si="10"/>
        <v>495100</v>
      </c>
      <c r="AU27" s="822">
        <f t="shared" si="10"/>
        <v>37.11249999999999</v>
      </c>
      <c r="AV27" s="822">
        <f t="shared" si="10"/>
        <v>29.766300000000001</v>
      </c>
      <c r="AW27" s="824">
        <f t="shared" si="10"/>
        <v>7.3462000000000005</v>
      </c>
    </row>
    <row r="28" spans="1:49" ht="12.95" customHeight="1" x14ac:dyDescent="0.25">
      <c r="A28" s="828">
        <v>4</v>
      </c>
      <c r="B28" s="946">
        <v>5475</v>
      </c>
      <c r="C28" s="947">
        <v>600099385</v>
      </c>
      <c r="D28" s="946">
        <v>854735</v>
      </c>
      <c r="E28" s="1004" t="s">
        <v>444</v>
      </c>
      <c r="F28" s="946">
        <v>3231</v>
      </c>
      <c r="G28" s="1000" t="s">
        <v>424</v>
      </c>
      <c r="H28" s="831" t="s">
        <v>283</v>
      </c>
      <c r="I28" s="803">
        <f>SUM(J28:M28)</f>
        <v>12226572</v>
      </c>
      <c r="J28" s="833">
        <v>8972748</v>
      </c>
      <c r="K28" s="833">
        <f>ROUND((J28)*33.8%,0)</f>
        <v>3032789</v>
      </c>
      <c r="L28" s="833">
        <f>ROUND(J28*2%,0)</f>
        <v>179455</v>
      </c>
      <c r="M28" s="833">
        <v>41580</v>
      </c>
      <c r="N28" s="834">
        <f>SUM(O28:P28)</f>
        <v>17.3858</v>
      </c>
      <c r="O28" s="1054">
        <v>15.4291</v>
      </c>
      <c r="P28" s="1055">
        <v>1.9567000000000001</v>
      </c>
      <c r="Q28" s="835">
        <f>V28*-1</f>
        <v>-84200</v>
      </c>
      <c r="R28" s="813">
        <v>0</v>
      </c>
      <c r="S28" s="813">
        <v>0</v>
      </c>
      <c r="T28" s="813">
        <v>0</v>
      </c>
      <c r="U28" s="813">
        <f>SUM(Q28:T28)</f>
        <v>-84200</v>
      </c>
      <c r="V28" s="813">
        <v>84200</v>
      </c>
      <c r="W28" s="813">
        <v>0</v>
      </c>
      <c r="X28" s="813">
        <v>0</v>
      </c>
      <c r="Y28" s="813">
        <f>SUM(V28:X28)</f>
        <v>84200</v>
      </c>
      <c r="Z28" s="813">
        <f>U28+Y28</f>
        <v>0</v>
      </c>
      <c r="AA28" s="809">
        <f>ROUND((U28+V28+W28)*33.8%,0)</f>
        <v>0</v>
      </c>
      <c r="AB28" s="809">
        <f>ROUND(U28*2%,0)</f>
        <v>-1684</v>
      </c>
      <c r="AC28" s="813">
        <v>0</v>
      </c>
      <c r="AD28" s="813">
        <v>0</v>
      </c>
      <c r="AE28" s="813">
        <f>SUM(AC28:AD28)</f>
        <v>0</v>
      </c>
      <c r="AF28" s="813">
        <f>Z28+AA28+AB28+AE28</f>
        <v>-1684</v>
      </c>
      <c r="AG28" s="836">
        <v>0</v>
      </c>
      <c r="AH28" s="836">
        <v>-0.25</v>
      </c>
      <c r="AI28" s="836">
        <v>0</v>
      </c>
      <c r="AJ28" s="836">
        <v>0</v>
      </c>
      <c r="AK28" s="836">
        <v>0</v>
      </c>
      <c r="AL28" s="836">
        <f>AG28+AI28+AJ28</f>
        <v>0</v>
      </c>
      <c r="AM28" s="836">
        <f>AH28+AK28</f>
        <v>-0.25</v>
      </c>
      <c r="AN28" s="837">
        <f>SUM(AL28:AM28)</f>
        <v>-0.25</v>
      </c>
      <c r="AO28" s="835">
        <f>I28+AF28</f>
        <v>12224888</v>
      </c>
      <c r="AP28" s="813">
        <f>J28+U28</f>
        <v>8888548</v>
      </c>
      <c r="AQ28" s="813">
        <f>Y28</f>
        <v>84200</v>
      </c>
      <c r="AR28" s="813">
        <f>K28+AA28</f>
        <v>3032789</v>
      </c>
      <c r="AS28" s="813">
        <f>L28+AB28</f>
        <v>177771</v>
      </c>
      <c r="AT28" s="813">
        <f>M28+AE28</f>
        <v>41580</v>
      </c>
      <c r="AU28" s="836">
        <f>N28+AN28</f>
        <v>17.1358</v>
      </c>
      <c r="AV28" s="836">
        <f>O28+AL28</f>
        <v>15.4291</v>
      </c>
      <c r="AW28" s="837">
        <f>P28+AM28</f>
        <v>1.7067000000000001</v>
      </c>
    </row>
    <row r="29" spans="1:49" ht="12.95" customHeight="1" x14ac:dyDescent="0.25">
      <c r="A29" s="850">
        <v>4</v>
      </c>
      <c r="B29" s="951">
        <v>5475</v>
      </c>
      <c r="C29" s="952">
        <v>600099385</v>
      </c>
      <c r="D29" s="951">
        <v>854735</v>
      </c>
      <c r="E29" s="1005" t="s">
        <v>445</v>
      </c>
      <c r="F29" s="951"/>
      <c r="G29" s="1006"/>
      <c r="H29" s="1007"/>
      <c r="I29" s="820">
        <f t="shared" ref="I29:AW29" si="11">SUM(I28)</f>
        <v>12226572</v>
      </c>
      <c r="J29" s="821">
        <f t="shared" si="11"/>
        <v>8972748</v>
      </c>
      <c r="K29" s="821">
        <f t="shared" si="11"/>
        <v>3032789</v>
      </c>
      <c r="L29" s="821">
        <f t="shared" si="11"/>
        <v>179455</v>
      </c>
      <c r="M29" s="821">
        <f t="shared" si="11"/>
        <v>41580</v>
      </c>
      <c r="N29" s="822">
        <f t="shared" si="11"/>
        <v>17.3858</v>
      </c>
      <c r="O29" s="822">
        <f t="shared" si="11"/>
        <v>15.4291</v>
      </c>
      <c r="P29" s="824">
        <f t="shared" si="11"/>
        <v>1.9567000000000001</v>
      </c>
      <c r="Q29" s="825">
        <f t="shared" si="11"/>
        <v>-84200</v>
      </c>
      <c r="R29" s="821">
        <f t="shared" si="11"/>
        <v>0</v>
      </c>
      <c r="S29" s="821">
        <f t="shared" si="11"/>
        <v>0</v>
      </c>
      <c r="T29" s="821">
        <f t="shared" si="11"/>
        <v>0</v>
      </c>
      <c r="U29" s="821">
        <f t="shared" si="11"/>
        <v>-84200</v>
      </c>
      <c r="V29" s="821">
        <f t="shared" si="11"/>
        <v>84200</v>
      </c>
      <c r="W29" s="821">
        <f t="shared" si="11"/>
        <v>0</v>
      </c>
      <c r="X29" s="821">
        <f t="shared" si="11"/>
        <v>0</v>
      </c>
      <c r="Y29" s="821">
        <f t="shared" si="11"/>
        <v>84200</v>
      </c>
      <c r="Z29" s="821">
        <f t="shared" si="11"/>
        <v>0</v>
      </c>
      <c r="AA29" s="821">
        <f t="shared" si="11"/>
        <v>0</v>
      </c>
      <c r="AB29" s="821">
        <f t="shared" si="11"/>
        <v>-1684</v>
      </c>
      <c r="AC29" s="821">
        <f t="shared" si="11"/>
        <v>0</v>
      </c>
      <c r="AD29" s="821">
        <f t="shared" si="11"/>
        <v>0</v>
      </c>
      <c r="AE29" s="821">
        <f t="shared" si="11"/>
        <v>0</v>
      </c>
      <c r="AF29" s="821">
        <f t="shared" si="11"/>
        <v>-1684</v>
      </c>
      <c r="AG29" s="822">
        <f t="shared" si="11"/>
        <v>0</v>
      </c>
      <c r="AH29" s="822">
        <f t="shared" si="11"/>
        <v>-0.25</v>
      </c>
      <c r="AI29" s="822">
        <f t="shared" si="11"/>
        <v>0</v>
      </c>
      <c r="AJ29" s="822">
        <f t="shared" si="11"/>
        <v>0</v>
      </c>
      <c r="AK29" s="822">
        <f t="shared" si="11"/>
        <v>0</v>
      </c>
      <c r="AL29" s="822">
        <f t="shared" si="11"/>
        <v>0</v>
      </c>
      <c r="AM29" s="822">
        <f t="shared" si="11"/>
        <v>-0.25</v>
      </c>
      <c r="AN29" s="824">
        <f t="shared" si="11"/>
        <v>-0.25</v>
      </c>
      <c r="AO29" s="825">
        <f t="shared" si="11"/>
        <v>12224888</v>
      </c>
      <c r="AP29" s="821">
        <f t="shared" si="11"/>
        <v>8888548</v>
      </c>
      <c r="AQ29" s="821">
        <f t="shared" si="11"/>
        <v>84200</v>
      </c>
      <c r="AR29" s="821">
        <f t="shared" si="11"/>
        <v>3032789</v>
      </c>
      <c r="AS29" s="821">
        <f t="shared" si="11"/>
        <v>177771</v>
      </c>
      <c r="AT29" s="821">
        <f t="shared" si="11"/>
        <v>41580</v>
      </c>
      <c r="AU29" s="822">
        <f t="shared" si="11"/>
        <v>17.1358</v>
      </c>
      <c r="AV29" s="822">
        <f t="shared" si="11"/>
        <v>15.4291</v>
      </c>
      <c r="AW29" s="824">
        <f t="shared" si="11"/>
        <v>1.7067000000000001</v>
      </c>
    </row>
    <row r="30" spans="1:49" ht="12.95" customHeight="1" x14ac:dyDescent="0.25">
      <c r="A30" s="828">
        <v>5</v>
      </c>
      <c r="B30" s="946">
        <v>5401</v>
      </c>
      <c r="C30" s="947">
        <v>600098397</v>
      </c>
      <c r="D30" s="946">
        <v>70983615</v>
      </c>
      <c r="E30" s="1004" t="s">
        <v>446</v>
      </c>
      <c r="F30" s="946">
        <v>3111</v>
      </c>
      <c r="G30" s="1000" t="s">
        <v>331</v>
      </c>
      <c r="H30" s="831" t="s">
        <v>283</v>
      </c>
      <c r="I30" s="803">
        <f>SUM(J30:M30)</f>
        <v>1766412</v>
      </c>
      <c r="J30" s="833">
        <v>1294449</v>
      </c>
      <c r="K30" s="833">
        <f>ROUND((J30)*33.8%,0)</f>
        <v>437524</v>
      </c>
      <c r="L30" s="833">
        <f>ROUND(J30*2%,0)</f>
        <v>25889</v>
      </c>
      <c r="M30" s="833">
        <v>8550</v>
      </c>
      <c r="N30" s="834">
        <f>SUM(O30:P30)</f>
        <v>2.7848999999999999</v>
      </c>
      <c r="O30" s="1054">
        <v>2</v>
      </c>
      <c r="P30" s="1055">
        <v>0.78489999999999993</v>
      </c>
      <c r="Q30" s="835">
        <f>V30*-1</f>
        <v>-36000</v>
      </c>
      <c r="R30" s="813">
        <v>0</v>
      </c>
      <c r="S30" s="813">
        <v>0</v>
      </c>
      <c r="T30" s="813">
        <v>0</v>
      </c>
      <c r="U30" s="813">
        <f>SUM(Q30:T30)</f>
        <v>-36000</v>
      </c>
      <c r="V30" s="813">
        <v>36000</v>
      </c>
      <c r="W30" s="813">
        <v>0</v>
      </c>
      <c r="X30" s="813">
        <v>0</v>
      </c>
      <c r="Y30" s="813">
        <f>SUM(V30:X30)</f>
        <v>36000</v>
      </c>
      <c r="Z30" s="813">
        <f>U30+Y30</f>
        <v>0</v>
      </c>
      <c r="AA30" s="809">
        <f>ROUND((U30+V30+W30)*33.8%,0)</f>
        <v>0</v>
      </c>
      <c r="AB30" s="809">
        <f>ROUND(U30*2%,0)</f>
        <v>-720</v>
      </c>
      <c r="AC30" s="813">
        <v>0</v>
      </c>
      <c r="AD30" s="813">
        <v>0</v>
      </c>
      <c r="AE30" s="813">
        <f>SUM(AC30:AD30)</f>
        <v>0</v>
      </c>
      <c r="AF30" s="813">
        <f>Z30+AA30+AB30+AE30</f>
        <v>-720</v>
      </c>
      <c r="AG30" s="836">
        <v>0</v>
      </c>
      <c r="AH30" s="836">
        <v>-0.16</v>
      </c>
      <c r="AI30" s="836">
        <v>0</v>
      </c>
      <c r="AJ30" s="836">
        <v>0</v>
      </c>
      <c r="AK30" s="836">
        <v>0</v>
      </c>
      <c r="AL30" s="836">
        <f>AG30+AI30+AJ30</f>
        <v>0</v>
      </c>
      <c r="AM30" s="836">
        <f>AH30+AK30</f>
        <v>-0.16</v>
      </c>
      <c r="AN30" s="837">
        <f>SUM(AL30:AM30)</f>
        <v>-0.16</v>
      </c>
      <c r="AO30" s="835">
        <f>I30+AF30</f>
        <v>1765692</v>
      </c>
      <c r="AP30" s="813">
        <f>J30+U30</f>
        <v>1258449</v>
      </c>
      <c r="AQ30" s="813">
        <f>Y30</f>
        <v>36000</v>
      </c>
      <c r="AR30" s="813">
        <f>K30+AA30</f>
        <v>437524</v>
      </c>
      <c r="AS30" s="813">
        <f>L30+AB30</f>
        <v>25169</v>
      </c>
      <c r="AT30" s="813">
        <f>M30+AE30</f>
        <v>8550</v>
      </c>
      <c r="AU30" s="836">
        <f>N30+AN30</f>
        <v>2.6248999999999998</v>
      </c>
      <c r="AV30" s="836">
        <f>O30+AL30</f>
        <v>2</v>
      </c>
      <c r="AW30" s="837">
        <f>P30+AM30</f>
        <v>0.6248999999999999</v>
      </c>
    </row>
    <row r="31" spans="1:49" ht="12.95" customHeight="1" x14ac:dyDescent="0.25">
      <c r="A31" s="828">
        <v>5</v>
      </c>
      <c r="B31" s="946">
        <v>5401</v>
      </c>
      <c r="C31" s="947">
        <v>600098397</v>
      </c>
      <c r="D31" s="946">
        <v>70983615</v>
      </c>
      <c r="E31" s="1004" t="s">
        <v>446</v>
      </c>
      <c r="F31" s="946">
        <v>3141</v>
      </c>
      <c r="G31" s="1000" t="s">
        <v>321</v>
      </c>
      <c r="H31" s="831" t="s">
        <v>284</v>
      </c>
      <c r="I31" s="803">
        <f>SUM(J31:M31)</f>
        <v>125113</v>
      </c>
      <c r="J31" s="833">
        <v>91599</v>
      </c>
      <c r="K31" s="805">
        <f>ROUND((J31)*33.8%,0)</f>
        <v>30960</v>
      </c>
      <c r="L31" s="833">
        <f>ROUND(J31*2%,0)</f>
        <v>1832</v>
      </c>
      <c r="M31" s="833">
        <v>722</v>
      </c>
      <c r="N31" s="834">
        <f>O31+P31</f>
        <v>0.31</v>
      </c>
      <c r="O31" s="1054">
        <v>0</v>
      </c>
      <c r="P31" s="1055">
        <v>0.31</v>
      </c>
      <c r="Q31" s="835">
        <f>V31*-1</f>
        <v>0</v>
      </c>
      <c r="R31" s="813">
        <v>0</v>
      </c>
      <c r="S31" s="813">
        <v>0</v>
      </c>
      <c r="T31" s="813">
        <v>0</v>
      </c>
      <c r="U31" s="813">
        <f>SUM(Q31:T31)</f>
        <v>0</v>
      </c>
      <c r="V31" s="813">
        <v>0</v>
      </c>
      <c r="W31" s="813">
        <v>0</v>
      </c>
      <c r="X31" s="813">
        <v>0</v>
      </c>
      <c r="Y31" s="813">
        <f>SUM(V31:X31)</f>
        <v>0</v>
      </c>
      <c r="Z31" s="813">
        <f>U31+Y31</f>
        <v>0</v>
      </c>
      <c r="AA31" s="809">
        <f>ROUND((U31+V31+W31)*33.8%,0)</f>
        <v>0</v>
      </c>
      <c r="AB31" s="809">
        <f>ROUND(U31*2%,0)</f>
        <v>0</v>
      </c>
      <c r="AC31" s="813">
        <v>0</v>
      </c>
      <c r="AD31" s="813">
        <v>0</v>
      </c>
      <c r="AE31" s="813">
        <f>SUM(AC31:AD31)</f>
        <v>0</v>
      </c>
      <c r="AF31" s="813">
        <f>Z31+AA31+AB31+AE31</f>
        <v>0</v>
      </c>
      <c r="AG31" s="836">
        <v>0</v>
      </c>
      <c r="AH31" s="836">
        <v>0</v>
      </c>
      <c r="AI31" s="836">
        <v>0</v>
      </c>
      <c r="AJ31" s="836">
        <v>0</v>
      </c>
      <c r="AK31" s="836">
        <v>0</v>
      </c>
      <c r="AL31" s="836">
        <f>AG31+AI31+AJ31</f>
        <v>0</v>
      </c>
      <c r="AM31" s="836">
        <f>AH31+AK31</f>
        <v>0</v>
      </c>
      <c r="AN31" s="837">
        <f>SUM(AL31:AM31)</f>
        <v>0</v>
      </c>
      <c r="AO31" s="835">
        <f>I31+AF31</f>
        <v>125113</v>
      </c>
      <c r="AP31" s="813">
        <f>J31+U31</f>
        <v>91599</v>
      </c>
      <c r="AQ31" s="813">
        <f>Y31</f>
        <v>0</v>
      </c>
      <c r="AR31" s="813">
        <f>K31+AA31</f>
        <v>30960</v>
      </c>
      <c r="AS31" s="813">
        <f>L31+AB31</f>
        <v>1832</v>
      </c>
      <c r="AT31" s="813">
        <f>M31+AE31</f>
        <v>722</v>
      </c>
      <c r="AU31" s="836">
        <f>N31+AN31</f>
        <v>0.31</v>
      </c>
      <c r="AV31" s="836">
        <f>O31+AL31</f>
        <v>0</v>
      </c>
      <c r="AW31" s="837">
        <f>P31+AM31</f>
        <v>0.31</v>
      </c>
    </row>
    <row r="32" spans="1:49" ht="12.95" customHeight="1" x14ac:dyDescent="0.25">
      <c r="A32" s="850">
        <v>5</v>
      </c>
      <c r="B32" s="951">
        <v>5401</v>
      </c>
      <c r="C32" s="952">
        <v>600098397</v>
      </c>
      <c r="D32" s="951">
        <v>70983615</v>
      </c>
      <c r="E32" s="1005" t="s">
        <v>447</v>
      </c>
      <c r="F32" s="951"/>
      <c r="G32" s="1006"/>
      <c r="H32" s="1007"/>
      <c r="I32" s="820">
        <f t="shared" ref="I32:AW32" si="12">SUM(I30:I31)</f>
        <v>1891525</v>
      </c>
      <c r="J32" s="821">
        <f t="shared" si="12"/>
        <v>1386048</v>
      </c>
      <c r="K32" s="821">
        <f t="shared" si="12"/>
        <v>468484</v>
      </c>
      <c r="L32" s="821">
        <f t="shared" si="12"/>
        <v>27721</v>
      </c>
      <c r="M32" s="821">
        <f t="shared" si="12"/>
        <v>9272</v>
      </c>
      <c r="N32" s="822">
        <f t="shared" si="12"/>
        <v>3.0949</v>
      </c>
      <c r="O32" s="822">
        <f t="shared" si="12"/>
        <v>2</v>
      </c>
      <c r="P32" s="824">
        <f t="shared" si="12"/>
        <v>1.0949</v>
      </c>
      <c r="Q32" s="825">
        <f t="shared" si="12"/>
        <v>-36000</v>
      </c>
      <c r="R32" s="821">
        <f t="shared" si="12"/>
        <v>0</v>
      </c>
      <c r="S32" s="821">
        <f t="shared" si="12"/>
        <v>0</v>
      </c>
      <c r="T32" s="821">
        <f t="shared" si="12"/>
        <v>0</v>
      </c>
      <c r="U32" s="821">
        <f t="shared" si="12"/>
        <v>-36000</v>
      </c>
      <c r="V32" s="821">
        <f t="shared" si="12"/>
        <v>36000</v>
      </c>
      <c r="W32" s="821">
        <f t="shared" si="12"/>
        <v>0</v>
      </c>
      <c r="X32" s="821">
        <f t="shared" si="12"/>
        <v>0</v>
      </c>
      <c r="Y32" s="821">
        <f t="shared" si="12"/>
        <v>36000</v>
      </c>
      <c r="Z32" s="821">
        <f t="shared" si="12"/>
        <v>0</v>
      </c>
      <c r="AA32" s="821">
        <f t="shared" si="12"/>
        <v>0</v>
      </c>
      <c r="AB32" s="821">
        <f t="shared" si="12"/>
        <v>-720</v>
      </c>
      <c r="AC32" s="821">
        <f t="shared" si="12"/>
        <v>0</v>
      </c>
      <c r="AD32" s="821">
        <f t="shared" si="12"/>
        <v>0</v>
      </c>
      <c r="AE32" s="821">
        <f t="shared" si="12"/>
        <v>0</v>
      </c>
      <c r="AF32" s="821">
        <f t="shared" si="12"/>
        <v>-720</v>
      </c>
      <c r="AG32" s="822">
        <f t="shared" si="12"/>
        <v>0</v>
      </c>
      <c r="AH32" s="822">
        <f t="shared" si="12"/>
        <v>-0.16</v>
      </c>
      <c r="AI32" s="822">
        <f t="shared" si="12"/>
        <v>0</v>
      </c>
      <c r="AJ32" s="822">
        <f t="shared" si="12"/>
        <v>0</v>
      </c>
      <c r="AK32" s="822">
        <f t="shared" si="12"/>
        <v>0</v>
      </c>
      <c r="AL32" s="822">
        <f t="shared" si="12"/>
        <v>0</v>
      </c>
      <c r="AM32" s="822">
        <f t="shared" si="12"/>
        <v>-0.16</v>
      </c>
      <c r="AN32" s="824">
        <f t="shared" si="12"/>
        <v>-0.16</v>
      </c>
      <c r="AO32" s="825">
        <f t="shared" si="12"/>
        <v>1890805</v>
      </c>
      <c r="AP32" s="821">
        <f t="shared" si="12"/>
        <v>1350048</v>
      </c>
      <c r="AQ32" s="821">
        <f t="shared" si="12"/>
        <v>36000</v>
      </c>
      <c r="AR32" s="821">
        <f t="shared" si="12"/>
        <v>468484</v>
      </c>
      <c r="AS32" s="821">
        <f t="shared" si="12"/>
        <v>27001</v>
      </c>
      <c r="AT32" s="821">
        <f t="shared" si="12"/>
        <v>9272</v>
      </c>
      <c r="AU32" s="822">
        <f t="shared" si="12"/>
        <v>2.9348999999999998</v>
      </c>
      <c r="AV32" s="822">
        <f t="shared" si="12"/>
        <v>2</v>
      </c>
      <c r="AW32" s="824">
        <f t="shared" si="12"/>
        <v>0.93489999999999984</v>
      </c>
    </row>
    <row r="33" spans="1:49" ht="12.95" customHeight="1" x14ac:dyDescent="0.25">
      <c r="A33" s="828">
        <v>6</v>
      </c>
      <c r="B33" s="946">
        <v>5402</v>
      </c>
      <c r="C33" s="947">
        <v>600098958</v>
      </c>
      <c r="D33" s="946">
        <v>70983623</v>
      </c>
      <c r="E33" s="1004" t="s">
        <v>448</v>
      </c>
      <c r="F33" s="946">
        <v>3117</v>
      </c>
      <c r="G33" s="1000" t="s">
        <v>335</v>
      </c>
      <c r="H33" s="831" t="s">
        <v>283</v>
      </c>
      <c r="I33" s="803">
        <f>SUM(J33:M33)</f>
        <v>4721152</v>
      </c>
      <c r="J33" s="833">
        <v>3408551</v>
      </c>
      <c r="K33" s="833">
        <f>ROUND((J33)*33.8%,0)</f>
        <v>1152090</v>
      </c>
      <c r="L33" s="833">
        <f>ROUND(J33*2%,0)</f>
        <v>68171</v>
      </c>
      <c r="M33" s="833">
        <v>92340</v>
      </c>
      <c r="N33" s="834">
        <f>SUM(O33:P33)</f>
        <v>6.7323000000000004</v>
      </c>
      <c r="O33" s="1054">
        <v>4.6597</v>
      </c>
      <c r="P33" s="1055">
        <v>2.0726</v>
      </c>
      <c r="Q33" s="835">
        <f>V33*-1</f>
        <v>-8000</v>
      </c>
      <c r="R33" s="813">
        <v>0</v>
      </c>
      <c r="S33" s="813">
        <v>0</v>
      </c>
      <c r="T33" s="813">
        <v>0</v>
      </c>
      <c r="U33" s="813">
        <f>SUM(Q33:T33)</f>
        <v>-8000</v>
      </c>
      <c r="V33" s="813">
        <v>8000</v>
      </c>
      <c r="W33" s="813">
        <v>0</v>
      </c>
      <c r="X33" s="813">
        <v>0</v>
      </c>
      <c r="Y33" s="813">
        <f>SUM(V33:X33)</f>
        <v>8000</v>
      </c>
      <c r="Z33" s="813">
        <f>U33+Y33</f>
        <v>0</v>
      </c>
      <c r="AA33" s="809">
        <f>ROUND((U33+V33+W33)*33.8%,0)</f>
        <v>0</v>
      </c>
      <c r="AB33" s="809">
        <f>ROUND(U33*2%,0)</f>
        <v>-160</v>
      </c>
      <c r="AC33" s="813">
        <v>0</v>
      </c>
      <c r="AD33" s="813">
        <v>0</v>
      </c>
      <c r="AE33" s="813">
        <f>SUM(AC33:AD33)</f>
        <v>0</v>
      </c>
      <c r="AF33" s="813">
        <f>Z33+AA33+AB33+AE33</f>
        <v>-160</v>
      </c>
      <c r="AG33" s="836">
        <v>0</v>
      </c>
      <c r="AH33" s="836">
        <v>0</v>
      </c>
      <c r="AI33" s="836">
        <v>0</v>
      </c>
      <c r="AJ33" s="836">
        <v>0</v>
      </c>
      <c r="AK33" s="836">
        <v>0</v>
      </c>
      <c r="AL33" s="836">
        <f>AG33+AI33+AJ33</f>
        <v>0</v>
      </c>
      <c r="AM33" s="836">
        <f>AH33+AK33</f>
        <v>0</v>
      </c>
      <c r="AN33" s="837">
        <f>SUM(AL33:AM33)</f>
        <v>0</v>
      </c>
      <c r="AO33" s="835">
        <f>I33+AF33</f>
        <v>4720992</v>
      </c>
      <c r="AP33" s="813">
        <f>J33+U33</f>
        <v>3400551</v>
      </c>
      <c r="AQ33" s="813">
        <f>Y33</f>
        <v>8000</v>
      </c>
      <c r="AR33" s="813">
        <f t="shared" ref="AR33:AS37" si="13">K33+AA33</f>
        <v>1152090</v>
      </c>
      <c r="AS33" s="813">
        <f t="shared" si="13"/>
        <v>68011</v>
      </c>
      <c r="AT33" s="813">
        <f>M33+AE33</f>
        <v>92340</v>
      </c>
      <c r="AU33" s="836">
        <f>N33+AN33</f>
        <v>6.7323000000000004</v>
      </c>
      <c r="AV33" s="836">
        <f t="shared" ref="AV33:AW37" si="14">O33+AL33</f>
        <v>4.6597</v>
      </c>
      <c r="AW33" s="837">
        <f t="shared" si="14"/>
        <v>2.0726</v>
      </c>
    </row>
    <row r="34" spans="1:49" ht="12.95" customHeight="1" x14ac:dyDescent="0.25">
      <c r="A34" s="828">
        <v>6</v>
      </c>
      <c r="B34" s="946">
        <v>5402</v>
      </c>
      <c r="C34" s="947">
        <v>600098958</v>
      </c>
      <c r="D34" s="946">
        <v>70983623</v>
      </c>
      <c r="E34" s="1004" t="s">
        <v>448</v>
      </c>
      <c r="F34" s="946">
        <v>3117</v>
      </c>
      <c r="G34" s="831" t="s">
        <v>318</v>
      </c>
      <c r="H34" s="831" t="s">
        <v>284</v>
      </c>
      <c r="I34" s="803">
        <f>SUM(J34:M34)</f>
        <v>0</v>
      </c>
      <c r="J34" s="833">
        <v>0</v>
      </c>
      <c r="K34" s="833">
        <v>0</v>
      </c>
      <c r="L34" s="833">
        <v>0</v>
      </c>
      <c r="M34" s="833">
        <v>0</v>
      </c>
      <c r="N34" s="834">
        <f>SUM(O34:P34)</f>
        <v>0</v>
      </c>
      <c r="O34" s="1054">
        <v>0</v>
      </c>
      <c r="P34" s="1055">
        <v>0</v>
      </c>
      <c r="Q34" s="835">
        <f>V34*-1</f>
        <v>0</v>
      </c>
      <c r="R34" s="833">
        <v>481175</v>
      </c>
      <c r="S34" s="813">
        <v>0</v>
      </c>
      <c r="T34" s="813">
        <v>0</v>
      </c>
      <c r="U34" s="813">
        <f>SUM(Q34:T34)</f>
        <v>481175</v>
      </c>
      <c r="V34" s="813">
        <v>0</v>
      </c>
      <c r="W34" s="813">
        <v>0</v>
      </c>
      <c r="X34" s="813">
        <v>0</v>
      </c>
      <c r="Y34" s="813">
        <f>SUM(V34:X34)</f>
        <v>0</v>
      </c>
      <c r="Z34" s="813">
        <f>U34+Y34</f>
        <v>481175</v>
      </c>
      <c r="AA34" s="809">
        <f>ROUND((U34+V34+W34)*33.8%,0)</f>
        <v>162637</v>
      </c>
      <c r="AB34" s="809">
        <f>ROUND(U34*2%,0)</f>
        <v>9624</v>
      </c>
      <c r="AC34" s="813">
        <v>0</v>
      </c>
      <c r="AD34" s="813">
        <v>0</v>
      </c>
      <c r="AE34" s="813">
        <f>SUM(AC34:AD34)</f>
        <v>0</v>
      </c>
      <c r="AF34" s="813">
        <f>Z34+AA34+AB34+AE34</f>
        <v>653436</v>
      </c>
      <c r="AG34" s="836">
        <v>0</v>
      </c>
      <c r="AH34" s="836">
        <v>0</v>
      </c>
      <c r="AI34" s="836">
        <v>1.39</v>
      </c>
      <c r="AJ34" s="836">
        <v>0</v>
      </c>
      <c r="AK34" s="836">
        <v>0</v>
      </c>
      <c r="AL34" s="836">
        <f>AG34+AI34+AJ34</f>
        <v>1.39</v>
      </c>
      <c r="AM34" s="836">
        <f>AH34+AK34</f>
        <v>0</v>
      </c>
      <c r="AN34" s="837">
        <f>SUM(AL34:AM34)</f>
        <v>1.39</v>
      </c>
      <c r="AO34" s="835">
        <f>I34+AF34</f>
        <v>653436</v>
      </c>
      <c r="AP34" s="813">
        <f>J34+U34</f>
        <v>481175</v>
      </c>
      <c r="AQ34" s="813">
        <f>Y34</f>
        <v>0</v>
      </c>
      <c r="AR34" s="813">
        <f t="shared" si="13"/>
        <v>162637</v>
      </c>
      <c r="AS34" s="813">
        <f t="shared" si="13"/>
        <v>9624</v>
      </c>
      <c r="AT34" s="813">
        <f>M34+AE34</f>
        <v>0</v>
      </c>
      <c r="AU34" s="836">
        <f>N34+AN34</f>
        <v>1.39</v>
      </c>
      <c r="AV34" s="836">
        <f t="shared" si="14"/>
        <v>1.39</v>
      </c>
      <c r="AW34" s="837">
        <f t="shared" si="14"/>
        <v>0</v>
      </c>
    </row>
    <row r="35" spans="1:49" ht="12.95" customHeight="1" x14ac:dyDescent="0.25">
      <c r="A35" s="828">
        <v>6</v>
      </c>
      <c r="B35" s="946">
        <v>5402</v>
      </c>
      <c r="C35" s="947">
        <v>600098958</v>
      </c>
      <c r="D35" s="946">
        <v>70983623</v>
      </c>
      <c r="E35" s="1004" t="s">
        <v>448</v>
      </c>
      <c r="F35" s="946">
        <v>3141</v>
      </c>
      <c r="G35" s="1000" t="s">
        <v>321</v>
      </c>
      <c r="H35" s="831" t="s">
        <v>284</v>
      </c>
      <c r="I35" s="803">
        <f>SUM(J35:M35)</f>
        <v>781722</v>
      </c>
      <c r="J35" s="833">
        <v>572847</v>
      </c>
      <c r="K35" s="805">
        <f>ROUND((J35)*33.8%,0)</f>
        <v>193622</v>
      </c>
      <c r="L35" s="833">
        <f>ROUND(J35*2%,0)</f>
        <v>11457</v>
      </c>
      <c r="M35" s="833">
        <v>3796</v>
      </c>
      <c r="N35" s="834">
        <f>O35+P35</f>
        <v>1.95</v>
      </c>
      <c r="O35" s="1054">
        <v>0</v>
      </c>
      <c r="P35" s="1055">
        <v>1.95</v>
      </c>
      <c r="Q35" s="835">
        <f>V35*-1</f>
        <v>-4000</v>
      </c>
      <c r="R35" s="813">
        <v>0</v>
      </c>
      <c r="S35" s="813">
        <v>0</v>
      </c>
      <c r="T35" s="813">
        <v>0</v>
      </c>
      <c r="U35" s="813">
        <f>SUM(Q35:T35)</f>
        <v>-4000</v>
      </c>
      <c r="V35" s="813">
        <v>4000</v>
      </c>
      <c r="W35" s="813">
        <v>0</v>
      </c>
      <c r="X35" s="813">
        <v>0</v>
      </c>
      <c r="Y35" s="813">
        <f>SUM(V35:X35)</f>
        <v>4000</v>
      </c>
      <c r="Z35" s="813">
        <f>U35+Y35</f>
        <v>0</v>
      </c>
      <c r="AA35" s="809">
        <f>ROUND((U35+V35+W35)*33.8%,0)</f>
        <v>0</v>
      </c>
      <c r="AB35" s="809">
        <f>ROUND(U35*2%,0)</f>
        <v>-80</v>
      </c>
      <c r="AC35" s="813">
        <v>0</v>
      </c>
      <c r="AD35" s="813">
        <v>0</v>
      </c>
      <c r="AE35" s="813">
        <f>SUM(AC35:AD35)</f>
        <v>0</v>
      </c>
      <c r="AF35" s="813">
        <f>Z35+AA35+AB35+AE35</f>
        <v>-80</v>
      </c>
      <c r="AG35" s="836">
        <v>0</v>
      </c>
      <c r="AH35" s="836">
        <v>-0.01</v>
      </c>
      <c r="AI35" s="836">
        <v>0</v>
      </c>
      <c r="AJ35" s="836">
        <v>0</v>
      </c>
      <c r="AK35" s="836">
        <v>0</v>
      </c>
      <c r="AL35" s="836">
        <f>AG35+AI35+AJ35</f>
        <v>0</v>
      </c>
      <c r="AM35" s="836">
        <f>AH35+AK35</f>
        <v>-0.01</v>
      </c>
      <c r="AN35" s="837">
        <f>SUM(AL35:AM35)</f>
        <v>-0.01</v>
      </c>
      <c r="AO35" s="835">
        <f>I35+AF35</f>
        <v>781642</v>
      </c>
      <c r="AP35" s="813">
        <f>J35+U35</f>
        <v>568847</v>
      </c>
      <c r="AQ35" s="813">
        <f>Y35</f>
        <v>4000</v>
      </c>
      <c r="AR35" s="813">
        <f t="shared" si="13"/>
        <v>193622</v>
      </c>
      <c r="AS35" s="813">
        <f t="shared" si="13"/>
        <v>11377</v>
      </c>
      <c r="AT35" s="813">
        <f>M35+AE35</f>
        <v>3796</v>
      </c>
      <c r="AU35" s="836">
        <f>N35+AN35</f>
        <v>1.94</v>
      </c>
      <c r="AV35" s="836">
        <f t="shared" si="14"/>
        <v>0</v>
      </c>
      <c r="AW35" s="837">
        <f t="shared" si="14"/>
        <v>1.94</v>
      </c>
    </row>
    <row r="36" spans="1:49" ht="12.95" customHeight="1" x14ac:dyDescent="0.25">
      <c r="A36" s="828">
        <v>6</v>
      </c>
      <c r="B36" s="946">
        <v>5402</v>
      </c>
      <c r="C36" s="947">
        <v>600098958</v>
      </c>
      <c r="D36" s="946">
        <v>70983623</v>
      </c>
      <c r="E36" s="1004" t="s">
        <v>448</v>
      </c>
      <c r="F36" s="946">
        <v>3143</v>
      </c>
      <c r="G36" s="831" t="s">
        <v>635</v>
      </c>
      <c r="H36" s="831" t="s">
        <v>283</v>
      </c>
      <c r="I36" s="803">
        <f>SUM(J36:M36)</f>
        <v>1306970</v>
      </c>
      <c r="J36" s="833">
        <v>962423</v>
      </c>
      <c r="K36" s="833">
        <f>ROUND((J36)*33.8%,0)</f>
        <v>325299</v>
      </c>
      <c r="L36" s="833">
        <f>ROUND(J36*2%,0)</f>
        <v>19248</v>
      </c>
      <c r="M36" s="833">
        <v>0</v>
      </c>
      <c r="N36" s="834">
        <f>SUM(O36:P36)</f>
        <v>2.0535000000000001</v>
      </c>
      <c r="O36" s="1054">
        <v>2.0535000000000001</v>
      </c>
      <c r="P36" s="1055">
        <v>0</v>
      </c>
      <c r="Q36" s="835">
        <f>V36*-1</f>
        <v>-4000</v>
      </c>
      <c r="R36" s="813">
        <v>0</v>
      </c>
      <c r="S36" s="813">
        <v>0</v>
      </c>
      <c r="T36" s="813">
        <v>0</v>
      </c>
      <c r="U36" s="813">
        <f>SUM(Q36:T36)</f>
        <v>-4000</v>
      </c>
      <c r="V36" s="813">
        <v>4000</v>
      </c>
      <c r="W36" s="813">
        <v>0</v>
      </c>
      <c r="X36" s="813">
        <v>0</v>
      </c>
      <c r="Y36" s="813">
        <f>SUM(V36:X36)</f>
        <v>4000</v>
      </c>
      <c r="Z36" s="813">
        <f>U36+Y36</f>
        <v>0</v>
      </c>
      <c r="AA36" s="809">
        <f>ROUND((U36+V36+W36)*33.8%,0)</f>
        <v>0</v>
      </c>
      <c r="AB36" s="809">
        <f>ROUND(U36*2%,0)</f>
        <v>-80</v>
      </c>
      <c r="AC36" s="813">
        <v>0</v>
      </c>
      <c r="AD36" s="813">
        <v>0</v>
      </c>
      <c r="AE36" s="813">
        <f>SUM(AC36:AD36)</f>
        <v>0</v>
      </c>
      <c r="AF36" s="813">
        <f>Z36+AA36+AB36+AE36</f>
        <v>-80</v>
      </c>
      <c r="AG36" s="836">
        <v>0</v>
      </c>
      <c r="AH36" s="836">
        <v>0</v>
      </c>
      <c r="AI36" s="836">
        <v>0</v>
      </c>
      <c r="AJ36" s="836">
        <v>0</v>
      </c>
      <c r="AK36" s="836">
        <v>0</v>
      </c>
      <c r="AL36" s="836">
        <f>AG36+AI36+AJ36</f>
        <v>0</v>
      </c>
      <c r="AM36" s="836">
        <f>AH36+AK36</f>
        <v>0</v>
      </c>
      <c r="AN36" s="837">
        <f>SUM(AL36:AM36)</f>
        <v>0</v>
      </c>
      <c r="AO36" s="835">
        <f>I36+AF36</f>
        <v>1306890</v>
      </c>
      <c r="AP36" s="813">
        <f>J36+U36</f>
        <v>958423</v>
      </c>
      <c r="AQ36" s="813">
        <f>Y36</f>
        <v>4000</v>
      </c>
      <c r="AR36" s="813">
        <f t="shared" si="13"/>
        <v>325299</v>
      </c>
      <c r="AS36" s="813">
        <f t="shared" si="13"/>
        <v>19168</v>
      </c>
      <c r="AT36" s="813">
        <f>M36+AE36</f>
        <v>0</v>
      </c>
      <c r="AU36" s="836">
        <f>N36+AN36</f>
        <v>2.0535000000000001</v>
      </c>
      <c r="AV36" s="836">
        <f t="shared" si="14"/>
        <v>2.0535000000000001</v>
      </c>
      <c r="AW36" s="837">
        <f t="shared" si="14"/>
        <v>0</v>
      </c>
    </row>
    <row r="37" spans="1:49" ht="12.95" customHeight="1" x14ac:dyDescent="0.25">
      <c r="A37" s="828">
        <v>6</v>
      </c>
      <c r="B37" s="946">
        <v>5402</v>
      </c>
      <c r="C37" s="947">
        <v>600098958</v>
      </c>
      <c r="D37" s="946">
        <v>70983623</v>
      </c>
      <c r="E37" s="1004" t="s">
        <v>448</v>
      </c>
      <c r="F37" s="946">
        <v>3143</v>
      </c>
      <c r="G37" s="831" t="s">
        <v>636</v>
      </c>
      <c r="H37" s="831" t="s">
        <v>284</v>
      </c>
      <c r="I37" s="803">
        <f>SUM(J37:M37)</f>
        <v>37217</v>
      </c>
      <c r="J37" s="833">
        <v>26235</v>
      </c>
      <c r="K37" s="805">
        <f>ROUND((J37)*33.8%,0)</f>
        <v>8867</v>
      </c>
      <c r="L37" s="833">
        <f>ROUND(J37*2%,0)</f>
        <v>525</v>
      </c>
      <c r="M37" s="833">
        <v>1590</v>
      </c>
      <c r="N37" s="834">
        <f>SUM(O37:P37)</f>
        <v>0.11</v>
      </c>
      <c r="O37" s="1054">
        <v>0</v>
      </c>
      <c r="P37" s="1055">
        <v>0.11</v>
      </c>
      <c r="Q37" s="835">
        <f>V37*-1</f>
        <v>0</v>
      </c>
      <c r="R37" s="813">
        <v>0</v>
      </c>
      <c r="S37" s="813">
        <v>0</v>
      </c>
      <c r="T37" s="813">
        <v>0</v>
      </c>
      <c r="U37" s="813">
        <f>SUM(Q37:T37)</f>
        <v>0</v>
      </c>
      <c r="V37" s="813">
        <v>0</v>
      </c>
      <c r="W37" s="813">
        <v>0</v>
      </c>
      <c r="X37" s="813">
        <v>0</v>
      </c>
      <c r="Y37" s="813">
        <f>SUM(V37:X37)</f>
        <v>0</v>
      </c>
      <c r="Z37" s="813">
        <f>U37+Y37</f>
        <v>0</v>
      </c>
      <c r="AA37" s="809">
        <f>ROUND((U37+V37+W37)*33.8%,0)</f>
        <v>0</v>
      </c>
      <c r="AB37" s="809">
        <f>ROUND(U37*2%,0)</f>
        <v>0</v>
      </c>
      <c r="AC37" s="813">
        <v>0</v>
      </c>
      <c r="AD37" s="813">
        <v>0</v>
      </c>
      <c r="AE37" s="813">
        <f>SUM(AC37:AD37)</f>
        <v>0</v>
      </c>
      <c r="AF37" s="813">
        <f>Z37+AA37+AB37+AE37</f>
        <v>0</v>
      </c>
      <c r="AG37" s="836">
        <v>0</v>
      </c>
      <c r="AH37" s="836">
        <v>0</v>
      </c>
      <c r="AI37" s="836">
        <v>0</v>
      </c>
      <c r="AJ37" s="836">
        <v>0</v>
      </c>
      <c r="AK37" s="836">
        <v>0</v>
      </c>
      <c r="AL37" s="836">
        <f>AG37+AI37+AJ37</f>
        <v>0</v>
      </c>
      <c r="AM37" s="836">
        <f>AH37+AK37</f>
        <v>0</v>
      </c>
      <c r="AN37" s="837">
        <f>SUM(AL37:AM37)</f>
        <v>0</v>
      </c>
      <c r="AO37" s="835">
        <f>I37+AF37</f>
        <v>37217</v>
      </c>
      <c r="AP37" s="813">
        <f>J37+U37</f>
        <v>26235</v>
      </c>
      <c r="AQ37" s="813">
        <f>Y37</f>
        <v>0</v>
      </c>
      <c r="AR37" s="813">
        <f t="shared" si="13"/>
        <v>8867</v>
      </c>
      <c r="AS37" s="813">
        <f t="shared" si="13"/>
        <v>525</v>
      </c>
      <c r="AT37" s="813">
        <f>M37+AE37</f>
        <v>1590</v>
      </c>
      <c r="AU37" s="836">
        <f>N37+AN37</f>
        <v>0.11</v>
      </c>
      <c r="AV37" s="836">
        <f t="shared" si="14"/>
        <v>0</v>
      </c>
      <c r="AW37" s="837">
        <f t="shared" si="14"/>
        <v>0.11</v>
      </c>
    </row>
    <row r="38" spans="1:49" ht="12.95" customHeight="1" x14ac:dyDescent="0.25">
      <c r="A38" s="850">
        <v>6</v>
      </c>
      <c r="B38" s="951">
        <v>5402</v>
      </c>
      <c r="C38" s="952">
        <v>600098958</v>
      </c>
      <c r="D38" s="951">
        <v>70983623</v>
      </c>
      <c r="E38" s="1005" t="s">
        <v>449</v>
      </c>
      <c r="F38" s="951"/>
      <c r="G38" s="1006"/>
      <c r="H38" s="1007"/>
      <c r="I38" s="1008">
        <f t="shared" ref="I38:AW38" si="15">SUM(I33:I37)</f>
        <v>6847061</v>
      </c>
      <c r="J38" s="1009">
        <f t="shared" si="15"/>
        <v>4970056</v>
      </c>
      <c r="K38" s="1009">
        <f t="shared" si="15"/>
        <v>1679878</v>
      </c>
      <c r="L38" s="1009">
        <f t="shared" si="15"/>
        <v>99401</v>
      </c>
      <c r="M38" s="1009">
        <f t="shared" si="15"/>
        <v>97726</v>
      </c>
      <c r="N38" s="1010">
        <f t="shared" si="15"/>
        <v>10.845799999999999</v>
      </c>
      <c r="O38" s="1010">
        <f t="shared" si="15"/>
        <v>6.7132000000000005</v>
      </c>
      <c r="P38" s="1012">
        <f t="shared" si="15"/>
        <v>4.1326000000000001</v>
      </c>
      <c r="Q38" s="1011">
        <f t="shared" si="15"/>
        <v>-16000</v>
      </c>
      <c r="R38" s="1009">
        <f t="shared" si="15"/>
        <v>481175</v>
      </c>
      <c r="S38" s="1009">
        <f t="shared" si="15"/>
        <v>0</v>
      </c>
      <c r="T38" s="1009">
        <f t="shared" si="15"/>
        <v>0</v>
      </c>
      <c r="U38" s="1009">
        <f t="shared" si="15"/>
        <v>465175</v>
      </c>
      <c r="V38" s="1009">
        <f t="shared" si="15"/>
        <v>16000</v>
      </c>
      <c r="W38" s="1009">
        <f t="shared" si="15"/>
        <v>0</v>
      </c>
      <c r="X38" s="1009">
        <f t="shared" si="15"/>
        <v>0</v>
      </c>
      <c r="Y38" s="1009">
        <f t="shared" si="15"/>
        <v>16000</v>
      </c>
      <c r="Z38" s="1009">
        <f t="shared" si="15"/>
        <v>481175</v>
      </c>
      <c r="AA38" s="1009">
        <f t="shared" si="15"/>
        <v>162637</v>
      </c>
      <c r="AB38" s="1009">
        <f t="shared" si="15"/>
        <v>9304</v>
      </c>
      <c r="AC38" s="1009">
        <f t="shared" si="15"/>
        <v>0</v>
      </c>
      <c r="AD38" s="1009">
        <f t="shared" si="15"/>
        <v>0</v>
      </c>
      <c r="AE38" s="1009">
        <f t="shared" si="15"/>
        <v>0</v>
      </c>
      <c r="AF38" s="1009">
        <f t="shared" si="15"/>
        <v>653116</v>
      </c>
      <c r="AG38" s="1010">
        <f t="shared" si="15"/>
        <v>0</v>
      </c>
      <c r="AH38" s="1010">
        <f t="shared" si="15"/>
        <v>-0.01</v>
      </c>
      <c r="AI38" s="1010">
        <f t="shared" si="15"/>
        <v>1.39</v>
      </c>
      <c r="AJ38" s="1010">
        <f t="shared" si="15"/>
        <v>0</v>
      </c>
      <c r="AK38" s="1010">
        <f t="shared" si="15"/>
        <v>0</v>
      </c>
      <c r="AL38" s="1010">
        <f t="shared" si="15"/>
        <v>1.39</v>
      </c>
      <c r="AM38" s="1010">
        <f t="shared" si="15"/>
        <v>-0.01</v>
      </c>
      <c r="AN38" s="1012">
        <f t="shared" si="15"/>
        <v>1.38</v>
      </c>
      <c r="AO38" s="1011">
        <f t="shared" si="15"/>
        <v>7500177</v>
      </c>
      <c r="AP38" s="1009">
        <f t="shared" si="15"/>
        <v>5435231</v>
      </c>
      <c r="AQ38" s="1009">
        <f t="shared" si="15"/>
        <v>16000</v>
      </c>
      <c r="AR38" s="1009">
        <f t="shared" si="15"/>
        <v>1842515</v>
      </c>
      <c r="AS38" s="1009">
        <f t="shared" si="15"/>
        <v>108705</v>
      </c>
      <c r="AT38" s="1009">
        <f t="shared" si="15"/>
        <v>97726</v>
      </c>
      <c r="AU38" s="1010">
        <f t="shared" si="15"/>
        <v>12.2258</v>
      </c>
      <c r="AV38" s="1010">
        <f t="shared" si="15"/>
        <v>8.1031999999999993</v>
      </c>
      <c r="AW38" s="1012">
        <f t="shared" si="15"/>
        <v>4.1226000000000003</v>
      </c>
    </row>
    <row r="39" spans="1:49" ht="12.95" customHeight="1" x14ac:dyDescent="0.25">
      <c r="A39" s="828">
        <v>7</v>
      </c>
      <c r="B39" s="828">
        <v>5405</v>
      </c>
      <c r="C39" s="961">
        <v>600099121</v>
      </c>
      <c r="D39" s="828">
        <v>70695521</v>
      </c>
      <c r="E39" s="830" t="s">
        <v>450</v>
      </c>
      <c r="F39" s="828">
        <v>3111</v>
      </c>
      <c r="G39" s="1000" t="s">
        <v>331</v>
      </c>
      <c r="H39" s="831" t="s">
        <v>283</v>
      </c>
      <c r="I39" s="803">
        <f t="shared" ref="I39:I44" si="16">SUM(J39:M39)</f>
        <v>1498729</v>
      </c>
      <c r="J39" s="833">
        <v>1096671</v>
      </c>
      <c r="K39" s="833">
        <f>ROUND((J39)*33.8%,0)</f>
        <v>370675</v>
      </c>
      <c r="L39" s="833">
        <f>ROUND(J39*2%,0)</f>
        <v>21933</v>
      </c>
      <c r="M39" s="833">
        <v>9450</v>
      </c>
      <c r="N39" s="834">
        <f>SUM(O39:P39)</f>
        <v>2.4464000000000001</v>
      </c>
      <c r="O39" s="1054">
        <v>1.9355</v>
      </c>
      <c r="P39" s="1055">
        <v>0.51090000000000002</v>
      </c>
      <c r="Q39" s="835">
        <f t="shared" ref="Q39:Q44" si="17">V39*-1</f>
        <v>0</v>
      </c>
      <c r="R39" s="813">
        <v>0</v>
      </c>
      <c r="S39" s="813">
        <v>0</v>
      </c>
      <c r="T39" s="813">
        <v>0</v>
      </c>
      <c r="U39" s="813">
        <f t="shared" ref="U39:U44" si="18">SUM(Q39:T39)</f>
        <v>0</v>
      </c>
      <c r="V39" s="813">
        <v>0</v>
      </c>
      <c r="W39" s="813">
        <v>0</v>
      </c>
      <c r="X39" s="813">
        <v>0</v>
      </c>
      <c r="Y39" s="813">
        <f t="shared" ref="Y39:Y44" si="19">SUM(V39:X39)</f>
        <v>0</v>
      </c>
      <c r="Z39" s="813">
        <f t="shared" ref="Z39:Z44" si="20">U39+Y39</f>
        <v>0</v>
      </c>
      <c r="AA39" s="809">
        <f t="shared" ref="AA39:AA44" si="21">ROUND((U39+V39+W39)*33.8%,0)</f>
        <v>0</v>
      </c>
      <c r="AB39" s="809">
        <f t="shared" ref="AB39:AB44" si="22">ROUND(U39*2%,0)</f>
        <v>0</v>
      </c>
      <c r="AC39" s="813">
        <v>0</v>
      </c>
      <c r="AD39" s="813">
        <v>0</v>
      </c>
      <c r="AE39" s="813">
        <f t="shared" ref="AE39:AE44" si="23">SUM(AC39:AD39)</f>
        <v>0</v>
      </c>
      <c r="AF39" s="813">
        <f t="shared" ref="AF39:AF44" si="24">Z39+AA39+AB39+AE39</f>
        <v>0</v>
      </c>
      <c r="AG39" s="836">
        <v>0</v>
      </c>
      <c r="AH39" s="836">
        <v>0</v>
      </c>
      <c r="AI39" s="836">
        <v>0</v>
      </c>
      <c r="AJ39" s="836">
        <v>0</v>
      </c>
      <c r="AK39" s="836">
        <v>0</v>
      </c>
      <c r="AL39" s="836">
        <f t="shared" ref="AL39:AL44" si="25">AG39+AI39+AJ39</f>
        <v>0</v>
      </c>
      <c r="AM39" s="836">
        <f t="shared" ref="AM39:AM44" si="26">AH39+AK39</f>
        <v>0</v>
      </c>
      <c r="AN39" s="837">
        <f t="shared" ref="AN39:AN44" si="27">SUM(AL39:AM39)</f>
        <v>0</v>
      </c>
      <c r="AO39" s="835">
        <f t="shared" ref="AO39:AO44" si="28">I39+AF39</f>
        <v>1498729</v>
      </c>
      <c r="AP39" s="813">
        <f t="shared" ref="AP39:AP44" si="29">J39+U39</f>
        <v>1096671</v>
      </c>
      <c r="AQ39" s="813">
        <f t="shared" ref="AQ39:AQ44" si="30">Y39</f>
        <v>0</v>
      </c>
      <c r="AR39" s="813">
        <f t="shared" ref="AR39:AS44" si="31">K39+AA39</f>
        <v>370675</v>
      </c>
      <c r="AS39" s="813">
        <f t="shared" si="31"/>
        <v>21933</v>
      </c>
      <c r="AT39" s="813">
        <f t="shared" ref="AT39:AT44" si="32">M39+AE39</f>
        <v>9450</v>
      </c>
      <c r="AU39" s="836">
        <f t="shared" ref="AU39:AU44" si="33">N39+AN39</f>
        <v>2.4464000000000001</v>
      </c>
      <c r="AV39" s="836">
        <f t="shared" ref="AV39:AW44" si="34">O39+AL39</f>
        <v>1.9355</v>
      </c>
      <c r="AW39" s="837">
        <f t="shared" si="34"/>
        <v>0.51090000000000002</v>
      </c>
    </row>
    <row r="40" spans="1:49" ht="12.95" customHeight="1" x14ac:dyDescent="0.25">
      <c r="A40" s="828">
        <v>7</v>
      </c>
      <c r="B40" s="946">
        <v>5405</v>
      </c>
      <c r="C40" s="947">
        <v>600099121</v>
      </c>
      <c r="D40" s="828">
        <v>70695521</v>
      </c>
      <c r="E40" s="1004" t="s">
        <v>450</v>
      </c>
      <c r="F40" s="946">
        <v>3113</v>
      </c>
      <c r="G40" s="1000" t="s">
        <v>335</v>
      </c>
      <c r="H40" s="831" t="s">
        <v>283</v>
      </c>
      <c r="I40" s="803">
        <f t="shared" si="16"/>
        <v>5401763</v>
      </c>
      <c r="J40" s="833">
        <v>3906703</v>
      </c>
      <c r="K40" s="833">
        <f>ROUND((J40)*33.8%,0)</f>
        <v>1320466</v>
      </c>
      <c r="L40" s="833">
        <f>ROUND(J40*2%,0)</f>
        <v>78134</v>
      </c>
      <c r="M40" s="833">
        <v>96460</v>
      </c>
      <c r="N40" s="834">
        <f>SUM(O40:P40)</f>
        <v>8.5702999999999996</v>
      </c>
      <c r="O40" s="1054">
        <v>5.9772999999999996</v>
      </c>
      <c r="P40" s="1055">
        <v>2.593</v>
      </c>
      <c r="Q40" s="835">
        <f t="shared" si="17"/>
        <v>0</v>
      </c>
      <c r="R40" s="813">
        <v>0</v>
      </c>
      <c r="S40" s="813">
        <v>0</v>
      </c>
      <c r="T40" s="813">
        <v>0</v>
      </c>
      <c r="U40" s="813">
        <f t="shared" si="18"/>
        <v>0</v>
      </c>
      <c r="V40" s="813">
        <v>0</v>
      </c>
      <c r="W40" s="813">
        <v>0</v>
      </c>
      <c r="X40" s="813">
        <v>0</v>
      </c>
      <c r="Y40" s="813">
        <f t="shared" si="19"/>
        <v>0</v>
      </c>
      <c r="Z40" s="813">
        <f t="shared" si="20"/>
        <v>0</v>
      </c>
      <c r="AA40" s="809">
        <f t="shared" si="21"/>
        <v>0</v>
      </c>
      <c r="AB40" s="809">
        <f t="shared" si="22"/>
        <v>0</v>
      </c>
      <c r="AC40" s="813">
        <v>0</v>
      </c>
      <c r="AD40" s="813">
        <v>0</v>
      </c>
      <c r="AE40" s="813">
        <f t="shared" si="23"/>
        <v>0</v>
      </c>
      <c r="AF40" s="813">
        <f t="shared" si="24"/>
        <v>0</v>
      </c>
      <c r="AG40" s="836">
        <v>0</v>
      </c>
      <c r="AH40" s="836">
        <v>0</v>
      </c>
      <c r="AI40" s="836">
        <v>0</v>
      </c>
      <c r="AJ40" s="836">
        <v>0</v>
      </c>
      <c r="AK40" s="836">
        <v>0</v>
      </c>
      <c r="AL40" s="836">
        <f t="shared" si="25"/>
        <v>0</v>
      </c>
      <c r="AM40" s="836">
        <f t="shared" si="26"/>
        <v>0</v>
      </c>
      <c r="AN40" s="837">
        <f t="shared" si="27"/>
        <v>0</v>
      </c>
      <c r="AO40" s="835">
        <f t="shared" si="28"/>
        <v>5401763</v>
      </c>
      <c r="AP40" s="813">
        <f t="shared" si="29"/>
        <v>3906703</v>
      </c>
      <c r="AQ40" s="813">
        <f t="shared" si="30"/>
        <v>0</v>
      </c>
      <c r="AR40" s="813">
        <f t="shared" si="31"/>
        <v>1320466</v>
      </c>
      <c r="AS40" s="813">
        <f t="shared" si="31"/>
        <v>78134</v>
      </c>
      <c r="AT40" s="813">
        <f t="shared" si="32"/>
        <v>96460</v>
      </c>
      <c r="AU40" s="836">
        <f t="shared" si="33"/>
        <v>8.5702999999999996</v>
      </c>
      <c r="AV40" s="836">
        <f t="shared" si="34"/>
        <v>5.9772999999999996</v>
      </c>
      <c r="AW40" s="837">
        <f t="shared" si="34"/>
        <v>2.593</v>
      </c>
    </row>
    <row r="41" spans="1:49" ht="12.95" customHeight="1" x14ac:dyDescent="0.25">
      <c r="A41" s="828">
        <v>7</v>
      </c>
      <c r="B41" s="946">
        <v>5405</v>
      </c>
      <c r="C41" s="947">
        <v>600099121</v>
      </c>
      <c r="D41" s="828">
        <v>70695521</v>
      </c>
      <c r="E41" s="1004" t="s">
        <v>450</v>
      </c>
      <c r="F41" s="946">
        <v>3113</v>
      </c>
      <c r="G41" s="831" t="s">
        <v>318</v>
      </c>
      <c r="H41" s="831" t="s">
        <v>284</v>
      </c>
      <c r="I41" s="803">
        <f t="shared" si="16"/>
        <v>0</v>
      </c>
      <c r="J41" s="833">
        <v>0</v>
      </c>
      <c r="K41" s="833">
        <v>0</v>
      </c>
      <c r="L41" s="833">
        <v>0</v>
      </c>
      <c r="M41" s="833">
        <v>0</v>
      </c>
      <c r="N41" s="834">
        <f>SUM(O41:P41)</f>
        <v>0</v>
      </c>
      <c r="O41" s="1054">
        <v>0</v>
      </c>
      <c r="P41" s="1055">
        <v>0</v>
      </c>
      <c r="Q41" s="835">
        <f t="shared" si="17"/>
        <v>0</v>
      </c>
      <c r="R41" s="833">
        <v>985487</v>
      </c>
      <c r="S41" s="813">
        <v>0</v>
      </c>
      <c r="T41" s="813">
        <v>0</v>
      </c>
      <c r="U41" s="813">
        <f t="shared" si="18"/>
        <v>985487</v>
      </c>
      <c r="V41" s="813">
        <v>0</v>
      </c>
      <c r="W41" s="813">
        <v>0</v>
      </c>
      <c r="X41" s="813">
        <v>0</v>
      </c>
      <c r="Y41" s="813">
        <f t="shared" si="19"/>
        <v>0</v>
      </c>
      <c r="Z41" s="813">
        <f t="shared" si="20"/>
        <v>985487</v>
      </c>
      <c r="AA41" s="809">
        <f t="shared" si="21"/>
        <v>333095</v>
      </c>
      <c r="AB41" s="809">
        <f t="shared" si="22"/>
        <v>19710</v>
      </c>
      <c r="AC41" s="813">
        <v>0</v>
      </c>
      <c r="AD41" s="813">
        <v>0</v>
      </c>
      <c r="AE41" s="813">
        <f t="shared" si="23"/>
        <v>0</v>
      </c>
      <c r="AF41" s="813">
        <f t="shared" si="24"/>
        <v>1338292</v>
      </c>
      <c r="AG41" s="836">
        <v>0</v>
      </c>
      <c r="AH41" s="836">
        <v>0</v>
      </c>
      <c r="AI41" s="836">
        <v>2.83</v>
      </c>
      <c r="AJ41" s="836">
        <v>0</v>
      </c>
      <c r="AK41" s="836">
        <v>0</v>
      </c>
      <c r="AL41" s="836">
        <f t="shared" si="25"/>
        <v>2.83</v>
      </c>
      <c r="AM41" s="836">
        <f t="shared" si="26"/>
        <v>0</v>
      </c>
      <c r="AN41" s="837">
        <f t="shared" si="27"/>
        <v>2.83</v>
      </c>
      <c r="AO41" s="835">
        <f t="shared" si="28"/>
        <v>1338292</v>
      </c>
      <c r="AP41" s="813">
        <f t="shared" si="29"/>
        <v>985487</v>
      </c>
      <c r="AQ41" s="813">
        <f t="shared" si="30"/>
        <v>0</v>
      </c>
      <c r="AR41" s="813">
        <f t="shared" si="31"/>
        <v>333095</v>
      </c>
      <c r="AS41" s="813">
        <f t="shared" si="31"/>
        <v>19710</v>
      </c>
      <c r="AT41" s="813">
        <f t="shared" si="32"/>
        <v>0</v>
      </c>
      <c r="AU41" s="836">
        <f t="shared" si="33"/>
        <v>2.83</v>
      </c>
      <c r="AV41" s="836">
        <f t="shared" si="34"/>
        <v>2.83</v>
      </c>
      <c r="AW41" s="837">
        <f t="shared" si="34"/>
        <v>0</v>
      </c>
    </row>
    <row r="42" spans="1:49" ht="12.95" customHeight="1" x14ac:dyDescent="0.25">
      <c r="A42" s="828">
        <v>7</v>
      </c>
      <c r="B42" s="946">
        <v>5405</v>
      </c>
      <c r="C42" s="947">
        <v>600099121</v>
      </c>
      <c r="D42" s="828">
        <v>70695521</v>
      </c>
      <c r="E42" s="1004" t="s">
        <v>450</v>
      </c>
      <c r="F42" s="946">
        <v>3141</v>
      </c>
      <c r="G42" s="1000" t="s">
        <v>321</v>
      </c>
      <c r="H42" s="831" t="s">
        <v>284</v>
      </c>
      <c r="I42" s="803">
        <f t="shared" si="16"/>
        <v>881212</v>
      </c>
      <c r="J42" s="833">
        <v>645530</v>
      </c>
      <c r="K42" s="805">
        <f>ROUND((J42)*33.8%,0)</f>
        <v>218189</v>
      </c>
      <c r="L42" s="833">
        <f>ROUND(J42*2%,0)</f>
        <v>12911</v>
      </c>
      <c r="M42" s="833">
        <v>4582</v>
      </c>
      <c r="N42" s="834">
        <f>O42+P42</f>
        <v>2.2000000000000002</v>
      </c>
      <c r="O42" s="1054">
        <v>0</v>
      </c>
      <c r="P42" s="1055">
        <v>2.2000000000000002</v>
      </c>
      <c r="Q42" s="835">
        <f t="shared" si="17"/>
        <v>0</v>
      </c>
      <c r="R42" s="813">
        <v>0</v>
      </c>
      <c r="S42" s="813">
        <v>0</v>
      </c>
      <c r="T42" s="813">
        <v>0</v>
      </c>
      <c r="U42" s="813">
        <f t="shared" si="18"/>
        <v>0</v>
      </c>
      <c r="V42" s="813">
        <v>0</v>
      </c>
      <c r="W42" s="813">
        <v>0</v>
      </c>
      <c r="X42" s="813">
        <v>0</v>
      </c>
      <c r="Y42" s="813">
        <f t="shared" si="19"/>
        <v>0</v>
      </c>
      <c r="Z42" s="813">
        <f t="shared" si="20"/>
        <v>0</v>
      </c>
      <c r="AA42" s="809">
        <f t="shared" si="21"/>
        <v>0</v>
      </c>
      <c r="AB42" s="809">
        <f t="shared" si="22"/>
        <v>0</v>
      </c>
      <c r="AC42" s="813">
        <v>0</v>
      </c>
      <c r="AD42" s="813">
        <v>0</v>
      </c>
      <c r="AE42" s="813">
        <f t="shared" si="23"/>
        <v>0</v>
      </c>
      <c r="AF42" s="813">
        <f t="shared" si="24"/>
        <v>0</v>
      </c>
      <c r="AG42" s="836">
        <v>0</v>
      </c>
      <c r="AH42" s="836">
        <v>0</v>
      </c>
      <c r="AI42" s="836">
        <v>0</v>
      </c>
      <c r="AJ42" s="836">
        <v>0</v>
      </c>
      <c r="AK42" s="836">
        <v>0</v>
      </c>
      <c r="AL42" s="836">
        <f t="shared" si="25"/>
        <v>0</v>
      </c>
      <c r="AM42" s="836">
        <f t="shared" si="26"/>
        <v>0</v>
      </c>
      <c r="AN42" s="837">
        <f t="shared" si="27"/>
        <v>0</v>
      </c>
      <c r="AO42" s="835">
        <f t="shared" si="28"/>
        <v>881212</v>
      </c>
      <c r="AP42" s="813">
        <f t="shared" si="29"/>
        <v>645530</v>
      </c>
      <c r="AQ42" s="813">
        <f t="shared" si="30"/>
        <v>0</v>
      </c>
      <c r="AR42" s="813">
        <f t="shared" si="31"/>
        <v>218189</v>
      </c>
      <c r="AS42" s="813">
        <f t="shared" si="31"/>
        <v>12911</v>
      </c>
      <c r="AT42" s="813">
        <f t="shared" si="32"/>
        <v>4582</v>
      </c>
      <c r="AU42" s="836">
        <f t="shared" si="33"/>
        <v>2.2000000000000002</v>
      </c>
      <c r="AV42" s="836">
        <f t="shared" si="34"/>
        <v>0</v>
      </c>
      <c r="AW42" s="837">
        <f t="shared" si="34"/>
        <v>2.2000000000000002</v>
      </c>
    </row>
    <row r="43" spans="1:49" ht="12.95" customHeight="1" x14ac:dyDescent="0.25">
      <c r="A43" s="828">
        <v>7</v>
      </c>
      <c r="B43" s="946">
        <v>5405</v>
      </c>
      <c r="C43" s="947">
        <v>600099121</v>
      </c>
      <c r="D43" s="828">
        <v>70695521</v>
      </c>
      <c r="E43" s="1004" t="s">
        <v>450</v>
      </c>
      <c r="F43" s="946">
        <v>3143</v>
      </c>
      <c r="G43" s="831" t="s">
        <v>635</v>
      </c>
      <c r="H43" s="831" t="s">
        <v>283</v>
      </c>
      <c r="I43" s="803">
        <f t="shared" si="16"/>
        <v>634452</v>
      </c>
      <c r="J43" s="833">
        <v>467196</v>
      </c>
      <c r="K43" s="833">
        <f>ROUND((J43)*33.8%,0)</f>
        <v>157912</v>
      </c>
      <c r="L43" s="833">
        <f>ROUND(J43*2%,0)</f>
        <v>9344</v>
      </c>
      <c r="M43" s="833">
        <v>0</v>
      </c>
      <c r="N43" s="834">
        <f>SUM(O43:P43)</f>
        <v>0.99870000000000003</v>
      </c>
      <c r="O43" s="1054">
        <v>0.99870000000000003</v>
      </c>
      <c r="P43" s="1055">
        <v>0</v>
      </c>
      <c r="Q43" s="835">
        <f t="shared" si="17"/>
        <v>0</v>
      </c>
      <c r="R43" s="813">
        <v>0</v>
      </c>
      <c r="S43" s="813">
        <v>0</v>
      </c>
      <c r="T43" s="813">
        <v>0</v>
      </c>
      <c r="U43" s="813">
        <f t="shared" si="18"/>
        <v>0</v>
      </c>
      <c r="V43" s="813">
        <v>0</v>
      </c>
      <c r="W43" s="813">
        <v>0</v>
      </c>
      <c r="X43" s="813">
        <v>0</v>
      </c>
      <c r="Y43" s="813">
        <f t="shared" si="19"/>
        <v>0</v>
      </c>
      <c r="Z43" s="813">
        <f t="shared" si="20"/>
        <v>0</v>
      </c>
      <c r="AA43" s="809">
        <f t="shared" si="21"/>
        <v>0</v>
      </c>
      <c r="AB43" s="809">
        <f t="shared" si="22"/>
        <v>0</v>
      </c>
      <c r="AC43" s="813">
        <v>0</v>
      </c>
      <c r="AD43" s="813">
        <v>0</v>
      </c>
      <c r="AE43" s="813">
        <f t="shared" si="23"/>
        <v>0</v>
      </c>
      <c r="AF43" s="813">
        <f t="shared" si="24"/>
        <v>0</v>
      </c>
      <c r="AG43" s="836">
        <v>0</v>
      </c>
      <c r="AH43" s="836">
        <v>0</v>
      </c>
      <c r="AI43" s="836">
        <v>0</v>
      </c>
      <c r="AJ43" s="836">
        <v>0</v>
      </c>
      <c r="AK43" s="836">
        <v>0</v>
      </c>
      <c r="AL43" s="836">
        <f t="shared" si="25"/>
        <v>0</v>
      </c>
      <c r="AM43" s="836">
        <f t="shared" si="26"/>
        <v>0</v>
      </c>
      <c r="AN43" s="837">
        <f t="shared" si="27"/>
        <v>0</v>
      </c>
      <c r="AO43" s="835">
        <f t="shared" si="28"/>
        <v>634452</v>
      </c>
      <c r="AP43" s="813">
        <f t="shared" si="29"/>
        <v>467196</v>
      </c>
      <c r="AQ43" s="813">
        <f t="shared" si="30"/>
        <v>0</v>
      </c>
      <c r="AR43" s="813">
        <f t="shared" si="31"/>
        <v>157912</v>
      </c>
      <c r="AS43" s="813">
        <f t="shared" si="31"/>
        <v>9344</v>
      </c>
      <c r="AT43" s="813">
        <f t="shared" si="32"/>
        <v>0</v>
      </c>
      <c r="AU43" s="836">
        <f t="shared" si="33"/>
        <v>0.99870000000000003</v>
      </c>
      <c r="AV43" s="836">
        <f t="shared" si="34"/>
        <v>0.99870000000000003</v>
      </c>
      <c r="AW43" s="837">
        <f t="shared" si="34"/>
        <v>0</v>
      </c>
    </row>
    <row r="44" spans="1:49" ht="12.95" customHeight="1" x14ac:dyDescent="0.25">
      <c r="A44" s="828">
        <v>7</v>
      </c>
      <c r="B44" s="946">
        <v>5405</v>
      </c>
      <c r="C44" s="947">
        <v>600099121</v>
      </c>
      <c r="D44" s="828">
        <v>70695521</v>
      </c>
      <c r="E44" s="1004" t="s">
        <v>450</v>
      </c>
      <c r="F44" s="946">
        <v>3143</v>
      </c>
      <c r="G44" s="831" t="s">
        <v>636</v>
      </c>
      <c r="H44" s="831" t="s">
        <v>284</v>
      </c>
      <c r="I44" s="803">
        <f t="shared" si="16"/>
        <v>17556</v>
      </c>
      <c r="J44" s="833">
        <v>12375</v>
      </c>
      <c r="K44" s="805">
        <f>ROUND((J44)*33.8%,0)</f>
        <v>4183</v>
      </c>
      <c r="L44" s="833">
        <f>ROUND(J44*2%,0)</f>
        <v>248</v>
      </c>
      <c r="M44" s="833">
        <v>750</v>
      </c>
      <c r="N44" s="834">
        <f>SUM(O44:P44)</f>
        <v>0.05</v>
      </c>
      <c r="O44" s="1054">
        <v>0</v>
      </c>
      <c r="P44" s="1055">
        <v>0.05</v>
      </c>
      <c r="Q44" s="835">
        <f t="shared" si="17"/>
        <v>0</v>
      </c>
      <c r="R44" s="813">
        <v>0</v>
      </c>
      <c r="S44" s="813">
        <v>0</v>
      </c>
      <c r="T44" s="813">
        <v>0</v>
      </c>
      <c r="U44" s="813">
        <f t="shared" si="18"/>
        <v>0</v>
      </c>
      <c r="V44" s="813">
        <v>0</v>
      </c>
      <c r="W44" s="813">
        <v>0</v>
      </c>
      <c r="X44" s="813">
        <v>0</v>
      </c>
      <c r="Y44" s="813">
        <f t="shared" si="19"/>
        <v>0</v>
      </c>
      <c r="Z44" s="813">
        <f t="shared" si="20"/>
        <v>0</v>
      </c>
      <c r="AA44" s="809">
        <f t="shared" si="21"/>
        <v>0</v>
      </c>
      <c r="AB44" s="809">
        <f t="shared" si="22"/>
        <v>0</v>
      </c>
      <c r="AC44" s="813">
        <v>0</v>
      </c>
      <c r="AD44" s="813">
        <v>0</v>
      </c>
      <c r="AE44" s="813">
        <f t="shared" si="23"/>
        <v>0</v>
      </c>
      <c r="AF44" s="813">
        <f t="shared" si="24"/>
        <v>0</v>
      </c>
      <c r="AG44" s="836">
        <v>0</v>
      </c>
      <c r="AH44" s="836">
        <v>0</v>
      </c>
      <c r="AI44" s="836">
        <v>0</v>
      </c>
      <c r="AJ44" s="836">
        <v>0</v>
      </c>
      <c r="AK44" s="836">
        <v>0</v>
      </c>
      <c r="AL44" s="836">
        <f t="shared" si="25"/>
        <v>0</v>
      </c>
      <c r="AM44" s="836">
        <f t="shared" si="26"/>
        <v>0</v>
      </c>
      <c r="AN44" s="837">
        <f t="shared" si="27"/>
        <v>0</v>
      </c>
      <c r="AO44" s="835">
        <f t="shared" si="28"/>
        <v>17556</v>
      </c>
      <c r="AP44" s="813">
        <f t="shared" si="29"/>
        <v>12375</v>
      </c>
      <c r="AQ44" s="813">
        <f t="shared" si="30"/>
        <v>0</v>
      </c>
      <c r="AR44" s="813">
        <f t="shared" si="31"/>
        <v>4183</v>
      </c>
      <c r="AS44" s="813">
        <f t="shared" si="31"/>
        <v>248</v>
      </c>
      <c r="AT44" s="813">
        <f t="shared" si="32"/>
        <v>750</v>
      </c>
      <c r="AU44" s="836">
        <f t="shared" si="33"/>
        <v>0.05</v>
      </c>
      <c r="AV44" s="836">
        <f t="shared" si="34"/>
        <v>0</v>
      </c>
      <c r="AW44" s="837">
        <f t="shared" si="34"/>
        <v>0.05</v>
      </c>
    </row>
    <row r="45" spans="1:49" ht="12.95" customHeight="1" x14ac:dyDescent="0.25">
      <c r="A45" s="850">
        <v>7</v>
      </c>
      <c r="B45" s="1013">
        <v>5405</v>
      </c>
      <c r="C45" s="963">
        <v>600099121</v>
      </c>
      <c r="D45" s="1013">
        <v>70695521</v>
      </c>
      <c r="E45" s="1005" t="s">
        <v>451</v>
      </c>
      <c r="F45" s="1013"/>
      <c r="G45" s="1014"/>
      <c r="H45" s="1015"/>
      <c r="I45" s="1008">
        <f t="shared" ref="I45:AW45" si="35">SUM(I39:I44)</f>
        <v>8433712</v>
      </c>
      <c r="J45" s="1009">
        <f t="shared" si="35"/>
        <v>6128475</v>
      </c>
      <c r="K45" s="1009">
        <f t="shared" si="35"/>
        <v>2071425</v>
      </c>
      <c r="L45" s="1009">
        <f t="shared" si="35"/>
        <v>122570</v>
      </c>
      <c r="M45" s="1009">
        <f t="shared" si="35"/>
        <v>111242</v>
      </c>
      <c r="N45" s="1010">
        <f t="shared" si="35"/>
        <v>14.2654</v>
      </c>
      <c r="O45" s="1010">
        <f t="shared" si="35"/>
        <v>8.9115000000000002</v>
      </c>
      <c r="P45" s="1012">
        <f t="shared" si="35"/>
        <v>5.3539000000000003</v>
      </c>
      <c r="Q45" s="1011">
        <f t="shared" si="35"/>
        <v>0</v>
      </c>
      <c r="R45" s="1009">
        <f t="shared" si="35"/>
        <v>985487</v>
      </c>
      <c r="S45" s="1009">
        <f t="shared" si="35"/>
        <v>0</v>
      </c>
      <c r="T45" s="1009">
        <f t="shared" si="35"/>
        <v>0</v>
      </c>
      <c r="U45" s="1009">
        <f t="shared" si="35"/>
        <v>985487</v>
      </c>
      <c r="V45" s="1009">
        <f t="shared" si="35"/>
        <v>0</v>
      </c>
      <c r="W45" s="1009">
        <f t="shared" si="35"/>
        <v>0</v>
      </c>
      <c r="X45" s="1009">
        <f t="shared" si="35"/>
        <v>0</v>
      </c>
      <c r="Y45" s="1009">
        <f t="shared" si="35"/>
        <v>0</v>
      </c>
      <c r="Z45" s="1009">
        <f t="shared" si="35"/>
        <v>985487</v>
      </c>
      <c r="AA45" s="1009">
        <f t="shared" si="35"/>
        <v>333095</v>
      </c>
      <c r="AB45" s="1009">
        <f t="shared" si="35"/>
        <v>19710</v>
      </c>
      <c r="AC45" s="1009">
        <f t="shared" si="35"/>
        <v>0</v>
      </c>
      <c r="AD45" s="1009">
        <f t="shared" si="35"/>
        <v>0</v>
      </c>
      <c r="AE45" s="1009">
        <f t="shared" si="35"/>
        <v>0</v>
      </c>
      <c r="AF45" s="1009">
        <f t="shared" si="35"/>
        <v>1338292</v>
      </c>
      <c r="AG45" s="1010">
        <f t="shared" si="35"/>
        <v>0</v>
      </c>
      <c r="AH45" s="1010">
        <f t="shared" si="35"/>
        <v>0</v>
      </c>
      <c r="AI45" s="1010">
        <f t="shared" si="35"/>
        <v>2.83</v>
      </c>
      <c r="AJ45" s="1010">
        <f t="shared" si="35"/>
        <v>0</v>
      </c>
      <c r="AK45" s="1010">
        <f t="shared" si="35"/>
        <v>0</v>
      </c>
      <c r="AL45" s="1010">
        <f t="shared" si="35"/>
        <v>2.83</v>
      </c>
      <c r="AM45" s="1010">
        <f t="shared" si="35"/>
        <v>0</v>
      </c>
      <c r="AN45" s="1012">
        <f t="shared" si="35"/>
        <v>2.83</v>
      </c>
      <c r="AO45" s="1011">
        <f t="shared" si="35"/>
        <v>9772004</v>
      </c>
      <c r="AP45" s="1009">
        <f t="shared" si="35"/>
        <v>7113962</v>
      </c>
      <c r="AQ45" s="1009">
        <f t="shared" si="35"/>
        <v>0</v>
      </c>
      <c r="AR45" s="1009">
        <f t="shared" si="35"/>
        <v>2404520</v>
      </c>
      <c r="AS45" s="1009">
        <f t="shared" si="35"/>
        <v>142280</v>
      </c>
      <c r="AT45" s="1009">
        <f t="shared" si="35"/>
        <v>111242</v>
      </c>
      <c r="AU45" s="1010">
        <f t="shared" si="35"/>
        <v>17.095400000000001</v>
      </c>
      <c r="AV45" s="1010">
        <f t="shared" si="35"/>
        <v>11.741499999999998</v>
      </c>
      <c r="AW45" s="1012">
        <f t="shared" si="35"/>
        <v>5.3539000000000003</v>
      </c>
    </row>
    <row r="46" spans="1:49" ht="12.95" customHeight="1" x14ac:dyDescent="0.25">
      <c r="A46" s="828">
        <v>8</v>
      </c>
      <c r="B46" s="946">
        <v>5410</v>
      </c>
      <c r="C46" s="947">
        <v>600099318</v>
      </c>
      <c r="D46" s="828">
        <v>854778</v>
      </c>
      <c r="E46" s="1004" t="s">
        <v>452</v>
      </c>
      <c r="F46" s="946">
        <v>3111</v>
      </c>
      <c r="G46" s="1000" t="s">
        <v>331</v>
      </c>
      <c r="H46" s="831" t="s">
        <v>283</v>
      </c>
      <c r="I46" s="803">
        <f t="shared" ref="I46:I51" si="36">SUM(J46:M46)</f>
        <v>3403665</v>
      </c>
      <c r="J46" s="833">
        <v>2486499</v>
      </c>
      <c r="K46" s="833">
        <f>ROUND((J46)*33.8%,0)-1</f>
        <v>840436</v>
      </c>
      <c r="L46" s="833">
        <f t="shared" ref="L46:L51" si="37">ROUND(J46*2%,0)</f>
        <v>49730</v>
      </c>
      <c r="M46" s="833">
        <v>27000</v>
      </c>
      <c r="N46" s="834">
        <f>SUM(O46:P46)</f>
        <v>6.1128</v>
      </c>
      <c r="O46" s="1054">
        <v>4.7300000000000004</v>
      </c>
      <c r="P46" s="1055">
        <v>1.3828</v>
      </c>
      <c r="Q46" s="835">
        <f t="shared" ref="Q46:Q51" si="38">V46*-1</f>
        <v>0</v>
      </c>
      <c r="R46" s="813">
        <v>0</v>
      </c>
      <c r="S46" s="813">
        <v>0</v>
      </c>
      <c r="T46" s="813">
        <v>0</v>
      </c>
      <c r="U46" s="813">
        <f t="shared" ref="U46:U51" si="39">SUM(Q46:T46)</f>
        <v>0</v>
      </c>
      <c r="V46" s="813">
        <v>0</v>
      </c>
      <c r="W46" s="813">
        <v>0</v>
      </c>
      <c r="X46" s="813">
        <v>0</v>
      </c>
      <c r="Y46" s="813">
        <f t="shared" ref="Y46:Y51" si="40">SUM(V46:X46)</f>
        <v>0</v>
      </c>
      <c r="Z46" s="813">
        <f t="shared" ref="Z46:Z51" si="41">U46+Y46</f>
        <v>0</v>
      </c>
      <c r="AA46" s="809">
        <f t="shared" ref="AA46:AA51" si="42">ROUND((U46+V46+W46)*33.8%,0)</f>
        <v>0</v>
      </c>
      <c r="AB46" s="809">
        <f t="shared" ref="AB46:AB51" si="43">ROUND(U46*2%,0)</f>
        <v>0</v>
      </c>
      <c r="AC46" s="813">
        <v>0</v>
      </c>
      <c r="AD46" s="813">
        <v>0</v>
      </c>
      <c r="AE46" s="813">
        <f t="shared" ref="AE46:AE51" si="44">SUM(AC46:AD46)</f>
        <v>0</v>
      </c>
      <c r="AF46" s="813">
        <f t="shared" ref="AF46:AF51" si="45">Z46+AA46+AB46+AE46</f>
        <v>0</v>
      </c>
      <c r="AG46" s="836">
        <v>0</v>
      </c>
      <c r="AH46" s="836">
        <v>0</v>
      </c>
      <c r="AI46" s="836">
        <v>0</v>
      </c>
      <c r="AJ46" s="836">
        <v>0</v>
      </c>
      <c r="AK46" s="836">
        <v>0</v>
      </c>
      <c r="AL46" s="836">
        <f t="shared" ref="AL46:AL51" si="46">AG46+AI46+AJ46</f>
        <v>0</v>
      </c>
      <c r="AM46" s="836">
        <f t="shared" ref="AM46:AM51" si="47">AH46+AK46</f>
        <v>0</v>
      </c>
      <c r="AN46" s="837">
        <f t="shared" ref="AN46:AN51" si="48">SUM(AL46:AM46)</f>
        <v>0</v>
      </c>
      <c r="AO46" s="835">
        <f t="shared" ref="AO46:AO51" si="49">I46+AF46</f>
        <v>3403665</v>
      </c>
      <c r="AP46" s="813">
        <f t="shared" ref="AP46:AP51" si="50">J46+U46</f>
        <v>2486499</v>
      </c>
      <c r="AQ46" s="813">
        <f t="shared" ref="AQ46:AQ51" si="51">Y46</f>
        <v>0</v>
      </c>
      <c r="AR46" s="813">
        <f t="shared" ref="AR46:AS51" si="52">K46+AA46</f>
        <v>840436</v>
      </c>
      <c r="AS46" s="813">
        <f t="shared" si="52"/>
        <v>49730</v>
      </c>
      <c r="AT46" s="813">
        <f t="shared" ref="AT46:AT51" si="53">M46+AE46</f>
        <v>27000</v>
      </c>
      <c r="AU46" s="836">
        <f t="shared" ref="AU46:AU51" si="54">N46+AN46</f>
        <v>6.1128</v>
      </c>
      <c r="AV46" s="836">
        <f t="shared" ref="AV46:AW51" si="55">O46+AL46</f>
        <v>4.7300000000000004</v>
      </c>
      <c r="AW46" s="837">
        <f t="shared" si="55"/>
        <v>1.3828</v>
      </c>
    </row>
    <row r="47" spans="1:49" ht="12.95" customHeight="1" x14ac:dyDescent="0.25">
      <c r="A47" s="828">
        <v>8</v>
      </c>
      <c r="B47" s="946">
        <v>5410</v>
      </c>
      <c r="C47" s="947">
        <v>600099318</v>
      </c>
      <c r="D47" s="828">
        <v>854778</v>
      </c>
      <c r="E47" s="1004" t="s">
        <v>452</v>
      </c>
      <c r="F47" s="946">
        <v>3113</v>
      </c>
      <c r="G47" s="1000" t="s">
        <v>335</v>
      </c>
      <c r="H47" s="831" t="s">
        <v>283</v>
      </c>
      <c r="I47" s="803">
        <f t="shared" si="36"/>
        <v>12850777</v>
      </c>
      <c r="J47" s="833">
        <v>9281765</v>
      </c>
      <c r="K47" s="833">
        <f>ROUND((J47)*33.8%,0)</f>
        <v>3137237</v>
      </c>
      <c r="L47" s="833">
        <f t="shared" si="37"/>
        <v>185635</v>
      </c>
      <c r="M47" s="833">
        <v>246140</v>
      </c>
      <c r="N47" s="834">
        <f>SUM(O47:P47)</f>
        <v>18.613399999999999</v>
      </c>
      <c r="O47" s="1054">
        <v>13.0357</v>
      </c>
      <c r="P47" s="1055">
        <v>5.5777000000000001</v>
      </c>
      <c r="Q47" s="835">
        <f t="shared" si="38"/>
        <v>-48000</v>
      </c>
      <c r="R47" s="813">
        <v>0</v>
      </c>
      <c r="S47" s="813">
        <v>0</v>
      </c>
      <c r="T47" s="813">
        <v>0</v>
      </c>
      <c r="U47" s="813">
        <f t="shared" si="39"/>
        <v>-48000</v>
      </c>
      <c r="V47" s="813">
        <v>48000</v>
      </c>
      <c r="W47" s="813">
        <v>0</v>
      </c>
      <c r="X47" s="813">
        <v>0</v>
      </c>
      <c r="Y47" s="813">
        <f t="shared" si="40"/>
        <v>48000</v>
      </c>
      <c r="Z47" s="813">
        <f t="shared" si="41"/>
        <v>0</v>
      </c>
      <c r="AA47" s="809">
        <f t="shared" si="42"/>
        <v>0</v>
      </c>
      <c r="AB47" s="809">
        <f t="shared" si="43"/>
        <v>-960</v>
      </c>
      <c r="AC47" s="813">
        <v>0</v>
      </c>
      <c r="AD47" s="813">
        <v>0</v>
      </c>
      <c r="AE47" s="813">
        <f t="shared" si="44"/>
        <v>0</v>
      </c>
      <c r="AF47" s="813">
        <f t="shared" si="45"/>
        <v>-960</v>
      </c>
      <c r="AG47" s="836">
        <v>0</v>
      </c>
      <c r="AH47" s="836">
        <v>-0.1</v>
      </c>
      <c r="AI47" s="836">
        <v>0</v>
      </c>
      <c r="AJ47" s="836">
        <v>0</v>
      </c>
      <c r="AK47" s="836">
        <v>0</v>
      </c>
      <c r="AL47" s="836">
        <f t="shared" si="46"/>
        <v>0</v>
      </c>
      <c r="AM47" s="836">
        <f t="shared" si="47"/>
        <v>-0.1</v>
      </c>
      <c r="AN47" s="837">
        <f t="shared" si="48"/>
        <v>-0.1</v>
      </c>
      <c r="AO47" s="835">
        <f t="shared" si="49"/>
        <v>12849817</v>
      </c>
      <c r="AP47" s="813">
        <f t="shared" si="50"/>
        <v>9233765</v>
      </c>
      <c r="AQ47" s="813">
        <f t="shared" si="51"/>
        <v>48000</v>
      </c>
      <c r="AR47" s="813">
        <f t="shared" si="52"/>
        <v>3137237</v>
      </c>
      <c r="AS47" s="813">
        <f t="shared" si="52"/>
        <v>184675</v>
      </c>
      <c r="AT47" s="813">
        <f t="shared" si="53"/>
        <v>246140</v>
      </c>
      <c r="AU47" s="836">
        <f t="shared" si="54"/>
        <v>18.513399999999997</v>
      </c>
      <c r="AV47" s="836">
        <f t="shared" si="55"/>
        <v>13.0357</v>
      </c>
      <c r="AW47" s="837">
        <f t="shared" si="55"/>
        <v>5.4777000000000005</v>
      </c>
    </row>
    <row r="48" spans="1:49" ht="12.95" customHeight="1" x14ac:dyDescent="0.25">
      <c r="A48" s="828">
        <v>8</v>
      </c>
      <c r="B48" s="946">
        <v>5410</v>
      </c>
      <c r="C48" s="947">
        <v>600099318</v>
      </c>
      <c r="D48" s="828">
        <v>854778</v>
      </c>
      <c r="E48" s="1004" t="s">
        <v>452</v>
      </c>
      <c r="F48" s="946">
        <v>3113</v>
      </c>
      <c r="G48" s="831" t="s">
        <v>318</v>
      </c>
      <c r="H48" s="831" t="s">
        <v>284</v>
      </c>
      <c r="I48" s="803">
        <f t="shared" si="36"/>
        <v>0</v>
      </c>
      <c r="J48" s="833">
        <v>0</v>
      </c>
      <c r="K48" s="833">
        <f>ROUND((J48)*33.8%,0)</f>
        <v>0</v>
      </c>
      <c r="L48" s="833">
        <f t="shared" si="37"/>
        <v>0</v>
      </c>
      <c r="M48" s="833">
        <v>0</v>
      </c>
      <c r="N48" s="834">
        <f>SUM(O48:P48)</f>
        <v>0</v>
      </c>
      <c r="O48" s="1054">
        <v>0</v>
      </c>
      <c r="P48" s="1055">
        <v>0</v>
      </c>
      <c r="Q48" s="835">
        <f t="shared" si="38"/>
        <v>0</v>
      </c>
      <c r="R48" s="813">
        <v>0</v>
      </c>
      <c r="S48" s="813">
        <v>0</v>
      </c>
      <c r="T48" s="813">
        <v>0</v>
      </c>
      <c r="U48" s="813">
        <f t="shared" si="39"/>
        <v>0</v>
      </c>
      <c r="V48" s="813">
        <v>0</v>
      </c>
      <c r="W48" s="813">
        <v>0</v>
      </c>
      <c r="X48" s="813">
        <v>0</v>
      </c>
      <c r="Y48" s="813">
        <f t="shared" si="40"/>
        <v>0</v>
      </c>
      <c r="Z48" s="813">
        <f t="shared" si="41"/>
        <v>0</v>
      </c>
      <c r="AA48" s="809">
        <f t="shared" si="42"/>
        <v>0</v>
      </c>
      <c r="AB48" s="809">
        <f t="shared" si="43"/>
        <v>0</v>
      </c>
      <c r="AC48" s="813">
        <f>700+700</f>
        <v>1400</v>
      </c>
      <c r="AD48" s="813">
        <v>0</v>
      </c>
      <c r="AE48" s="813">
        <f t="shared" si="44"/>
        <v>1400</v>
      </c>
      <c r="AF48" s="813">
        <f t="shared" si="45"/>
        <v>1400</v>
      </c>
      <c r="AG48" s="836">
        <v>0</v>
      </c>
      <c r="AH48" s="836">
        <v>0</v>
      </c>
      <c r="AI48" s="836">
        <v>0</v>
      </c>
      <c r="AJ48" s="836">
        <v>0</v>
      </c>
      <c r="AK48" s="836">
        <v>0</v>
      </c>
      <c r="AL48" s="836">
        <f t="shared" si="46"/>
        <v>0</v>
      </c>
      <c r="AM48" s="836">
        <f t="shared" si="47"/>
        <v>0</v>
      </c>
      <c r="AN48" s="837">
        <f t="shared" si="48"/>
        <v>0</v>
      </c>
      <c r="AO48" s="835">
        <f t="shared" si="49"/>
        <v>1400</v>
      </c>
      <c r="AP48" s="813">
        <f t="shared" si="50"/>
        <v>0</v>
      </c>
      <c r="AQ48" s="813">
        <f t="shared" si="51"/>
        <v>0</v>
      </c>
      <c r="AR48" s="813">
        <f t="shared" si="52"/>
        <v>0</v>
      </c>
      <c r="AS48" s="813">
        <f t="shared" si="52"/>
        <v>0</v>
      </c>
      <c r="AT48" s="813">
        <f t="shared" si="53"/>
        <v>1400</v>
      </c>
      <c r="AU48" s="836">
        <f t="shared" si="54"/>
        <v>0</v>
      </c>
      <c r="AV48" s="836">
        <f t="shared" si="55"/>
        <v>0</v>
      </c>
      <c r="AW48" s="837">
        <f t="shared" si="55"/>
        <v>0</v>
      </c>
    </row>
    <row r="49" spans="1:49" ht="12.95" customHeight="1" x14ac:dyDescent="0.25">
      <c r="A49" s="828">
        <v>8</v>
      </c>
      <c r="B49" s="946">
        <v>5410</v>
      </c>
      <c r="C49" s="947">
        <v>600099318</v>
      </c>
      <c r="D49" s="828">
        <v>854778</v>
      </c>
      <c r="E49" s="1004" t="s">
        <v>452</v>
      </c>
      <c r="F49" s="946">
        <v>3141</v>
      </c>
      <c r="G49" s="1000" t="s">
        <v>321</v>
      </c>
      <c r="H49" s="831" t="s">
        <v>284</v>
      </c>
      <c r="I49" s="803">
        <f t="shared" si="36"/>
        <v>1969981</v>
      </c>
      <c r="J49" s="833">
        <v>1440415</v>
      </c>
      <c r="K49" s="805">
        <f>ROUND((J49)*33.8%,0)</f>
        <v>486860</v>
      </c>
      <c r="L49" s="833">
        <f t="shared" si="37"/>
        <v>28808</v>
      </c>
      <c r="M49" s="833">
        <v>13898</v>
      </c>
      <c r="N49" s="834">
        <f>O49+P49</f>
        <v>4.91</v>
      </c>
      <c r="O49" s="1054">
        <v>0</v>
      </c>
      <c r="P49" s="1055">
        <v>4.91</v>
      </c>
      <c r="Q49" s="835">
        <f t="shared" si="38"/>
        <v>0</v>
      </c>
      <c r="R49" s="813">
        <v>0</v>
      </c>
      <c r="S49" s="813">
        <v>0</v>
      </c>
      <c r="T49" s="813">
        <v>0</v>
      </c>
      <c r="U49" s="813">
        <f t="shared" si="39"/>
        <v>0</v>
      </c>
      <c r="V49" s="813">
        <v>0</v>
      </c>
      <c r="W49" s="813">
        <v>0</v>
      </c>
      <c r="X49" s="813">
        <v>0</v>
      </c>
      <c r="Y49" s="813">
        <f t="shared" si="40"/>
        <v>0</v>
      </c>
      <c r="Z49" s="813">
        <f t="shared" si="41"/>
        <v>0</v>
      </c>
      <c r="AA49" s="809">
        <f t="shared" si="42"/>
        <v>0</v>
      </c>
      <c r="AB49" s="809">
        <f t="shared" si="43"/>
        <v>0</v>
      </c>
      <c r="AC49" s="813">
        <v>0</v>
      </c>
      <c r="AD49" s="813">
        <v>0</v>
      </c>
      <c r="AE49" s="813">
        <f t="shared" si="44"/>
        <v>0</v>
      </c>
      <c r="AF49" s="813">
        <f t="shared" si="45"/>
        <v>0</v>
      </c>
      <c r="AG49" s="836">
        <v>0</v>
      </c>
      <c r="AH49" s="836">
        <v>0</v>
      </c>
      <c r="AI49" s="836">
        <v>0</v>
      </c>
      <c r="AJ49" s="836">
        <v>0</v>
      </c>
      <c r="AK49" s="836">
        <v>0</v>
      </c>
      <c r="AL49" s="836">
        <f t="shared" si="46"/>
        <v>0</v>
      </c>
      <c r="AM49" s="836">
        <f t="shared" si="47"/>
        <v>0</v>
      </c>
      <c r="AN49" s="837">
        <f t="shared" si="48"/>
        <v>0</v>
      </c>
      <c r="AO49" s="835">
        <f t="shared" si="49"/>
        <v>1969981</v>
      </c>
      <c r="AP49" s="813">
        <f t="shared" si="50"/>
        <v>1440415</v>
      </c>
      <c r="AQ49" s="813">
        <f t="shared" si="51"/>
        <v>0</v>
      </c>
      <c r="AR49" s="813">
        <f t="shared" si="52"/>
        <v>486860</v>
      </c>
      <c r="AS49" s="813">
        <f t="shared" si="52"/>
        <v>28808</v>
      </c>
      <c r="AT49" s="813">
        <f t="shared" si="53"/>
        <v>13898</v>
      </c>
      <c r="AU49" s="836">
        <f t="shared" si="54"/>
        <v>4.91</v>
      </c>
      <c r="AV49" s="836">
        <f t="shared" si="55"/>
        <v>0</v>
      </c>
      <c r="AW49" s="837">
        <f t="shared" si="55"/>
        <v>4.91</v>
      </c>
    </row>
    <row r="50" spans="1:49" ht="12.95" customHeight="1" x14ac:dyDescent="0.25">
      <c r="A50" s="828">
        <v>8</v>
      </c>
      <c r="B50" s="946">
        <v>5410</v>
      </c>
      <c r="C50" s="947">
        <v>600099318</v>
      </c>
      <c r="D50" s="828">
        <v>854778</v>
      </c>
      <c r="E50" s="1004" t="s">
        <v>452</v>
      </c>
      <c r="F50" s="946">
        <v>3143</v>
      </c>
      <c r="G50" s="831" t="s">
        <v>635</v>
      </c>
      <c r="H50" s="831" t="s">
        <v>283</v>
      </c>
      <c r="I50" s="803">
        <f t="shared" si="36"/>
        <v>839691</v>
      </c>
      <c r="J50" s="833">
        <v>618329</v>
      </c>
      <c r="K50" s="833">
        <f>ROUND((J50)*33.8%,0)</f>
        <v>208995</v>
      </c>
      <c r="L50" s="833">
        <f t="shared" si="37"/>
        <v>12367</v>
      </c>
      <c r="M50" s="833">
        <v>0</v>
      </c>
      <c r="N50" s="834">
        <f>SUM(O50:P50)</f>
        <v>1.2942</v>
      </c>
      <c r="O50" s="1054">
        <v>1.2942</v>
      </c>
      <c r="P50" s="1055">
        <v>0</v>
      </c>
      <c r="Q50" s="835">
        <f t="shared" si="38"/>
        <v>0</v>
      </c>
      <c r="R50" s="813">
        <v>0</v>
      </c>
      <c r="S50" s="813">
        <v>0</v>
      </c>
      <c r="T50" s="813">
        <v>0</v>
      </c>
      <c r="U50" s="813">
        <f t="shared" si="39"/>
        <v>0</v>
      </c>
      <c r="V50" s="813">
        <v>0</v>
      </c>
      <c r="W50" s="813">
        <v>0</v>
      </c>
      <c r="X50" s="813">
        <v>0</v>
      </c>
      <c r="Y50" s="813">
        <f t="shared" si="40"/>
        <v>0</v>
      </c>
      <c r="Z50" s="813">
        <f t="shared" si="41"/>
        <v>0</v>
      </c>
      <c r="AA50" s="809">
        <f t="shared" si="42"/>
        <v>0</v>
      </c>
      <c r="AB50" s="809">
        <f t="shared" si="43"/>
        <v>0</v>
      </c>
      <c r="AC50" s="813">
        <v>0</v>
      </c>
      <c r="AD50" s="813">
        <v>0</v>
      </c>
      <c r="AE50" s="813">
        <f t="shared" si="44"/>
        <v>0</v>
      </c>
      <c r="AF50" s="813">
        <f t="shared" si="45"/>
        <v>0</v>
      </c>
      <c r="AG50" s="836">
        <v>0</v>
      </c>
      <c r="AH50" s="836">
        <v>0</v>
      </c>
      <c r="AI50" s="836">
        <v>0</v>
      </c>
      <c r="AJ50" s="836">
        <v>0</v>
      </c>
      <c r="AK50" s="836">
        <v>0</v>
      </c>
      <c r="AL50" s="836">
        <f t="shared" si="46"/>
        <v>0</v>
      </c>
      <c r="AM50" s="836">
        <f t="shared" si="47"/>
        <v>0</v>
      </c>
      <c r="AN50" s="837">
        <f t="shared" si="48"/>
        <v>0</v>
      </c>
      <c r="AO50" s="835">
        <f t="shared" si="49"/>
        <v>839691</v>
      </c>
      <c r="AP50" s="813">
        <f t="shared" si="50"/>
        <v>618329</v>
      </c>
      <c r="AQ50" s="813">
        <f t="shared" si="51"/>
        <v>0</v>
      </c>
      <c r="AR50" s="813">
        <f t="shared" si="52"/>
        <v>208995</v>
      </c>
      <c r="AS50" s="813">
        <f t="shared" si="52"/>
        <v>12367</v>
      </c>
      <c r="AT50" s="813">
        <f t="shared" si="53"/>
        <v>0</v>
      </c>
      <c r="AU50" s="836">
        <f t="shared" si="54"/>
        <v>1.2942</v>
      </c>
      <c r="AV50" s="836">
        <f t="shared" si="55"/>
        <v>1.2942</v>
      </c>
      <c r="AW50" s="837">
        <f t="shared" si="55"/>
        <v>0</v>
      </c>
    </row>
    <row r="51" spans="1:49" ht="12.95" customHeight="1" x14ac:dyDescent="0.25">
      <c r="A51" s="828">
        <v>8</v>
      </c>
      <c r="B51" s="946">
        <v>5410</v>
      </c>
      <c r="C51" s="947">
        <v>600099318</v>
      </c>
      <c r="D51" s="828">
        <v>854778</v>
      </c>
      <c r="E51" s="1004" t="s">
        <v>452</v>
      </c>
      <c r="F51" s="946">
        <v>3143</v>
      </c>
      <c r="G51" s="831" t="s">
        <v>636</v>
      </c>
      <c r="H51" s="831" t="s">
        <v>284</v>
      </c>
      <c r="I51" s="803">
        <f t="shared" si="36"/>
        <v>25279</v>
      </c>
      <c r="J51" s="833">
        <v>17820</v>
      </c>
      <c r="K51" s="805">
        <f>ROUND((J51)*33.8%,0)</f>
        <v>6023</v>
      </c>
      <c r="L51" s="833">
        <f t="shared" si="37"/>
        <v>356</v>
      </c>
      <c r="M51" s="833">
        <v>1080</v>
      </c>
      <c r="N51" s="834">
        <f>SUM(O51:P51)</f>
        <v>0.08</v>
      </c>
      <c r="O51" s="1054">
        <v>0</v>
      </c>
      <c r="P51" s="1055">
        <v>0.08</v>
      </c>
      <c r="Q51" s="835">
        <f t="shared" si="38"/>
        <v>0</v>
      </c>
      <c r="R51" s="813">
        <v>0</v>
      </c>
      <c r="S51" s="813">
        <v>0</v>
      </c>
      <c r="T51" s="813">
        <v>0</v>
      </c>
      <c r="U51" s="813">
        <f t="shared" si="39"/>
        <v>0</v>
      </c>
      <c r="V51" s="813">
        <v>0</v>
      </c>
      <c r="W51" s="813">
        <v>0</v>
      </c>
      <c r="X51" s="813">
        <v>0</v>
      </c>
      <c r="Y51" s="813">
        <f t="shared" si="40"/>
        <v>0</v>
      </c>
      <c r="Z51" s="813">
        <f t="shared" si="41"/>
        <v>0</v>
      </c>
      <c r="AA51" s="809">
        <f t="shared" si="42"/>
        <v>0</v>
      </c>
      <c r="AB51" s="809">
        <f t="shared" si="43"/>
        <v>0</v>
      </c>
      <c r="AC51" s="813">
        <v>0</v>
      </c>
      <c r="AD51" s="813">
        <v>0</v>
      </c>
      <c r="AE51" s="813">
        <f t="shared" si="44"/>
        <v>0</v>
      </c>
      <c r="AF51" s="813">
        <f t="shared" si="45"/>
        <v>0</v>
      </c>
      <c r="AG51" s="836">
        <v>0</v>
      </c>
      <c r="AH51" s="836">
        <v>0</v>
      </c>
      <c r="AI51" s="836">
        <v>0</v>
      </c>
      <c r="AJ51" s="836">
        <v>0</v>
      </c>
      <c r="AK51" s="836">
        <v>0</v>
      </c>
      <c r="AL51" s="836">
        <f t="shared" si="46"/>
        <v>0</v>
      </c>
      <c r="AM51" s="836">
        <f t="shared" si="47"/>
        <v>0</v>
      </c>
      <c r="AN51" s="837">
        <f t="shared" si="48"/>
        <v>0</v>
      </c>
      <c r="AO51" s="835">
        <f t="shared" si="49"/>
        <v>25279</v>
      </c>
      <c r="AP51" s="813">
        <f t="shared" si="50"/>
        <v>17820</v>
      </c>
      <c r="AQ51" s="813">
        <f t="shared" si="51"/>
        <v>0</v>
      </c>
      <c r="AR51" s="813">
        <f t="shared" si="52"/>
        <v>6023</v>
      </c>
      <c r="AS51" s="813">
        <f t="shared" si="52"/>
        <v>356</v>
      </c>
      <c r="AT51" s="813">
        <f t="shared" si="53"/>
        <v>1080</v>
      </c>
      <c r="AU51" s="836">
        <f t="shared" si="54"/>
        <v>0.08</v>
      </c>
      <c r="AV51" s="836">
        <f t="shared" si="55"/>
        <v>0</v>
      </c>
      <c r="AW51" s="837">
        <f t="shared" si="55"/>
        <v>0.08</v>
      </c>
    </row>
    <row r="52" spans="1:49" ht="12.95" customHeight="1" x14ac:dyDescent="0.25">
      <c r="A52" s="850">
        <v>8</v>
      </c>
      <c r="B52" s="951">
        <v>5410</v>
      </c>
      <c r="C52" s="952">
        <v>600099318</v>
      </c>
      <c r="D52" s="951">
        <v>854778</v>
      </c>
      <c r="E52" s="1005" t="s">
        <v>453</v>
      </c>
      <c r="F52" s="951"/>
      <c r="G52" s="1006"/>
      <c r="H52" s="1007"/>
      <c r="I52" s="820">
        <f t="shared" ref="I52:AW52" si="56">SUM(I46:I51)</f>
        <v>19089393</v>
      </c>
      <c r="J52" s="821">
        <f t="shared" si="56"/>
        <v>13844828</v>
      </c>
      <c r="K52" s="821">
        <f t="shared" si="56"/>
        <v>4679551</v>
      </c>
      <c r="L52" s="821">
        <f t="shared" si="56"/>
        <v>276896</v>
      </c>
      <c r="M52" s="821">
        <f t="shared" si="56"/>
        <v>288118</v>
      </c>
      <c r="N52" s="822">
        <f t="shared" si="56"/>
        <v>31.010399999999997</v>
      </c>
      <c r="O52" s="822">
        <f t="shared" si="56"/>
        <v>19.059900000000003</v>
      </c>
      <c r="P52" s="824">
        <f t="shared" si="56"/>
        <v>11.9505</v>
      </c>
      <c r="Q52" s="825">
        <f t="shared" si="56"/>
        <v>-48000</v>
      </c>
      <c r="R52" s="821">
        <f t="shared" si="56"/>
        <v>0</v>
      </c>
      <c r="S52" s="821">
        <f t="shared" si="56"/>
        <v>0</v>
      </c>
      <c r="T52" s="821">
        <f t="shared" si="56"/>
        <v>0</v>
      </c>
      <c r="U52" s="821">
        <f t="shared" si="56"/>
        <v>-48000</v>
      </c>
      <c r="V52" s="821">
        <f t="shared" si="56"/>
        <v>48000</v>
      </c>
      <c r="W52" s="821">
        <f t="shared" si="56"/>
        <v>0</v>
      </c>
      <c r="X52" s="821">
        <f t="shared" si="56"/>
        <v>0</v>
      </c>
      <c r="Y52" s="821">
        <f t="shared" si="56"/>
        <v>48000</v>
      </c>
      <c r="Z52" s="821">
        <f t="shared" si="56"/>
        <v>0</v>
      </c>
      <c r="AA52" s="821">
        <f t="shared" si="56"/>
        <v>0</v>
      </c>
      <c r="AB52" s="821">
        <f t="shared" si="56"/>
        <v>-960</v>
      </c>
      <c r="AC52" s="821">
        <f t="shared" si="56"/>
        <v>1400</v>
      </c>
      <c r="AD52" s="821">
        <f t="shared" si="56"/>
        <v>0</v>
      </c>
      <c r="AE52" s="821">
        <f t="shared" si="56"/>
        <v>1400</v>
      </c>
      <c r="AF52" s="821">
        <f t="shared" si="56"/>
        <v>440</v>
      </c>
      <c r="AG52" s="822">
        <f t="shared" si="56"/>
        <v>0</v>
      </c>
      <c r="AH52" s="822">
        <f t="shared" si="56"/>
        <v>-0.1</v>
      </c>
      <c r="AI52" s="822">
        <f t="shared" si="56"/>
        <v>0</v>
      </c>
      <c r="AJ52" s="822">
        <f t="shared" si="56"/>
        <v>0</v>
      </c>
      <c r="AK52" s="822">
        <f t="shared" si="56"/>
        <v>0</v>
      </c>
      <c r="AL52" s="822">
        <f t="shared" si="56"/>
        <v>0</v>
      </c>
      <c r="AM52" s="822">
        <f t="shared" si="56"/>
        <v>-0.1</v>
      </c>
      <c r="AN52" s="824">
        <f t="shared" si="56"/>
        <v>-0.1</v>
      </c>
      <c r="AO52" s="825">
        <f t="shared" si="56"/>
        <v>19089833</v>
      </c>
      <c r="AP52" s="821">
        <f t="shared" si="56"/>
        <v>13796828</v>
      </c>
      <c r="AQ52" s="821">
        <f t="shared" si="56"/>
        <v>48000</v>
      </c>
      <c r="AR52" s="821">
        <f t="shared" si="56"/>
        <v>4679551</v>
      </c>
      <c r="AS52" s="821">
        <f t="shared" si="56"/>
        <v>275936</v>
      </c>
      <c r="AT52" s="821">
        <f t="shared" si="56"/>
        <v>289518</v>
      </c>
      <c r="AU52" s="822">
        <f t="shared" si="56"/>
        <v>30.910399999999996</v>
      </c>
      <c r="AV52" s="822">
        <f t="shared" si="56"/>
        <v>19.059900000000003</v>
      </c>
      <c r="AW52" s="824">
        <f t="shared" si="56"/>
        <v>11.8505</v>
      </c>
    </row>
    <row r="53" spans="1:49" ht="12.95" customHeight="1" x14ac:dyDescent="0.25">
      <c r="A53" s="828">
        <v>9</v>
      </c>
      <c r="B53" s="946">
        <v>5476</v>
      </c>
      <c r="C53" s="947">
        <v>650046072</v>
      </c>
      <c r="D53" s="828">
        <v>71002723</v>
      </c>
      <c r="E53" s="1004" t="s">
        <v>454</v>
      </c>
      <c r="F53" s="946">
        <v>3111</v>
      </c>
      <c r="G53" s="1000" t="s">
        <v>331</v>
      </c>
      <c r="H53" s="831" t="s">
        <v>283</v>
      </c>
      <c r="I53" s="803">
        <f t="shared" ref="I53:I59" si="57">SUM(J53:M53)</f>
        <v>2626746</v>
      </c>
      <c r="J53" s="833">
        <v>1920690</v>
      </c>
      <c r="K53" s="833">
        <f>ROUND((J53)*33.8%,0)</f>
        <v>649193</v>
      </c>
      <c r="L53" s="833">
        <f>ROUND(J53*2%,0)-1</f>
        <v>38413</v>
      </c>
      <c r="M53" s="833">
        <v>18450</v>
      </c>
      <c r="N53" s="834">
        <f>SUM(O53:P53)</f>
        <v>4.3217999999999996</v>
      </c>
      <c r="O53" s="1054">
        <v>3.4</v>
      </c>
      <c r="P53" s="1055">
        <v>0.92179999999999995</v>
      </c>
      <c r="Q53" s="835">
        <f t="shared" ref="Q53:Q59" si="58">V53*-1</f>
        <v>-12000</v>
      </c>
      <c r="R53" s="813">
        <v>0</v>
      </c>
      <c r="S53" s="813">
        <v>0</v>
      </c>
      <c r="T53" s="813">
        <v>0</v>
      </c>
      <c r="U53" s="813">
        <f t="shared" ref="U53:U59" si="59">SUM(Q53:T53)</f>
        <v>-12000</v>
      </c>
      <c r="V53" s="813">
        <v>12000</v>
      </c>
      <c r="W53" s="813">
        <v>0</v>
      </c>
      <c r="X53" s="813">
        <v>0</v>
      </c>
      <c r="Y53" s="813">
        <f t="shared" ref="Y53:Y59" si="60">SUM(V53:X53)</f>
        <v>12000</v>
      </c>
      <c r="Z53" s="813">
        <f t="shared" ref="Z53:Z59" si="61">U53+Y53</f>
        <v>0</v>
      </c>
      <c r="AA53" s="809">
        <f t="shared" ref="AA53:AA59" si="62">ROUND((U53+V53+W53)*33.8%,0)</f>
        <v>0</v>
      </c>
      <c r="AB53" s="809">
        <f t="shared" ref="AB53:AB59" si="63">ROUND(U53*2%,0)</f>
        <v>-240</v>
      </c>
      <c r="AC53" s="813">
        <v>0</v>
      </c>
      <c r="AD53" s="813">
        <v>0</v>
      </c>
      <c r="AE53" s="813">
        <f t="shared" ref="AE53:AE59" si="64">SUM(AC53:AD53)</f>
        <v>0</v>
      </c>
      <c r="AF53" s="813">
        <f t="shared" ref="AF53:AF59" si="65">Z53+AA53+AB53+AE53</f>
        <v>-240</v>
      </c>
      <c r="AG53" s="836">
        <v>-0.01</v>
      </c>
      <c r="AH53" s="836">
        <v>0</v>
      </c>
      <c r="AI53" s="836">
        <v>0</v>
      </c>
      <c r="AJ53" s="836">
        <v>0</v>
      </c>
      <c r="AK53" s="836">
        <v>0</v>
      </c>
      <c r="AL53" s="836">
        <f t="shared" ref="AL53:AL59" si="66">AG53+AI53+AJ53</f>
        <v>-0.01</v>
      </c>
      <c r="AM53" s="836">
        <f t="shared" ref="AM53:AM59" si="67">AH53+AK53</f>
        <v>0</v>
      </c>
      <c r="AN53" s="837">
        <f t="shared" ref="AN53:AN59" si="68">SUM(AL53:AM53)</f>
        <v>-0.01</v>
      </c>
      <c r="AO53" s="835">
        <f t="shared" ref="AO53:AO59" si="69">I53+AF53</f>
        <v>2626506</v>
      </c>
      <c r="AP53" s="813">
        <f t="shared" ref="AP53:AP59" si="70">J53+U53</f>
        <v>1908690</v>
      </c>
      <c r="AQ53" s="813">
        <f t="shared" ref="AQ53:AQ59" si="71">Y53</f>
        <v>12000</v>
      </c>
      <c r="AR53" s="813">
        <f t="shared" ref="AR53:AS59" si="72">K53+AA53</f>
        <v>649193</v>
      </c>
      <c r="AS53" s="813">
        <f t="shared" si="72"/>
        <v>38173</v>
      </c>
      <c r="AT53" s="813">
        <f t="shared" ref="AT53:AT59" si="73">M53+AE53</f>
        <v>18450</v>
      </c>
      <c r="AU53" s="836">
        <f t="shared" ref="AU53:AU59" si="74">N53+AN53</f>
        <v>4.3117999999999999</v>
      </c>
      <c r="AV53" s="836">
        <f t="shared" ref="AV53:AW59" si="75">O53+AL53</f>
        <v>3.39</v>
      </c>
      <c r="AW53" s="837">
        <f t="shared" si="75"/>
        <v>0.92179999999999995</v>
      </c>
    </row>
    <row r="54" spans="1:49" ht="12.95" customHeight="1" x14ac:dyDescent="0.25">
      <c r="A54" s="828">
        <v>9</v>
      </c>
      <c r="B54" s="946">
        <v>5476</v>
      </c>
      <c r="C54" s="947">
        <v>650046072</v>
      </c>
      <c r="D54" s="828">
        <v>71002723</v>
      </c>
      <c r="E54" s="1004" t="s">
        <v>454</v>
      </c>
      <c r="F54" s="946">
        <v>3113</v>
      </c>
      <c r="G54" s="1000" t="s">
        <v>335</v>
      </c>
      <c r="H54" s="831" t="s">
        <v>283</v>
      </c>
      <c r="I54" s="803">
        <f t="shared" si="57"/>
        <v>10750242</v>
      </c>
      <c r="J54" s="833">
        <v>7796305</v>
      </c>
      <c r="K54" s="833">
        <f>ROUND((J54)*33.8%,0)</f>
        <v>2635151</v>
      </c>
      <c r="L54" s="833">
        <f>ROUND(J54*2%,0)</f>
        <v>155926</v>
      </c>
      <c r="M54" s="833">
        <v>162860</v>
      </c>
      <c r="N54" s="834">
        <f>SUM(O54:P54)</f>
        <v>15.445399999999999</v>
      </c>
      <c r="O54" s="1054">
        <v>11.7966</v>
      </c>
      <c r="P54" s="1055">
        <v>3.6487999999999996</v>
      </c>
      <c r="Q54" s="835">
        <f t="shared" si="58"/>
        <v>-36000</v>
      </c>
      <c r="R54" s="813">
        <v>0</v>
      </c>
      <c r="S54" s="813">
        <v>0</v>
      </c>
      <c r="T54" s="813">
        <v>0</v>
      </c>
      <c r="U54" s="813">
        <f t="shared" si="59"/>
        <v>-36000</v>
      </c>
      <c r="V54" s="813">
        <v>36000</v>
      </c>
      <c r="W54" s="813">
        <v>0</v>
      </c>
      <c r="X54" s="813">
        <v>0</v>
      </c>
      <c r="Y54" s="813">
        <f t="shared" si="60"/>
        <v>36000</v>
      </c>
      <c r="Z54" s="813">
        <f t="shared" si="61"/>
        <v>0</v>
      </c>
      <c r="AA54" s="809">
        <f t="shared" si="62"/>
        <v>0</v>
      </c>
      <c r="AB54" s="809">
        <f t="shared" si="63"/>
        <v>-720</v>
      </c>
      <c r="AC54" s="813">
        <v>0</v>
      </c>
      <c r="AD54" s="813">
        <v>0</v>
      </c>
      <c r="AE54" s="813">
        <f t="shared" si="64"/>
        <v>0</v>
      </c>
      <c r="AF54" s="813">
        <f t="shared" si="65"/>
        <v>-720</v>
      </c>
      <c r="AG54" s="836">
        <v>-0.05</v>
      </c>
      <c r="AH54" s="836">
        <v>-0.02</v>
      </c>
      <c r="AI54" s="836">
        <v>0</v>
      </c>
      <c r="AJ54" s="836">
        <v>0</v>
      </c>
      <c r="AK54" s="836">
        <v>0</v>
      </c>
      <c r="AL54" s="836">
        <f t="shared" si="66"/>
        <v>-0.05</v>
      </c>
      <c r="AM54" s="836">
        <f t="shared" si="67"/>
        <v>-0.02</v>
      </c>
      <c r="AN54" s="837">
        <f t="shared" si="68"/>
        <v>-7.0000000000000007E-2</v>
      </c>
      <c r="AO54" s="835">
        <f t="shared" si="69"/>
        <v>10749522</v>
      </c>
      <c r="AP54" s="813">
        <f t="shared" si="70"/>
        <v>7760305</v>
      </c>
      <c r="AQ54" s="813">
        <f t="shared" si="71"/>
        <v>36000</v>
      </c>
      <c r="AR54" s="813">
        <f t="shared" si="72"/>
        <v>2635151</v>
      </c>
      <c r="AS54" s="813">
        <f t="shared" si="72"/>
        <v>155206</v>
      </c>
      <c r="AT54" s="813">
        <f t="shared" si="73"/>
        <v>162860</v>
      </c>
      <c r="AU54" s="836">
        <f t="shared" si="74"/>
        <v>15.375399999999999</v>
      </c>
      <c r="AV54" s="836">
        <f t="shared" si="75"/>
        <v>11.746599999999999</v>
      </c>
      <c r="AW54" s="837">
        <f t="shared" si="75"/>
        <v>3.6287999999999996</v>
      </c>
    </row>
    <row r="55" spans="1:49" ht="12.95" customHeight="1" x14ac:dyDescent="0.25">
      <c r="A55" s="828">
        <v>9</v>
      </c>
      <c r="B55" s="946">
        <v>5476</v>
      </c>
      <c r="C55" s="947">
        <v>650046072</v>
      </c>
      <c r="D55" s="828">
        <v>71002723</v>
      </c>
      <c r="E55" s="1004" t="s">
        <v>454</v>
      </c>
      <c r="F55" s="946">
        <v>3113</v>
      </c>
      <c r="G55" s="831" t="s">
        <v>318</v>
      </c>
      <c r="H55" s="831" t="s">
        <v>284</v>
      </c>
      <c r="I55" s="803">
        <f t="shared" si="57"/>
        <v>0</v>
      </c>
      <c r="J55" s="833">
        <v>0</v>
      </c>
      <c r="K55" s="833">
        <v>0</v>
      </c>
      <c r="L55" s="833">
        <v>0</v>
      </c>
      <c r="M55" s="833">
        <v>0</v>
      </c>
      <c r="N55" s="834">
        <f>SUM(O55:P55)</f>
        <v>0</v>
      </c>
      <c r="O55" s="1054">
        <v>0</v>
      </c>
      <c r="P55" s="1055">
        <v>0</v>
      </c>
      <c r="Q55" s="835">
        <f t="shared" si="58"/>
        <v>0</v>
      </c>
      <c r="R55" s="833">
        <f>227276+19280</f>
        <v>246556</v>
      </c>
      <c r="S55" s="813">
        <v>0</v>
      </c>
      <c r="T55" s="813">
        <v>0</v>
      </c>
      <c r="U55" s="813">
        <f t="shared" si="59"/>
        <v>246556</v>
      </c>
      <c r="V55" s="813">
        <v>0</v>
      </c>
      <c r="W55" s="813">
        <v>0</v>
      </c>
      <c r="X55" s="813">
        <v>0</v>
      </c>
      <c r="Y55" s="813">
        <f t="shared" si="60"/>
        <v>0</v>
      </c>
      <c r="Z55" s="813">
        <f t="shared" si="61"/>
        <v>246556</v>
      </c>
      <c r="AA55" s="809">
        <f t="shared" si="62"/>
        <v>83336</v>
      </c>
      <c r="AB55" s="809">
        <f t="shared" si="63"/>
        <v>4931</v>
      </c>
      <c r="AC55" s="833">
        <f>500+500</f>
        <v>1000</v>
      </c>
      <c r="AD55" s="813">
        <v>0</v>
      </c>
      <c r="AE55" s="813">
        <f t="shared" si="64"/>
        <v>1000</v>
      </c>
      <c r="AF55" s="813">
        <f t="shared" si="65"/>
        <v>335823</v>
      </c>
      <c r="AG55" s="836">
        <v>0</v>
      </c>
      <c r="AH55" s="836">
        <v>0</v>
      </c>
      <c r="AI55" s="836">
        <f>0.59+0.04</f>
        <v>0.63</v>
      </c>
      <c r="AJ55" s="836">
        <v>0</v>
      </c>
      <c r="AK55" s="836">
        <v>0</v>
      </c>
      <c r="AL55" s="836">
        <f t="shared" si="66"/>
        <v>0.63</v>
      </c>
      <c r="AM55" s="836">
        <f t="shared" si="67"/>
        <v>0</v>
      </c>
      <c r="AN55" s="837">
        <f t="shared" si="68"/>
        <v>0.63</v>
      </c>
      <c r="AO55" s="835">
        <f t="shared" si="69"/>
        <v>335823</v>
      </c>
      <c r="AP55" s="813">
        <f t="shared" si="70"/>
        <v>246556</v>
      </c>
      <c r="AQ55" s="813">
        <f t="shared" si="71"/>
        <v>0</v>
      </c>
      <c r="AR55" s="813">
        <f t="shared" si="72"/>
        <v>83336</v>
      </c>
      <c r="AS55" s="813">
        <f t="shared" si="72"/>
        <v>4931</v>
      </c>
      <c r="AT55" s="813">
        <f t="shared" si="73"/>
        <v>1000</v>
      </c>
      <c r="AU55" s="836">
        <f t="shared" si="74"/>
        <v>0.63</v>
      </c>
      <c r="AV55" s="836">
        <f t="shared" si="75"/>
        <v>0.63</v>
      </c>
      <c r="AW55" s="837">
        <f t="shared" si="75"/>
        <v>0</v>
      </c>
    </row>
    <row r="56" spans="1:49" ht="12.95" customHeight="1" x14ac:dyDescent="0.25">
      <c r="A56" s="828">
        <v>9</v>
      </c>
      <c r="B56" s="946">
        <v>5476</v>
      </c>
      <c r="C56" s="947">
        <v>650046072</v>
      </c>
      <c r="D56" s="828">
        <v>71002723</v>
      </c>
      <c r="E56" s="1004" t="s">
        <v>454</v>
      </c>
      <c r="F56" s="946">
        <v>3141</v>
      </c>
      <c r="G56" s="1000" t="s">
        <v>321</v>
      </c>
      <c r="H56" s="831" t="s">
        <v>284</v>
      </c>
      <c r="I56" s="803">
        <f t="shared" si="57"/>
        <v>1450964</v>
      </c>
      <c r="J56" s="833">
        <v>1061922</v>
      </c>
      <c r="K56" s="805">
        <f>ROUND((J56)*33.8%,0)</f>
        <v>358930</v>
      </c>
      <c r="L56" s="833">
        <f>ROUND(J56*2%,0)</f>
        <v>21238</v>
      </c>
      <c r="M56" s="833">
        <v>8874</v>
      </c>
      <c r="N56" s="834">
        <f>O56+P56</f>
        <v>3.61</v>
      </c>
      <c r="O56" s="1054">
        <v>0</v>
      </c>
      <c r="P56" s="1055">
        <v>3.61</v>
      </c>
      <c r="Q56" s="835">
        <f t="shared" si="58"/>
        <v>0</v>
      </c>
      <c r="R56" s="813">
        <v>0</v>
      </c>
      <c r="S56" s="813">
        <v>0</v>
      </c>
      <c r="T56" s="813">
        <v>0</v>
      </c>
      <c r="U56" s="813">
        <f t="shared" si="59"/>
        <v>0</v>
      </c>
      <c r="V56" s="813">
        <v>0</v>
      </c>
      <c r="W56" s="813">
        <v>0</v>
      </c>
      <c r="X56" s="813">
        <v>0</v>
      </c>
      <c r="Y56" s="813">
        <f t="shared" si="60"/>
        <v>0</v>
      </c>
      <c r="Z56" s="813">
        <f t="shared" si="61"/>
        <v>0</v>
      </c>
      <c r="AA56" s="809">
        <f t="shared" si="62"/>
        <v>0</v>
      </c>
      <c r="AB56" s="809">
        <f t="shared" si="63"/>
        <v>0</v>
      </c>
      <c r="AC56" s="813">
        <v>0</v>
      </c>
      <c r="AD56" s="813">
        <v>0</v>
      </c>
      <c r="AE56" s="813">
        <f t="shared" si="64"/>
        <v>0</v>
      </c>
      <c r="AF56" s="813">
        <f t="shared" si="65"/>
        <v>0</v>
      </c>
      <c r="AG56" s="836">
        <v>0</v>
      </c>
      <c r="AH56" s="836">
        <v>0</v>
      </c>
      <c r="AI56" s="836">
        <v>0</v>
      </c>
      <c r="AJ56" s="836">
        <v>0</v>
      </c>
      <c r="AK56" s="836">
        <v>0</v>
      </c>
      <c r="AL56" s="836">
        <f t="shared" si="66"/>
        <v>0</v>
      </c>
      <c r="AM56" s="836">
        <f t="shared" si="67"/>
        <v>0</v>
      </c>
      <c r="AN56" s="837">
        <f t="shared" si="68"/>
        <v>0</v>
      </c>
      <c r="AO56" s="835">
        <f t="shared" si="69"/>
        <v>1450964</v>
      </c>
      <c r="AP56" s="813">
        <f t="shared" si="70"/>
        <v>1061922</v>
      </c>
      <c r="AQ56" s="813">
        <f t="shared" si="71"/>
        <v>0</v>
      </c>
      <c r="AR56" s="813">
        <f t="shared" si="72"/>
        <v>358930</v>
      </c>
      <c r="AS56" s="813">
        <f t="shared" si="72"/>
        <v>21238</v>
      </c>
      <c r="AT56" s="813">
        <f t="shared" si="73"/>
        <v>8874</v>
      </c>
      <c r="AU56" s="836">
        <f t="shared" si="74"/>
        <v>3.61</v>
      </c>
      <c r="AV56" s="836">
        <f t="shared" si="75"/>
        <v>0</v>
      </c>
      <c r="AW56" s="837">
        <f t="shared" si="75"/>
        <v>3.61</v>
      </c>
    </row>
    <row r="57" spans="1:49" ht="12.95" customHeight="1" x14ac:dyDescent="0.25">
      <c r="A57" s="828">
        <v>9</v>
      </c>
      <c r="B57" s="946">
        <v>5476</v>
      </c>
      <c r="C57" s="947">
        <v>650046072</v>
      </c>
      <c r="D57" s="828">
        <v>71002723</v>
      </c>
      <c r="E57" s="1004" t="s">
        <v>454</v>
      </c>
      <c r="F57" s="946">
        <v>3143</v>
      </c>
      <c r="G57" s="831" t="s">
        <v>635</v>
      </c>
      <c r="H57" s="831" t="s">
        <v>283</v>
      </c>
      <c r="I57" s="803">
        <f t="shared" si="57"/>
        <v>744903</v>
      </c>
      <c r="J57" s="833">
        <v>548529</v>
      </c>
      <c r="K57" s="833">
        <f>ROUND((J57)*33.8%,0)</f>
        <v>185403</v>
      </c>
      <c r="L57" s="833">
        <f>ROUND(J57*2%,0)</f>
        <v>10971</v>
      </c>
      <c r="M57" s="833">
        <v>0</v>
      </c>
      <c r="N57" s="834">
        <f>SUM(O57:P57)</f>
        <v>1.3</v>
      </c>
      <c r="O57" s="1054">
        <v>1.3</v>
      </c>
      <c r="P57" s="1055">
        <v>0</v>
      </c>
      <c r="Q57" s="835">
        <f t="shared" si="58"/>
        <v>-4000</v>
      </c>
      <c r="R57" s="813">
        <v>0</v>
      </c>
      <c r="S57" s="813">
        <v>0</v>
      </c>
      <c r="T57" s="813">
        <v>0</v>
      </c>
      <c r="U57" s="813">
        <f t="shared" si="59"/>
        <v>-4000</v>
      </c>
      <c r="V57" s="813">
        <v>4000</v>
      </c>
      <c r="W57" s="813">
        <v>0</v>
      </c>
      <c r="X57" s="813">
        <v>0</v>
      </c>
      <c r="Y57" s="813">
        <f t="shared" si="60"/>
        <v>4000</v>
      </c>
      <c r="Z57" s="813">
        <f t="shared" si="61"/>
        <v>0</v>
      </c>
      <c r="AA57" s="809">
        <f t="shared" si="62"/>
        <v>0</v>
      </c>
      <c r="AB57" s="809">
        <f t="shared" si="63"/>
        <v>-80</v>
      </c>
      <c r="AC57" s="813">
        <v>0</v>
      </c>
      <c r="AD57" s="813">
        <v>0</v>
      </c>
      <c r="AE57" s="813">
        <f t="shared" si="64"/>
        <v>0</v>
      </c>
      <c r="AF57" s="813">
        <f t="shared" si="65"/>
        <v>-80</v>
      </c>
      <c r="AG57" s="836">
        <v>0</v>
      </c>
      <c r="AH57" s="836">
        <v>0</v>
      </c>
      <c r="AI57" s="836">
        <v>0</v>
      </c>
      <c r="AJ57" s="836">
        <v>0</v>
      </c>
      <c r="AK57" s="836">
        <v>0</v>
      </c>
      <c r="AL57" s="836">
        <f t="shared" si="66"/>
        <v>0</v>
      </c>
      <c r="AM57" s="836">
        <f t="shared" si="67"/>
        <v>0</v>
      </c>
      <c r="AN57" s="837">
        <f t="shared" si="68"/>
        <v>0</v>
      </c>
      <c r="AO57" s="835">
        <f t="shared" si="69"/>
        <v>744823</v>
      </c>
      <c r="AP57" s="813">
        <f t="shared" si="70"/>
        <v>544529</v>
      </c>
      <c r="AQ57" s="813">
        <f t="shared" si="71"/>
        <v>4000</v>
      </c>
      <c r="AR57" s="813">
        <f t="shared" si="72"/>
        <v>185403</v>
      </c>
      <c r="AS57" s="813">
        <f t="shared" si="72"/>
        <v>10891</v>
      </c>
      <c r="AT57" s="813">
        <f t="shared" si="73"/>
        <v>0</v>
      </c>
      <c r="AU57" s="836">
        <f t="shared" si="74"/>
        <v>1.3</v>
      </c>
      <c r="AV57" s="836">
        <f t="shared" si="75"/>
        <v>1.3</v>
      </c>
      <c r="AW57" s="837">
        <f t="shared" si="75"/>
        <v>0</v>
      </c>
    </row>
    <row r="58" spans="1:49" ht="12.95" customHeight="1" x14ac:dyDescent="0.25">
      <c r="A58" s="828">
        <v>9</v>
      </c>
      <c r="B58" s="946">
        <v>5476</v>
      </c>
      <c r="C58" s="947">
        <v>650046072</v>
      </c>
      <c r="D58" s="828">
        <v>71002723</v>
      </c>
      <c r="E58" s="1004" t="s">
        <v>454</v>
      </c>
      <c r="F58" s="946">
        <v>3143</v>
      </c>
      <c r="G58" s="831" t="s">
        <v>636</v>
      </c>
      <c r="H58" s="831" t="s">
        <v>284</v>
      </c>
      <c r="I58" s="803">
        <f t="shared" si="57"/>
        <v>23173</v>
      </c>
      <c r="J58" s="833">
        <v>16335</v>
      </c>
      <c r="K58" s="805">
        <f>ROUND((J58)*33.8%,0)</f>
        <v>5521</v>
      </c>
      <c r="L58" s="833">
        <f>ROUND(J58*2%,0)</f>
        <v>327</v>
      </c>
      <c r="M58" s="833">
        <v>990</v>
      </c>
      <c r="N58" s="834">
        <f>SUM(O58:P58)</f>
        <v>7.0000000000000007E-2</v>
      </c>
      <c r="O58" s="1054">
        <v>0</v>
      </c>
      <c r="P58" s="1055">
        <v>7.0000000000000007E-2</v>
      </c>
      <c r="Q58" s="835">
        <f t="shared" si="58"/>
        <v>0</v>
      </c>
      <c r="R58" s="813">
        <v>0</v>
      </c>
      <c r="S58" s="813">
        <v>0</v>
      </c>
      <c r="T58" s="813">
        <v>0</v>
      </c>
      <c r="U58" s="813">
        <f t="shared" si="59"/>
        <v>0</v>
      </c>
      <c r="V58" s="813">
        <v>0</v>
      </c>
      <c r="W58" s="813">
        <v>0</v>
      </c>
      <c r="X58" s="813">
        <v>0</v>
      </c>
      <c r="Y58" s="813">
        <f t="shared" si="60"/>
        <v>0</v>
      </c>
      <c r="Z58" s="813">
        <f t="shared" si="61"/>
        <v>0</v>
      </c>
      <c r="AA58" s="809">
        <f t="shared" si="62"/>
        <v>0</v>
      </c>
      <c r="AB58" s="809">
        <f t="shared" si="63"/>
        <v>0</v>
      </c>
      <c r="AC58" s="813">
        <v>0</v>
      </c>
      <c r="AD58" s="813">
        <v>0</v>
      </c>
      <c r="AE58" s="813">
        <f t="shared" si="64"/>
        <v>0</v>
      </c>
      <c r="AF58" s="813">
        <f t="shared" si="65"/>
        <v>0</v>
      </c>
      <c r="AG58" s="836">
        <v>0</v>
      </c>
      <c r="AH58" s="836">
        <v>0</v>
      </c>
      <c r="AI58" s="836">
        <v>0</v>
      </c>
      <c r="AJ58" s="836">
        <v>0</v>
      </c>
      <c r="AK58" s="836">
        <v>0</v>
      </c>
      <c r="AL58" s="836">
        <f t="shared" si="66"/>
        <v>0</v>
      </c>
      <c r="AM58" s="836">
        <f t="shared" si="67"/>
        <v>0</v>
      </c>
      <c r="AN58" s="837">
        <f t="shared" si="68"/>
        <v>0</v>
      </c>
      <c r="AO58" s="835">
        <f t="shared" si="69"/>
        <v>23173</v>
      </c>
      <c r="AP58" s="813">
        <f t="shared" si="70"/>
        <v>16335</v>
      </c>
      <c r="AQ58" s="813">
        <f t="shared" si="71"/>
        <v>0</v>
      </c>
      <c r="AR58" s="813">
        <f t="shared" si="72"/>
        <v>5521</v>
      </c>
      <c r="AS58" s="813">
        <f t="shared" si="72"/>
        <v>327</v>
      </c>
      <c r="AT58" s="813">
        <f t="shared" si="73"/>
        <v>990</v>
      </c>
      <c r="AU58" s="836">
        <f t="shared" si="74"/>
        <v>7.0000000000000007E-2</v>
      </c>
      <c r="AV58" s="836">
        <f t="shared" si="75"/>
        <v>0</v>
      </c>
      <c r="AW58" s="837">
        <f t="shared" si="75"/>
        <v>7.0000000000000007E-2</v>
      </c>
    </row>
    <row r="59" spans="1:49" ht="12.95" customHeight="1" x14ac:dyDescent="0.25">
      <c r="A59" s="828">
        <v>9</v>
      </c>
      <c r="B59" s="946">
        <v>5476</v>
      </c>
      <c r="C59" s="947">
        <v>650046072</v>
      </c>
      <c r="D59" s="828">
        <v>71002723</v>
      </c>
      <c r="E59" s="1004" t="s">
        <v>454</v>
      </c>
      <c r="F59" s="946">
        <v>3231</v>
      </c>
      <c r="G59" s="1000" t="s">
        <v>322</v>
      </c>
      <c r="H59" s="831" t="s">
        <v>283</v>
      </c>
      <c r="I59" s="803">
        <f t="shared" si="57"/>
        <v>6380559</v>
      </c>
      <c r="J59" s="833">
        <v>4680330</v>
      </c>
      <c r="K59" s="833">
        <f>ROUND((J59)*33.8%,0)</f>
        <v>1581952</v>
      </c>
      <c r="L59" s="833">
        <f>ROUND(J59*2%,0)</f>
        <v>93607</v>
      </c>
      <c r="M59" s="833">
        <v>24670</v>
      </c>
      <c r="N59" s="834">
        <f>SUM(O59:P59)</f>
        <v>9.0973000000000006</v>
      </c>
      <c r="O59" s="1054">
        <v>8.0061</v>
      </c>
      <c r="P59" s="1055">
        <v>1.0911999999999999</v>
      </c>
      <c r="Q59" s="835">
        <f t="shared" si="58"/>
        <v>-4000</v>
      </c>
      <c r="R59" s="813">
        <v>0</v>
      </c>
      <c r="S59" s="813">
        <v>0</v>
      </c>
      <c r="T59" s="813">
        <v>0</v>
      </c>
      <c r="U59" s="813">
        <f t="shared" si="59"/>
        <v>-4000</v>
      </c>
      <c r="V59" s="813">
        <v>4000</v>
      </c>
      <c r="W59" s="813">
        <v>0</v>
      </c>
      <c r="X59" s="813">
        <v>0</v>
      </c>
      <c r="Y59" s="813">
        <f t="shared" si="60"/>
        <v>4000</v>
      </c>
      <c r="Z59" s="813">
        <f t="shared" si="61"/>
        <v>0</v>
      </c>
      <c r="AA59" s="809">
        <f t="shared" si="62"/>
        <v>0</v>
      </c>
      <c r="AB59" s="809">
        <f t="shared" si="63"/>
        <v>-80</v>
      </c>
      <c r="AC59" s="813">
        <v>0</v>
      </c>
      <c r="AD59" s="813">
        <v>0</v>
      </c>
      <c r="AE59" s="813">
        <f t="shared" si="64"/>
        <v>0</v>
      </c>
      <c r="AF59" s="813">
        <f t="shared" si="65"/>
        <v>-80</v>
      </c>
      <c r="AG59" s="836">
        <v>0</v>
      </c>
      <c r="AH59" s="836">
        <v>0</v>
      </c>
      <c r="AI59" s="836">
        <v>0</v>
      </c>
      <c r="AJ59" s="836">
        <v>0</v>
      </c>
      <c r="AK59" s="836">
        <v>0</v>
      </c>
      <c r="AL59" s="836">
        <f t="shared" si="66"/>
        <v>0</v>
      </c>
      <c r="AM59" s="836">
        <f t="shared" si="67"/>
        <v>0</v>
      </c>
      <c r="AN59" s="837">
        <f t="shared" si="68"/>
        <v>0</v>
      </c>
      <c r="AO59" s="835">
        <f t="shared" si="69"/>
        <v>6380479</v>
      </c>
      <c r="AP59" s="813">
        <f t="shared" si="70"/>
        <v>4676330</v>
      </c>
      <c r="AQ59" s="813">
        <f t="shared" si="71"/>
        <v>4000</v>
      </c>
      <c r="AR59" s="813">
        <f t="shared" si="72"/>
        <v>1581952</v>
      </c>
      <c r="AS59" s="813">
        <f t="shared" si="72"/>
        <v>93527</v>
      </c>
      <c r="AT59" s="813">
        <f t="shared" si="73"/>
        <v>24670</v>
      </c>
      <c r="AU59" s="836">
        <f t="shared" si="74"/>
        <v>9.0973000000000006</v>
      </c>
      <c r="AV59" s="836">
        <f t="shared" si="75"/>
        <v>8.0061</v>
      </c>
      <c r="AW59" s="837">
        <f t="shared" si="75"/>
        <v>1.0911999999999999</v>
      </c>
    </row>
    <row r="60" spans="1:49" ht="12.95" customHeight="1" x14ac:dyDescent="0.25">
      <c r="A60" s="850">
        <v>9</v>
      </c>
      <c r="B60" s="951">
        <v>5476</v>
      </c>
      <c r="C60" s="952">
        <v>650046072</v>
      </c>
      <c r="D60" s="951">
        <v>71002723</v>
      </c>
      <c r="E60" s="1005" t="s">
        <v>455</v>
      </c>
      <c r="F60" s="951"/>
      <c r="G60" s="1006"/>
      <c r="H60" s="1007"/>
      <c r="I60" s="820">
        <f t="shared" ref="I60:AW60" si="76">SUM(I53:I59)</f>
        <v>21976587</v>
      </c>
      <c r="J60" s="821">
        <f t="shared" si="76"/>
        <v>16024111</v>
      </c>
      <c r="K60" s="821">
        <f t="shared" si="76"/>
        <v>5416150</v>
      </c>
      <c r="L60" s="821">
        <f t="shared" si="76"/>
        <v>320482</v>
      </c>
      <c r="M60" s="821">
        <f t="shared" si="76"/>
        <v>215844</v>
      </c>
      <c r="N60" s="822">
        <f t="shared" si="76"/>
        <v>33.844499999999996</v>
      </c>
      <c r="O60" s="822">
        <f t="shared" si="76"/>
        <v>24.502700000000001</v>
      </c>
      <c r="P60" s="824">
        <f t="shared" si="76"/>
        <v>9.341800000000001</v>
      </c>
      <c r="Q60" s="825">
        <f t="shared" si="76"/>
        <v>-56000</v>
      </c>
      <c r="R60" s="821">
        <f t="shared" si="76"/>
        <v>246556</v>
      </c>
      <c r="S60" s="821">
        <f t="shared" si="76"/>
        <v>0</v>
      </c>
      <c r="T60" s="821">
        <f t="shared" si="76"/>
        <v>0</v>
      </c>
      <c r="U60" s="821">
        <f t="shared" si="76"/>
        <v>190556</v>
      </c>
      <c r="V60" s="821">
        <f t="shared" si="76"/>
        <v>56000</v>
      </c>
      <c r="W60" s="821">
        <f t="shared" si="76"/>
        <v>0</v>
      </c>
      <c r="X60" s="821">
        <f t="shared" si="76"/>
        <v>0</v>
      </c>
      <c r="Y60" s="821">
        <f t="shared" si="76"/>
        <v>56000</v>
      </c>
      <c r="Z60" s="821">
        <f t="shared" si="76"/>
        <v>246556</v>
      </c>
      <c r="AA60" s="821">
        <f t="shared" si="76"/>
        <v>83336</v>
      </c>
      <c r="AB60" s="821">
        <f t="shared" si="76"/>
        <v>3811</v>
      </c>
      <c r="AC60" s="821">
        <f t="shared" si="76"/>
        <v>1000</v>
      </c>
      <c r="AD60" s="821">
        <f t="shared" si="76"/>
        <v>0</v>
      </c>
      <c r="AE60" s="821">
        <f t="shared" si="76"/>
        <v>1000</v>
      </c>
      <c r="AF60" s="821">
        <f t="shared" si="76"/>
        <v>334703</v>
      </c>
      <c r="AG60" s="822">
        <f t="shared" si="76"/>
        <v>-6.0000000000000005E-2</v>
      </c>
      <c r="AH60" s="822">
        <f t="shared" si="76"/>
        <v>-0.02</v>
      </c>
      <c r="AI60" s="822">
        <f t="shared" si="76"/>
        <v>0.63</v>
      </c>
      <c r="AJ60" s="822">
        <f t="shared" si="76"/>
        <v>0</v>
      </c>
      <c r="AK60" s="822">
        <f t="shared" si="76"/>
        <v>0</v>
      </c>
      <c r="AL60" s="822">
        <f t="shared" si="76"/>
        <v>0.56999999999999995</v>
      </c>
      <c r="AM60" s="822">
        <f t="shared" si="76"/>
        <v>-0.02</v>
      </c>
      <c r="AN60" s="824">
        <f t="shared" si="76"/>
        <v>0.55000000000000004</v>
      </c>
      <c r="AO60" s="825">
        <f t="shared" si="76"/>
        <v>22311290</v>
      </c>
      <c r="AP60" s="821">
        <f t="shared" si="76"/>
        <v>16214667</v>
      </c>
      <c r="AQ60" s="821">
        <f t="shared" si="76"/>
        <v>56000</v>
      </c>
      <c r="AR60" s="821">
        <f t="shared" si="76"/>
        <v>5499486</v>
      </c>
      <c r="AS60" s="821">
        <f t="shared" si="76"/>
        <v>324293</v>
      </c>
      <c r="AT60" s="821">
        <f t="shared" si="76"/>
        <v>216844</v>
      </c>
      <c r="AU60" s="822">
        <f t="shared" si="76"/>
        <v>34.394499999999994</v>
      </c>
      <c r="AV60" s="822">
        <f t="shared" si="76"/>
        <v>25.072700000000001</v>
      </c>
      <c r="AW60" s="824">
        <f t="shared" si="76"/>
        <v>9.3217999999999996</v>
      </c>
    </row>
    <row r="61" spans="1:49" ht="12.95" customHeight="1" x14ac:dyDescent="0.25">
      <c r="A61" s="828">
        <v>10</v>
      </c>
      <c r="B61" s="946">
        <v>5414</v>
      </c>
      <c r="C61" s="947">
        <v>600099008</v>
      </c>
      <c r="D61" s="828">
        <v>70695555</v>
      </c>
      <c r="E61" s="1004" t="s">
        <v>456</v>
      </c>
      <c r="F61" s="946">
        <v>3111</v>
      </c>
      <c r="G61" s="1000" t="s">
        <v>331</v>
      </c>
      <c r="H61" s="831" t="s">
        <v>283</v>
      </c>
      <c r="I61" s="803">
        <f>SUM(J61:M61)</f>
        <v>1773713</v>
      </c>
      <c r="J61" s="833">
        <v>1298831</v>
      </c>
      <c r="K61" s="833">
        <f>ROUND((J61)*33.8%,0)</f>
        <v>439005</v>
      </c>
      <c r="L61" s="833">
        <f>ROUND(J61*2%,0)</f>
        <v>25977</v>
      </c>
      <c r="M61" s="833">
        <v>9900</v>
      </c>
      <c r="N61" s="834">
        <f>SUM(O61:P61)</f>
        <v>2.8349000000000002</v>
      </c>
      <c r="O61" s="1054">
        <v>2</v>
      </c>
      <c r="P61" s="1055">
        <v>0.83489999999999998</v>
      </c>
      <c r="Q61" s="835">
        <f>V61*-1</f>
        <v>0</v>
      </c>
      <c r="R61" s="813">
        <v>0</v>
      </c>
      <c r="S61" s="813">
        <v>0</v>
      </c>
      <c r="T61" s="813">
        <v>0</v>
      </c>
      <c r="U61" s="813">
        <f>SUM(Q61:T61)</f>
        <v>0</v>
      </c>
      <c r="V61" s="813">
        <v>0</v>
      </c>
      <c r="W61" s="813">
        <v>0</v>
      </c>
      <c r="X61" s="813">
        <v>0</v>
      </c>
      <c r="Y61" s="813">
        <f>SUM(V61:X61)</f>
        <v>0</v>
      </c>
      <c r="Z61" s="813">
        <f>U61+Y61</f>
        <v>0</v>
      </c>
      <c r="AA61" s="809">
        <f>ROUND((U61+V61+W61)*33.8%,0)</f>
        <v>0</v>
      </c>
      <c r="AB61" s="809">
        <f>ROUND(U61*2%,0)</f>
        <v>0</v>
      </c>
      <c r="AC61" s="813">
        <v>0</v>
      </c>
      <c r="AD61" s="813">
        <v>0</v>
      </c>
      <c r="AE61" s="813">
        <f>SUM(AC61:AD61)</f>
        <v>0</v>
      </c>
      <c r="AF61" s="813">
        <f>Z61+AA61+AB61+AE61</f>
        <v>0</v>
      </c>
      <c r="AG61" s="836">
        <v>0</v>
      </c>
      <c r="AH61" s="836">
        <v>0</v>
      </c>
      <c r="AI61" s="836">
        <v>0</v>
      </c>
      <c r="AJ61" s="836">
        <v>0</v>
      </c>
      <c r="AK61" s="836">
        <v>0</v>
      </c>
      <c r="AL61" s="836">
        <f>AG61+AI61+AJ61</f>
        <v>0</v>
      </c>
      <c r="AM61" s="836">
        <f>AH61+AK61</f>
        <v>0</v>
      </c>
      <c r="AN61" s="837">
        <f>SUM(AL61:AM61)</f>
        <v>0</v>
      </c>
      <c r="AO61" s="835">
        <f>I61+AF61</f>
        <v>1773713</v>
      </c>
      <c r="AP61" s="813">
        <f>J61+U61</f>
        <v>1298831</v>
      </c>
      <c r="AQ61" s="813">
        <f>Y61</f>
        <v>0</v>
      </c>
      <c r="AR61" s="813">
        <f>K61+AA61</f>
        <v>439005</v>
      </c>
      <c r="AS61" s="813">
        <f>L61+AB61</f>
        <v>25977</v>
      </c>
      <c r="AT61" s="813">
        <f>M61+AE61</f>
        <v>9900</v>
      </c>
      <c r="AU61" s="836">
        <f>N61+AN61</f>
        <v>2.8349000000000002</v>
      </c>
      <c r="AV61" s="836">
        <f>O61+AL61</f>
        <v>2</v>
      </c>
      <c r="AW61" s="837">
        <f>P61+AM61</f>
        <v>0.83489999999999998</v>
      </c>
    </row>
    <row r="62" spans="1:49" ht="12.95" customHeight="1" x14ac:dyDescent="0.25">
      <c r="A62" s="828">
        <v>10</v>
      </c>
      <c r="B62" s="946">
        <v>5414</v>
      </c>
      <c r="C62" s="947">
        <v>600099008</v>
      </c>
      <c r="D62" s="828">
        <v>70695555</v>
      </c>
      <c r="E62" s="1004" t="s">
        <v>456</v>
      </c>
      <c r="F62" s="946">
        <v>3141</v>
      </c>
      <c r="G62" s="1000" t="s">
        <v>321</v>
      </c>
      <c r="H62" s="831" t="s">
        <v>284</v>
      </c>
      <c r="I62" s="803">
        <f>SUM(J62:M62)</f>
        <v>140500</v>
      </c>
      <c r="J62" s="833">
        <v>102845</v>
      </c>
      <c r="K62" s="833">
        <v>34762</v>
      </c>
      <c r="L62" s="833">
        <f>ROUND(J62*2%,0)</f>
        <v>2057</v>
      </c>
      <c r="M62" s="833">
        <v>836</v>
      </c>
      <c r="N62" s="834">
        <f>O62+P62</f>
        <v>0.35</v>
      </c>
      <c r="O62" s="1054">
        <v>0</v>
      </c>
      <c r="P62" s="1055">
        <v>0.35</v>
      </c>
      <c r="Q62" s="835">
        <f>V62*-1</f>
        <v>0</v>
      </c>
      <c r="R62" s="813">
        <v>0</v>
      </c>
      <c r="S62" s="813">
        <v>0</v>
      </c>
      <c r="T62" s="813">
        <v>0</v>
      </c>
      <c r="U62" s="813">
        <f>SUM(Q62:T62)</f>
        <v>0</v>
      </c>
      <c r="V62" s="813">
        <v>0</v>
      </c>
      <c r="W62" s="813">
        <v>0</v>
      </c>
      <c r="X62" s="813">
        <v>0</v>
      </c>
      <c r="Y62" s="813">
        <f>SUM(V62:X62)</f>
        <v>0</v>
      </c>
      <c r="Z62" s="813">
        <f>U62+Y62</f>
        <v>0</v>
      </c>
      <c r="AA62" s="809">
        <f>ROUND((U62+V62+W62)*33.8%,0)</f>
        <v>0</v>
      </c>
      <c r="AB62" s="809">
        <f>ROUND(U62*2%,0)</f>
        <v>0</v>
      </c>
      <c r="AC62" s="813">
        <v>0</v>
      </c>
      <c r="AD62" s="813">
        <v>0</v>
      </c>
      <c r="AE62" s="813">
        <f>SUM(AC62:AD62)</f>
        <v>0</v>
      </c>
      <c r="AF62" s="813">
        <f>Z62+AA62+AB62+AE62</f>
        <v>0</v>
      </c>
      <c r="AG62" s="836">
        <v>0</v>
      </c>
      <c r="AH62" s="836">
        <v>0</v>
      </c>
      <c r="AI62" s="836">
        <v>0</v>
      </c>
      <c r="AJ62" s="836">
        <v>0</v>
      </c>
      <c r="AK62" s="836">
        <v>0</v>
      </c>
      <c r="AL62" s="836">
        <f>AG62+AI62+AJ62</f>
        <v>0</v>
      </c>
      <c r="AM62" s="836">
        <f>AH62+AK62</f>
        <v>0</v>
      </c>
      <c r="AN62" s="837">
        <f>SUM(AL62:AM62)</f>
        <v>0</v>
      </c>
      <c r="AO62" s="835">
        <f>I62+AF62</f>
        <v>140500</v>
      </c>
      <c r="AP62" s="813">
        <f>J62+U62</f>
        <v>102845</v>
      </c>
      <c r="AQ62" s="813">
        <f>Y62</f>
        <v>0</v>
      </c>
      <c r="AR62" s="813">
        <f>K62+AA62</f>
        <v>34762</v>
      </c>
      <c r="AS62" s="813">
        <f>L62+AB62</f>
        <v>2057</v>
      </c>
      <c r="AT62" s="813">
        <f>M62+AE62</f>
        <v>836</v>
      </c>
      <c r="AU62" s="836">
        <f>N62+AN62</f>
        <v>0.35</v>
      </c>
      <c r="AV62" s="836">
        <f>O62+AL62</f>
        <v>0</v>
      </c>
      <c r="AW62" s="837">
        <f>P62+AM62</f>
        <v>0.35</v>
      </c>
    </row>
    <row r="63" spans="1:49" ht="12.95" customHeight="1" x14ac:dyDescent="0.25">
      <c r="A63" s="1013">
        <v>10</v>
      </c>
      <c r="B63" s="951">
        <v>5414</v>
      </c>
      <c r="C63" s="952">
        <v>600099008</v>
      </c>
      <c r="D63" s="951">
        <v>70695555</v>
      </c>
      <c r="E63" s="1005" t="s">
        <v>457</v>
      </c>
      <c r="F63" s="951"/>
      <c r="G63" s="1006"/>
      <c r="H63" s="1007"/>
      <c r="I63" s="820">
        <f t="shared" ref="I63:AW63" si="77">SUM(I61:I62)</f>
        <v>1914213</v>
      </c>
      <c r="J63" s="821">
        <f t="shared" si="77"/>
        <v>1401676</v>
      </c>
      <c r="K63" s="821">
        <f t="shared" si="77"/>
        <v>473767</v>
      </c>
      <c r="L63" s="821">
        <f t="shared" si="77"/>
        <v>28034</v>
      </c>
      <c r="M63" s="821">
        <f t="shared" si="77"/>
        <v>10736</v>
      </c>
      <c r="N63" s="822">
        <f t="shared" si="77"/>
        <v>3.1849000000000003</v>
      </c>
      <c r="O63" s="822">
        <f t="shared" si="77"/>
        <v>2</v>
      </c>
      <c r="P63" s="824">
        <f t="shared" si="77"/>
        <v>1.1848999999999998</v>
      </c>
      <c r="Q63" s="825">
        <f t="shared" si="77"/>
        <v>0</v>
      </c>
      <c r="R63" s="821">
        <f t="shared" si="77"/>
        <v>0</v>
      </c>
      <c r="S63" s="821">
        <f t="shared" si="77"/>
        <v>0</v>
      </c>
      <c r="T63" s="821">
        <f t="shared" si="77"/>
        <v>0</v>
      </c>
      <c r="U63" s="821">
        <f t="shared" si="77"/>
        <v>0</v>
      </c>
      <c r="V63" s="821">
        <f t="shared" si="77"/>
        <v>0</v>
      </c>
      <c r="W63" s="821">
        <f t="shared" si="77"/>
        <v>0</v>
      </c>
      <c r="X63" s="821">
        <f t="shared" si="77"/>
        <v>0</v>
      </c>
      <c r="Y63" s="821">
        <f t="shared" si="77"/>
        <v>0</v>
      </c>
      <c r="Z63" s="821">
        <f t="shared" si="77"/>
        <v>0</v>
      </c>
      <c r="AA63" s="821">
        <f t="shared" si="77"/>
        <v>0</v>
      </c>
      <c r="AB63" s="821">
        <f t="shared" si="77"/>
        <v>0</v>
      </c>
      <c r="AC63" s="821">
        <f t="shared" si="77"/>
        <v>0</v>
      </c>
      <c r="AD63" s="821">
        <f t="shared" si="77"/>
        <v>0</v>
      </c>
      <c r="AE63" s="821">
        <f t="shared" si="77"/>
        <v>0</v>
      </c>
      <c r="AF63" s="821">
        <f t="shared" si="77"/>
        <v>0</v>
      </c>
      <c r="AG63" s="822">
        <f t="shared" si="77"/>
        <v>0</v>
      </c>
      <c r="AH63" s="822">
        <f t="shared" si="77"/>
        <v>0</v>
      </c>
      <c r="AI63" s="822">
        <f t="shared" si="77"/>
        <v>0</v>
      </c>
      <c r="AJ63" s="822">
        <f t="shared" si="77"/>
        <v>0</v>
      </c>
      <c r="AK63" s="822">
        <f t="shared" si="77"/>
        <v>0</v>
      </c>
      <c r="AL63" s="822">
        <f t="shared" si="77"/>
        <v>0</v>
      </c>
      <c r="AM63" s="822">
        <f t="shared" si="77"/>
        <v>0</v>
      </c>
      <c r="AN63" s="824">
        <f t="shared" si="77"/>
        <v>0</v>
      </c>
      <c r="AO63" s="825">
        <f t="shared" si="77"/>
        <v>1914213</v>
      </c>
      <c r="AP63" s="821">
        <f t="shared" si="77"/>
        <v>1401676</v>
      </c>
      <c r="AQ63" s="821">
        <f t="shared" si="77"/>
        <v>0</v>
      </c>
      <c r="AR63" s="821">
        <f t="shared" si="77"/>
        <v>473767</v>
      </c>
      <c r="AS63" s="821">
        <f t="shared" si="77"/>
        <v>28034</v>
      </c>
      <c r="AT63" s="821">
        <f t="shared" si="77"/>
        <v>10736</v>
      </c>
      <c r="AU63" s="822">
        <f t="shared" si="77"/>
        <v>3.1849000000000003</v>
      </c>
      <c r="AV63" s="822">
        <f t="shared" si="77"/>
        <v>2</v>
      </c>
      <c r="AW63" s="824">
        <f t="shared" si="77"/>
        <v>1.1848999999999998</v>
      </c>
    </row>
    <row r="64" spans="1:49" ht="12.95" customHeight="1" x14ac:dyDescent="0.25">
      <c r="A64" s="828">
        <v>11</v>
      </c>
      <c r="B64" s="946">
        <v>5483</v>
      </c>
      <c r="C64" s="947">
        <v>600098460</v>
      </c>
      <c r="D64" s="828">
        <v>72745207</v>
      </c>
      <c r="E64" s="1004" t="s">
        <v>458</v>
      </c>
      <c r="F64" s="946">
        <v>3111</v>
      </c>
      <c r="G64" s="1000" t="s">
        <v>331</v>
      </c>
      <c r="H64" s="831" t="s">
        <v>283</v>
      </c>
      <c r="I64" s="803">
        <f>SUM(J64:M64)</f>
        <v>1836134</v>
      </c>
      <c r="J64" s="833">
        <v>1345128</v>
      </c>
      <c r="K64" s="833">
        <f>ROUND((J64)*33.8%,0)</f>
        <v>454653</v>
      </c>
      <c r="L64" s="833">
        <f>ROUND(J64*2%,0)</f>
        <v>26903</v>
      </c>
      <c r="M64" s="833">
        <v>9450</v>
      </c>
      <c r="N64" s="834">
        <f>SUM(O64:P64)</f>
        <v>3.0067000000000004</v>
      </c>
      <c r="O64" s="1054">
        <v>2.1718000000000002</v>
      </c>
      <c r="P64" s="1055">
        <v>0.83489999999999998</v>
      </c>
      <c r="Q64" s="835">
        <f>V64*-1</f>
        <v>-44160</v>
      </c>
      <c r="R64" s="813">
        <v>0</v>
      </c>
      <c r="S64" s="813">
        <v>0</v>
      </c>
      <c r="T64" s="813">
        <v>0</v>
      </c>
      <c r="U64" s="813">
        <f>SUM(Q64:T64)</f>
        <v>-44160</v>
      </c>
      <c r="V64" s="813">
        <v>44160</v>
      </c>
      <c r="W64" s="813">
        <v>0</v>
      </c>
      <c r="X64" s="813">
        <v>0</v>
      </c>
      <c r="Y64" s="813">
        <f>SUM(V64:X64)</f>
        <v>44160</v>
      </c>
      <c r="Z64" s="813">
        <f>U64+Y64</f>
        <v>0</v>
      </c>
      <c r="AA64" s="809">
        <f>ROUND((U64+V64+W64)*33.8%,0)</f>
        <v>0</v>
      </c>
      <c r="AB64" s="809">
        <f>ROUND(U64*2%,0)</f>
        <v>-883</v>
      </c>
      <c r="AC64" s="813">
        <v>0</v>
      </c>
      <c r="AD64" s="813">
        <v>0</v>
      </c>
      <c r="AE64" s="813">
        <f>SUM(AC64:AD64)</f>
        <v>0</v>
      </c>
      <c r="AF64" s="813">
        <f>Z64+AA64+AB64+AE64</f>
        <v>-883</v>
      </c>
      <c r="AG64" s="836">
        <v>0</v>
      </c>
      <c r="AH64" s="836">
        <v>-0.04</v>
      </c>
      <c r="AI64" s="836">
        <v>0</v>
      </c>
      <c r="AJ64" s="836">
        <v>0</v>
      </c>
      <c r="AK64" s="836">
        <v>0</v>
      </c>
      <c r="AL64" s="836">
        <f>AG64+AI64+AJ64</f>
        <v>0</v>
      </c>
      <c r="AM64" s="836">
        <f>AH64+AK64</f>
        <v>-0.04</v>
      </c>
      <c r="AN64" s="837">
        <f>SUM(AL64:AM64)</f>
        <v>-0.04</v>
      </c>
      <c r="AO64" s="835">
        <f>I64+AF64</f>
        <v>1835251</v>
      </c>
      <c r="AP64" s="813">
        <f>J64+U64</f>
        <v>1300968</v>
      </c>
      <c r="AQ64" s="813">
        <f>Y64</f>
        <v>44160</v>
      </c>
      <c r="AR64" s="813">
        <f t="shared" ref="AR64:AS66" si="78">K64+AA64</f>
        <v>454653</v>
      </c>
      <c r="AS64" s="813">
        <f t="shared" si="78"/>
        <v>26020</v>
      </c>
      <c r="AT64" s="813">
        <f>M64+AE64</f>
        <v>9450</v>
      </c>
      <c r="AU64" s="836">
        <f>N64+AN64</f>
        <v>2.9667000000000003</v>
      </c>
      <c r="AV64" s="836">
        <f t="shared" ref="AV64:AW66" si="79">O64+AL64</f>
        <v>2.1718000000000002</v>
      </c>
      <c r="AW64" s="837">
        <f t="shared" si="79"/>
        <v>0.79489999999999994</v>
      </c>
    </row>
    <row r="65" spans="1:49" ht="12.95" customHeight="1" x14ac:dyDescent="0.25">
      <c r="A65" s="828">
        <v>11</v>
      </c>
      <c r="B65" s="946">
        <v>5483</v>
      </c>
      <c r="C65" s="947">
        <v>600098460</v>
      </c>
      <c r="D65" s="828">
        <v>72745207</v>
      </c>
      <c r="E65" s="1004" t="s">
        <v>458</v>
      </c>
      <c r="F65" s="946">
        <v>3111</v>
      </c>
      <c r="G65" s="831" t="s">
        <v>318</v>
      </c>
      <c r="H65" s="831" t="s">
        <v>284</v>
      </c>
      <c r="I65" s="803">
        <f>SUM(J65:M65)</f>
        <v>0</v>
      </c>
      <c r="J65" s="833">
        <v>0</v>
      </c>
      <c r="K65" s="833">
        <f>ROUND((J65)*33.8%,0)</f>
        <v>0</v>
      </c>
      <c r="L65" s="833">
        <f>ROUND(J65*2%,0)</f>
        <v>0</v>
      </c>
      <c r="M65" s="833">
        <v>0</v>
      </c>
      <c r="N65" s="834">
        <f>SUM(O65:P65)</f>
        <v>0</v>
      </c>
      <c r="O65" s="1054">
        <v>0</v>
      </c>
      <c r="P65" s="1055">
        <v>0</v>
      </c>
      <c r="Q65" s="835">
        <f>V65*-1</f>
        <v>0</v>
      </c>
      <c r="R65" s="813">
        <v>0</v>
      </c>
      <c r="S65" s="813">
        <v>0</v>
      </c>
      <c r="T65" s="813">
        <v>0</v>
      </c>
      <c r="U65" s="813">
        <f>SUM(Q65:T65)</f>
        <v>0</v>
      </c>
      <c r="V65" s="813">
        <v>0</v>
      </c>
      <c r="W65" s="813">
        <v>0</v>
      </c>
      <c r="X65" s="813">
        <v>0</v>
      </c>
      <c r="Y65" s="813">
        <f>SUM(V65:X65)</f>
        <v>0</v>
      </c>
      <c r="Z65" s="813">
        <f>U65+Y65</f>
        <v>0</v>
      </c>
      <c r="AA65" s="809">
        <f>ROUND((U65+V65+W65)*33.8%,0)</f>
        <v>0</v>
      </c>
      <c r="AB65" s="809">
        <f>ROUND(U65*2%,0)</f>
        <v>0</v>
      </c>
      <c r="AC65" s="813">
        <v>0</v>
      </c>
      <c r="AD65" s="813">
        <v>0</v>
      </c>
      <c r="AE65" s="813">
        <f>SUM(AC65:AD65)</f>
        <v>0</v>
      </c>
      <c r="AF65" s="813">
        <f>Z65+AA65+AB65+AE65</f>
        <v>0</v>
      </c>
      <c r="AG65" s="836">
        <v>0</v>
      </c>
      <c r="AH65" s="836">
        <v>0</v>
      </c>
      <c r="AI65" s="836">
        <v>0</v>
      </c>
      <c r="AJ65" s="836">
        <v>0</v>
      </c>
      <c r="AK65" s="836">
        <v>0</v>
      </c>
      <c r="AL65" s="836">
        <f>AG65+AI65+AJ65</f>
        <v>0</v>
      </c>
      <c r="AM65" s="836">
        <f>AH65+AK65</f>
        <v>0</v>
      </c>
      <c r="AN65" s="837">
        <f>SUM(AL65:AM65)</f>
        <v>0</v>
      </c>
      <c r="AO65" s="835">
        <f>I65+AF65</f>
        <v>0</v>
      </c>
      <c r="AP65" s="813">
        <f>J65+U65</f>
        <v>0</v>
      </c>
      <c r="AQ65" s="813">
        <f>Y65</f>
        <v>0</v>
      </c>
      <c r="AR65" s="813">
        <f t="shared" si="78"/>
        <v>0</v>
      </c>
      <c r="AS65" s="813">
        <f t="shared" si="78"/>
        <v>0</v>
      </c>
      <c r="AT65" s="813">
        <f>M65+AE65</f>
        <v>0</v>
      </c>
      <c r="AU65" s="836">
        <f>N65+AN65</f>
        <v>0</v>
      </c>
      <c r="AV65" s="836">
        <f t="shared" si="79"/>
        <v>0</v>
      </c>
      <c r="AW65" s="837">
        <f t="shared" si="79"/>
        <v>0</v>
      </c>
    </row>
    <row r="66" spans="1:49" ht="12.95" customHeight="1" x14ac:dyDescent="0.25">
      <c r="A66" s="828">
        <v>11</v>
      </c>
      <c r="B66" s="946">
        <v>5483</v>
      </c>
      <c r="C66" s="947">
        <v>600098460</v>
      </c>
      <c r="D66" s="828">
        <v>72745207</v>
      </c>
      <c r="E66" s="1004" t="s">
        <v>458</v>
      </c>
      <c r="F66" s="946">
        <v>3141</v>
      </c>
      <c r="G66" s="1000" t="s">
        <v>321</v>
      </c>
      <c r="H66" s="831" t="s">
        <v>284</v>
      </c>
      <c r="I66" s="803">
        <f>SUM(J66:M66)</f>
        <v>337886</v>
      </c>
      <c r="J66" s="833">
        <v>247915</v>
      </c>
      <c r="K66" s="805">
        <f>ROUND((J66)*33.8%,0)</f>
        <v>83795</v>
      </c>
      <c r="L66" s="833">
        <f>ROUND(J66*2%,0)</f>
        <v>4958</v>
      </c>
      <c r="M66" s="833">
        <v>1218</v>
      </c>
      <c r="N66" s="834">
        <f>O66+P66</f>
        <v>0.84</v>
      </c>
      <c r="O66" s="1054">
        <v>0</v>
      </c>
      <c r="P66" s="1055">
        <v>0.84</v>
      </c>
      <c r="Q66" s="835">
        <f>V66*-1</f>
        <v>0</v>
      </c>
      <c r="R66" s="813">
        <v>0</v>
      </c>
      <c r="S66" s="813">
        <v>0</v>
      </c>
      <c r="T66" s="813">
        <v>0</v>
      </c>
      <c r="U66" s="813">
        <f>SUM(Q66:T66)</f>
        <v>0</v>
      </c>
      <c r="V66" s="813">
        <v>0</v>
      </c>
      <c r="W66" s="813">
        <v>0</v>
      </c>
      <c r="X66" s="813">
        <v>0</v>
      </c>
      <c r="Y66" s="813">
        <f>SUM(V66:X66)</f>
        <v>0</v>
      </c>
      <c r="Z66" s="813">
        <f>U66+Y66</f>
        <v>0</v>
      </c>
      <c r="AA66" s="809">
        <f>ROUND((U66+V66+W66)*33.8%,0)</f>
        <v>0</v>
      </c>
      <c r="AB66" s="809">
        <f>ROUND(U66*2%,0)</f>
        <v>0</v>
      </c>
      <c r="AC66" s="813">
        <v>0</v>
      </c>
      <c r="AD66" s="813">
        <v>0</v>
      </c>
      <c r="AE66" s="813">
        <f>SUM(AC66:AD66)</f>
        <v>0</v>
      </c>
      <c r="AF66" s="813">
        <f>Z66+AA66+AB66+AE66</f>
        <v>0</v>
      </c>
      <c r="AG66" s="836">
        <v>0</v>
      </c>
      <c r="AH66" s="836">
        <v>0</v>
      </c>
      <c r="AI66" s="836">
        <v>0</v>
      </c>
      <c r="AJ66" s="836">
        <v>0</v>
      </c>
      <c r="AK66" s="836">
        <v>0</v>
      </c>
      <c r="AL66" s="836">
        <f>AG66+AI66+AJ66</f>
        <v>0</v>
      </c>
      <c r="AM66" s="836">
        <f>AH66+AK66</f>
        <v>0</v>
      </c>
      <c r="AN66" s="837">
        <f>SUM(AL66:AM66)</f>
        <v>0</v>
      </c>
      <c r="AO66" s="835">
        <f>I66+AF66</f>
        <v>337886</v>
      </c>
      <c r="AP66" s="813">
        <f>J66+U66</f>
        <v>247915</v>
      </c>
      <c r="AQ66" s="813">
        <f>Y66</f>
        <v>0</v>
      </c>
      <c r="AR66" s="813">
        <f t="shared" si="78"/>
        <v>83795</v>
      </c>
      <c r="AS66" s="813">
        <f t="shared" si="78"/>
        <v>4958</v>
      </c>
      <c r="AT66" s="813">
        <f>M66+AE66</f>
        <v>1218</v>
      </c>
      <c r="AU66" s="836">
        <f>N66+AN66</f>
        <v>0.84</v>
      </c>
      <c r="AV66" s="836">
        <f t="shared" si="79"/>
        <v>0</v>
      </c>
      <c r="AW66" s="837">
        <f t="shared" si="79"/>
        <v>0.84</v>
      </c>
    </row>
    <row r="67" spans="1:49" ht="12.95" customHeight="1" x14ac:dyDescent="0.25">
      <c r="A67" s="850">
        <v>11</v>
      </c>
      <c r="B67" s="951">
        <v>5483</v>
      </c>
      <c r="C67" s="952">
        <v>600098460</v>
      </c>
      <c r="D67" s="951">
        <v>72745207</v>
      </c>
      <c r="E67" s="1005" t="s">
        <v>459</v>
      </c>
      <c r="F67" s="951"/>
      <c r="G67" s="1006"/>
      <c r="H67" s="1007"/>
      <c r="I67" s="820">
        <f t="shared" ref="I67:AW67" si="80">SUM(I64:I66)</f>
        <v>2174020</v>
      </c>
      <c r="J67" s="821">
        <f t="shared" si="80"/>
        <v>1593043</v>
      </c>
      <c r="K67" s="821">
        <f t="shared" si="80"/>
        <v>538448</v>
      </c>
      <c r="L67" s="821">
        <f t="shared" si="80"/>
        <v>31861</v>
      </c>
      <c r="M67" s="821">
        <f t="shared" si="80"/>
        <v>10668</v>
      </c>
      <c r="N67" s="822">
        <f t="shared" si="80"/>
        <v>3.8467000000000002</v>
      </c>
      <c r="O67" s="822">
        <f t="shared" si="80"/>
        <v>2.1718000000000002</v>
      </c>
      <c r="P67" s="824">
        <f t="shared" si="80"/>
        <v>1.6749000000000001</v>
      </c>
      <c r="Q67" s="825">
        <f t="shared" si="80"/>
        <v>-44160</v>
      </c>
      <c r="R67" s="821">
        <f t="shared" si="80"/>
        <v>0</v>
      </c>
      <c r="S67" s="821">
        <f t="shared" si="80"/>
        <v>0</v>
      </c>
      <c r="T67" s="821">
        <f t="shared" si="80"/>
        <v>0</v>
      </c>
      <c r="U67" s="821">
        <f t="shared" si="80"/>
        <v>-44160</v>
      </c>
      <c r="V67" s="821">
        <f t="shared" si="80"/>
        <v>44160</v>
      </c>
      <c r="W67" s="821">
        <f t="shared" si="80"/>
        <v>0</v>
      </c>
      <c r="X67" s="821">
        <f t="shared" si="80"/>
        <v>0</v>
      </c>
      <c r="Y67" s="821">
        <f t="shared" si="80"/>
        <v>44160</v>
      </c>
      <c r="Z67" s="821">
        <f t="shared" si="80"/>
        <v>0</v>
      </c>
      <c r="AA67" s="821">
        <f t="shared" si="80"/>
        <v>0</v>
      </c>
      <c r="AB67" s="821">
        <f t="shared" si="80"/>
        <v>-883</v>
      </c>
      <c r="AC67" s="821">
        <f t="shared" si="80"/>
        <v>0</v>
      </c>
      <c r="AD67" s="821">
        <f t="shared" si="80"/>
        <v>0</v>
      </c>
      <c r="AE67" s="821">
        <f t="shared" si="80"/>
        <v>0</v>
      </c>
      <c r="AF67" s="821">
        <f t="shared" si="80"/>
        <v>-883</v>
      </c>
      <c r="AG67" s="822">
        <f t="shared" si="80"/>
        <v>0</v>
      </c>
      <c r="AH67" s="822">
        <f t="shared" si="80"/>
        <v>-0.04</v>
      </c>
      <c r="AI67" s="822">
        <f t="shared" si="80"/>
        <v>0</v>
      </c>
      <c r="AJ67" s="822">
        <f t="shared" si="80"/>
        <v>0</v>
      </c>
      <c r="AK67" s="822">
        <f t="shared" si="80"/>
        <v>0</v>
      </c>
      <c r="AL67" s="822">
        <f t="shared" si="80"/>
        <v>0</v>
      </c>
      <c r="AM67" s="822">
        <f t="shared" si="80"/>
        <v>-0.04</v>
      </c>
      <c r="AN67" s="824">
        <f t="shared" si="80"/>
        <v>-0.04</v>
      </c>
      <c r="AO67" s="825">
        <f t="shared" si="80"/>
        <v>2173137</v>
      </c>
      <c r="AP67" s="821">
        <f t="shared" si="80"/>
        <v>1548883</v>
      </c>
      <c r="AQ67" s="821">
        <f t="shared" si="80"/>
        <v>44160</v>
      </c>
      <c r="AR67" s="821">
        <f t="shared" si="80"/>
        <v>538448</v>
      </c>
      <c r="AS67" s="821">
        <f t="shared" si="80"/>
        <v>30978</v>
      </c>
      <c r="AT67" s="821">
        <f t="shared" si="80"/>
        <v>10668</v>
      </c>
      <c r="AU67" s="822">
        <f t="shared" si="80"/>
        <v>3.8067000000000002</v>
      </c>
      <c r="AV67" s="822">
        <f t="shared" si="80"/>
        <v>2.1718000000000002</v>
      </c>
      <c r="AW67" s="824">
        <f t="shared" si="80"/>
        <v>1.6349</v>
      </c>
    </row>
    <row r="68" spans="1:49" ht="12.95" customHeight="1" x14ac:dyDescent="0.25">
      <c r="A68" s="828">
        <v>12</v>
      </c>
      <c r="B68" s="946">
        <v>5430</v>
      </c>
      <c r="C68" s="947">
        <v>650026144</v>
      </c>
      <c r="D68" s="828">
        <v>70695148</v>
      </c>
      <c r="E68" s="1004" t="s">
        <v>460</v>
      </c>
      <c r="F68" s="946">
        <v>3111</v>
      </c>
      <c r="G68" s="1000" t="s">
        <v>331</v>
      </c>
      <c r="H68" s="831" t="s">
        <v>283</v>
      </c>
      <c r="I68" s="803">
        <f t="shared" ref="I68:I73" si="81">SUM(J68:M68)</f>
        <v>2140650</v>
      </c>
      <c r="J68" s="833">
        <v>1567379</v>
      </c>
      <c r="K68" s="833">
        <f>ROUND((J68)*33.8%,0)</f>
        <v>529774</v>
      </c>
      <c r="L68" s="833">
        <f>ROUND(J68*2%,0)-1</f>
        <v>31347</v>
      </c>
      <c r="M68" s="833">
        <v>12150</v>
      </c>
      <c r="N68" s="834">
        <f>SUM(O68:P68)</f>
        <v>3.9218000000000002</v>
      </c>
      <c r="O68" s="1054">
        <v>3</v>
      </c>
      <c r="P68" s="1055">
        <v>0.92179999999999995</v>
      </c>
      <c r="Q68" s="835">
        <f t="shared" ref="Q68:Q73" si="82">V68*-1</f>
        <v>0</v>
      </c>
      <c r="R68" s="813">
        <v>0</v>
      </c>
      <c r="S68" s="813">
        <v>0</v>
      </c>
      <c r="T68" s="813">
        <v>0</v>
      </c>
      <c r="U68" s="813">
        <f t="shared" ref="U68:U73" si="83">SUM(Q68:T68)</f>
        <v>0</v>
      </c>
      <c r="V68" s="813">
        <v>0</v>
      </c>
      <c r="W68" s="813">
        <v>0</v>
      </c>
      <c r="X68" s="813">
        <v>0</v>
      </c>
      <c r="Y68" s="813">
        <f t="shared" ref="Y68:Y73" si="84">SUM(V68:X68)</f>
        <v>0</v>
      </c>
      <c r="Z68" s="813">
        <f t="shared" ref="Z68:Z73" si="85">U68+Y68</f>
        <v>0</v>
      </c>
      <c r="AA68" s="809">
        <f t="shared" ref="AA68:AA73" si="86">ROUND((U68+V68+W68)*33.8%,0)</f>
        <v>0</v>
      </c>
      <c r="AB68" s="809">
        <f t="shared" ref="AB68:AB73" si="87">ROUND(U68*2%,0)</f>
        <v>0</v>
      </c>
      <c r="AC68" s="813">
        <v>0</v>
      </c>
      <c r="AD68" s="813">
        <v>0</v>
      </c>
      <c r="AE68" s="813">
        <f t="shared" ref="AE68:AE73" si="88">SUM(AC68:AD68)</f>
        <v>0</v>
      </c>
      <c r="AF68" s="813">
        <f t="shared" ref="AF68:AF73" si="89">Z68+AA68+AB68+AE68</f>
        <v>0</v>
      </c>
      <c r="AG68" s="836">
        <v>0</v>
      </c>
      <c r="AH68" s="836">
        <v>0</v>
      </c>
      <c r="AI68" s="836">
        <v>0</v>
      </c>
      <c r="AJ68" s="836">
        <v>0</v>
      </c>
      <c r="AK68" s="836">
        <v>0</v>
      </c>
      <c r="AL68" s="836">
        <f t="shared" ref="AL68:AL73" si="90">AG68+AI68+AJ68</f>
        <v>0</v>
      </c>
      <c r="AM68" s="836">
        <f t="shared" ref="AM68:AM73" si="91">AH68+AK68</f>
        <v>0</v>
      </c>
      <c r="AN68" s="837">
        <f t="shared" ref="AN68:AN73" si="92">SUM(AL68:AM68)</f>
        <v>0</v>
      </c>
      <c r="AO68" s="835">
        <f t="shared" ref="AO68:AO73" si="93">I68+AF68</f>
        <v>2140650</v>
      </c>
      <c r="AP68" s="813">
        <f t="shared" ref="AP68:AP73" si="94">J68+U68</f>
        <v>1567379</v>
      </c>
      <c r="AQ68" s="813">
        <f t="shared" ref="AQ68:AQ73" si="95">Y68</f>
        <v>0</v>
      </c>
      <c r="AR68" s="813">
        <f t="shared" ref="AR68:AS73" si="96">K68+AA68</f>
        <v>529774</v>
      </c>
      <c r="AS68" s="813">
        <f t="shared" si="96"/>
        <v>31347</v>
      </c>
      <c r="AT68" s="813">
        <f t="shared" ref="AT68:AT73" si="97">M68+AE68</f>
        <v>12150</v>
      </c>
      <c r="AU68" s="836">
        <f t="shared" ref="AU68:AU73" si="98">N68+AN68</f>
        <v>3.9218000000000002</v>
      </c>
      <c r="AV68" s="836">
        <f t="shared" ref="AV68:AW73" si="99">O68+AL68</f>
        <v>3</v>
      </c>
      <c r="AW68" s="837">
        <f t="shared" si="99"/>
        <v>0.92179999999999995</v>
      </c>
    </row>
    <row r="69" spans="1:49" ht="12.95" customHeight="1" x14ac:dyDescent="0.25">
      <c r="A69" s="828">
        <v>12</v>
      </c>
      <c r="B69" s="946">
        <v>5430</v>
      </c>
      <c r="C69" s="947">
        <v>650026144</v>
      </c>
      <c r="D69" s="828">
        <v>70695148</v>
      </c>
      <c r="E69" s="1004" t="s">
        <v>460</v>
      </c>
      <c r="F69" s="946">
        <v>3117</v>
      </c>
      <c r="G69" s="1000" t="s">
        <v>335</v>
      </c>
      <c r="H69" s="831" t="s">
        <v>283</v>
      </c>
      <c r="I69" s="803">
        <f t="shared" si="81"/>
        <v>3337239</v>
      </c>
      <c r="J69" s="833">
        <v>2419690</v>
      </c>
      <c r="K69" s="833">
        <f>ROUND((J69)*33.8%,0)</f>
        <v>817855</v>
      </c>
      <c r="L69" s="833">
        <f>ROUND(J69*2%,0)</f>
        <v>48394</v>
      </c>
      <c r="M69" s="833">
        <v>51300</v>
      </c>
      <c r="N69" s="834">
        <f>SUM(O69:P69)</f>
        <v>4.6796999999999995</v>
      </c>
      <c r="O69" s="1054">
        <v>2.8561999999999999</v>
      </c>
      <c r="P69" s="1055">
        <v>1.8234999999999999</v>
      </c>
      <c r="Q69" s="835">
        <f t="shared" si="82"/>
        <v>0</v>
      </c>
      <c r="R69" s="813">
        <v>0</v>
      </c>
      <c r="S69" s="813">
        <v>0</v>
      </c>
      <c r="T69" s="813">
        <v>0</v>
      </c>
      <c r="U69" s="813">
        <f t="shared" si="83"/>
        <v>0</v>
      </c>
      <c r="V69" s="813">
        <v>0</v>
      </c>
      <c r="W69" s="813">
        <v>0</v>
      </c>
      <c r="X69" s="813">
        <v>0</v>
      </c>
      <c r="Y69" s="813">
        <f t="shared" si="84"/>
        <v>0</v>
      </c>
      <c r="Z69" s="813">
        <f t="shared" si="85"/>
        <v>0</v>
      </c>
      <c r="AA69" s="809">
        <f t="shared" si="86"/>
        <v>0</v>
      </c>
      <c r="AB69" s="809">
        <f t="shared" si="87"/>
        <v>0</v>
      </c>
      <c r="AC69" s="813">
        <v>0</v>
      </c>
      <c r="AD69" s="813">
        <v>0</v>
      </c>
      <c r="AE69" s="813">
        <f t="shared" si="88"/>
        <v>0</v>
      </c>
      <c r="AF69" s="813">
        <f t="shared" si="89"/>
        <v>0</v>
      </c>
      <c r="AG69" s="836">
        <v>0</v>
      </c>
      <c r="AH69" s="836">
        <v>0</v>
      </c>
      <c r="AI69" s="836">
        <v>0</v>
      </c>
      <c r="AJ69" s="836">
        <v>0</v>
      </c>
      <c r="AK69" s="836">
        <v>0</v>
      </c>
      <c r="AL69" s="836">
        <f t="shared" si="90"/>
        <v>0</v>
      </c>
      <c r="AM69" s="836">
        <f t="shared" si="91"/>
        <v>0</v>
      </c>
      <c r="AN69" s="837">
        <f t="shared" si="92"/>
        <v>0</v>
      </c>
      <c r="AO69" s="835">
        <f t="shared" si="93"/>
        <v>3337239</v>
      </c>
      <c r="AP69" s="813">
        <f t="shared" si="94"/>
        <v>2419690</v>
      </c>
      <c r="AQ69" s="813">
        <f t="shared" si="95"/>
        <v>0</v>
      </c>
      <c r="AR69" s="813">
        <f t="shared" si="96"/>
        <v>817855</v>
      </c>
      <c r="AS69" s="813">
        <f t="shared" si="96"/>
        <v>48394</v>
      </c>
      <c r="AT69" s="813">
        <f t="shared" si="97"/>
        <v>51300</v>
      </c>
      <c r="AU69" s="836">
        <f t="shared" si="98"/>
        <v>4.6796999999999995</v>
      </c>
      <c r="AV69" s="836">
        <f t="shared" si="99"/>
        <v>2.8561999999999999</v>
      </c>
      <c r="AW69" s="837">
        <f t="shared" si="99"/>
        <v>1.8234999999999999</v>
      </c>
    </row>
    <row r="70" spans="1:49" ht="12.95" customHeight="1" x14ac:dyDescent="0.25">
      <c r="A70" s="828">
        <v>12</v>
      </c>
      <c r="B70" s="946">
        <v>5430</v>
      </c>
      <c r="C70" s="947">
        <v>650026144</v>
      </c>
      <c r="D70" s="828">
        <v>70695148</v>
      </c>
      <c r="E70" s="1004" t="s">
        <v>460</v>
      </c>
      <c r="F70" s="946">
        <v>3117</v>
      </c>
      <c r="G70" s="831" t="s">
        <v>318</v>
      </c>
      <c r="H70" s="831" t="s">
        <v>284</v>
      </c>
      <c r="I70" s="803">
        <f t="shared" si="81"/>
        <v>0</v>
      </c>
      <c r="J70" s="833">
        <v>0</v>
      </c>
      <c r="K70" s="833">
        <v>0</v>
      </c>
      <c r="L70" s="833">
        <v>0</v>
      </c>
      <c r="M70" s="833">
        <v>0</v>
      </c>
      <c r="N70" s="834">
        <f>SUM(O70:P70)</f>
        <v>0</v>
      </c>
      <c r="O70" s="1054">
        <v>0</v>
      </c>
      <c r="P70" s="1055">
        <v>0</v>
      </c>
      <c r="Q70" s="835">
        <f t="shared" si="82"/>
        <v>0</v>
      </c>
      <c r="R70" s="833">
        <v>244478</v>
      </c>
      <c r="S70" s="813">
        <v>0</v>
      </c>
      <c r="T70" s="813">
        <v>0</v>
      </c>
      <c r="U70" s="813">
        <f t="shared" si="83"/>
        <v>244478</v>
      </c>
      <c r="V70" s="813">
        <v>0</v>
      </c>
      <c r="W70" s="813">
        <v>0</v>
      </c>
      <c r="X70" s="813">
        <v>0</v>
      </c>
      <c r="Y70" s="813">
        <f t="shared" si="84"/>
        <v>0</v>
      </c>
      <c r="Z70" s="813">
        <f t="shared" si="85"/>
        <v>244478</v>
      </c>
      <c r="AA70" s="809">
        <f t="shared" si="86"/>
        <v>82634</v>
      </c>
      <c r="AB70" s="809">
        <f t="shared" si="87"/>
        <v>4890</v>
      </c>
      <c r="AC70" s="813">
        <v>0</v>
      </c>
      <c r="AD70" s="813">
        <v>0</v>
      </c>
      <c r="AE70" s="813">
        <f t="shared" si="88"/>
        <v>0</v>
      </c>
      <c r="AF70" s="813">
        <f t="shared" si="89"/>
        <v>332002</v>
      </c>
      <c r="AG70" s="836">
        <v>0</v>
      </c>
      <c r="AH70" s="836">
        <v>0</v>
      </c>
      <c r="AI70" s="836">
        <v>0.69</v>
      </c>
      <c r="AJ70" s="836">
        <v>0</v>
      </c>
      <c r="AK70" s="836">
        <v>0</v>
      </c>
      <c r="AL70" s="836">
        <f t="shared" si="90"/>
        <v>0.69</v>
      </c>
      <c r="AM70" s="836">
        <f t="shared" si="91"/>
        <v>0</v>
      </c>
      <c r="AN70" s="837">
        <f t="shared" si="92"/>
        <v>0.69</v>
      </c>
      <c r="AO70" s="835">
        <f t="shared" si="93"/>
        <v>332002</v>
      </c>
      <c r="AP70" s="813">
        <f t="shared" si="94"/>
        <v>244478</v>
      </c>
      <c r="AQ70" s="813">
        <f t="shared" si="95"/>
        <v>0</v>
      </c>
      <c r="AR70" s="813">
        <f t="shared" si="96"/>
        <v>82634</v>
      </c>
      <c r="AS70" s="813">
        <f t="shared" si="96"/>
        <v>4890</v>
      </c>
      <c r="AT70" s="813">
        <f t="shared" si="97"/>
        <v>0</v>
      </c>
      <c r="AU70" s="836">
        <f t="shared" si="98"/>
        <v>0.69</v>
      </c>
      <c r="AV70" s="836">
        <f t="shared" si="99"/>
        <v>0.69</v>
      </c>
      <c r="AW70" s="837">
        <f t="shared" si="99"/>
        <v>0</v>
      </c>
    </row>
    <row r="71" spans="1:49" ht="12.95" customHeight="1" x14ac:dyDescent="0.25">
      <c r="A71" s="828">
        <v>12</v>
      </c>
      <c r="B71" s="828">
        <v>5430</v>
      </c>
      <c r="C71" s="961">
        <v>650026144</v>
      </c>
      <c r="D71" s="828">
        <v>70695148</v>
      </c>
      <c r="E71" s="830" t="s">
        <v>460</v>
      </c>
      <c r="F71" s="828">
        <v>3141</v>
      </c>
      <c r="G71" s="1000" t="s">
        <v>321</v>
      </c>
      <c r="H71" s="831" t="s">
        <v>284</v>
      </c>
      <c r="I71" s="803">
        <f t="shared" si="81"/>
        <v>757828</v>
      </c>
      <c r="J71" s="833">
        <v>555570</v>
      </c>
      <c r="K71" s="805">
        <f>ROUND((J71)*33.8%,0)</f>
        <v>187783</v>
      </c>
      <c r="L71" s="833">
        <f>ROUND(J71*2%,0)</f>
        <v>11111</v>
      </c>
      <c r="M71" s="833">
        <v>3364</v>
      </c>
      <c r="N71" s="834">
        <f>O71+P71</f>
        <v>1.89</v>
      </c>
      <c r="O71" s="1054">
        <v>0</v>
      </c>
      <c r="P71" s="1055">
        <v>1.89</v>
      </c>
      <c r="Q71" s="835">
        <f t="shared" si="82"/>
        <v>0</v>
      </c>
      <c r="R71" s="813">
        <v>0</v>
      </c>
      <c r="S71" s="813">
        <v>0</v>
      </c>
      <c r="T71" s="813">
        <v>0</v>
      </c>
      <c r="U71" s="813">
        <f t="shared" si="83"/>
        <v>0</v>
      </c>
      <c r="V71" s="813">
        <v>0</v>
      </c>
      <c r="W71" s="813">
        <v>0</v>
      </c>
      <c r="X71" s="813">
        <v>0</v>
      </c>
      <c r="Y71" s="813">
        <f t="shared" si="84"/>
        <v>0</v>
      </c>
      <c r="Z71" s="813">
        <f t="shared" si="85"/>
        <v>0</v>
      </c>
      <c r="AA71" s="809">
        <f t="shared" si="86"/>
        <v>0</v>
      </c>
      <c r="AB71" s="809">
        <f t="shared" si="87"/>
        <v>0</v>
      </c>
      <c r="AC71" s="813">
        <v>0</v>
      </c>
      <c r="AD71" s="813">
        <v>0</v>
      </c>
      <c r="AE71" s="813">
        <f t="shared" si="88"/>
        <v>0</v>
      </c>
      <c r="AF71" s="813">
        <f t="shared" si="89"/>
        <v>0</v>
      </c>
      <c r="AG71" s="836">
        <v>0</v>
      </c>
      <c r="AH71" s="836">
        <v>0</v>
      </c>
      <c r="AI71" s="836">
        <v>0</v>
      </c>
      <c r="AJ71" s="836">
        <v>0</v>
      </c>
      <c r="AK71" s="836">
        <v>0</v>
      </c>
      <c r="AL71" s="836">
        <f t="shared" si="90"/>
        <v>0</v>
      </c>
      <c r="AM71" s="836">
        <f t="shared" si="91"/>
        <v>0</v>
      </c>
      <c r="AN71" s="837">
        <f t="shared" si="92"/>
        <v>0</v>
      </c>
      <c r="AO71" s="835">
        <f t="shared" si="93"/>
        <v>757828</v>
      </c>
      <c r="AP71" s="813">
        <f t="shared" si="94"/>
        <v>555570</v>
      </c>
      <c r="AQ71" s="813">
        <f t="shared" si="95"/>
        <v>0</v>
      </c>
      <c r="AR71" s="813">
        <f t="shared" si="96"/>
        <v>187783</v>
      </c>
      <c r="AS71" s="813">
        <f t="shared" si="96"/>
        <v>11111</v>
      </c>
      <c r="AT71" s="813">
        <f t="shared" si="97"/>
        <v>3364</v>
      </c>
      <c r="AU71" s="836">
        <f t="shared" si="98"/>
        <v>1.89</v>
      </c>
      <c r="AV71" s="836">
        <f t="shared" si="99"/>
        <v>0</v>
      </c>
      <c r="AW71" s="837">
        <f t="shared" si="99"/>
        <v>1.89</v>
      </c>
    </row>
    <row r="72" spans="1:49" ht="12.95" customHeight="1" x14ac:dyDescent="0.25">
      <c r="A72" s="828">
        <v>12</v>
      </c>
      <c r="B72" s="946">
        <v>5430</v>
      </c>
      <c r="C72" s="947">
        <v>650026144</v>
      </c>
      <c r="D72" s="828">
        <v>70695148</v>
      </c>
      <c r="E72" s="1004" t="s">
        <v>460</v>
      </c>
      <c r="F72" s="946">
        <v>3143</v>
      </c>
      <c r="G72" s="831" t="s">
        <v>635</v>
      </c>
      <c r="H72" s="831" t="s">
        <v>283</v>
      </c>
      <c r="I72" s="803">
        <f t="shared" si="81"/>
        <v>614558</v>
      </c>
      <c r="J72" s="833">
        <v>452546</v>
      </c>
      <c r="K72" s="833">
        <f>ROUND((J72)*33.8%,0)</f>
        <v>152961</v>
      </c>
      <c r="L72" s="833">
        <f>ROUND(J72*2%,0)</f>
        <v>9051</v>
      </c>
      <c r="M72" s="833">
        <v>0</v>
      </c>
      <c r="N72" s="834">
        <f>SUM(O72:P72)</f>
        <v>0.88070000000000004</v>
      </c>
      <c r="O72" s="1054">
        <v>0.88070000000000004</v>
      </c>
      <c r="P72" s="1055">
        <v>0</v>
      </c>
      <c r="Q72" s="835">
        <f t="shared" si="82"/>
        <v>0</v>
      </c>
      <c r="R72" s="813">
        <v>0</v>
      </c>
      <c r="S72" s="813">
        <v>0</v>
      </c>
      <c r="T72" s="813">
        <v>0</v>
      </c>
      <c r="U72" s="813">
        <f t="shared" si="83"/>
        <v>0</v>
      </c>
      <c r="V72" s="813">
        <v>0</v>
      </c>
      <c r="W72" s="813">
        <v>0</v>
      </c>
      <c r="X72" s="813">
        <v>0</v>
      </c>
      <c r="Y72" s="813">
        <f t="shared" si="84"/>
        <v>0</v>
      </c>
      <c r="Z72" s="813">
        <f t="shared" si="85"/>
        <v>0</v>
      </c>
      <c r="AA72" s="809">
        <f t="shared" si="86"/>
        <v>0</v>
      </c>
      <c r="AB72" s="809">
        <f t="shared" si="87"/>
        <v>0</v>
      </c>
      <c r="AC72" s="813">
        <v>0</v>
      </c>
      <c r="AD72" s="813">
        <v>0</v>
      </c>
      <c r="AE72" s="813">
        <f t="shared" si="88"/>
        <v>0</v>
      </c>
      <c r="AF72" s="813">
        <f t="shared" si="89"/>
        <v>0</v>
      </c>
      <c r="AG72" s="836">
        <v>0</v>
      </c>
      <c r="AH72" s="836">
        <v>0</v>
      </c>
      <c r="AI72" s="836">
        <v>0</v>
      </c>
      <c r="AJ72" s="836">
        <v>0</v>
      </c>
      <c r="AK72" s="836">
        <v>0</v>
      </c>
      <c r="AL72" s="836">
        <f t="shared" si="90"/>
        <v>0</v>
      </c>
      <c r="AM72" s="836">
        <f t="shared" si="91"/>
        <v>0</v>
      </c>
      <c r="AN72" s="837">
        <f t="shared" si="92"/>
        <v>0</v>
      </c>
      <c r="AO72" s="835">
        <f t="shared" si="93"/>
        <v>614558</v>
      </c>
      <c r="AP72" s="813">
        <f t="shared" si="94"/>
        <v>452546</v>
      </c>
      <c r="AQ72" s="813">
        <f t="shared" si="95"/>
        <v>0</v>
      </c>
      <c r="AR72" s="813">
        <f t="shared" si="96"/>
        <v>152961</v>
      </c>
      <c r="AS72" s="813">
        <f t="shared" si="96"/>
        <v>9051</v>
      </c>
      <c r="AT72" s="813">
        <f t="shared" si="97"/>
        <v>0</v>
      </c>
      <c r="AU72" s="836">
        <f t="shared" si="98"/>
        <v>0.88070000000000004</v>
      </c>
      <c r="AV72" s="836">
        <f t="shared" si="99"/>
        <v>0.88070000000000004</v>
      </c>
      <c r="AW72" s="837">
        <f t="shared" si="99"/>
        <v>0</v>
      </c>
    </row>
    <row r="73" spans="1:49" ht="12.95" customHeight="1" x14ac:dyDescent="0.25">
      <c r="A73" s="828">
        <v>12</v>
      </c>
      <c r="B73" s="946">
        <v>5430</v>
      </c>
      <c r="C73" s="947">
        <v>650026144</v>
      </c>
      <c r="D73" s="828">
        <v>70695148</v>
      </c>
      <c r="E73" s="1004" t="s">
        <v>460</v>
      </c>
      <c r="F73" s="946">
        <v>3143</v>
      </c>
      <c r="G73" s="831" t="s">
        <v>636</v>
      </c>
      <c r="H73" s="831" t="s">
        <v>284</v>
      </c>
      <c r="I73" s="803">
        <f t="shared" si="81"/>
        <v>18257</v>
      </c>
      <c r="J73" s="833">
        <v>12870</v>
      </c>
      <c r="K73" s="805">
        <f>ROUND((J73)*33.8%,0)</f>
        <v>4350</v>
      </c>
      <c r="L73" s="833">
        <f>ROUND(J73*2%,0)</f>
        <v>257</v>
      </c>
      <c r="M73" s="833">
        <v>780</v>
      </c>
      <c r="N73" s="834">
        <f>SUM(O73:P73)</f>
        <v>0.05</v>
      </c>
      <c r="O73" s="1054">
        <v>0</v>
      </c>
      <c r="P73" s="1055">
        <v>0.05</v>
      </c>
      <c r="Q73" s="835">
        <f t="shared" si="82"/>
        <v>0</v>
      </c>
      <c r="R73" s="813">
        <v>0</v>
      </c>
      <c r="S73" s="813">
        <v>0</v>
      </c>
      <c r="T73" s="813">
        <v>0</v>
      </c>
      <c r="U73" s="813">
        <f t="shared" si="83"/>
        <v>0</v>
      </c>
      <c r="V73" s="813">
        <v>0</v>
      </c>
      <c r="W73" s="813">
        <v>0</v>
      </c>
      <c r="X73" s="813">
        <v>0</v>
      </c>
      <c r="Y73" s="813">
        <f t="shared" si="84"/>
        <v>0</v>
      </c>
      <c r="Z73" s="813">
        <f t="shared" si="85"/>
        <v>0</v>
      </c>
      <c r="AA73" s="809">
        <f t="shared" si="86"/>
        <v>0</v>
      </c>
      <c r="AB73" s="809">
        <f t="shared" si="87"/>
        <v>0</v>
      </c>
      <c r="AC73" s="813">
        <v>0</v>
      </c>
      <c r="AD73" s="813">
        <v>0</v>
      </c>
      <c r="AE73" s="813">
        <f t="shared" si="88"/>
        <v>0</v>
      </c>
      <c r="AF73" s="813">
        <f t="shared" si="89"/>
        <v>0</v>
      </c>
      <c r="AG73" s="836">
        <v>0</v>
      </c>
      <c r="AH73" s="836">
        <v>0</v>
      </c>
      <c r="AI73" s="836">
        <v>0</v>
      </c>
      <c r="AJ73" s="836">
        <v>0</v>
      </c>
      <c r="AK73" s="836">
        <v>0</v>
      </c>
      <c r="AL73" s="836">
        <f t="shared" si="90"/>
        <v>0</v>
      </c>
      <c r="AM73" s="836">
        <f t="shared" si="91"/>
        <v>0</v>
      </c>
      <c r="AN73" s="837">
        <f t="shared" si="92"/>
        <v>0</v>
      </c>
      <c r="AO73" s="835">
        <f t="shared" si="93"/>
        <v>18257</v>
      </c>
      <c r="AP73" s="813">
        <f t="shared" si="94"/>
        <v>12870</v>
      </c>
      <c r="AQ73" s="813">
        <f t="shared" si="95"/>
        <v>0</v>
      </c>
      <c r="AR73" s="813">
        <f t="shared" si="96"/>
        <v>4350</v>
      </c>
      <c r="AS73" s="813">
        <f t="shared" si="96"/>
        <v>257</v>
      </c>
      <c r="AT73" s="813">
        <f t="shared" si="97"/>
        <v>780</v>
      </c>
      <c r="AU73" s="836">
        <f t="shared" si="98"/>
        <v>0.05</v>
      </c>
      <c r="AV73" s="836">
        <f t="shared" si="99"/>
        <v>0</v>
      </c>
      <c r="AW73" s="837">
        <f t="shared" si="99"/>
        <v>0.05</v>
      </c>
    </row>
    <row r="74" spans="1:49" ht="12.95" customHeight="1" x14ac:dyDescent="0.25">
      <c r="A74" s="850">
        <v>12</v>
      </c>
      <c r="B74" s="951">
        <v>5430</v>
      </c>
      <c r="C74" s="952">
        <v>650026144</v>
      </c>
      <c r="D74" s="951">
        <v>70695148</v>
      </c>
      <c r="E74" s="1005" t="s">
        <v>461</v>
      </c>
      <c r="F74" s="951"/>
      <c r="G74" s="1006"/>
      <c r="H74" s="1007"/>
      <c r="I74" s="820">
        <f t="shared" ref="I74:AW74" si="100">SUM(I68:I73)</f>
        <v>6868532</v>
      </c>
      <c r="J74" s="821">
        <f t="shared" si="100"/>
        <v>5008055</v>
      </c>
      <c r="K74" s="821">
        <f t="shared" si="100"/>
        <v>1692723</v>
      </c>
      <c r="L74" s="821">
        <f t="shared" si="100"/>
        <v>100160</v>
      </c>
      <c r="M74" s="821">
        <f t="shared" si="100"/>
        <v>67594</v>
      </c>
      <c r="N74" s="822">
        <f t="shared" si="100"/>
        <v>11.4222</v>
      </c>
      <c r="O74" s="822">
        <f t="shared" si="100"/>
        <v>6.7368999999999994</v>
      </c>
      <c r="P74" s="824">
        <f t="shared" si="100"/>
        <v>4.6852999999999998</v>
      </c>
      <c r="Q74" s="825">
        <f t="shared" si="100"/>
        <v>0</v>
      </c>
      <c r="R74" s="821">
        <f t="shared" si="100"/>
        <v>244478</v>
      </c>
      <c r="S74" s="821">
        <f t="shared" si="100"/>
        <v>0</v>
      </c>
      <c r="T74" s="821">
        <f t="shared" si="100"/>
        <v>0</v>
      </c>
      <c r="U74" s="821">
        <f t="shared" si="100"/>
        <v>244478</v>
      </c>
      <c r="V74" s="821">
        <f t="shared" si="100"/>
        <v>0</v>
      </c>
      <c r="W74" s="821">
        <f t="shared" si="100"/>
        <v>0</v>
      </c>
      <c r="X74" s="821">
        <f t="shared" si="100"/>
        <v>0</v>
      </c>
      <c r="Y74" s="821">
        <f t="shared" si="100"/>
        <v>0</v>
      </c>
      <c r="Z74" s="821">
        <f t="shared" si="100"/>
        <v>244478</v>
      </c>
      <c r="AA74" s="821">
        <f t="shared" si="100"/>
        <v>82634</v>
      </c>
      <c r="AB74" s="821">
        <f t="shared" si="100"/>
        <v>4890</v>
      </c>
      <c r="AC74" s="821">
        <f t="shared" si="100"/>
        <v>0</v>
      </c>
      <c r="AD74" s="821">
        <f t="shared" si="100"/>
        <v>0</v>
      </c>
      <c r="AE74" s="821">
        <f t="shared" si="100"/>
        <v>0</v>
      </c>
      <c r="AF74" s="821">
        <f t="shared" si="100"/>
        <v>332002</v>
      </c>
      <c r="AG74" s="822">
        <f t="shared" si="100"/>
        <v>0</v>
      </c>
      <c r="AH74" s="822">
        <f t="shared" si="100"/>
        <v>0</v>
      </c>
      <c r="AI74" s="822">
        <f t="shared" si="100"/>
        <v>0.69</v>
      </c>
      <c r="AJ74" s="822">
        <f t="shared" si="100"/>
        <v>0</v>
      </c>
      <c r="AK74" s="822">
        <f t="shared" si="100"/>
        <v>0</v>
      </c>
      <c r="AL74" s="822">
        <f t="shared" si="100"/>
        <v>0.69</v>
      </c>
      <c r="AM74" s="822">
        <f t="shared" si="100"/>
        <v>0</v>
      </c>
      <c r="AN74" s="824">
        <f t="shared" si="100"/>
        <v>0.69</v>
      </c>
      <c r="AO74" s="825">
        <f t="shared" si="100"/>
        <v>7200534</v>
      </c>
      <c r="AP74" s="821">
        <f t="shared" si="100"/>
        <v>5252533</v>
      </c>
      <c r="AQ74" s="821">
        <f t="shared" si="100"/>
        <v>0</v>
      </c>
      <c r="AR74" s="821">
        <f t="shared" si="100"/>
        <v>1775357</v>
      </c>
      <c r="AS74" s="821">
        <f t="shared" si="100"/>
        <v>105050</v>
      </c>
      <c r="AT74" s="821">
        <f t="shared" si="100"/>
        <v>67594</v>
      </c>
      <c r="AU74" s="822">
        <f t="shared" si="100"/>
        <v>12.112200000000001</v>
      </c>
      <c r="AV74" s="822">
        <f t="shared" si="100"/>
        <v>7.4268999999999989</v>
      </c>
      <c r="AW74" s="824">
        <f t="shared" si="100"/>
        <v>4.6852999999999998</v>
      </c>
    </row>
    <row r="75" spans="1:49" ht="12.95" customHeight="1" x14ac:dyDescent="0.25">
      <c r="A75" s="828">
        <v>13</v>
      </c>
      <c r="B75" s="946">
        <v>5431</v>
      </c>
      <c r="C75" s="947">
        <v>600099016</v>
      </c>
      <c r="D75" s="828">
        <v>70698112</v>
      </c>
      <c r="E75" s="1004" t="s">
        <v>462</v>
      </c>
      <c r="F75" s="946">
        <v>3111</v>
      </c>
      <c r="G75" s="1000" t="s">
        <v>331</v>
      </c>
      <c r="H75" s="831" t="s">
        <v>283</v>
      </c>
      <c r="I75" s="803">
        <f t="shared" ref="I75:I80" si="101">SUM(J75:M75)</f>
        <v>1643287</v>
      </c>
      <c r="J75" s="833">
        <v>1202126</v>
      </c>
      <c r="K75" s="833">
        <f>ROUND((J75)*33.8%,0)-1</f>
        <v>406318</v>
      </c>
      <c r="L75" s="833">
        <f>ROUND(J75*2%,0)</f>
        <v>24043</v>
      </c>
      <c r="M75" s="833">
        <v>10800</v>
      </c>
      <c r="N75" s="834">
        <f>SUM(O75:P75)</f>
        <v>2.5108999999999999</v>
      </c>
      <c r="O75" s="1054">
        <v>2</v>
      </c>
      <c r="P75" s="1055">
        <v>0.51090000000000002</v>
      </c>
      <c r="Q75" s="835">
        <f t="shared" ref="Q75:Q80" si="102">V75*-1</f>
        <v>0</v>
      </c>
      <c r="R75" s="813">
        <v>0</v>
      </c>
      <c r="S75" s="813">
        <v>0</v>
      </c>
      <c r="T75" s="813">
        <v>0</v>
      </c>
      <c r="U75" s="813">
        <f t="shared" ref="U75:U80" si="103">SUM(Q75:T75)</f>
        <v>0</v>
      </c>
      <c r="V75" s="813">
        <v>0</v>
      </c>
      <c r="W75" s="813">
        <v>0</v>
      </c>
      <c r="X75" s="813">
        <v>0</v>
      </c>
      <c r="Y75" s="813">
        <f t="shared" ref="Y75:Y80" si="104">SUM(V75:X75)</f>
        <v>0</v>
      </c>
      <c r="Z75" s="813">
        <f t="shared" ref="Z75:Z80" si="105">U75+Y75</f>
        <v>0</v>
      </c>
      <c r="AA75" s="809">
        <f t="shared" ref="AA75:AA80" si="106">ROUND((U75+V75+W75)*33.8%,0)</f>
        <v>0</v>
      </c>
      <c r="AB75" s="809">
        <f t="shared" ref="AB75:AB80" si="107">ROUND(U75*2%,0)</f>
        <v>0</v>
      </c>
      <c r="AC75" s="813">
        <v>0</v>
      </c>
      <c r="AD75" s="813">
        <v>0</v>
      </c>
      <c r="AE75" s="813">
        <f t="shared" ref="AE75:AE80" si="108">SUM(AC75:AD75)</f>
        <v>0</v>
      </c>
      <c r="AF75" s="813">
        <f t="shared" ref="AF75:AF80" si="109">Z75+AA75+AB75+AE75</f>
        <v>0</v>
      </c>
      <c r="AG75" s="836">
        <v>0</v>
      </c>
      <c r="AH75" s="836">
        <v>0</v>
      </c>
      <c r="AI75" s="836">
        <v>0</v>
      </c>
      <c r="AJ75" s="836">
        <v>0</v>
      </c>
      <c r="AK75" s="836">
        <v>0</v>
      </c>
      <c r="AL75" s="836">
        <f t="shared" ref="AL75:AL80" si="110">AG75+AI75+AJ75</f>
        <v>0</v>
      </c>
      <c r="AM75" s="836">
        <f t="shared" ref="AM75:AM80" si="111">AH75+AK75</f>
        <v>0</v>
      </c>
      <c r="AN75" s="837">
        <f t="shared" ref="AN75:AN80" si="112">SUM(AL75:AM75)</f>
        <v>0</v>
      </c>
      <c r="AO75" s="835">
        <f t="shared" ref="AO75:AO80" si="113">I75+AF75</f>
        <v>1643287</v>
      </c>
      <c r="AP75" s="813">
        <f t="shared" ref="AP75:AP80" si="114">J75+U75</f>
        <v>1202126</v>
      </c>
      <c r="AQ75" s="813">
        <f t="shared" ref="AQ75:AQ80" si="115">Y75</f>
        <v>0</v>
      </c>
      <c r="AR75" s="813">
        <f t="shared" ref="AR75:AS80" si="116">K75+AA75</f>
        <v>406318</v>
      </c>
      <c r="AS75" s="813">
        <f t="shared" si="116"/>
        <v>24043</v>
      </c>
      <c r="AT75" s="813">
        <f t="shared" ref="AT75:AT80" si="117">M75+AE75</f>
        <v>10800</v>
      </c>
      <c r="AU75" s="836">
        <f t="shared" ref="AU75:AU80" si="118">N75+AN75</f>
        <v>2.5108999999999999</v>
      </c>
      <c r="AV75" s="836">
        <f t="shared" ref="AV75:AW80" si="119">O75+AL75</f>
        <v>2</v>
      </c>
      <c r="AW75" s="837">
        <f t="shared" si="119"/>
        <v>0.51090000000000002</v>
      </c>
    </row>
    <row r="76" spans="1:49" ht="12.95" customHeight="1" x14ac:dyDescent="0.25">
      <c r="A76" s="828">
        <v>13</v>
      </c>
      <c r="B76" s="946">
        <v>5431</v>
      </c>
      <c r="C76" s="947">
        <v>600099016</v>
      </c>
      <c r="D76" s="828">
        <v>70698112</v>
      </c>
      <c r="E76" s="1004" t="s">
        <v>462</v>
      </c>
      <c r="F76" s="946">
        <v>3117</v>
      </c>
      <c r="G76" s="1000" t="s">
        <v>335</v>
      </c>
      <c r="H76" s="831" t="s">
        <v>283</v>
      </c>
      <c r="I76" s="803">
        <f t="shared" si="101"/>
        <v>3400182</v>
      </c>
      <c r="J76" s="833">
        <v>2462262</v>
      </c>
      <c r="K76" s="833">
        <f>ROUND((J76)*33.8%,0)</f>
        <v>832245</v>
      </c>
      <c r="L76" s="833">
        <f>ROUND(J76*2%,0)</f>
        <v>49245</v>
      </c>
      <c r="M76" s="833">
        <v>56430</v>
      </c>
      <c r="N76" s="834">
        <f>SUM(O76:P76)</f>
        <v>5.0603999999999996</v>
      </c>
      <c r="O76" s="1054">
        <v>3.6360999999999999</v>
      </c>
      <c r="P76" s="1055">
        <v>1.4243000000000001</v>
      </c>
      <c r="Q76" s="835">
        <f t="shared" si="102"/>
        <v>-12000</v>
      </c>
      <c r="R76" s="813">
        <v>0</v>
      </c>
      <c r="S76" s="813">
        <v>0</v>
      </c>
      <c r="T76" s="813">
        <v>0</v>
      </c>
      <c r="U76" s="813">
        <f t="shared" si="103"/>
        <v>-12000</v>
      </c>
      <c r="V76" s="813">
        <v>12000</v>
      </c>
      <c r="W76" s="813">
        <v>0</v>
      </c>
      <c r="X76" s="813">
        <v>0</v>
      </c>
      <c r="Y76" s="813">
        <f t="shared" si="104"/>
        <v>12000</v>
      </c>
      <c r="Z76" s="813">
        <f t="shared" si="105"/>
        <v>0</v>
      </c>
      <c r="AA76" s="809">
        <f t="shared" si="106"/>
        <v>0</v>
      </c>
      <c r="AB76" s="809">
        <f t="shared" si="107"/>
        <v>-240</v>
      </c>
      <c r="AC76" s="813">
        <v>0</v>
      </c>
      <c r="AD76" s="813">
        <v>0</v>
      </c>
      <c r="AE76" s="813">
        <f t="shared" si="108"/>
        <v>0</v>
      </c>
      <c r="AF76" s="813">
        <f t="shared" si="109"/>
        <v>-240</v>
      </c>
      <c r="AG76" s="836">
        <v>0</v>
      </c>
      <c r="AH76" s="836">
        <v>0</v>
      </c>
      <c r="AI76" s="836">
        <v>0</v>
      </c>
      <c r="AJ76" s="836">
        <v>0</v>
      </c>
      <c r="AK76" s="836">
        <v>0</v>
      </c>
      <c r="AL76" s="836">
        <f t="shared" si="110"/>
        <v>0</v>
      </c>
      <c r="AM76" s="836">
        <f t="shared" si="111"/>
        <v>0</v>
      </c>
      <c r="AN76" s="837">
        <f t="shared" si="112"/>
        <v>0</v>
      </c>
      <c r="AO76" s="835">
        <f t="shared" si="113"/>
        <v>3399942</v>
      </c>
      <c r="AP76" s="813">
        <f t="shared" si="114"/>
        <v>2450262</v>
      </c>
      <c r="AQ76" s="813">
        <f t="shared" si="115"/>
        <v>12000</v>
      </c>
      <c r="AR76" s="813">
        <f t="shared" si="116"/>
        <v>832245</v>
      </c>
      <c r="AS76" s="813">
        <f t="shared" si="116"/>
        <v>49005</v>
      </c>
      <c r="AT76" s="813">
        <f t="shared" si="117"/>
        <v>56430</v>
      </c>
      <c r="AU76" s="836">
        <f t="shared" si="118"/>
        <v>5.0603999999999996</v>
      </c>
      <c r="AV76" s="836">
        <f t="shared" si="119"/>
        <v>3.6360999999999999</v>
      </c>
      <c r="AW76" s="837">
        <f t="shared" si="119"/>
        <v>1.4243000000000001</v>
      </c>
    </row>
    <row r="77" spans="1:49" ht="12.95" customHeight="1" x14ac:dyDescent="0.25">
      <c r="A77" s="828">
        <v>13</v>
      </c>
      <c r="B77" s="946">
        <v>5431</v>
      </c>
      <c r="C77" s="947">
        <v>600099016</v>
      </c>
      <c r="D77" s="828">
        <v>70698112</v>
      </c>
      <c r="E77" s="1004" t="s">
        <v>462</v>
      </c>
      <c r="F77" s="946">
        <v>3117</v>
      </c>
      <c r="G77" s="831" t="s">
        <v>318</v>
      </c>
      <c r="H77" s="831" t="s">
        <v>284</v>
      </c>
      <c r="I77" s="803">
        <f t="shared" si="101"/>
        <v>0</v>
      </c>
      <c r="J77" s="833">
        <v>0</v>
      </c>
      <c r="K77" s="833">
        <v>0</v>
      </c>
      <c r="L77" s="833">
        <v>0</v>
      </c>
      <c r="M77" s="833">
        <v>0</v>
      </c>
      <c r="N77" s="834">
        <f>SUM(O77:P77)</f>
        <v>0</v>
      </c>
      <c r="O77" s="1054">
        <v>0</v>
      </c>
      <c r="P77" s="1055">
        <v>0</v>
      </c>
      <c r="Q77" s="835">
        <f t="shared" si="102"/>
        <v>0</v>
      </c>
      <c r="R77" s="833">
        <v>173222</v>
      </c>
      <c r="S77" s="813">
        <v>0</v>
      </c>
      <c r="T77" s="813">
        <v>0</v>
      </c>
      <c r="U77" s="813">
        <f t="shared" si="103"/>
        <v>173222</v>
      </c>
      <c r="V77" s="813">
        <v>0</v>
      </c>
      <c r="W77" s="813">
        <v>0</v>
      </c>
      <c r="X77" s="813">
        <v>0</v>
      </c>
      <c r="Y77" s="813">
        <f t="shared" si="104"/>
        <v>0</v>
      </c>
      <c r="Z77" s="813">
        <f t="shared" si="105"/>
        <v>173222</v>
      </c>
      <c r="AA77" s="809">
        <f t="shared" si="106"/>
        <v>58549</v>
      </c>
      <c r="AB77" s="809">
        <f t="shared" si="107"/>
        <v>3464</v>
      </c>
      <c r="AC77" s="813">
        <v>0</v>
      </c>
      <c r="AD77" s="813">
        <v>0</v>
      </c>
      <c r="AE77" s="813">
        <f t="shared" si="108"/>
        <v>0</v>
      </c>
      <c r="AF77" s="813">
        <f t="shared" si="109"/>
        <v>235235</v>
      </c>
      <c r="AG77" s="836">
        <v>0</v>
      </c>
      <c r="AH77" s="836">
        <v>0</v>
      </c>
      <c r="AI77" s="836">
        <v>0.5</v>
      </c>
      <c r="AJ77" s="836">
        <v>0</v>
      </c>
      <c r="AK77" s="836">
        <v>0</v>
      </c>
      <c r="AL77" s="836">
        <f t="shared" si="110"/>
        <v>0.5</v>
      </c>
      <c r="AM77" s="836">
        <f t="shared" si="111"/>
        <v>0</v>
      </c>
      <c r="AN77" s="837">
        <f t="shared" si="112"/>
        <v>0.5</v>
      </c>
      <c r="AO77" s="835">
        <f t="shared" si="113"/>
        <v>235235</v>
      </c>
      <c r="AP77" s="813">
        <f t="shared" si="114"/>
        <v>173222</v>
      </c>
      <c r="AQ77" s="813">
        <f t="shared" si="115"/>
        <v>0</v>
      </c>
      <c r="AR77" s="813">
        <f t="shared" si="116"/>
        <v>58549</v>
      </c>
      <c r="AS77" s="813">
        <f t="shared" si="116"/>
        <v>3464</v>
      </c>
      <c r="AT77" s="813">
        <f t="shared" si="117"/>
        <v>0</v>
      </c>
      <c r="AU77" s="836">
        <f t="shared" si="118"/>
        <v>0.5</v>
      </c>
      <c r="AV77" s="836">
        <f t="shared" si="119"/>
        <v>0.5</v>
      </c>
      <c r="AW77" s="837">
        <f t="shared" si="119"/>
        <v>0</v>
      </c>
    </row>
    <row r="78" spans="1:49" ht="12.95" customHeight="1" x14ac:dyDescent="0.25">
      <c r="A78" s="828">
        <v>13</v>
      </c>
      <c r="B78" s="946">
        <v>5431</v>
      </c>
      <c r="C78" s="947">
        <v>600099016</v>
      </c>
      <c r="D78" s="828">
        <v>70698112</v>
      </c>
      <c r="E78" s="1004" t="s">
        <v>462</v>
      </c>
      <c r="F78" s="946">
        <v>3141</v>
      </c>
      <c r="G78" s="1000" t="s">
        <v>321</v>
      </c>
      <c r="H78" s="831" t="s">
        <v>284</v>
      </c>
      <c r="I78" s="803">
        <f t="shared" si="101"/>
        <v>725753</v>
      </c>
      <c r="J78" s="833">
        <v>532036</v>
      </c>
      <c r="K78" s="805">
        <f>ROUND((J78)*33.8%,0)</f>
        <v>179828</v>
      </c>
      <c r="L78" s="833">
        <f>ROUND(J78*2%,0)</f>
        <v>10641</v>
      </c>
      <c r="M78" s="833">
        <v>3248</v>
      </c>
      <c r="N78" s="834">
        <f>O78+P78</f>
        <v>1.81</v>
      </c>
      <c r="O78" s="1054">
        <v>0</v>
      </c>
      <c r="P78" s="1055">
        <v>1.81</v>
      </c>
      <c r="Q78" s="835">
        <f t="shared" si="102"/>
        <v>-4000</v>
      </c>
      <c r="R78" s="813">
        <v>0</v>
      </c>
      <c r="S78" s="813">
        <v>0</v>
      </c>
      <c r="T78" s="813">
        <v>0</v>
      </c>
      <c r="U78" s="813">
        <f t="shared" si="103"/>
        <v>-4000</v>
      </c>
      <c r="V78" s="813">
        <v>4000</v>
      </c>
      <c r="W78" s="813">
        <v>0</v>
      </c>
      <c r="X78" s="813">
        <v>0</v>
      </c>
      <c r="Y78" s="813">
        <f t="shared" si="104"/>
        <v>4000</v>
      </c>
      <c r="Z78" s="813">
        <f t="shared" si="105"/>
        <v>0</v>
      </c>
      <c r="AA78" s="809">
        <f t="shared" si="106"/>
        <v>0</v>
      </c>
      <c r="AB78" s="809">
        <f t="shared" si="107"/>
        <v>-80</v>
      </c>
      <c r="AC78" s="813">
        <v>0</v>
      </c>
      <c r="AD78" s="813">
        <v>0</v>
      </c>
      <c r="AE78" s="813">
        <f t="shared" si="108"/>
        <v>0</v>
      </c>
      <c r="AF78" s="813">
        <f t="shared" si="109"/>
        <v>-80</v>
      </c>
      <c r="AG78" s="836">
        <v>0</v>
      </c>
      <c r="AH78" s="836">
        <v>0</v>
      </c>
      <c r="AI78" s="836">
        <v>0</v>
      </c>
      <c r="AJ78" s="836">
        <v>0</v>
      </c>
      <c r="AK78" s="836">
        <v>0</v>
      </c>
      <c r="AL78" s="836">
        <f t="shared" si="110"/>
        <v>0</v>
      </c>
      <c r="AM78" s="836">
        <f t="shared" si="111"/>
        <v>0</v>
      </c>
      <c r="AN78" s="837">
        <f t="shared" si="112"/>
        <v>0</v>
      </c>
      <c r="AO78" s="835">
        <f t="shared" si="113"/>
        <v>725673</v>
      </c>
      <c r="AP78" s="813">
        <f t="shared" si="114"/>
        <v>528036</v>
      </c>
      <c r="AQ78" s="813">
        <f t="shared" si="115"/>
        <v>4000</v>
      </c>
      <c r="AR78" s="813">
        <f t="shared" si="116"/>
        <v>179828</v>
      </c>
      <c r="AS78" s="813">
        <f t="shared" si="116"/>
        <v>10561</v>
      </c>
      <c r="AT78" s="813">
        <f t="shared" si="117"/>
        <v>3248</v>
      </c>
      <c r="AU78" s="836">
        <f t="shared" si="118"/>
        <v>1.81</v>
      </c>
      <c r="AV78" s="836">
        <f t="shared" si="119"/>
        <v>0</v>
      </c>
      <c r="AW78" s="837">
        <f t="shared" si="119"/>
        <v>1.81</v>
      </c>
    </row>
    <row r="79" spans="1:49" ht="12.95" customHeight="1" x14ac:dyDescent="0.25">
      <c r="A79" s="828">
        <v>13</v>
      </c>
      <c r="B79" s="946">
        <v>5431</v>
      </c>
      <c r="C79" s="947">
        <v>600099016</v>
      </c>
      <c r="D79" s="828">
        <v>70698112</v>
      </c>
      <c r="E79" s="1004" t="s">
        <v>462</v>
      </c>
      <c r="F79" s="946">
        <v>3143</v>
      </c>
      <c r="G79" s="831" t="s">
        <v>635</v>
      </c>
      <c r="H79" s="831" t="s">
        <v>283</v>
      </c>
      <c r="I79" s="803">
        <f t="shared" si="101"/>
        <v>442293</v>
      </c>
      <c r="J79" s="833">
        <v>325694</v>
      </c>
      <c r="K79" s="833">
        <f>ROUND((J79)*33.8%,0)</f>
        <v>110085</v>
      </c>
      <c r="L79" s="833">
        <f>ROUND(J79*2%,0)</f>
        <v>6514</v>
      </c>
      <c r="M79" s="833">
        <v>0</v>
      </c>
      <c r="N79" s="834">
        <f>SUM(O79:P79)</f>
        <v>0.67800000000000005</v>
      </c>
      <c r="O79" s="1054">
        <v>0.67800000000000005</v>
      </c>
      <c r="P79" s="1055">
        <v>0</v>
      </c>
      <c r="Q79" s="835">
        <f t="shared" si="102"/>
        <v>0</v>
      </c>
      <c r="R79" s="813">
        <v>0</v>
      </c>
      <c r="S79" s="813">
        <v>0</v>
      </c>
      <c r="T79" s="813">
        <v>0</v>
      </c>
      <c r="U79" s="813">
        <f t="shared" si="103"/>
        <v>0</v>
      </c>
      <c r="V79" s="813">
        <v>0</v>
      </c>
      <c r="W79" s="813">
        <v>0</v>
      </c>
      <c r="X79" s="813">
        <v>0</v>
      </c>
      <c r="Y79" s="813">
        <f t="shared" si="104"/>
        <v>0</v>
      </c>
      <c r="Z79" s="813">
        <f t="shared" si="105"/>
        <v>0</v>
      </c>
      <c r="AA79" s="809">
        <f t="shared" si="106"/>
        <v>0</v>
      </c>
      <c r="AB79" s="809">
        <f t="shared" si="107"/>
        <v>0</v>
      </c>
      <c r="AC79" s="813">
        <v>0</v>
      </c>
      <c r="AD79" s="813">
        <v>0</v>
      </c>
      <c r="AE79" s="813">
        <f t="shared" si="108"/>
        <v>0</v>
      </c>
      <c r="AF79" s="813">
        <f t="shared" si="109"/>
        <v>0</v>
      </c>
      <c r="AG79" s="836">
        <v>0</v>
      </c>
      <c r="AH79" s="836">
        <v>0</v>
      </c>
      <c r="AI79" s="836">
        <v>0</v>
      </c>
      <c r="AJ79" s="836">
        <v>0</v>
      </c>
      <c r="AK79" s="836">
        <v>0</v>
      </c>
      <c r="AL79" s="836">
        <f t="shared" si="110"/>
        <v>0</v>
      </c>
      <c r="AM79" s="836">
        <f t="shared" si="111"/>
        <v>0</v>
      </c>
      <c r="AN79" s="837">
        <f t="shared" si="112"/>
        <v>0</v>
      </c>
      <c r="AO79" s="835">
        <f t="shared" si="113"/>
        <v>442293</v>
      </c>
      <c r="AP79" s="813">
        <f t="shared" si="114"/>
        <v>325694</v>
      </c>
      <c r="AQ79" s="813">
        <f t="shared" si="115"/>
        <v>0</v>
      </c>
      <c r="AR79" s="813">
        <f t="shared" si="116"/>
        <v>110085</v>
      </c>
      <c r="AS79" s="813">
        <f t="shared" si="116"/>
        <v>6514</v>
      </c>
      <c r="AT79" s="813">
        <f t="shared" si="117"/>
        <v>0</v>
      </c>
      <c r="AU79" s="836">
        <f t="shared" si="118"/>
        <v>0.67800000000000005</v>
      </c>
      <c r="AV79" s="836">
        <f t="shared" si="119"/>
        <v>0.67800000000000005</v>
      </c>
      <c r="AW79" s="837">
        <f t="shared" si="119"/>
        <v>0</v>
      </c>
    </row>
    <row r="80" spans="1:49" ht="12.95" customHeight="1" x14ac:dyDescent="0.25">
      <c r="A80" s="828">
        <v>13</v>
      </c>
      <c r="B80" s="946">
        <v>5431</v>
      </c>
      <c r="C80" s="947">
        <v>600099016</v>
      </c>
      <c r="D80" s="828">
        <v>70698112</v>
      </c>
      <c r="E80" s="1004" t="s">
        <v>462</v>
      </c>
      <c r="F80" s="946">
        <v>3143</v>
      </c>
      <c r="G80" s="831" t="s">
        <v>636</v>
      </c>
      <c r="H80" s="831" t="s">
        <v>284</v>
      </c>
      <c r="I80" s="803">
        <f t="shared" si="101"/>
        <v>14044</v>
      </c>
      <c r="J80" s="833">
        <v>9900</v>
      </c>
      <c r="K80" s="805">
        <f>ROUND((J80)*33.8%,0)</f>
        <v>3346</v>
      </c>
      <c r="L80" s="833">
        <f>ROUND(J80*2%,0)</f>
        <v>198</v>
      </c>
      <c r="M80" s="833">
        <v>600</v>
      </c>
      <c r="N80" s="834">
        <f>SUM(O80:P80)</f>
        <v>0.04</v>
      </c>
      <c r="O80" s="1054">
        <v>0</v>
      </c>
      <c r="P80" s="1055">
        <v>0.04</v>
      </c>
      <c r="Q80" s="835">
        <f t="shared" si="102"/>
        <v>0</v>
      </c>
      <c r="R80" s="813">
        <v>0</v>
      </c>
      <c r="S80" s="813">
        <v>0</v>
      </c>
      <c r="T80" s="813">
        <v>0</v>
      </c>
      <c r="U80" s="813">
        <f t="shared" si="103"/>
        <v>0</v>
      </c>
      <c r="V80" s="813">
        <v>0</v>
      </c>
      <c r="W80" s="813">
        <v>0</v>
      </c>
      <c r="X80" s="813">
        <v>0</v>
      </c>
      <c r="Y80" s="813">
        <f t="shared" si="104"/>
        <v>0</v>
      </c>
      <c r="Z80" s="813">
        <f t="shared" si="105"/>
        <v>0</v>
      </c>
      <c r="AA80" s="809">
        <f t="shared" si="106"/>
        <v>0</v>
      </c>
      <c r="AB80" s="809">
        <f t="shared" si="107"/>
        <v>0</v>
      </c>
      <c r="AC80" s="813">
        <v>0</v>
      </c>
      <c r="AD80" s="813">
        <v>0</v>
      </c>
      <c r="AE80" s="813">
        <f t="shared" si="108"/>
        <v>0</v>
      </c>
      <c r="AF80" s="813">
        <f t="shared" si="109"/>
        <v>0</v>
      </c>
      <c r="AG80" s="836">
        <v>0</v>
      </c>
      <c r="AH80" s="836">
        <v>0</v>
      </c>
      <c r="AI80" s="836">
        <v>0</v>
      </c>
      <c r="AJ80" s="836">
        <v>0</v>
      </c>
      <c r="AK80" s="836">
        <v>0</v>
      </c>
      <c r="AL80" s="836">
        <f t="shared" si="110"/>
        <v>0</v>
      </c>
      <c r="AM80" s="836">
        <f t="shared" si="111"/>
        <v>0</v>
      </c>
      <c r="AN80" s="837">
        <f t="shared" si="112"/>
        <v>0</v>
      </c>
      <c r="AO80" s="835">
        <f t="shared" si="113"/>
        <v>14044</v>
      </c>
      <c r="AP80" s="813">
        <f t="shared" si="114"/>
        <v>9900</v>
      </c>
      <c r="AQ80" s="813">
        <f t="shared" si="115"/>
        <v>0</v>
      </c>
      <c r="AR80" s="813">
        <f t="shared" si="116"/>
        <v>3346</v>
      </c>
      <c r="AS80" s="813">
        <f t="shared" si="116"/>
        <v>198</v>
      </c>
      <c r="AT80" s="813">
        <f t="shared" si="117"/>
        <v>600</v>
      </c>
      <c r="AU80" s="836">
        <f t="shared" si="118"/>
        <v>0.04</v>
      </c>
      <c r="AV80" s="836">
        <f t="shared" si="119"/>
        <v>0</v>
      </c>
      <c r="AW80" s="837">
        <f t="shared" si="119"/>
        <v>0.04</v>
      </c>
    </row>
    <row r="81" spans="1:49" ht="12.95" customHeight="1" x14ac:dyDescent="0.25">
      <c r="A81" s="850">
        <v>13</v>
      </c>
      <c r="B81" s="951">
        <v>5431</v>
      </c>
      <c r="C81" s="952">
        <v>600099016</v>
      </c>
      <c r="D81" s="951">
        <v>70698112</v>
      </c>
      <c r="E81" s="1005" t="s">
        <v>463</v>
      </c>
      <c r="F81" s="1013"/>
      <c r="G81" s="1014"/>
      <c r="H81" s="1015"/>
      <c r="I81" s="1008">
        <f t="shared" ref="I81:AW81" si="120">SUM(I75:I80)</f>
        <v>6225559</v>
      </c>
      <c r="J81" s="1009">
        <f t="shared" si="120"/>
        <v>4532018</v>
      </c>
      <c r="K81" s="1009">
        <f t="shared" si="120"/>
        <v>1531822</v>
      </c>
      <c r="L81" s="1009">
        <f t="shared" si="120"/>
        <v>90641</v>
      </c>
      <c r="M81" s="1009">
        <f t="shared" si="120"/>
        <v>71078</v>
      </c>
      <c r="N81" s="1010">
        <f t="shared" si="120"/>
        <v>10.099299999999999</v>
      </c>
      <c r="O81" s="1010">
        <f t="shared" si="120"/>
        <v>6.3140999999999998</v>
      </c>
      <c r="P81" s="1012">
        <f t="shared" si="120"/>
        <v>3.7852000000000001</v>
      </c>
      <c r="Q81" s="1011">
        <f t="shared" si="120"/>
        <v>-16000</v>
      </c>
      <c r="R81" s="1009">
        <f t="shared" si="120"/>
        <v>173222</v>
      </c>
      <c r="S81" s="1009">
        <f t="shared" si="120"/>
        <v>0</v>
      </c>
      <c r="T81" s="1009">
        <f t="shared" si="120"/>
        <v>0</v>
      </c>
      <c r="U81" s="1009">
        <f t="shared" si="120"/>
        <v>157222</v>
      </c>
      <c r="V81" s="1009">
        <f t="shared" si="120"/>
        <v>16000</v>
      </c>
      <c r="W81" s="1009">
        <f t="shared" si="120"/>
        <v>0</v>
      </c>
      <c r="X81" s="1009">
        <f t="shared" si="120"/>
        <v>0</v>
      </c>
      <c r="Y81" s="1009">
        <f t="shared" si="120"/>
        <v>16000</v>
      </c>
      <c r="Z81" s="1009">
        <f t="shared" si="120"/>
        <v>173222</v>
      </c>
      <c r="AA81" s="1009">
        <f t="shared" si="120"/>
        <v>58549</v>
      </c>
      <c r="AB81" s="1009">
        <f t="shared" si="120"/>
        <v>3144</v>
      </c>
      <c r="AC81" s="1009">
        <f t="shared" si="120"/>
        <v>0</v>
      </c>
      <c r="AD81" s="1009">
        <f t="shared" si="120"/>
        <v>0</v>
      </c>
      <c r="AE81" s="1009">
        <f t="shared" si="120"/>
        <v>0</v>
      </c>
      <c r="AF81" s="1009">
        <f t="shared" si="120"/>
        <v>234915</v>
      </c>
      <c r="AG81" s="1010">
        <f t="shared" si="120"/>
        <v>0</v>
      </c>
      <c r="AH81" s="1010">
        <f t="shared" si="120"/>
        <v>0</v>
      </c>
      <c r="AI81" s="1010">
        <f t="shared" si="120"/>
        <v>0.5</v>
      </c>
      <c r="AJ81" s="1010">
        <f t="shared" si="120"/>
        <v>0</v>
      </c>
      <c r="AK81" s="1010">
        <f t="shared" si="120"/>
        <v>0</v>
      </c>
      <c r="AL81" s="1010">
        <f t="shared" si="120"/>
        <v>0.5</v>
      </c>
      <c r="AM81" s="1010">
        <f t="shared" si="120"/>
        <v>0</v>
      </c>
      <c r="AN81" s="1012">
        <f t="shared" si="120"/>
        <v>0.5</v>
      </c>
      <c r="AO81" s="1011">
        <f t="shared" si="120"/>
        <v>6460474</v>
      </c>
      <c r="AP81" s="1009">
        <f t="shared" si="120"/>
        <v>4689240</v>
      </c>
      <c r="AQ81" s="1009">
        <f t="shared" si="120"/>
        <v>16000</v>
      </c>
      <c r="AR81" s="1009">
        <f t="shared" si="120"/>
        <v>1590371</v>
      </c>
      <c r="AS81" s="1009">
        <f t="shared" si="120"/>
        <v>93785</v>
      </c>
      <c r="AT81" s="1009">
        <f t="shared" si="120"/>
        <v>71078</v>
      </c>
      <c r="AU81" s="1010">
        <f t="shared" si="120"/>
        <v>10.599299999999999</v>
      </c>
      <c r="AV81" s="1010">
        <f t="shared" si="120"/>
        <v>6.8140999999999998</v>
      </c>
      <c r="AW81" s="1012">
        <f t="shared" si="120"/>
        <v>3.7852000000000001</v>
      </c>
    </row>
    <row r="82" spans="1:49" ht="12.95" customHeight="1" x14ac:dyDescent="0.25">
      <c r="A82" s="828">
        <v>14</v>
      </c>
      <c r="B82" s="946">
        <v>5487</v>
      </c>
      <c r="C82" s="947">
        <v>600098796</v>
      </c>
      <c r="D82" s="828">
        <v>71006753</v>
      </c>
      <c r="E82" s="1004" t="s">
        <v>464</v>
      </c>
      <c r="F82" s="946">
        <v>3111</v>
      </c>
      <c r="G82" s="1000" t="s">
        <v>331</v>
      </c>
      <c r="H82" s="831" t="s">
        <v>283</v>
      </c>
      <c r="I82" s="803">
        <f>SUM(J82:M82)</f>
        <v>1325602</v>
      </c>
      <c r="J82" s="833">
        <v>972829</v>
      </c>
      <c r="K82" s="833">
        <f>ROUND((J82)*33.8%,0)</f>
        <v>328816</v>
      </c>
      <c r="L82" s="833">
        <f>ROUND(J82*2%,0)</f>
        <v>19457</v>
      </c>
      <c r="M82" s="833">
        <v>4500</v>
      </c>
      <c r="N82" s="834">
        <f>SUM(O82:P82)</f>
        <v>2.4541000000000004</v>
      </c>
      <c r="O82" s="1054">
        <v>1.7755000000000001</v>
      </c>
      <c r="P82" s="1055">
        <v>0.67860000000000009</v>
      </c>
      <c r="Q82" s="835">
        <f>V82*-1</f>
        <v>0</v>
      </c>
      <c r="R82" s="813">
        <v>0</v>
      </c>
      <c r="S82" s="813">
        <v>0</v>
      </c>
      <c r="T82" s="813">
        <v>0</v>
      </c>
      <c r="U82" s="813">
        <f>SUM(Q82:T82)</f>
        <v>0</v>
      </c>
      <c r="V82" s="813">
        <v>0</v>
      </c>
      <c r="W82" s="813">
        <v>0</v>
      </c>
      <c r="X82" s="813">
        <v>0</v>
      </c>
      <c r="Y82" s="813">
        <f>SUM(V82:X82)</f>
        <v>0</v>
      </c>
      <c r="Z82" s="813">
        <f>U82+Y82</f>
        <v>0</v>
      </c>
      <c r="AA82" s="809">
        <f>ROUND((U82+V82+W82)*33.8%,0)</f>
        <v>0</v>
      </c>
      <c r="AB82" s="809">
        <f>ROUND(U82*2%,0)</f>
        <v>0</v>
      </c>
      <c r="AC82" s="813">
        <v>0</v>
      </c>
      <c r="AD82" s="813">
        <v>0</v>
      </c>
      <c r="AE82" s="813">
        <f>SUM(AC82:AD82)</f>
        <v>0</v>
      </c>
      <c r="AF82" s="813">
        <f>Z82+AA82+AB82+AE82</f>
        <v>0</v>
      </c>
      <c r="AG82" s="836">
        <v>0</v>
      </c>
      <c r="AH82" s="836">
        <v>0</v>
      </c>
      <c r="AI82" s="836">
        <v>0</v>
      </c>
      <c r="AJ82" s="836">
        <v>0</v>
      </c>
      <c r="AK82" s="836">
        <v>0</v>
      </c>
      <c r="AL82" s="836">
        <f>AG82+AI82+AJ82</f>
        <v>0</v>
      </c>
      <c r="AM82" s="836">
        <f>AH82+AK82</f>
        <v>0</v>
      </c>
      <c r="AN82" s="837">
        <f>SUM(AL82:AM82)</f>
        <v>0</v>
      </c>
      <c r="AO82" s="835">
        <f>I82+AF82</f>
        <v>1325602</v>
      </c>
      <c r="AP82" s="813">
        <f>J82+U82</f>
        <v>972829</v>
      </c>
      <c r="AQ82" s="813">
        <f>Y82</f>
        <v>0</v>
      </c>
      <c r="AR82" s="813">
        <f t="shared" ref="AR82:AS84" si="121">K82+AA82</f>
        <v>328816</v>
      </c>
      <c r="AS82" s="813">
        <f t="shared" si="121"/>
        <v>19457</v>
      </c>
      <c r="AT82" s="813">
        <f>M82+AE82</f>
        <v>4500</v>
      </c>
      <c r="AU82" s="836">
        <f>N82+AN82</f>
        <v>2.4541000000000004</v>
      </c>
      <c r="AV82" s="836">
        <f t="shared" ref="AV82:AW84" si="122">O82+AL82</f>
        <v>1.7755000000000001</v>
      </c>
      <c r="AW82" s="837">
        <f t="shared" si="122"/>
        <v>0.67860000000000009</v>
      </c>
    </row>
    <row r="83" spans="1:49" ht="12.95" customHeight="1" x14ac:dyDescent="0.25">
      <c r="A83" s="828">
        <v>14</v>
      </c>
      <c r="B83" s="946">
        <v>5487</v>
      </c>
      <c r="C83" s="947">
        <v>600098796</v>
      </c>
      <c r="D83" s="828">
        <v>71006753</v>
      </c>
      <c r="E83" s="1004" t="s">
        <v>464</v>
      </c>
      <c r="F83" s="946">
        <v>3111</v>
      </c>
      <c r="G83" s="831" t="s">
        <v>318</v>
      </c>
      <c r="H83" s="831" t="s">
        <v>284</v>
      </c>
      <c r="I83" s="803">
        <f>SUM(J83:M83)</f>
        <v>0</v>
      </c>
      <c r="J83" s="833">
        <v>0</v>
      </c>
      <c r="K83" s="833">
        <v>0</v>
      </c>
      <c r="L83" s="833">
        <v>0</v>
      </c>
      <c r="M83" s="833">
        <v>0</v>
      </c>
      <c r="N83" s="834">
        <f>SUM(O83:P83)</f>
        <v>0</v>
      </c>
      <c r="O83" s="1054">
        <v>0</v>
      </c>
      <c r="P83" s="1055">
        <v>0</v>
      </c>
      <c r="Q83" s="835">
        <f>V83*-1</f>
        <v>0</v>
      </c>
      <c r="R83" s="833">
        <v>173222</v>
      </c>
      <c r="S83" s="813">
        <v>0</v>
      </c>
      <c r="T83" s="813">
        <v>0</v>
      </c>
      <c r="U83" s="813">
        <f>SUM(Q83:T83)</f>
        <v>173222</v>
      </c>
      <c r="V83" s="813">
        <v>0</v>
      </c>
      <c r="W83" s="813">
        <v>0</v>
      </c>
      <c r="X83" s="813">
        <v>0</v>
      </c>
      <c r="Y83" s="813">
        <f>SUM(V83:X83)</f>
        <v>0</v>
      </c>
      <c r="Z83" s="813">
        <f>U83+Y83</f>
        <v>173222</v>
      </c>
      <c r="AA83" s="809">
        <f>ROUND((U83+V83+W83)*33.8%,0)</f>
        <v>58549</v>
      </c>
      <c r="AB83" s="809">
        <f>ROUND(U83*2%,0)</f>
        <v>3464</v>
      </c>
      <c r="AC83" s="813">
        <v>0</v>
      </c>
      <c r="AD83" s="813">
        <v>0</v>
      </c>
      <c r="AE83" s="813">
        <f>SUM(AC83:AD83)</f>
        <v>0</v>
      </c>
      <c r="AF83" s="813">
        <f>Z83+AA83+AB83+AE83</f>
        <v>235235</v>
      </c>
      <c r="AG83" s="836">
        <v>0</v>
      </c>
      <c r="AH83" s="836">
        <v>0</v>
      </c>
      <c r="AI83" s="836">
        <v>0.5</v>
      </c>
      <c r="AJ83" s="836">
        <v>0</v>
      </c>
      <c r="AK83" s="836">
        <v>0</v>
      </c>
      <c r="AL83" s="836">
        <f>AG83+AI83+AJ83</f>
        <v>0.5</v>
      </c>
      <c r="AM83" s="836">
        <f>AH83+AK83</f>
        <v>0</v>
      </c>
      <c r="AN83" s="837">
        <f>SUM(AL83:AM83)</f>
        <v>0.5</v>
      </c>
      <c r="AO83" s="835">
        <f>I83+AF83</f>
        <v>235235</v>
      </c>
      <c r="AP83" s="813">
        <f>J83+U83</f>
        <v>173222</v>
      </c>
      <c r="AQ83" s="813">
        <f>Y83</f>
        <v>0</v>
      </c>
      <c r="AR83" s="813">
        <f t="shared" si="121"/>
        <v>58549</v>
      </c>
      <c r="AS83" s="813">
        <f t="shared" si="121"/>
        <v>3464</v>
      </c>
      <c r="AT83" s="813">
        <f>M83+AE83</f>
        <v>0</v>
      </c>
      <c r="AU83" s="836">
        <f>N83+AN83</f>
        <v>0.5</v>
      </c>
      <c r="AV83" s="836">
        <f t="shared" si="122"/>
        <v>0.5</v>
      </c>
      <c r="AW83" s="837">
        <f t="shared" si="122"/>
        <v>0</v>
      </c>
    </row>
    <row r="84" spans="1:49" ht="12.95" customHeight="1" x14ac:dyDescent="0.25">
      <c r="A84" s="828">
        <v>14</v>
      </c>
      <c r="B84" s="946">
        <v>5487</v>
      </c>
      <c r="C84" s="947">
        <v>600098796</v>
      </c>
      <c r="D84" s="828">
        <v>71006753</v>
      </c>
      <c r="E84" s="1004" t="s">
        <v>464</v>
      </c>
      <c r="F84" s="946">
        <v>3141</v>
      </c>
      <c r="G84" s="1000" t="s">
        <v>321</v>
      </c>
      <c r="H84" s="831" t="s">
        <v>284</v>
      </c>
      <c r="I84" s="803">
        <f>SUM(J84:M84)</f>
        <v>321734</v>
      </c>
      <c r="J84" s="833">
        <v>236490</v>
      </c>
      <c r="K84" s="805">
        <f>ROUND((J84)*33.8%,0)</f>
        <v>79934</v>
      </c>
      <c r="L84" s="833">
        <f>ROUND(J84*2%,0)</f>
        <v>4730</v>
      </c>
      <c r="M84" s="833">
        <v>580</v>
      </c>
      <c r="N84" s="834">
        <f>O84+P84</f>
        <v>1.17</v>
      </c>
      <c r="O84" s="1054">
        <v>0</v>
      </c>
      <c r="P84" s="1055">
        <v>1.17</v>
      </c>
      <c r="Q84" s="835">
        <f>V84*-1</f>
        <v>0</v>
      </c>
      <c r="R84" s="813">
        <v>0</v>
      </c>
      <c r="S84" s="813">
        <v>0</v>
      </c>
      <c r="T84" s="813">
        <v>0</v>
      </c>
      <c r="U84" s="813">
        <f>SUM(Q84:T84)</f>
        <v>0</v>
      </c>
      <c r="V84" s="813">
        <v>0</v>
      </c>
      <c r="W84" s="813">
        <v>0</v>
      </c>
      <c r="X84" s="813">
        <v>0</v>
      </c>
      <c r="Y84" s="813">
        <f>SUM(V84:X84)</f>
        <v>0</v>
      </c>
      <c r="Z84" s="813">
        <f>U84+Y84</f>
        <v>0</v>
      </c>
      <c r="AA84" s="809">
        <f>ROUND((U84+V84+W84)*33.8%,0)</f>
        <v>0</v>
      </c>
      <c r="AB84" s="809">
        <f>ROUND(U84*2%,0)</f>
        <v>0</v>
      </c>
      <c r="AC84" s="813">
        <v>0</v>
      </c>
      <c r="AD84" s="813">
        <v>0</v>
      </c>
      <c r="AE84" s="813">
        <f>SUM(AC84:AD84)</f>
        <v>0</v>
      </c>
      <c r="AF84" s="813">
        <f>Z84+AA84+AB84+AE84</f>
        <v>0</v>
      </c>
      <c r="AG84" s="836">
        <v>0</v>
      </c>
      <c r="AH84" s="836">
        <v>0</v>
      </c>
      <c r="AI84" s="836">
        <v>0</v>
      </c>
      <c r="AJ84" s="836">
        <v>0</v>
      </c>
      <c r="AK84" s="836">
        <v>0</v>
      </c>
      <c r="AL84" s="836">
        <f>AG84+AI84+AJ84</f>
        <v>0</v>
      </c>
      <c r="AM84" s="836">
        <f>AH84+AK84</f>
        <v>0</v>
      </c>
      <c r="AN84" s="837">
        <f>SUM(AL84:AM84)</f>
        <v>0</v>
      </c>
      <c r="AO84" s="835">
        <f>I84+AF84</f>
        <v>321734</v>
      </c>
      <c r="AP84" s="813">
        <f>J84+U84</f>
        <v>236490</v>
      </c>
      <c r="AQ84" s="813">
        <f>Y84</f>
        <v>0</v>
      </c>
      <c r="AR84" s="813">
        <f t="shared" si="121"/>
        <v>79934</v>
      </c>
      <c r="AS84" s="813">
        <f t="shared" si="121"/>
        <v>4730</v>
      </c>
      <c r="AT84" s="813">
        <f>M84+AE84</f>
        <v>580</v>
      </c>
      <c r="AU84" s="836">
        <f>N84+AN84</f>
        <v>1.17</v>
      </c>
      <c r="AV84" s="836">
        <f t="shared" si="122"/>
        <v>0</v>
      </c>
      <c r="AW84" s="837">
        <f t="shared" si="122"/>
        <v>1.17</v>
      </c>
    </row>
    <row r="85" spans="1:49" ht="12.95" customHeight="1" x14ac:dyDescent="0.25">
      <c r="A85" s="850">
        <v>14</v>
      </c>
      <c r="B85" s="951">
        <v>5487</v>
      </c>
      <c r="C85" s="952">
        <v>600098796</v>
      </c>
      <c r="D85" s="951">
        <v>71006753</v>
      </c>
      <c r="E85" s="1005" t="s">
        <v>465</v>
      </c>
      <c r="F85" s="951"/>
      <c r="G85" s="1006"/>
      <c r="H85" s="1007"/>
      <c r="I85" s="820">
        <f t="shared" ref="I85:AW85" si="123">SUM(I82:I84)</f>
        <v>1647336</v>
      </c>
      <c r="J85" s="821">
        <f t="shared" si="123"/>
        <v>1209319</v>
      </c>
      <c r="K85" s="821">
        <f t="shared" si="123"/>
        <v>408750</v>
      </c>
      <c r="L85" s="821">
        <f t="shared" si="123"/>
        <v>24187</v>
      </c>
      <c r="M85" s="821">
        <f t="shared" si="123"/>
        <v>5080</v>
      </c>
      <c r="N85" s="822">
        <f t="shared" si="123"/>
        <v>3.6241000000000003</v>
      </c>
      <c r="O85" s="822">
        <f t="shared" si="123"/>
        <v>1.7755000000000001</v>
      </c>
      <c r="P85" s="824">
        <f t="shared" si="123"/>
        <v>1.8486</v>
      </c>
      <c r="Q85" s="825">
        <f t="shared" si="123"/>
        <v>0</v>
      </c>
      <c r="R85" s="821">
        <f t="shared" si="123"/>
        <v>173222</v>
      </c>
      <c r="S85" s="821">
        <f t="shared" si="123"/>
        <v>0</v>
      </c>
      <c r="T85" s="821">
        <f t="shared" si="123"/>
        <v>0</v>
      </c>
      <c r="U85" s="821">
        <f t="shared" si="123"/>
        <v>173222</v>
      </c>
      <c r="V85" s="821">
        <f t="shared" si="123"/>
        <v>0</v>
      </c>
      <c r="W85" s="821">
        <f t="shared" si="123"/>
        <v>0</v>
      </c>
      <c r="X85" s="821">
        <f t="shared" si="123"/>
        <v>0</v>
      </c>
      <c r="Y85" s="821">
        <f t="shared" si="123"/>
        <v>0</v>
      </c>
      <c r="Z85" s="821">
        <f t="shared" si="123"/>
        <v>173222</v>
      </c>
      <c r="AA85" s="821">
        <f t="shared" si="123"/>
        <v>58549</v>
      </c>
      <c r="AB85" s="821">
        <f t="shared" si="123"/>
        <v>3464</v>
      </c>
      <c r="AC85" s="821">
        <f t="shared" si="123"/>
        <v>0</v>
      </c>
      <c r="AD85" s="821">
        <f t="shared" si="123"/>
        <v>0</v>
      </c>
      <c r="AE85" s="821">
        <f t="shared" si="123"/>
        <v>0</v>
      </c>
      <c r="AF85" s="821">
        <f t="shared" si="123"/>
        <v>235235</v>
      </c>
      <c r="AG85" s="822">
        <f t="shared" si="123"/>
        <v>0</v>
      </c>
      <c r="AH85" s="822">
        <f t="shared" si="123"/>
        <v>0</v>
      </c>
      <c r="AI85" s="822">
        <f t="shared" si="123"/>
        <v>0.5</v>
      </c>
      <c r="AJ85" s="822">
        <f t="shared" si="123"/>
        <v>0</v>
      </c>
      <c r="AK85" s="822">
        <f t="shared" si="123"/>
        <v>0</v>
      </c>
      <c r="AL85" s="822">
        <f t="shared" si="123"/>
        <v>0.5</v>
      </c>
      <c r="AM85" s="822">
        <f t="shared" si="123"/>
        <v>0</v>
      </c>
      <c r="AN85" s="824">
        <f t="shared" si="123"/>
        <v>0.5</v>
      </c>
      <c r="AO85" s="825">
        <f t="shared" si="123"/>
        <v>1882571</v>
      </c>
      <c r="AP85" s="821">
        <f t="shared" si="123"/>
        <v>1382541</v>
      </c>
      <c r="AQ85" s="821">
        <f t="shared" si="123"/>
        <v>0</v>
      </c>
      <c r="AR85" s="821">
        <f t="shared" si="123"/>
        <v>467299</v>
      </c>
      <c r="AS85" s="821">
        <f t="shared" si="123"/>
        <v>27651</v>
      </c>
      <c r="AT85" s="821">
        <f t="shared" si="123"/>
        <v>5080</v>
      </c>
      <c r="AU85" s="822">
        <f t="shared" si="123"/>
        <v>4.1241000000000003</v>
      </c>
      <c r="AV85" s="822">
        <f t="shared" si="123"/>
        <v>2.2755000000000001</v>
      </c>
      <c r="AW85" s="824">
        <f t="shared" si="123"/>
        <v>1.8486</v>
      </c>
    </row>
    <row r="86" spans="1:49" ht="12.95" customHeight="1" x14ac:dyDescent="0.25">
      <c r="A86" s="828">
        <v>15</v>
      </c>
      <c r="B86" s="946">
        <v>5436</v>
      </c>
      <c r="C86" s="947">
        <v>600098800</v>
      </c>
      <c r="D86" s="828">
        <v>72742992</v>
      </c>
      <c r="E86" s="1004" t="s">
        <v>466</v>
      </c>
      <c r="F86" s="946">
        <v>3111</v>
      </c>
      <c r="G86" s="1000" t="s">
        <v>331</v>
      </c>
      <c r="H86" s="831" t="s">
        <v>283</v>
      </c>
      <c r="I86" s="803">
        <f>SUM(J86:M86)</f>
        <v>3407424</v>
      </c>
      <c r="J86" s="833">
        <v>2494569</v>
      </c>
      <c r="K86" s="833">
        <f>ROUND((J86)*33.8%,0)</f>
        <v>843164</v>
      </c>
      <c r="L86" s="833">
        <f>ROUND(J86*2%,0)</f>
        <v>49891</v>
      </c>
      <c r="M86" s="833">
        <v>19800</v>
      </c>
      <c r="N86" s="834">
        <f>SUM(O86:P86)</f>
        <v>5.6669999999999998</v>
      </c>
      <c r="O86" s="1054">
        <v>4.1772</v>
      </c>
      <c r="P86" s="1055">
        <v>1.4898</v>
      </c>
      <c r="Q86" s="835">
        <f>V86*-1</f>
        <v>-19200</v>
      </c>
      <c r="R86" s="813">
        <v>0</v>
      </c>
      <c r="S86" s="813">
        <v>0</v>
      </c>
      <c r="T86" s="813">
        <v>0</v>
      </c>
      <c r="U86" s="813">
        <f>SUM(Q86:T86)</f>
        <v>-19200</v>
      </c>
      <c r="V86" s="813">
        <v>19200</v>
      </c>
      <c r="W86" s="813">
        <v>0</v>
      </c>
      <c r="X86" s="813">
        <v>0</v>
      </c>
      <c r="Y86" s="813">
        <f>SUM(V86:X86)</f>
        <v>19200</v>
      </c>
      <c r="Z86" s="813">
        <f>U86+Y86</f>
        <v>0</v>
      </c>
      <c r="AA86" s="809">
        <f>ROUND((U86+V86+W86)*33.8%,0)</f>
        <v>0</v>
      </c>
      <c r="AB86" s="809">
        <f>ROUND(U86*2%,0)</f>
        <v>-384</v>
      </c>
      <c r="AC86" s="813">
        <v>0</v>
      </c>
      <c r="AD86" s="813">
        <v>0</v>
      </c>
      <c r="AE86" s="813">
        <f>SUM(AC86:AD86)</f>
        <v>0</v>
      </c>
      <c r="AF86" s="813">
        <f>Z86+AA86+AB86+AE86</f>
        <v>-384</v>
      </c>
      <c r="AG86" s="836">
        <v>0</v>
      </c>
      <c r="AH86" s="836">
        <v>-0.09</v>
      </c>
      <c r="AI86" s="836">
        <v>0</v>
      </c>
      <c r="AJ86" s="836">
        <v>0</v>
      </c>
      <c r="AK86" s="836">
        <v>0</v>
      </c>
      <c r="AL86" s="836">
        <f>AG86+AI86+AJ86</f>
        <v>0</v>
      </c>
      <c r="AM86" s="836">
        <f>AH86+AK86</f>
        <v>-0.09</v>
      </c>
      <c r="AN86" s="837">
        <f>SUM(AL86:AM86)</f>
        <v>-0.09</v>
      </c>
      <c r="AO86" s="835">
        <f>I86+AF86</f>
        <v>3407040</v>
      </c>
      <c r="AP86" s="813">
        <f>J86+U86</f>
        <v>2475369</v>
      </c>
      <c r="AQ86" s="813">
        <f>Y86</f>
        <v>19200</v>
      </c>
      <c r="AR86" s="813">
        <f t="shared" ref="AR86:AS88" si="124">K86+AA86</f>
        <v>843164</v>
      </c>
      <c r="AS86" s="813">
        <f t="shared" si="124"/>
        <v>49507</v>
      </c>
      <c r="AT86" s="813">
        <f>M86+AE86</f>
        <v>19800</v>
      </c>
      <c r="AU86" s="836">
        <f>N86+AN86</f>
        <v>5.577</v>
      </c>
      <c r="AV86" s="836">
        <f t="shared" ref="AV86:AW88" si="125">O86+AL86</f>
        <v>4.1772</v>
      </c>
      <c r="AW86" s="837">
        <f t="shared" si="125"/>
        <v>1.3997999999999999</v>
      </c>
    </row>
    <row r="87" spans="1:49" ht="12.95" customHeight="1" x14ac:dyDescent="0.25">
      <c r="A87" s="828">
        <v>15</v>
      </c>
      <c r="B87" s="946">
        <v>5436</v>
      </c>
      <c r="C87" s="947">
        <v>600098800</v>
      </c>
      <c r="D87" s="828">
        <v>72742992</v>
      </c>
      <c r="E87" s="1004" t="s">
        <v>466</v>
      </c>
      <c r="F87" s="946">
        <v>3111</v>
      </c>
      <c r="G87" s="1000" t="s">
        <v>318</v>
      </c>
      <c r="H87" s="831" t="s">
        <v>284</v>
      </c>
      <c r="I87" s="803">
        <f>SUM(J87:M87)</f>
        <v>0</v>
      </c>
      <c r="J87" s="833">
        <v>0</v>
      </c>
      <c r="K87" s="833">
        <v>0</v>
      </c>
      <c r="L87" s="833">
        <v>0</v>
      </c>
      <c r="M87" s="833">
        <v>0</v>
      </c>
      <c r="N87" s="834">
        <f>SUM(O87:P87)</f>
        <v>0</v>
      </c>
      <c r="O87" s="1054">
        <v>0</v>
      </c>
      <c r="P87" s="1055">
        <v>0</v>
      </c>
      <c r="Q87" s="835">
        <f>V87*-1</f>
        <v>0</v>
      </c>
      <c r="R87" s="833">
        <v>86611</v>
      </c>
      <c r="S87" s="813">
        <v>0</v>
      </c>
      <c r="T87" s="813">
        <v>0</v>
      </c>
      <c r="U87" s="813">
        <f>SUM(Q87:T87)</f>
        <v>86611</v>
      </c>
      <c r="V87" s="813">
        <v>0</v>
      </c>
      <c r="W87" s="813">
        <v>0</v>
      </c>
      <c r="X87" s="813">
        <v>0</v>
      </c>
      <c r="Y87" s="813">
        <f>SUM(V87:X87)</f>
        <v>0</v>
      </c>
      <c r="Z87" s="813">
        <f>U87+Y87</f>
        <v>86611</v>
      </c>
      <c r="AA87" s="809">
        <f>ROUND((U87+V87+W87)*33.8%,0)</f>
        <v>29275</v>
      </c>
      <c r="AB87" s="809">
        <f>ROUND(U87*2%,0)</f>
        <v>1732</v>
      </c>
      <c r="AC87" s="813">
        <v>0</v>
      </c>
      <c r="AD87" s="813">
        <v>0</v>
      </c>
      <c r="AE87" s="813">
        <f>SUM(AC87:AD87)</f>
        <v>0</v>
      </c>
      <c r="AF87" s="813">
        <f>Z87+AA87+AB87+AE87</f>
        <v>117618</v>
      </c>
      <c r="AG87" s="836">
        <v>0</v>
      </c>
      <c r="AH87" s="836">
        <v>0</v>
      </c>
      <c r="AI87" s="836">
        <v>0.25</v>
      </c>
      <c r="AJ87" s="836">
        <v>0</v>
      </c>
      <c r="AK87" s="836">
        <v>0</v>
      </c>
      <c r="AL87" s="836">
        <f>AG87+AI87+AJ87</f>
        <v>0.25</v>
      </c>
      <c r="AM87" s="836">
        <f>AH87+AK87</f>
        <v>0</v>
      </c>
      <c r="AN87" s="837">
        <f>SUM(AL87:AM87)</f>
        <v>0.25</v>
      </c>
      <c r="AO87" s="835">
        <f>I87+AF87</f>
        <v>117618</v>
      </c>
      <c r="AP87" s="813">
        <f>J87+U87</f>
        <v>86611</v>
      </c>
      <c r="AQ87" s="813">
        <f>Y87</f>
        <v>0</v>
      </c>
      <c r="AR87" s="813">
        <f t="shared" si="124"/>
        <v>29275</v>
      </c>
      <c r="AS87" s="813">
        <f t="shared" si="124"/>
        <v>1732</v>
      </c>
      <c r="AT87" s="813">
        <f>M87+AE87</f>
        <v>0</v>
      </c>
      <c r="AU87" s="836">
        <f>N87+AN87</f>
        <v>0.25</v>
      </c>
      <c r="AV87" s="836">
        <f t="shared" si="125"/>
        <v>0.25</v>
      </c>
      <c r="AW87" s="837">
        <f t="shared" si="125"/>
        <v>0</v>
      </c>
    </row>
    <row r="88" spans="1:49" ht="12.95" customHeight="1" x14ac:dyDescent="0.25">
      <c r="A88" s="828">
        <v>15</v>
      </c>
      <c r="B88" s="828">
        <v>5436</v>
      </c>
      <c r="C88" s="961">
        <v>600098800</v>
      </c>
      <c r="D88" s="828">
        <v>72742992</v>
      </c>
      <c r="E88" s="830" t="s">
        <v>466</v>
      </c>
      <c r="F88" s="828">
        <v>3141</v>
      </c>
      <c r="G88" s="1000" t="s">
        <v>321</v>
      </c>
      <c r="H88" s="831" t="s">
        <v>284</v>
      </c>
      <c r="I88" s="803">
        <f>SUM(J88:M88)</f>
        <v>583322</v>
      </c>
      <c r="J88" s="833">
        <v>427666</v>
      </c>
      <c r="K88" s="805">
        <f>ROUND((J88)*33.8%,0)</f>
        <v>144551</v>
      </c>
      <c r="L88" s="833">
        <f>ROUND(J88*2%,0)</f>
        <v>8553</v>
      </c>
      <c r="M88" s="833">
        <v>2552</v>
      </c>
      <c r="N88" s="834">
        <f>O88+P88</f>
        <v>1.45</v>
      </c>
      <c r="O88" s="1054">
        <v>0</v>
      </c>
      <c r="P88" s="1055">
        <v>1.45</v>
      </c>
      <c r="Q88" s="835">
        <f>V88*-1</f>
        <v>0</v>
      </c>
      <c r="R88" s="813">
        <v>0</v>
      </c>
      <c r="S88" s="813">
        <v>0</v>
      </c>
      <c r="T88" s="813">
        <v>0</v>
      </c>
      <c r="U88" s="813">
        <f>SUM(Q88:T88)</f>
        <v>0</v>
      </c>
      <c r="V88" s="813">
        <v>0</v>
      </c>
      <c r="W88" s="813">
        <v>0</v>
      </c>
      <c r="X88" s="813">
        <v>0</v>
      </c>
      <c r="Y88" s="813">
        <f>SUM(V88:X88)</f>
        <v>0</v>
      </c>
      <c r="Z88" s="813">
        <f>U88+Y88</f>
        <v>0</v>
      </c>
      <c r="AA88" s="809">
        <f>ROUND((U88+V88+W88)*33.8%,0)</f>
        <v>0</v>
      </c>
      <c r="AB88" s="809">
        <f>ROUND(U88*2%,0)</f>
        <v>0</v>
      </c>
      <c r="AC88" s="813">
        <v>0</v>
      </c>
      <c r="AD88" s="813">
        <v>0</v>
      </c>
      <c r="AE88" s="813">
        <f>SUM(AC88:AD88)</f>
        <v>0</v>
      </c>
      <c r="AF88" s="813">
        <f>Z88+AA88+AB88+AE88</f>
        <v>0</v>
      </c>
      <c r="AG88" s="836">
        <v>0</v>
      </c>
      <c r="AH88" s="836">
        <v>0</v>
      </c>
      <c r="AI88" s="836">
        <v>0</v>
      </c>
      <c r="AJ88" s="836">
        <v>0</v>
      </c>
      <c r="AK88" s="836">
        <v>0</v>
      </c>
      <c r="AL88" s="836">
        <f>AG88+AI88+AJ88</f>
        <v>0</v>
      </c>
      <c r="AM88" s="836">
        <f>AH88+AK88</f>
        <v>0</v>
      </c>
      <c r="AN88" s="837">
        <f>SUM(AL88:AM88)</f>
        <v>0</v>
      </c>
      <c r="AO88" s="835">
        <f>I88+AF88</f>
        <v>583322</v>
      </c>
      <c r="AP88" s="813">
        <f>J88+U88</f>
        <v>427666</v>
      </c>
      <c r="AQ88" s="813">
        <f>Y88</f>
        <v>0</v>
      </c>
      <c r="AR88" s="813">
        <f t="shared" si="124"/>
        <v>144551</v>
      </c>
      <c r="AS88" s="813">
        <f t="shared" si="124"/>
        <v>8553</v>
      </c>
      <c r="AT88" s="813">
        <f>M88+AE88</f>
        <v>2552</v>
      </c>
      <c r="AU88" s="836">
        <f>N88+AN88</f>
        <v>1.45</v>
      </c>
      <c r="AV88" s="836">
        <f t="shared" si="125"/>
        <v>0</v>
      </c>
      <c r="AW88" s="837">
        <f t="shared" si="125"/>
        <v>1.45</v>
      </c>
    </row>
    <row r="89" spans="1:49" ht="12.95" customHeight="1" x14ac:dyDescent="0.25">
      <c r="A89" s="850">
        <v>15</v>
      </c>
      <c r="B89" s="816">
        <v>5436</v>
      </c>
      <c r="C89" s="1001">
        <v>600098800</v>
      </c>
      <c r="D89" s="816">
        <v>72742992</v>
      </c>
      <c r="E89" s="841" t="s">
        <v>467</v>
      </c>
      <c r="F89" s="816"/>
      <c r="G89" s="1002"/>
      <c r="H89" s="1003"/>
      <c r="I89" s="820">
        <f t="shared" ref="I89:AW89" si="126">SUM(I86:I88)</f>
        <v>3990746</v>
      </c>
      <c r="J89" s="821">
        <f t="shared" si="126"/>
        <v>2922235</v>
      </c>
      <c r="K89" s="821">
        <f t="shared" si="126"/>
        <v>987715</v>
      </c>
      <c r="L89" s="821">
        <f t="shared" si="126"/>
        <v>58444</v>
      </c>
      <c r="M89" s="821">
        <f t="shared" si="126"/>
        <v>22352</v>
      </c>
      <c r="N89" s="822">
        <f t="shared" si="126"/>
        <v>7.117</v>
      </c>
      <c r="O89" s="822">
        <f t="shared" si="126"/>
        <v>4.1772</v>
      </c>
      <c r="P89" s="824">
        <f t="shared" si="126"/>
        <v>2.9398</v>
      </c>
      <c r="Q89" s="825">
        <f t="shared" si="126"/>
        <v>-19200</v>
      </c>
      <c r="R89" s="821">
        <f t="shared" si="126"/>
        <v>86611</v>
      </c>
      <c r="S89" s="821">
        <f t="shared" si="126"/>
        <v>0</v>
      </c>
      <c r="T89" s="821">
        <f t="shared" si="126"/>
        <v>0</v>
      </c>
      <c r="U89" s="821">
        <f t="shared" si="126"/>
        <v>67411</v>
      </c>
      <c r="V89" s="821">
        <f t="shared" si="126"/>
        <v>19200</v>
      </c>
      <c r="W89" s="821">
        <f t="shared" si="126"/>
        <v>0</v>
      </c>
      <c r="X89" s="821">
        <f t="shared" si="126"/>
        <v>0</v>
      </c>
      <c r="Y89" s="821">
        <f t="shared" si="126"/>
        <v>19200</v>
      </c>
      <c r="Z89" s="821">
        <f t="shared" si="126"/>
        <v>86611</v>
      </c>
      <c r="AA89" s="821">
        <f t="shared" si="126"/>
        <v>29275</v>
      </c>
      <c r="AB89" s="821">
        <f t="shared" si="126"/>
        <v>1348</v>
      </c>
      <c r="AC89" s="821">
        <f t="shared" si="126"/>
        <v>0</v>
      </c>
      <c r="AD89" s="821">
        <f t="shared" si="126"/>
        <v>0</v>
      </c>
      <c r="AE89" s="821">
        <f t="shared" si="126"/>
        <v>0</v>
      </c>
      <c r="AF89" s="821">
        <f t="shared" si="126"/>
        <v>117234</v>
      </c>
      <c r="AG89" s="822">
        <f t="shared" si="126"/>
        <v>0</v>
      </c>
      <c r="AH89" s="822">
        <f t="shared" si="126"/>
        <v>-0.09</v>
      </c>
      <c r="AI89" s="822">
        <f t="shared" si="126"/>
        <v>0.25</v>
      </c>
      <c r="AJ89" s="822">
        <f t="shared" si="126"/>
        <v>0</v>
      </c>
      <c r="AK89" s="822">
        <f t="shared" si="126"/>
        <v>0</v>
      </c>
      <c r="AL89" s="822">
        <f t="shared" si="126"/>
        <v>0.25</v>
      </c>
      <c r="AM89" s="822">
        <f t="shared" si="126"/>
        <v>-0.09</v>
      </c>
      <c r="AN89" s="824">
        <f t="shared" si="126"/>
        <v>0.16</v>
      </c>
      <c r="AO89" s="825">
        <f t="shared" si="126"/>
        <v>4107980</v>
      </c>
      <c r="AP89" s="821">
        <f t="shared" si="126"/>
        <v>2989646</v>
      </c>
      <c r="AQ89" s="821">
        <f t="shared" si="126"/>
        <v>19200</v>
      </c>
      <c r="AR89" s="821">
        <f t="shared" si="126"/>
        <v>1016990</v>
      </c>
      <c r="AS89" s="821">
        <f t="shared" si="126"/>
        <v>59792</v>
      </c>
      <c r="AT89" s="821">
        <f t="shared" si="126"/>
        <v>22352</v>
      </c>
      <c r="AU89" s="822">
        <f t="shared" si="126"/>
        <v>7.2770000000000001</v>
      </c>
      <c r="AV89" s="822">
        <f t="shared" si="126"/>
        <v>4.4272</v>
      </c>
      <c r="AW89" s="824">
        <f t="shared" si="126"/>
        <v>2.8498000000000001</v>
      </c>
    </row>
    <row r="90" spans="1:49" ht="12.95" customHeight="1" x14ac:dyDescent="0.25">
      <c r="A90" s="828">
        <v>16</v>
      </c>
      <c r="B90" s="946">
        <v>5435</v>
      </c>
      <c r="C90" s="947">
        <v>600099199</v>
      </c>
      <c r="D90" s="828">
        <v>72743077</v>
      </c>
      <c r="E90" s="1004" t="s">
        <v>468</v>
      </c>
      <c r="F90" s="946">
        <v>3113</v>
      </c>
      <c r="G90" s="1000" t="s">
        <v>335</v>
      </c>
      <c r="H90" s="831" t="s">
        <v>283</v>
      </c>
      <c r="I90" s="803">
        <f>SUM(J90:M90)</f>
        <v>9143246</v>
      </c>
      <c r="J90" s="833">
        <v>6620490</v>
      </c>
      <c r="K90" s="833">
        <f>ROUND((J90)*33.8%,0)</f>
        <v>2237726</v>
      </c>
      <c r="L90" s="833">
        <f>ROUND(J90*2%,0)</f>
        <v>132410</v>
      </c>
      <c r="M90" s="833">
        <v>152620</v>
      </c>
      <c r="N90" s="834">
        <f>SUM(O90:P90)</f>
        <v>12.869199999999999</v>
      </c>
      <c r="O90" s="1054">
        <v>10</v>
      </c>
      <c r="P90" s="1055">
        <v>2.8691999999999998</v>
      </c>
      <c r="Q90" s="835">
        <f>V90*-1</f>
        <v>0</v>
      </c>
      <c r="R90" s="813">
        <v>0</v>
      </c>
      <c r="S90" s="813">
        <v>0</v>
      </c>
      <c r="T90" s="813">
        <v>0</v>
      </c>
      <c r="U90" s="813">
        <f>SUM(Q90:T90)</f>
        <v>0</v>
      </c>
      <c r="V90" s="813">
        <v>0</v>
      </c>
      <c r="W90" s="813">
        <v>0</v>
      </c>
      <c r="X90" s="813">
        <v>0</v>
      </c>
      <c r="Y90" s="813">
        <f>SUM(V90:X90)</f>
        <v>0</v>
      </c>
      <c r="Z90" s="813">
        <f>U90+Y90</f>
        <v>0</v>
      </c>
      <c r="AA90" s="809">
        <f>ROUND((U90+V90+W90)*33.8%,0)</f>
        <v>0</v>
      </c>
      <c r="AB90" s="809">
        <f>ROUND(U90*2%,0)</f>
        <v>0</v>
      </c>
      <c r="AC90" s="813">
        <v>0</v>
      </c>
      <c r="AD90" s="813">
        <v>0</v>
      </c>
      <c r="AE90" s="813">
        <f>SUM(AC90:AD90)</f>
        <v>0</v>
      </c>
      <c r="AF90" s="813">
        <f>Z90+AA90+AB90+AE90</f>
        <v>0</v>
      </c>
      <c r="AG90" s="836">
        <v>0</v>
      </c>
      <c r="AH90" s="836">
        <v>0</v>
      </c>
      <c r="AI90" s="836">
        <v>0</v>
      </c>
      <c r="AJ90" s="836">
        <v>0</v>
      </c>
      <c r="AK90" s="836">
        <v>0</v>
      </c>
      <c r="AL90" s="836">
        <f>AG90+AI90+AJ90</f>
        <v>0</v>
      </c>
      <c r="AM90" s="836">
        <f>AH90+AK90</f>
        <v>0</v>
      </c>
      <c r="AN90" s="837">
        <f>SUM(AL90:AM90)</f>
        <v>0</v>
      </c>
      <c r="AO90" s="835">
        <f>I90+AF90</f>
        <v>9143246</v>
      </c>
      <c r="AP90" s="813">
        <f>J90+U90</f>
        <v>6620490</v>
      </c>
      <c r="AQ90" s="813">
        <f>Y90</f>
        <v>0</v>
      </c>
      <c r="AR90" s="813">
        <f t="shared" ref="AR90:AS94" si="127">K90+AA90</f>
        <v>2237726</v>
      </c>
      <c r="AS90" s="813">
        <f t="shared" si="127"/>
        <v>132410</v>
      </c>
      <c r="AT90" s="813">
        <f>M90+AE90</f>
        <v>152620</v>
      </c>
      <c r="AU90" s="836">
        <f>N90+AN90</f>
        <v>12.869199999999999</v>
      </c>
      <c r="AV90" s="836">
        <f t="shared" ref="AV90:AW94" si="128">O90+AL90</f>
        <v>10</v>
      </c>
      <c r="AW90" s="837">
        <f t="shared" si="128"/>
        <v>2.8691999999999998</v>
      </c>
    </row>
    <row r="91" spans="1:49" ht="12.95" customHeight="1" x14ac:dyDescent="0.25">
      <c r="A91" s="828">
        <v>16</v>
      </c>
      <c r="B91" s="946">
        <v>5435</v>
      </c>
      <c r="C91" s="947">
        <v>600099199</v>
      </c>
      <c r="D91" s="828">
        <v>72743077</v>
      </c>
      <c r="E91" s="1004" t="s">
        <v>468</v>
      </c>
      <c r="F91" s="946">
        <v>3113</v>
      </c>
      <c r="G91" s="831" t="s">
        <v>318</v>
      </c>
      <c r="H91" s="831" t="s">
        <v>284</v>
      </c>
      <c r="I91" s="803">
        <f>SUM(J91:M91)</f>
        <v>0</v>
      </c>
      <c r="J91" s="833">
        <v>0</v>
      </c>
      <c r="K91" s="833">
        <f>ROUND((J91)*33.8%,0)</f>
        <v>0</v>
      </c>
      <c r="L91" s="833">
        <f>ROUND(J91*2%,0)</f>
        <v>0</v>
      </c>
      <c r="M91" s="833">
        <v>0</v>
      </c>
      <c r="N91" s="834">
        <f>SUM(O91:P91)</f>
        <v>0</v>
      </c>
      <c r="O91" s="1054">
        <v>0</v>
      </c>
      <c r="P91" s="1055">
        <v>0</v>
      </c>
      <c r="Q91" s="835">
        <f>V91*-1</f>
        <v>0</v>
      </c>
      <c r="R91" s="813">
        <v>0</v>
      </c>
      <c r="S91" s="813">
        <v>0</v>
      </c>
      <c r="T91" s="813">
        <v>0</v>
      </c>
      <c r="U91" s="813">
        <f>SUM(Q91:T91)</f>
        <v>0</v>
      </c>
      <c r="V91" s="813">
        <v>0</v>
      </c>
      <c r="W91" s="813">
        <v>0</v>
      </c>
      <c r="X91" s="813">
        <v>0</v>
      </c>
      <c r="Y91" s="813">
        <f>SUM(V91:X91)</f>
        <v>0</v>
      </c>
      <c r="Z91" s="813">
        <f>U91+Y91</f>
        <v>0</v>
      </c>
      <c r="AA91" s="809">
        <f>ROUND((U91+V91+W91)*33.8%,0)</f>
        <v>0</v>
      </c>
      <c r="AB91" s="809">
        <f>ROUND(U91*2%,0)</f>
        <v>0</v>
      </c>
      <c r="AC91" s="813">
        <v>0</v>
      </c>
      <c r="AD91" s="813">
        <v>0</v>
      </c>
      <c r="AE91" s="813">
        <f>SUM(AC91:AD91)</f>
        <v>0</v>
      </c>
      <c r="AF91" s="813">
        <f>Z91+AA91+AB91+AE91</f>
        <v>0</v>
      </c>
      <c r="AG91" s="836">
        <v>0</v>
      </c>
      <c r="AH91" s="836">
        <v>0</v>
      </c>
      <c r="AI91" s="836">
        <v>0</v>
      </c>
      <c r="AJ91" s="836">
        <v>0</v>
      </c>
      <c r="AK91" s="836">
        <v>0</v>
      </c>
      <c r="AL91" s="836">
        <f>AG91+AI91+AJ91</f>
        <v>0</v>
      </c>
      <c r="AM91" s="836">
        <f>AH91+AK91</f>
        <v>0</v>
      </c>
      <c r="AN91" s="837">
        <f>SUM(AL91:AM91)</f>
        <v>0</v>
      </c>
      <c r="AO91" s="835">
        <f>I91+AF91</f>
        <v>0</v>
      </c>
      <c r="AP91" s="813">
        <f>J91+U91</f>
        <v>0</v>
      </c>
      <c r="AQ91" s="813">
        <f>Y91</f>
        <v>0</v>
      </c>
      <c r="AR91" s="813">
        <f t="shared" si="127"/>
        <v>0</v>
      </c>
      <c r="AS91" s="813">
        <f t="shared" si="127"/>
        <v>0</v>
      </c>
      <c r="AT91" s="813">
        <f>M91+AE91</f>
        <v>0</v>
      </c>
      <c r="AU91" s="836">
        <f>N91+AN91</f>
        <v>0</v>
      </c>
      <c r="AV91" s="836">
        <f t="shared" si="128"/>
        <v>0</v>
      </c>
      <c r="AW91" s="837">
        <f t="shared" si="128"/>
        <v>0</v>
      </c>
    </row>
    <row r="92" spans="1:49" ht="12.95" customHeight="1" x14ac:dyDescent="0.25">
      <c r="A92" s="828">
        <v>16</v>
      </c>
      <c r="B92" s="946">
        <v>5435</v>
      </c>
      <c r="C92" s="947">
        <v>600099199</v>
      </c>
      <c r="D92" s="828">
        <v>72743077</v>
      </c>
      <c r="E92" s="1004" t="s">
        <v>468</v>
      </c>
      <c r="F92" s="946">
        <v>3141</v>
      </c>
      <c r="G92" s="1000" t="s">
        <v>321</v>
      </c>
      <c r="H92" s="831" t="s">
        <v>284</v>
      </c>
      <c r="I92" s="803">
        <f>SUM(J92:M92)</f>
        <v>824274</v>
      </c>
      <c r="J92" s="833">
        <v>602663</v>
      </c>
      <c r="K92" s="805">
        <f>ROUND((J92)*33.8%,0)</f>
        <v>203700</v>
      </c>
      <c r="L92" s="833">
        <f>ROUND(J92*2%,0)</f>
        <v>12053</v>
      </c>
      <c r="M92" s="833">
        <v>5858</v>
      </c>
      <c r="N92" s="834">
        <f>O92+P92</f>
        <v>2.0499999999999998</v>
      </c>
      <c r="O92" s="1054">
        <v>0</v>
      </c>
      <c r="P92" s="1055">
        <v>2.0499999999999998</v>
      </c>
      <c r="Q92" s="835">
        <f>V92*-1</f>
        <v>0</v>
      </c>
      <c r="R92" s="813">
        <v>0</v>
      </c>
      <c r="S92" s="813">
        <v>0</v>
      </c>
      <c r="T92" s="813">
        <v>0</v>
      </c>
      <c r="U92" s="813">
        <f>SUM(Q92:T92)</f>
        <v>0</v>
      </c>
      <c r="V92" s="813">
        <v>0</v>
      </c>
      <c r="W92" s="813">
        <v>0</v>
      </c>
      <c r="X92" s="813">
        <v>0</v>
      </c>
      <c r="Y92" s="813">
        <f>SUM(V92:X92)</f>
        <v>0</v>
      </c>
      <c r="Z92" s="813">
        <f>U92+Y92</f>
        <v>0</v>
      </c>
      <c r="AA92" s="809">
        <f>ROUND((U92+V92+W92)*33.8%,0)</f>
        <v>0</v>
      </c>
      <c r="AB92" s="809">
        <f>ROUND(U92*2%,0)</f>
        <v>0</v>
      </c>
      <c r="AC92" s="813">
        <v>0</v>
      </c>
      <c r="AD92" s="813">
        <v>0</v>
      </c>
      <c r="AE92" s="813">
        <f>SUM(AC92:AD92)</f>
        <v>0</v>
      </c>
      <c r="AF92" s="813">
        <f>Z92+AA92+AB92+AE92</f>
        <v>0</v>
      </c>
      <c r="AG92" s="836">
        <v>0</v>
      </c>
      <c r="AH92" s="836">
        <v>0</v>
      </c>
      <c r="AI92" s="836">
        <v>0</v>
      </c>
      <c r="AJ92" s="836">
        <v>0</v>
      </c>
      <c r="AK92" s="836">
        <v>0</v>
      </c>
      <c r="AL92" s="836">
        <f>AG92+AI92+AJ92</f>
        <v>0</v>
      </c>
      <c r="AM92" s="836">
        <f>AH92+AK92</f>
        <v>0</v>
      </c>
      <c r="AN92" s="837">
        <f>SUM(AL92:AM92)</f>
        <v>0</v>
      </c>
      <c r="AO92" s="835">
        <f>I92+AF92</f>
        <v>824274</v>
      </c>
      <c r="AP92" s="813">
        <f>J92+U92</f>
        <v>602663</v>
      </c>
      <c r="AQ92" s="813">
        <f>Y92</f>
        <v>0</v>
      </c>
      <c r="AR92" s="813">
        <f t="shared" si="127"/>
        <v>203700</v>
      </c>
      <c r="AS92" s="813">
        <f t="shared" si="127"/>
        <v>12053</v>
      </c>
      <c r="AT92" s="813">
        <f>M92+AE92</f>
        <v>5858</v>
      </c>
      <c r="AU92" s="836">
        <f>N92+AN92</f>
        <v>2.0499999999999998</v>
      </c>
      <c r="AV92" s="836">
        <f t="shared" si="128"/>
        <v>0</v>
      </c>
      <c r="AW92" s="837">
        <f t="shared" si="128"/>
        <v>2.0499999999999998</v>
      </c>
    </row>
    <row r="93" spans="1:49" ht="12.95" customHeight="1" x14ac:dyDescent="0.25">
      <c r="A93" s="828">
        <v>16</v>
      </c>
      <c r="B93" s="946">
        <v>5435</v>
      </c>
      <c r="C93" s="947">
        <v>600099199</v>
      </c>
      <c r="D93" s="828">
        <v>72743077</v>
      </c>
      <c r="E93" s="1004" t="s">
        <v>468</v>
      </c>
      <c r="F93" s="946">
        <v>3143</v>
      </c>
      <c r="G93" s="831" t="s">
        <v>635</v>
      </c>
      <c r="H93" s="831" t="s">
        <v>283</v>
      </c>
      <c r="I93" s="803">
        <f>SUM(J93:M93)</f>
        <v>576089</v>
      </c>
      <c r="J93" s="833">
        <v>424219</v>
      </c>
      <c r="K93" s="833">
        <f>ROUND((J93)*33.8%,0)</f>
        <v>143386</v>
      </c>
      <c r="L93" s="833">
        <f>ROUND(J93*2%,0)</f>
        <v>8484</v>
      </c>
      <c r="M93" s="833">
        <v>0</v>
      </c>
      <c r="N93" s="834">
        <f>SUM(O93:P93)</f>
        <v>0.875</v>
      </c>
      <c r="O93" s="1054">
        <v>0.875</v>
      </c>
      <c r="P93" s="1055">
        <v>0</v>
      </c>
      <c r="Q93" s="835">
        <f>V93*-1</f>
        <v>0</v>
      </c>
      <c r="R93" s="813">
        <v>0</v>
      </c>
      <c r="S93" s="813">
        <v>0</v>
      </c>
      <c r="T93" s="813">
        <v>0</v>
      </c>
      <c r="U93" s="813">
        <f>SUM(Q93:T93)</f>
        <v>0</v>
      </c>
      <c r="V93" s="813">
        <v>0</v>
      </c>
      <c r="W93" s="813">
        <v>0</v>
      </c>
      <c r="X93" s="813">
        <v>0</v>
      </c>
      <c r="Y93" s="813">
        <f>SUM(V93:X93)</f>
        <v>0</v>
      </c>
      <c r="Z93" s="813">
        <f>U93+Y93</f>
        <v>0</v>
      </c>
      <c r="AA93" s="809">
        <f>ROUND((U93+V93+W93)*33.8%,0)</f>
        <v>0</v>
      </c>
      <c r="AB93" s="809">
        <f>ROUND(U93*2%,0)</f>
        <v>0</v>
      </c>
      <c r="AC93" s="813">
        <v>0</v>
      </c>
      <c r="AD93" s="813">
        <v>0</v>
      </c>
      <c r="AE93" s="813">
        <f>SUM(AC93:AD93)</f>
        <v>0</v>
      </c>
      <c r="AF93" s="813">
        <f>Z93+AA93+AB93+AE93</f>
        <v>0</v>
      </c>
      <c r="AG93" s="836">
        <v>0</v>
      </c>
      <c r="AH93" s="836">
        <v>0</v>
      </c>
      <c r="AI93" s="836">
        <v>0</v>
      </c>
      <c r="AJ93" s="836">
        <v>0</v>
      </c>
      <c r="AK93" s="836">
        <v>0</v>
      </c>
      <c r="AL93" s="836">
        <f>AG93+AI93+AJ93</f>
        <v>0</v>
      </c>
      <c r="AM93" s="836">
        <f>AH93+AK93</f>
        <v>0</v>
      </c>
      <c r="AN93" s="837">
        <f>SUM(AL93:AM93)</f>
        <v>0</v>
      </c>
      <c r="AO93" s="835">
        <f>I93+AF93</f>
        <v>576089</v>
      </c>
      <c r="AP93" s="813">
        <f>J93+U93</f>
        <v>424219</v>
      </c>
      <c r="AQ93" s="813">
        <f>Y93</f>
        <v>0</v>
      </c>
      <c r="AR93" s="813">
        <f t="shared" si="127"/>
        <v>143386</v>
      </c>
      <c r="AS93" s="813">
        <f t="shared" si="127"/>
        <v>8484</v>
      </c>
      <c r="AT93" s="813">
        <f>M93+AE93</f>
        <v>0</v>
      </c>
      <c r="AU93" s="836">
        <f>N93+AN93</f>
        <v>0.875</v>
      </c>
      <c r="AV93" s="836">
        <f t="shared" si="128"/>
        <v>0.875</v>
      </c>
      <c r="AW93" s="837">
        <f t="shared" si="128"/>
        <v>0</v>
      </c>
    </row>
    <row r="94" spans="1:49" ht="12.95" customHeight="1" x14ac:dyDescent="0.25">
      <c r="A94" s="828">
        <v>16</v>
      </c>
      <c r="B94" s="946">
        <v>5435</v>
      </c>
      <c r="C94" s="947">
        <v>600099199</v>
      </c>
      <c r="D94" s="828">
        <v>72743077</v>
      </c>
      <c r="E94" s="1004" t="s">
        <v>468</v>
      </c>
      <c r="F94" s="946">
        <v>3143</v>
      </c>
      <c r="G94" s="831" t="s">
        <v>636</v>
      </c>
      <c r="H94" s="831" t="s">
        <v>284</v>
      </c>
      <c r="I94" s="803">
        <f>SUM(J94:M94)</f>
        <v>21066</v>
      </c>
      <c r="J94" s="833">
        <v>14850</v>
      </c>
      <c r="K94" s="805">
        <f>ROUND((J94)*33.8%,0)</f>
        <v>5019</v>
      </c>
      <c r="L94" s="833">
        <f>ROUND(J94*2%,0)</f>
        <v>297</v>
      </c>
      <c r="M94" s="833">
        <v>900</v>
      </c>
      <c r="N94" s="834">
        <f>SUM(O94:P94)</f>
        <v>0.06</v>
      </c>
      <c r="O94" s="1054">
        <v>0</v>
      </c>
      <c r="P94" s="1055">
        <v>0.06</v>
      </c>
      <c r="Q94" s="835">
        <f>V94*-1</f>
        <v>0</v>
      </c>
      <c r="R94" s="813">
        <v>0</v>
      </c>
      <c r="S94" s="813">
        <v>0</v>
      </c>
      <c r="T94" s="813">
        <v>0</v>
      </c>
      <c r="U94" s="813">
        <f>SUM(Q94:T94)</f>
        <v>0</v>
      </c>
      <c r="V94" s="813">
        <v>0</v>
      </c>
      <c r="W94" s="813">
        <v>0</v>
      </c>
      <c r="X94" s="813">
        <v>0</v>
      </c>
      <c r="Y94" s="813">
        <f>SUM(V94:X94)</f>
        <v>0</v>
      </c>
      <c r="Z94" s="813">
        <f>U94+Y94</f>
        <v>0</v>
      </c>
      <c r="AA94" s="809">
        <f>ROUND((U94+V94+W94)*33.8%,0)</f>
        <v>0</v>
      </c>
      <c r="AB94" s="809">
        <f>ROUND(U94*2%,0)</f>
        <v>0</v>
      </c>
      <c r="AC94" s="813">
        <v>0</v>
      </c>
      <c r="AD94" s="813">
        <v>0</v>
      </c>
      <c r="AE94" s="813">
        <f>SUM(AC94:AD94)</f>
        <v>0</v>
      </c>
      <c r="AF94" s="813">
        <f>Z94+AA94+AB94+AE94</f>
        <v>0</v>
      </c>
      <c r="AG94" s="836">
        <v>0</v>
      </c>
      <c r="AH94" s="836">
        <v>0</v>
      </c>
      <c r="AI94" s="836">
        <v>0</v>
      </c>
      <c r="AJ94" s="836">
        <v>0</v>
      </c>
      <c r="AK94" s="836">
        <v>0</v>
      </c>
      <c r="AL94" s="836">
        <f>AG94+AI94+AJ94</f>
        <v>0</v>
      </c>
      <c r="AM94" s="836">
        <f>AH94+AK94</f>
        <v>0</v>
      </c>
      <c r="AN94" s="837">
        <f>SUM(AL94:AM94)</f>
        <v>0</v>
      </c>
      <c r="AO94" s="835">
        <f>I94+AF94</f>
        <v>21066</v>
      </c>
      <c r="AP94" s="813">
        <f>J94+U94</f>
        <v>14850</v>
      </c>
      <c r="AQ94" s="813">
        <f>Y94</f>
        <v>0</v>
      </c>
      <c r="AR94" s="813">
        <f t="shared" si="127"/>
        <v>5019</v>
      </c>
      <c r="AS94" s="813">
        <f t="shared" si="127"/>
        <v>297</v>
      </c>
      <c r="AT94" s="813">
        <f>M94+AE94</f>
        <v>900</v>
      </c>
      <c r="AU94" s="836">
        <f>N94+AN94</f>
        <v>0.06</v>
      </c>
      <c r="AV94" s="836">
        <f t="shared" si="128"/>
        <v>0</v>
      </c>
      <c r="AW94" s="837">
        <f t="shared" si="128"/>
        <v>0.06</v>
      </c>
    </row>
    <row r="95" spans="1:49" ht="12.95" customHeight="1" x14ac:dyDescent="0.25">
      <c r="A95" s="850">
        <v>16</v>
      </c>
      <c r="B95" s="951">
        <v>5435</v>
      </c>
      <c r="C95" s="952">
        <v>600099199</v>
      </c>
      <c r="D95" s="951">
        <v>72743077</v>
      </c>
      <c r="E95" s="1005" t="s">
        <v>469</v>
      </c>
      <c r="F95" s="951"/>
      <c r="G95" s="1006"/>
      <c r="H95" s="1007"/>
      <c r="I95" s="820">
        <f t="shared" ref="I95:AW95" si="129">SUM(I90:I94)</f>
        <v>10564675</v>
      </c>
      <c r="J95" s="821">
        <f t="shared" si="129"/>
        <v>7662222</v>
      </c>
      <c r="K95" s="821">
        <f t="shared" si="129"/>
        <v>2589831</v>
      </c>
      <c r="L95" s="821">
        <f t="shared" si="129"/>
        <v>153244</v>
      </c>
      <c r="M95" s="821">
        <f t="shared" si="129"/>
        <v>159378</v>
      </c>
      <c r="N95" s="822">
        <f t="shared" si="129"/>
        <v>15.854200000000001</v>
      </c>
      <c r="O95" s="822">
        <f t="shared" si="129"/>
        <v>10.875</v>
      </c>
      <c r="P95" s="824">
        <f t="shared" si="129"/>
        <v>4.9791999999999996</v>
      </c>
      <c r="Q95" s="825">
        <f t="shared" si="129"/>
        <v>0</v>
      </c>
      <c r="R95" s="821">
        <f t="shared" si="129"/>
        <v>0</v>
      </c>
      <c r="S95" s="821">
        <f t="shared" si="129"/>
        <v>0</v>
      </c>
      <c r="T95" s="821">
        <f t="shared" si="129"/>
        <v>0</v>
      </c>
      <c r="U95" s="821">
        <f t="shared" si="129"/>
        <v>0</v>
      </c>
      <c r="V95" s="821">
        <f t="shared" si="129"/>
        <v>0</v>
      </c>
      <c r="W95" s="821">
        <f t="shared" si="129"/>
        <v>0</v>
      </c>
      <c r="X95" s="821">
        <f t="shared" si="129"/>
        <v>0</v>
      </c>
      <c r="Y95" s="821">
        <f t="shared" si="129"/>
        <v>0</v>
      </c>
      <c r="Z95" s="821">
        <f t="shared" si="129"/>
        <v>0</v>
      </c>
      <c r="AA95" s="821">
        <f t="shared" si="129"/>
        <v>0</v>
      </c>
      <c r="AB95" s="821">
        <f t="shared" si="129"/>
        <v>0</v>
      </c>
      <c r="AC95" s="821">
        <f t="shared" si="129"/>
        <v>0</v>
      </c>
      <c r="AD95" s="821">
        <f t="shared" si="129"/>
        <v>0</v>
      </c>
      <c r="AE95" s="821">
        <f t="shared" si="129"/>
        <v>0</v>
      </c>
      <c r="AF95" s="821">
        <f t="shared" si="129"/>
        <v>0</v>
      </c>
      <c r="AG95" s="822">
        <f t="shared" si="129"/>
        <v>0</v>
      </c>
      <c r="AH95" s="822">
        <f t="shared" si="129"/>
        <v>0</v>
      </c>
      <c r="AI95" s="822">
        <f t="shared" si="129"/>
        <v>0</v>
      </c>
      <c r="AJ95" s="822">
        <f t="shared" si="129"/>
        <v>0</v>
      </c>
      <c r="AK95" s="822">
        <f t="shared" si="129"/>
        <v>0</v>
      </c>
      <c r="AL95" s="822">
        <f t="shared" si="129"/>
        <v>0</v>
      </c>
      <c r="AM95" s="822">
        <f t="shared" si="129"/>
        <v>0</v>
      </c>
      <c r="AN95" s="824">
        <f t="shared" si="129"/>
        <v>0</v>
      </c>
      <c r="AO95" s="825">
        <f t="shared" si="129"/>
        <v>10564675</v>
      </c>
      <c r="AP95" s="821">
        <f t="shared" si="129"/>
        <v>7662222</v>
      </c>
      <c r="AQ95" s="821">
        <f t="shared" si="129"/>
        <v>0</v>
      </c>
      <c r="AR95" s="821">
        <f t="shared" si="129"/>
        <v>2589831</v>
      </c>
      <c r="AS95" s="821">
        <f t="shared" si="129"/>
        <v>153244</v>
      </c>
      <c r="AT95" s="821">
        <f t="shared" si="129"/>
        <v>159378</v>
      </c>
      <c r="AU95" s="822">
        <f t="shared" si="129"/>
        <v>15.854200000000001</v>
      </c>
      <c r="AV95" s="822">
        <f t="shared" si="129"/>
        <v>10.875</v>
      </c>
      <c r="AW95" s="824">
        <f t="shared" si="129"/>
        <v>4.9791999999999996</v>
      </c>
    </row>
    <row r="96" spans="1:49" ht="12.95" customHeight="1" x14ac:dyDescent="0.25">
      <c r="A96" s="828">
        <v>17</v>
      </c>
      <c r="B96" s="946">
        <v>5474</v>
      </c>
      <c r="C96" s="828">
        <v>600099539</v>
      </c>
      <c r="D96" s="828">
        <v>70151504</v>
      </c>
      <c r="E96" s="1004" t="s">
        <v>470</v>
      </c>
      <c r="F96" s="946">
        <v>3233</v>
      </c>
      <c r="G96" s="1000" t="s">
        <v>324</v>
      </c>
      <c r="H96" s="831" t="s">
        <v>284</v>
      </c>
      <c r="I96" s="803">
        <f>SUM(J96:M96)</f>
        <v>2508333</v>
      </c>
      <c r="J96" s="833">
        <v>1832599</v>
      </c>
      <c r="K96" s="805">
        <f>ROUND((J96)*33.8%,0)</f>
        <v>619418</v>
      </c>
      <c r="L96" s="833">
        <f>ROUND(J96*2%,0)</f>
        <v>36652</v>
      </c>
      <c r="M96" s="833">
        <v>19664</v>
      </c>
      <c r="N96" s="834">
        <f>SUM(O96:P96)</f>
        <v>4.1100000000000003</v>
      </c>
      <c r="O96" s="1054">
        <v>2.89</v>
      </c>
      <c r="P96" s="1055">
        <v>1.22</v>
      </c>
      <c r="Q96" s="835">
        <f>V96*-1</f>
        <v>-56000</v>
      </c>
      <c r="R96" s="813">
        <v>0</v>
      </c>
      <c r="S96" s="813">
        <v>0</v>
      </c>
      <c r="T96" s="813">
        <v>0</v>
      </c>
      <c r="U96" s="813">
        <f>SUM(Q96:T96)</f>
        <v>-56000</v>
      </c>
      <c r="V96" s="813">
        <v>56000</v>
      </c>
      <c r="W96" s="813">
        <v>0</v>
      </c>
      <c r="X96" s="813">
        <v>0</v>
      </c>
      <c r="Y96" s="813">
        <f>SUM(V96:X96)</f>
        <v>56000</v>
      </c>
      <c r="Z96" s="813">
        <f>U96+Y96</f>
        <v>0</v>
      </c>
      <c r="AA96" s="809">
        <f>ROUND((U96+V96+W96)*33.8%,0)</f>
        <v>0</v>
      </c>
      <c r="AB96" s="809">
        <f>ROUND(U96*2%,0)</f>
        <v>-1120</v>
      </c>
      <c r="AC96" s="813">
        <v>0</v>
      </c>
      <c r="AD96" s="813">
        <v>0</v>
      </c>
      <c r="AE96" s="813">
        <f>SUM(AC96:AD96)</f>
        <v>0</v>
      </c>
      <c r="AF96" s="813">
        <f>Z96+AA96+AB96+AE96</f>
        <v>-1120</v>
      </c>
      <c r="AG96" s="836">
        <v>-0.08</v>
      </c>
      <c r="AH96" s="836">
        <v>-0.06</v>
      </c>
      <c r="AI96" s="836">
        <v>0</v>
      </c>
      <c r="AJ96" s="836">
        <v>0</v>
      </c>
      <c r="AK96" s="836">
        <v>0</v>
      </c>
      <c r="AL96" s="836">
        <f>AG96+AI96+AJ96</f>
        <v>-0.08</v>
      </c>
      <c r="AM96" s="836">
        <f>AH96+AK96</f>
        <v>-0.06</v>
      </c>
      <c r="AN96" s="837">
        <f>SUM(AL96:AM96)</f>
        <v>-0.14000000000000001</v>
      </c>
      <c r="AO96" s="835">
        <f>I96+AF96</f>
        <v>2507213</v>
      </c>
      <c r="AP96" s="813">
        <f>J96+U96</f>
        <v>1776599</v>
      </c>
      <c r="AQ96" s="813">
        <f>Y96</f>
        <v>56000</v>
      </c>
      <c r="AR96" s="813">
        <f>K96+AA96</f>
        <v>619418</v>
      </c>
      <c r="AS96" s="813">
        <f>L96+AB96</f>
        <v>35532</v>
      </c>
      <c r="AT96" s="813">
        <f>M96+AE96</f>
        <v>19664</v>
      </c>
      <c r="AU96" s="836">
        <f>N96+AN96</f>
        <v>3.97</v>
      </c>
      <c r="AV96" s="836">
        <f>O96+AL96</f>
        <v>2.81</v>
      </c>
      <c r="AW96" s="837">
        <f>P96+AM96</f>
        <v>1.1599999999999999</v>
      </c>
    </row>
    <row r="97" spans="1:49" ht="12.95" customHeight="1" x14ac:dyDescent="0.25">
      <c r="A97" s="850">
        <v>17</v>
      </c>
      <c r="B97" s="951">
        <v>5474</v>
      </c>
      <c r="C97" s="952">
        <v>600099539</v>
      </c>
      <c r="D97" s="951">
        <v>70151504</v>
      </c>
      <c r="E97" s="1005" t="s">
        <v>471</v>
      </c>
      <c r="F97" s="951"/>
      <c r="G97" s="1006"/>
      <c r="H97" s="1007"/>
      <c r="I97" s="1008">
        <f t="shared" ref="I97:AW97" si="130">SUM(I96)</f>
        <v>2508333</v>
      </c>
      <c r="J97" s="1009">
        <f t="shared" si="130"/>
        <v>1832599</v>
      </c>
      <c r="K97" s="1009">
        <f t="shared" si="130"/>
        <v>619418</v>
      </c>
      <c r="L97" s="1009">
        <f t="shared" si="130"/>
        <v>36652</v>
      </c>
      <c r="M97" s="1009">
        <f t="shared" si="130"/>
        <v>19664</v>
      </c>
      <c r="N97" s="1010">
        <f t="shared" si="130"/>
        <v>4.1100000000000003</v>
      </c>
      <c r="O97" s="1010">
        <f t="shared" si="130"/>
        <v>2.89</v>
      </c>
      <c r="P97" s="1012">
        <f t="shared" si="130"/>
        <v>1.22</v>
      </c>
      <c r="Q97" s="1011">
        <f t="shared" si="130"/>
        <v>-56000</v>
      </c>
      <c r="R97" s="1009">
        <f t="shared" si="130"/>
        <v>0</v>
      </c>
      <c r="S97" s="1009">
        <f t="shared" si="130"/>
        <v>0</v>
      </c>
      <c r="T97" s="1009">
        <f t="shared" si="130"/>
        <v>0</v>
      </c>
      <c r="U97" s="1009">
        <f t="shared" si="130"/>
        <v>-56000</v>
      </c>
      <c r="V97" s="1009">
        <f t="shared" si="130"/>
        <v>56000</v>
      </c>
      <c r="W97" s="1009">
        <f t="shared" si="130"/>
        <v>0</v>
      </c>
      <c r="X97" s="1009">
        <f t="shared" si="130"/>
        <v>0</v>
      </c>
      <c r="Y97" s="1009">
        <f t="shared" si="130"/>
        <v>56000</v>
      </c>
      <c r="Z97" s="1009">
        <f t="shared" si="130"/>
        <v>0</v>
      </c>
      <c r="AA97" s="1009">
        <f t="shared" si="130"/>
        <v>0</v>
      </c>
      <c r="AB97" s="1009">
        <f t="shared" si="130"/>
        <v>-1120</v>
      </c>
      <c r="AC97" s="1009">
        <f t="shared" si="130"/>
        <v>0</v>
      </c>
      <c r="AD97" s="1009">
        <f t="shared" si="130"/>
        <v>0</v>
      </c>
      <c r="AE97" s="1009">
        <f t="shared" si="130"/>
        <v>0</v>
      </c>
      <c r="AF97" s="1009">
        <f t="shared" si="130"/>
        <v>-1120</v>
      </c>
      <c r="AG97" s="1010">
        <f t="shared" si="130"/>
        <v>-0.08</v>
      </c>
      <c r="AH97" s="1010">
        <f t="shared" si="130"/>
        <v>-0.06</v>
      </c>
      <c r="AI97" s="1010">
        <f t="shared" si="130"/>
        <v>0</v>
      </c>
      <c r="AJ97" s="1010">
        <f t="shared" si="130"/>
        <v>0</v>
      </c>
      <c r="AK97" s="1010">
        <f t="shared" si="130"/>
        <v>0</v>
      </c>
      <c r="AL97" s="1010">
        <f t="shared" si="130"/>
        <v>-0.08</v>
      </c>
      <c r="AM97" s="1010">
        <f t="shared" si="130"/>
        <v>-0.06</v>
      </c>
      <c r="AN97" s="1012">
        <f t="shared" si="130"/>
        <v>-0.14000000000000001</v>
      </c>
      <c r="AO97" s="1011">
        <f t="shared" si="130"/>
        <v>2507213</v>
      </c>
      <c r="AP97" s="1009">
        <f t="shared" si="130"/>
        <v>1776599</v>
      </c>
      <c r="AQ97" s="1009">
        <f t="shared" si="130"/>
        <v>56000</v>
      </c>
      <c r="AR97" s="1009">
        <f t="shared" si="130"/>
        <v>619418</v>
      </c>
      <c r="AS97" s="1009">
        <f t="shared" si="130"/>
        <v>35532</v>
      </c>
      <c r="AT97" s="1009">
        <f t="shared" si="130"/>
        <v>19664</v>
      </c>
      <c r="AU97" s="1010">
        <f t="shared" si="130"/>
        <v>3.97</v>
      </c>
      <c r="AV97" s="1010">
        <f t="shared" si="130"/>
        <v>2.81</v>
      </c>
      <c r="AW97" s="1012">
        <f t="shared" si="130"/>
        <v>1.1599999999999999</v>
      </c>
    </row>
    <row r="98" spans="1:49" ht="12.95" customHeight="1" x14ac:dyDescent="0.25">
      <c r="A98" s="828">
        <v>18</v>
      </c>
      <c r="B98" s="946">
        <v>5477</v>
      </c>
      <c r="C98" s="947">
        <v>600098541</v>
      </c>
      <c r="D98" s="828">
        <v>70698040</v>
      </c>
      <c r="E98" s="1004" t="s">
        <v>472</v>
      </c>
      <c r="F98" s="946">
        <v>3111</v>
      </c>
      <c r="G98" s="1000" t="s">
        <v>331</v>
      </c>
      <c r="H98" s="831" t="s">
        <v>283</v>
      </c>
      <c r="I98" s="803">
        <f>SUM(J98:M98)</f>
        <v>4903176</v>
      </c>
      <c r="J98" s="833">
        <v>3587722</v>
      </c>
      <c r="K98" s="833">
        <f>ROUND((J98)*33.8%,0)</f>
        <v>1212650</v>
      </c>
      <c r="L98" s="833">
        <f>ROUND(J98*2%,0)</f>
        <v>71754</v>
      </c>
      <c r="M98" s="833">
        <v>31050</v>
      </c>
      <c r="N98" s="834">
        <f>SUM(O98:P98)</f>
        <v>8.2792999999999992</v>
      </c>
      <c r="O98" s="1054">
        <v>6.1451000000000002</v>
      </c>
      <c r="P98" s="1055">
        <v>2.1341999999999999</v>
      </c>
      <c r="Q98" s="835">
        <f>V98*-1</f>
        <v>-8000</v>
      </c>
      <c r="R98" s="813">
        <v>0</v>
      </c>
      <c r="S98" s="813">
        <v>0</v>
      </c>
      <c r="T98" s="813">
        <v>0</v>
      </c>
      <c r="U98" s="813">
        <f>SUM(Q98:T98)</f>
        <v>-8000</v>
      </c>
      <c r="V98" s="813">
        <v>8000</v>
      </c>
      <c r="W98" s="813">
        <v>0</v>
      </c>
      <c r="X98" s="813">
        <v>0</v>
      </c>
      <c r="Y98" s="813">
        <f>SUM(V98:X98)</f>
        <v>8000</v>
      </c>
      <c r="Z98" s="813">
        <f>U98+Y98</f>
        <v>0</v>
      </c>
      <c r="AA98" s="809">
        <f>ROUND((U98+V98+W98)*33.8%,0)</f>
        <v>0</v>
      </c>
      <c r="AB98" s="809">
        <f>ROUND(U98*2%,0)</f>
        <v>-160</v>
      </c>
      <c r="AC98" s="813">
        <v>0</v>
      </c>
      <c r="AD98" s="813">
        <v>0</v>
      </c>
      <c r="AE98" s="813">
        <f>SUM(AC98:AD98)</f>
        <v>0</v>
      </c>
      <c r="AF98" s="813">
        <f>Z98+AA98+AB98+AE98</f>
        <v>-160</v>
      </c>
      <c r="AG98" s="836">
        <v>0</v>
      </c>
      <c r="AH98" s="836">
        <v>0</v>
      </c>
      <c r="AI98" s="836">
        <v>0</v>
      </c>
      <c r="AJ98" s="836">
        <v>0</v>
      </c>
      <c r="AK98" s="836">
        <v>0</v>
      </c>
      <c r="AL98" s="836">
        <f>AG98+AI98+AJ98</f>
        <v>0</v>
      </c>
      <c r="AM98" s="836">
        <f>AH98+AK98</f>
        <v>0</v>
      </c>
      <c r="AN98" s="837">
        <f>SUM(AL98:AM98)</f>
        <v>0</v>
      </c>
      <c r="AO98" s="835">
        <f>I98+AF98</f>
        <v>4903016</v>
      </c>
      <c r="AP98" s="813">
        <f>J98+U98</f>
        <v>3579722</v>
      </c>
      <c r="AQ98" s="813">
        <f>Y98</f>
        <v>8000</v>
      </c>
      <c r="AR98" s="813">
        <f t="shared" ref="AR98:AS100" si="131">K98+AA98</f>
        <v>1212650</v>
      </c>
      <c r="AS98" s="813">
        <f t="shared" si="131"/>
        <v>71594</v>
      </c>
      <c r="AT98" s="813">
        <f>M98+AE98</f>
        <v>31050</v>
      </c>
      <c r="AU98" s="836">
        <f>N98+AN98</f>
        <v>8.2792999999999992</v>
      </c>
      <c r="AV98" s="836">
        <f t="shared" ref="AV98:AW100" si="132">O98+AL98</f>
        <v>6.1451000000000002</v>
      </c>
      <c r="AW98" s="837">
        <f t="shared" si="132"/>
        <v>2.1341999999999999</v>
      </c>
    </row>
    <row r="99" spans="1:49" ht="12.95" customHeight="1" x14ac:dyDescent="0.25">
      <c r="A99" s="828">
        <v>18</v>
      </c>
      <c r="B99" s="946">
        <v>5477</v>
      </c>
      <c r="C99" s="947">
        <v>600098541</v>
      </c>
      <c r="D99" s="828">
        <v>70698040</v>
      </c>
      <c r="E99" s="1004" t="s">
        <v>472</v>
      </c>
      <c r="F99" s="946">
        <v>3111</v>
      </c>
      <c r="G99" s="1000" t="s">
        <v>318</v>
      </c>
      <c r="H99" s="831" t="s">
        <v>284</v>
      </c>
      <c r="I99" s="803">
        <f>SUM(J99:M99)</f>
        <v>0</v>
      </c>
      <c r="J99" s="833">
        <v>0</v>
      </c>
      <c r="K99" s="833">
        <f>ROUND((J99)*33.8%,0)</f>
        <v>0</v>
      </c>
      <c r="L99" s="833">
        <f>ROUND(J99*2%,0)</f>
        <v>0</v>
      </c>
      <c r="M99" s="833">
        <v>0</v>
      </c>
      <c r="N99" s="834">
        <f>SUM(O99:P99)</f>
        <v>0</v>
      </c>
      <c r="O99" s="1054">
        <v>0</v>
      </c>
      <c r="P99" s="1055">
        <v>0</v>
      </c>
      <c r="Q99" s="835">
        <f>V99*-1</f>
        <v>-8000</v>
      </c>
      <c r="R99" s="813">
        <v>158787</v>
      </c>
      <c r="S99" s="813">
        <v>0</v>
      </c>
      <c r="T99" s="813">
        <v>0</v>
      </c>
      <c r="U99" s="813">
        <f>SUM(Q99:T99)</f>
        <v>150787</v>
      </c>
      <c r="V99" s="813">
        <v>8000</v>
      </c>
      <c r="W99" s="813">
        <v>0</v>
      </c>
      <c r="X99" s="813">
        <v>0</v>
      </c>
      <c r="Y99" s="813">
        <f>SUM(V99:X99)</f>
        <v>8000</v>
      </c>
      <c r="Z99" s="813">
        <f>U99+Y99</f>
        <v>158787</v>
      </c>
      <c r="AA99" s="809">
        <f>ROUND((U99+V99+W99)*33.8%,0)</f>
        <v>53670</v>
      </c>
      <c r="AB99" s="809">
        <f>ROUND(U99*2%,0)</f>
        <v>3016</v>
      </c>
      <c r="AC99" s="813">
        <v>0</v>
      </c>
      <c r="AD99" s="813">
        <v>0</v>
      </c>
      <c r="AE99" s="813">
        <f>SUM(AC99:AD99)</f>
        <v>0</v>
      </c>
      <c r="AF99" s="813">
        <f>Z99+AA99+AB99+AE99</f>
        <v>215473</v>
      </c>
      <c r="AG99" s="836">
        <v>0</v>
      </c>
      <c r="AH99" s="836">
        <v>0</v>
      </c>
      <c r="AI99" s="836">
        <v>0.46</v>
      </c>
      <c r="AJ99" s="836">
        <v>0</v>
      </c>
      <c r="AK99" s="836">
        <v>0</v>
      </c>
      <c r="AL99" s="836">
        <f>AG99+AI99+AJ99</f>
        <v>0.46</v>
      </c>
      <c r="AM99" s="836">
        <f>AH99+AK99</f>
        <v>0</v>
      </c>
      <c r="AN99" s="837">
        <f>SUM(AL99:AM99)</f>
        <v>0.46</v>
      </c>
      <c r="AO99" s="835">
        <f>I99+AF99</f>
        <v>215473</v>
      </c>
      <c r="AP99" s="813">
        <f>J99+U99</f>
        <v>150787</v>
      </c>
      <c r="AQ99" s="813">
        <f>Y99</f>
        <v>8000</v>
      </c>
      <c r="AR99" s="813">
        <f t="shared" si="131"/>
        <v>53670</v>
      </c>
      <c r="AS99" s="813">
        <f t="shared" si="131"/>
        <v>3016</v>
      </c>
      <c r="AT99" s="813">
        <f>M99+AE99</f>
        <v>0</v>
      </c>
      <c r="AU99" s="836">
        <f>N99+AN99</f>
        <v>0.46</v>
      </c>
      <c r="AV99" s="836">
        <f t="shared" si="132"/>
        <v>0.46</v>
      </c>
      <c r="AW99" s="837">
        <f t="shared" si="132"/>
        <v>0</v>
      </c>
    </row>
    <row r="100" spans="1:49" ht="12.95" customHeight="1" x14ac:dyDescent="0.25">
      <c r="A100" s="828">
        <v>18</v>
      </c>
      <c r="B100" s="946">
        <v>5477</v>
      </c>
      <c r="C100" s="947">
        <v>600098541</v>
      </c>
      <c r="D100" s="828">
        <v>70698040</v>
      </c>
      <c r="E100" s="1004" t="s">
        <v>472</v>
      </c>
      <c r="F100" s="946">
        <v>3141</v>
      </c>
      <c r="G100" s="1000" t="s">
        <v>321</v>
      </c>
      <c r="H100" s="831" t="s">
        <v>284</v>
      </c>
      <c r="I100" s="803">
        <f>SUM(J100:M100)</f>
        <v>792108</v>
      </c>
      <c r="J100" s="833">
        <v>580343</v>
      </c>
      <c r="K100" s="805">
        <f>ROUND((J100)*33.8%,0)</f>
        <v>196156</v>
      </c>
      <c r="L100" s="833">
        <f>ROUND(J100*2%,0)</f>
        <v>11607</v>
      </c>
      <c r="M100" s="833">
        <v>4002</v>
      </c>
      <c r="N100" s="834">
        <f>O100+P100</f>
        <v>1.97</v>
      </c>
      <c r="O100" s="1054">
        <v>0</v>
      </c>
      <c r="P100" s="1055">
        <v>1.97</v>
      </c>
      <c r="Q100" s="835">
        <f>V100*-1</f>
        <v>0</v>
      </c>
      <c r="R100" s="813">
        <v>0</v>
      </c>
      <c r="S100" s="813">
        <v>0</v>
      </c>
      <c r="T100" s="813">
        <v>0</v>
      </c>
      <c r="U100" s="813">
        <f>SUM(Q100:T100)</f>
        <v>0</v>
      </c>
      <c r="V100" s="813">
        <v>0</v>
      </c>
      <c r="W100" s="813">
        <v>0</v>
      </c>
      <c r="X100" s="813">
        <v>0</v>
      </c>
      <c r="Y100" s="813">
        <f>SUM(V100:X100)</f>
        <v>0</v>
      </c>
      <c r="Z100" s="813">
        <f>U100+Y100</f>
        <v>0</v>
      </c>
      <c r="AA100" s="809">
        <f>ROUND((U100+V100+W100)*33.8%,0)</f>
        <v>0</v>
      </c>
      <c r="AB100" s="809">
        <f>ROUND(U100*2%,0)</f>
        <v>0</v>
      </c>
      <c r="AC100" s="813">
        <v>0</v>
      </c>
      <c r="AD100" s="813">
        <v>0</v>
      </c>
      <c r="AE100" s="813">
        <f>SUM(AC100:AD100)</f>
        <v>0</v>
      </c>
      <c r="AF100" s="813">
        <f>Z100+AA100+AB100+AE100</f>
        <v>0</v>
      </c>
      <c r="AG100" s="836">
        <v>0</v>
      </c>
      <c r="AH100" s="836">
        <v>0</v>
      </c>
      <c r="AI100" s="836">
        <v>0</v>
      </c>
      <c r="AJ100" s="836">
        <v>0</v>
      </c>
      <c r="AK100" s="836">
        <v>0</v>
      </c>
      <c r="AL100" s="836">
        <f>AG100+AI100+AJ100</f>
        <v>0</v>
      </c>
      <c r="AM100" s="836">
        <f>AH100+AK100</f>
        <v>0</v>
      </c>
      <c r="AN100" s="837">
        <f>SUM(AL100:AM100)</f>
        <v>0</v>
      </c>
      <c r="AO100" s="835">
        <f>I100+AF100</f>
        <v>792108</v>
      </c>
      <c r="AP100" s="813">
        <f>J100+U100</f>
        <v>580343</v>
      </c>
      <c r="AQ100" s="813">
        <f>Y100</f>
        <v>0</v>
      </c>
      <c r="AR100" s="813">
        <f t="shared" si="131"/>
        <v>196156</v>
      </c>
      <c r="AS100" s="813">
        <f t="shared" si="131"/>
        <v>11607</v>
      </c>
      <c r="AT100" s="813">
        <f>M100+AE100</f>
        <v>4002</v>
      </c>
      <c r="AU100" s="836">
        <f>N100+AN100</f>
        <v>1.97</v>
      </c>
      <c r="AV100" s="836">
        <f t="shared" si="132"/>
        <v>0</v>
      </c>
      <c r="AW100" s="837">
        <f t="shared" si="132"/>
        <v>1.97</v>
      </c>
    </row>
    <row r="101" spans="1:49" ht="12.95" customHeight="1" x14ac:dyDescent="0.25">
      <c r="A101" s="850">
        <v>18</v>
      </c>
      <c r="B101" s="951">
        <v>5477</v>
      </c>
      <c r="C101" s="952">
        <v>600098541</v>
      </c>
      <c r="D101" s="951">
        <v>70698040</v>
      </c>
      <c r="E101" s="1005" t="s">
        <v>473</v>
      </c>
      <c r="F101" s="951"/>
      <c r="G101" s="1006"/>
      <c r="H101" s="1007"/>
      <c r="I101" s="1008">
        <f t="shared" ref="I101:AW101" si="133">SUM(I98:I100)</f>
        <v>5695284</v>
      </c>
      <c r="J101" s="1009">
        <f t="shared" si="133"/>
        <v>4168065</v>
      </c>
      <c r="K101" s="1009">
        <f t="shared" si="133"/>
        <v>1408806</v>
      </c>
      <c r="L101" s="1009">
        <f t="shared" si="133"/>
        <v>83361</v>
      </c>
      <c r="M101" s="1009">
        <f t="shared" si="133"/>
        <v>35052</v>
      </c>
      <c r="N101" s="1010">
        <f t="shared" si="133"/>
        <v>10.2493</v>
      </c>
      <c r="O101" s="1010">
        <f t="shared" si="133"/>
        <v>6.1451000000000002</v>
      </c>
      <c r="P101" s="1012">
        <f t="shared" si="133"/>
        <v>4.1041999999999996</v>
      </c>
      <c r="Q101" s="1011">
        <f t="shared" si="133"/>
        <v>-16000</v>
      </c>
      <c r="R101" s="1009">
        <f t="shared" si="133"/>
        <v>158787</v>
      </c>
      <c r="S101" s="1009">
        <f t="shared" si="133"/>
        <v>0</v>
      </c>
      <c r="T101" s="1009">
        <f t="shared" si="133"/>
        <v>0</v>
      </c>
      <c r="U101" s="1009">
        <f t="shared" si="133"/>
        <v>142787</v>
      </c>
      <c r="V101" s="1009">
        <f t="shared" si="133"/>
        <v>16000</v>
      </c>
      <c r="W101" s="1009">
        <f t="shared" si="133"/>
        <v>0</v>
      </c>
      <c r="X101" s="1009">
        <f t="shared" si="133"/>
        <v>0</v>
      </c>
      <c r="Y101" s="1009">
        <f t="shared" si="133"/>
        <v>16000</v>
      </c>
      <c r="Z101" s="1009">
        <f t="shared" si="133"/>
        <v>158787</v>
      </c>
      <c r="AA101" s="1009">
        <f t="shared" si="133"/>
        <v>53670</v>
      </c>
      <c r="AB101" s="1009">
        <f t="shared" si="133"/>
        <v>2856</v>
      </c>
      <c r="AC101" s="1009">
        <f t="shared" si="133"/>
        <v>0</v>
      </c>
      <c r="AD101" s="1009">
        <f t="shared" si="133"/>
        <v>0</v>
      </c>
      <c r="AE101" s="1009">
        <f t="shared" si="133"/>
        <v>0</v>
      </c>
      <c r="AF101" s="1009">
        <f t="shared" si="133"/>
        <v>215313</v>
      </c>
      <c r="AG101" s="1010">
        <f t="shared" si="133"/>
        <v>0</v>
      </c>
      <c r="AH101" s="1010">
        <f t="shared" si="133"/>
        <v>0</v>
      </c>
      <c r="AI101" s="1010">
        <f t="shared" si="133"/>
        <v>0.46</v>
      </c>
      <c r="AJ101" s="1010">
        <f t="shared" si="133"/>
        <v>0</v>
      </c>
      <c r="AK101" s="1010">
        <f t="shared" si="133"/>
        <v>0</v>
      </c>
      <c r="AL101" s="1010">
        <f t="shared" si="133"/>
        <v>0.46</v>
      </c>
      <c r="AM101" s="1010">
        <f t="shared" si="133"/>
        <v>0</v>
      </c>
      <c r="AN101" s="1012">
        <f t="shared" si="133"/>
        <v>0.46</v>
      </c>
      <c r="AO101" s="1011">
        <f t="shared" si="133"/>
        <v>5910597</v>
      </c>
      <c r="AP101" s="1009">
        <f t="shared" si="133"/>
        <v>4310852</v>
      </c>
      <c r="AQ101" s="1009">
        <f t="shared" si="133"/>
        <v>16000</v>
      </c>
      <c r="AR101" s="1009">
        <f t="shared" si="133"/>
        <v>1462476</v>
      </c>
      <c r="AS101" s="1009">
        <f t="shared" si="133"/>
        <v>86217</v>
      </c>
      <c r="AT101" s="1009">
        <f t="shared" si="133"/>
        <v>35052</v>
      </c>
      <c r="AU101" s="1010">
        <f t="shared" si="133"/>
        <v>10.709300000000001</v>
      </c>
      <c r="AV101" s="1010">
        <f t="shared" si="133"/>
        <v>6.6051000000000002</v>
      </c>
      <c r="AW101" s="1012">
        <f t="shared" si="133"/>
        <v>4.1041999999999996</v>
      </c>
    </row>
    <row r="102" spans="1:49" ht="12.95" customHeight="1" x14ac:dyDescent="0.25">
      <c r="A102" s="828">
        <v>19</v>
      </c>
      <c r="B102" s="946">
        <v>5478</v>
      </c>
      <c r="C102" s="947">
        <v>600098818</v>
      </c>
      <c r="D102" s="828">
        <v>70698031</v>
      </c>
      <c r="E102" s="1004" t="s">
        <v>474</v>
      </c>
      <c r="F102" s="946">
        <v>3111</v>
      </c>
      <c r="G102" s="1000" t="s">
        <v>331</v>
      </c>
      <c r="H102" s="831" t="s">
        <v>283</v>
      </c>
      <c r="I102" s="803">
        <f>SUM(J102:M102)</f>
        <v>3471619</v>
      </c>
      <c r="J102" s="833">
        <v>2540515</v>
      </c>
      <c r="K102" s="833">
        <f>ROUND((J102)*33.8%,0)</f>
        <v>858694</v>
      </c>
      <c r="L102" s="833">
        <f>ROUND(J102*2%,0)</f>
        <v>50810</v>
      </c>
      <c r="M102" s="833">
        <v>21600</v>
      </c>
      <c r="N102" s="834">
        <f>SUM(O102:P102)</f>
        <v>5.5219999999999994</v>
      </c>
      <c r="O102" s="1054">
        <v>4.0321999999999996</v>
      </c>
      <c r="P102" s="1055">
        <v>1.4898</v>
      </c>
      <c r="Q102" s="835">
        <f>V102*-1</f>
        <v>0</v>
      </c>
      <c r="R102" s="813">
        <v>0</v>
      </c>
      <c r="S102" s="813">
        <v>0</v>
      </c>
      <c r="T102" s="813">
        <v>0</v>
      </c>
      <c r="U102" s="813">
        <f>SUM(Q102:T102)</f>
        <v>0</v>
      </c>
      <c r="V102" s="813">
        <v>0</v>
      </c>
      <c r="W102" s="813">
        <v>0</v>
      </c>
      <c r="X102" s="813">
        <v>0</v>
      </c>
      <c r="Y102" s="813">
        <f>SUM(V102:X102)</f>
        <v>0</v>
      </c>
      <c r="Z102" s="813">
        <f>U102+Y102</f>
        <v>0</v>
      </c>
      <c r="AA102" s="809">
        <f>ROUND((U102+V102+W102)*33.8%,0)</f>
        <v>0</v>
      </c>
      <c r="AB102" s="809">
        <f>ROUND(U102*2%,0)</f>
        <v>0</v>
      </c>
      <c r="AC102" s="813">
        <v>0</v>
      </c>
      <c r="AD102" s="813">
        <v>0</v>
      </c>
      <c r="AE102" s="813">
        <f>SUM(AC102:AD102)</f>
        <v>0</v>
      </c>
      <c r="AF102" s="813">
        <f>Z102+AA102+AB102+AE102</f>
        <v>0</v>
      </c>
      <c r="AG102" s="836">
        <v>0</v>
      </c>
      <c r="AH102" s="836">
        <v>0</v>
      </c>
      <c r="AI102" s="836">
        <v>0</v>
      </c>
      <c r="AJ102" s="836">
        <v>0</v>
      </c>
      <c r="AK102" s="836">
        <v>0</v>
      </c>
      <c r="AL102" s="836">
        <f>AG102+AI102+AJ102</f>
        <v>0</v>
      </c>
      <c r="AM102" s="836">
        <f>AH102+AK102</f>
        <v>0</v>
      </c>
      <c r="AN102" s="837">
        <f>SUM(AL102:AM102)</f>
        <v>0</v>
      </c>
      <c r="AO102" s="835">
        <f>I102+AF102</f>
        <v>3471619</v>
      </c>
      <c r="AP102" s="813">
        <f>J102+U102</f>
        <v>2540515</v>
      </c>
      <c r="AQ102" s="813">
        <f>Y102</f>
        <v>0</v>
      </c>
      <c r="AR102" s="813">
        <f>K102+AA102</f>
        <v>858694</v>
      </c>
      <c r="AS102" s="813">
        <f>L102+AB102</f>
        <v>50810</v>
      </c>
      <c r="AT102" s="813">
        <f>M102+AE102</f>
        <v>21600</v>
      </c>
      <c r="AU102" s="836">
        <f>N102+AN102</f>
        <v>5.5219999999999994</v>
      </c>
      <c r="AV102" s="836">
        <f>O102+AL102</f>
        <v>4.0321999999999996</v>
      </c>
      <c r="AW102" s="837">
        <f>P102+AM102</f>
        <v>1.4898</v>
      </c>
    </row>
    <row r="103" spans="1:49" ht="12.95" customHeight="1" x14ac:dyDescent="0.25">
      <c r="A103" s="828">
        <v>19</v>
      </c>
      <c r="B103" s="828">
        <v>5478</v>
      </c>
      <c r="C103" s="961">
        <v>600098818</v>
      </c>
      <c r="D103" s="828">
        <v>70698031</v>
      </c>
      <c r="E103" s="830" t="s">
        <v>474</v>
      </c>
      <c r="F103" s="828">
        <v>3141</v>
      </c>
      <c r="G103" s="1000" t="s">
        <v>321</v>
      </c>
      <c r="H103" s="831" t="s">
        <v>284</v>
      </c>
      <c r="I103" s="803">
        <f>SUM(J103:M103)</f>
        <v>619426</v>
      </c>
      <c r="J103" s="833">
        <v>454081</v>
      </c>
      <c r="K103" s="805">
        <f>ROUND((J103)*33.8%,0)</f>
        <v>153479</v>
      </c>
      <c r="L103" s="833">
        <f>ROUND(J103*2%,0)</f>
        <v>9082</v>
      </c>
      <c r="M103" s="833">
        <v>2784</v>
      </c>
      <c r="N103" s="834">
        <f>O103+P103</f>
        <v>1.54</v>
      </c>
      <c r="O103" s="1054">
        <v>0</v>
      </c>
      <c r="P103" s="1055">
        <v>1.54</v>
      </c>
      <c r="Q103" s="835">
        <f>V103*-1</f>
        <v>0</v>
      </c>
      <c r="R103" s="813">
        <v>0</v>
      </c>
      <c r="S103" s="813">
        <v>0</v>
      </c>
      <c r="T103" s="813">
        <v>0</v>
      </c>
      <c r="U103" s="813">
        <f>SUM(Q103:T103)</f>
        <v>0</v>
      </c>
      <c r="V103" s="813">
        <v>0</v>
      </c>
      <c r="W103" s="813">
        <v>0</v>
      </c>
      <c r="X103" s="813">
        <v>0</v>
      </c>
      <c r="Y103" s="813">
        <f>SUM(V103:X103)</f>
        <v>0</v>
      </c>
      <c r="Z103" s="813">
        <f>U103+Y103</f>
        <v>0</v>
      </c>
      <c r="AA103" s="809">
        <f>ROUND((U103+V103+W103)*33.8%,0)</f>
        <v>0</v>
      </c>
      <c r="AB103" s="809">
        <f>ROUND(U103*2%,0)</f>
        <v>0</v>
      </c>
      <c r="AC103" s="813">
        <v>0</v>
      </c>
      <c r="AD103" s="813">
        <v>0</v>
      </c>
      <c r="AE103" s="813">
        <f>SUM(AC103:AD103)</f>
        <v>0</v>
      </c>
      <c r="AF103" s="813">
        <f>Z103+AA103+AB103+AE103</f>
        <v>0</v>
      </c>
      <c r="AG103" s="836">
        <v>0</v>
      </c>
      <c r="AH103" s="836">
        <v>0</v>
      </c>
      <c r="AI103" s="836">
        <v>0</v>
      </c>
      <c r="AJ103" s="836">
        <v>0</v>
      </c>
      <c r="AK103" s="836">
        <v>0</v>
      </c>
      <c r="AL103" s="836">
        <f>AG103+AI103+AJ103</f>
        <v>0</v>
      </c>
      <c r="AM103" s="836">
        <f>AH103+AK103</f>
        <v>0</v>
      </c>
      <c r="AN103" s="837">
        <f>SUM(AL103:AM103)</f>
        <v>0</v>
      </c>
      <c r="AO103" s="835">
        <f>I103+AF103</f>
        <v>619426</v>
      </c>
      <c r="AP103" s="813">
        <f>J103+U103</f>
        <v>454081</v>
      </c>
      <c r="AQ103" s="813">
        <f>Y103</f>
        <v>0</v>
      </c>
      <c r="AR103" s="813">
        <f>K103+AA103</f>
        <v>153479</v>
      </c>
      <c r="AS103" s="813">
        <f>L103+AB103</f>
        <v>9082</v>
      </c>
      <c r="AT103" s="813">
        <f>M103+AE103</f>
        <v>2784</v>
      </c>
      <c r="AU103" s="836">
        <f>N103+AN103</f>
        <v>1.54</v>
      </c>
      <c r="AV103" s="836">
        <f>O103+AL103</f>
        <v>0</v>
      </c>
      <c r="AW103" s="837">
        <f>P103+AM103</f>
        <v>1.54</v>
      </c>
    </row>
    <row r="104" spans="1:49" ht="12.95" customHeight="1" x14ac:dyDescent="0.25">
      <c r="A104" s="850">
        <v>19</v>
      </c>
      <c r="B104" s="816">
        <v>5478</v>
      </c>
      <c r="C104" s="1001">
        <v>600098818</v>
      </c>
      <c r="D104" s="816">
        <v>70698031</v>
      </c>
      <c r="E104" s="841" t="s">
        <v>475</v>
      </c>
      <c r="F104" s="816"/>
      <c r="G104" s="1002"/>
      <c r="H104" s="1003"/>
      <c r="I104" s="1008">
        <f t="shared" ref="I104:AW104" si="134">SUM(I102:I103)</f>
        <v>4091045</v>
      </c>
      <c r="J104" s="1016">
        <f t="shared" si="134"/>
        <v>2994596</v>
      </c>
      <c r="K104" s="1016">
        <f t="shared" si="134"/>
        <v>1012173</v>
      </c>
      <c r="L104" s="1016">
        <f t="shared" si="134"/>
        <v>59892</v>
      </c>
      <c r="M104" s="1016">
        <f t="shared" si="134"/>
        <v>24384</v>
      </c>
      <c r="N104" s="1010">
        <f t="shared" si="134"/>
        <v>7.0619999999999994</v>
      </c>
      <c r="O104" s="1010">
        <f t="shared" si="134"/>
        <v>4.0321999999999996</v>
      </c>
      <c r="P104" s="1012">
        <f t="shared" si="134"/>
        <v>3.0297999999999998</v>
      </c>
      <c r="Q104" s="1011">
        <f t="shared" si="134"/>
        <v>0</v>
      </c>
      <c r="R104" s="1009">
        <f t="shared" si="134"/>
        <v>0</v>
      </c>
      <c r="S104" s="1009">
        <f t="shared" si="134"/>
        <v>0</v>
      </c>
      <c r="T104" s="1009">
        <f t="shared" si="134"/>
        <v>0</v>
      </c>
      <c r="U104" s="1009">
        <f t="shared" si="134"/>
        <v>0</v>
      </c>
      <c r="V104" s="1009">
        <f t="shared" si="134"/>
        <v>0</v>
      </c>
      <c r="W104" s="1009">
        <f t="shared" si="134"/>
        <v>0</v>
      </c>
      <c r="X104" s="1009">
        <f t="shared" si="134"/>
        <v>0</v>
      </c>
      <c r="Y104" s="1009">
        <f t="shared" si="134"/>
        <v>0</v>
      </c>
      <c r="Z104" s="1009">
        <f t="shared" si="134"/>
        <v>0</v>
      </c>
      <c r="AA104" s="1009">
        <f t="shared" si="134"/>
        <v>0</v>
      </c>
      <c r="AB104" s="1009">
        <f t="shared" si="134"/>
        <v>0</v>
      </c>
      <c r="AC104" s="1009">
        <f t="shared" si="134"/>
        <v>0</v>
      </c>
      <c r="AD104" s="1009">
        <f t="shared" si="134"/>
        <v>0</v>
      </c>
      <c r="AE104" s="1009">
        <f t="shared" si="134"/>
        <v>0</v>
      </c>
      <c r="AF104" s="1009">
        <f t="shared" si="134"/>
        <v>0</v>
      </c>
      <c r="AG104" s="1010">
        <f t="shared" si="134"/>
        <v>0</v>
      </c>
      <c r="AH104" s="1010">
        <f t="shared" si="134"/>
        <v>0</v>
      </c>
      <c r="AI104" s="1010">
        <f t="shared" si="134"/>
        <v>0</v>
      </c>
      <c r="AJ104" s="1010">
        <f t="shared" si="134"/>
        <v>0</v>
      </c>
      <c r="AK104" s="1010">
        <f t="shared" si="134"/>
        <v>0</v>
      </c>
      <c r="AL104" s="1010">
        <f t="shared" si="134"/>
        <v>0</v>
      </c>
      <c r="AM104" s="1010">
        <f t="shared" si="134"/>
        <v>0</v>
      </c>
      <c r="AN104" s="1012">
        <f t="shared" si="134"/>
        <v>0</v>
      </c>
      <c r="AO104" s="1011">
        <f t="shared" si="134"/>
        <v>4091045</v>
      </c>
      <c r="AP104" s="1009">
        <f t="shared" si="134"/>
        <v>2994596</v>
      </c>
      <c r="AQ104" s="1009">
        <f t="shared" si="134"/>
        <v>0</v>
      </c>
      <c r="AR104" s="1009">
        <f t="shared" si="134"/>
        <v>1012173</v>
      </c>
      <c r="AS104" s="1009">
        <f t="shared" si="134"/>
        <v>59892</v>
      </c>
      <c r="AT104" s="1009">
        <f t="shared" si="134"/>
        <v>24384</v>
      </c>
      <c r="AU104" s="1010">
        <f t="shared" si="134"/>
        <v>7.0619999999999994</v>
      </c>
      <c r="AV104" s="1010">
        <f t="shared" si="134"/>
        <v>4.0321999999999996</v>
      </c>
      <c r="AW104" s="1012">
        <f t="shared" si="134"/>
        <v>3.0297999999999998</v>
      </c>
    </row>
    <row r="105" spans="1:49" ht="12.95" customHeight="1" x14ac:dyDescent="0.25">
      <c r="A105" s="828">
        <v>20</v>
      </c>
      <c r="B105" s="946">
        <v>5479</v>
      </c>
      <c r="C105" s="947">
        <v>600099105</v>
      </c>
      <c r="D105" s="828">
        <v>70910600</v>
      </c>
      <c r="E105" s="1004" t="s">
        <v>476</v>
      </c>
      <c r="F105" s="946">
        <v>3113</v>
      </c>
      <c r="G105" s="1000" t="s">
        <v>335</v>
      </c>
      <c r="H105" s="831" t="s">
        <v>283</v>
      </c>
      <c r="I105" s="803">
        <f t="shared" ref="I105:I110" si="135">SUM(J105:M105)</f>
        <v>14824326</v>
      </c>
      <c r="J105" s="833">
        <v>10710159</v>
      </c>
      <c r="K105" s="833">
        <f>ROUND((J105)*33.8%,0)</f>
        <v>3620034</v>
      </c>
      <c r="L105" s="833">
        <f>ROUND(J105*2%,0)</f>
        <v>214203</v>
      </c>
      <c r="M105" s="833">
        <v>279930</v>
      </c>
      <c r="N105" s="834">
        <f>SUM(O105:P105)</f>
        <v>19.851199999999999</v>
      </c>
      <c r="O105" s="1054">
        <v>14.8636</v>
      </c>
      <c r="P105" s="1055">
        <v>4.9876000000000005</v>
      </c>
      <c r="Q105" s="835">
        <f t="shared" ref="Q105:Q110" si="136">V105*-1</f>
        <v>-3840</v>
      </c>
      <c r="R105" s="813">
        <v>0</v>
      </c>
      <c r="S105" s="813">
        <v>0</v>
      </c>
      <c r="T105" s="813">
        <v>0</v>
      </c>
      <c r="U105" s="813">
        <f t="shared" ref="U105:U110" si="137">SUM(Q105:T105)</f>
        <v>-3840</v>
      </c>
      <c r="V105" s="813">
        <v>3840</v>
      </c>
      <c r="W105" s="813">
        <v>0</v>
      </c>
      <c r="X105" s="813">
        <v>0</v>
      </c>
      <c r="Y105" s="813">
        <f t="shared" ref="Y105:Y110" si="138">SUM(V105:X105)</f>
        <v>3840</v>
      </c>
      <c r="Z105" s="813">
        <f t="shared" ref="Z105:Z110" si="139">U105+Y105</f>
        <v>0</v>
      </c>
      <c r="AA105" s="809">
        <f t="shared" ref="AA105:AA110" si="140">ROUND((U105+V105+W105)*33.8%,0)</f>
        <v>0</v>
      </c>
      <c r="AB105" s="809">
        <f t="shared" ref="AB105:AB110" si="141">ROUND(U105*2%,0)</f>
        <v>-77</v>
      </c>
      <c r="AC105" s="813">
        <v>0</v>
      </c>
      <c r="AD105" s="813">
        <v>0</v>
      </c>
      <c r="AE105" s="813">
        <f t="shared" ref="AE105:AE110" si="142">SUM(AC105:AD105)</f>
        <v>0</v>
      </c>
      <c r="AF105" s="813">
        <f t="shared" ref="AF105:AF110" si="143">Z105+AA105+AB105+AE105</f>
        <v>-77</v>
      </c>
      <c r="AG105" s="836">
        <v>0</v>
      </c>
      <c r="AH105" s="836">
        <v>-0.02</v>
      </c>
      <c r="AI105" s="836">
        <v>0</v>
      </c>
      <c r="AJ105" s="836">
        <v>0</v>
      </c>
      <c r="AK105" s="836">
        <v>0</v>
      </c>
      <c r="AL105" s="836">
        <f t="shared" ref="AL105:AL110" si="144">AG105+AI105+AJ105</f>
        <v>0</v>
      </c>
      <c r="AM105" s="836">
        <f t="shared" ref="AM105:AM110" si="145">AH105+AK105</f>
        <v>-0.02</v>
      </c>
      <c r="AN105" s="837">
        <f t="shared" ref="AN105:AN110" si="146">SUM(AL105:AM105)</f>
        <v>-0.02</v>
      </c>
      <c r="AO105" s="835">
        <f t="shared" ref="AO105:AO110" si="147">I105+AF105</f>
        <v>14824249</v>
      </c>
      <c r="AP105" s="813">
        <f t="shared" ref="AP105:AP110" si="148">J105+U105</f>
        <v>10706319</v>
      </c>
      <c r="AQ105" s="813">
        <f t="shared" ref="AQ105:AQ110" si="149">Y105</f>
        <v>3840</v>
      </c>
      <c r="AR105" s="813">
        <f t="shared" ref="AR105:AS110" si="150">K105+AA105</f>
        <v>3620034</v>
      </c>
      <c r="AS105" s="813">
        <f t="shared" si="150"/>
        <v>214126</v>
      </c>
      <c r="AT105" s="813">
        <f t="shared" ref="AT105:AT110" si="151">M105+AE105</f>
        <v>279930</v>
      </c>
      <c r="AU105" s="836">
        <f t="shared" ref="AU105:AU110" si="152">N105+AN105</f>
        <v>19.831199999999999</v>
      </c>
      <c r="AV105" s="836">
        <f t="shared" ref="AV105:AW110" si="153">O105+AL105</f>
        <v>14.8636</v>
      </c>
      <c r="AW105" s="837">
        <f t="shared" si="153"/>
        <v>4.9676000000000009</v>
      </c>
    </row>
    <row r="106" spans="1:49" ht="12.95" customHeight="1" x14ac:dyDescent="0.25">
      <c r="A106" s="828">
        <v>20</v>
      </c>
      <c r="B106" s="946">
        <v>5479</v>
      </c>
      <c r="C106" s="947">
        <v>600099105</v>
      </c>
      <c r="D106" s="828">
        <v>70910600</v>
      </c>
      <c r="E106" s="1004" t="s">
        <v>476</v>
      </c>
      <c r="F106" s="946">
        <v>3113</v>
      </c>
      <c r="G106" s="839" t="s">
        <v>319</v>
      </c>
      <c r="H106" s="831" t="s">
        <v>283</v>
      </c>
      <c r="I106" s="803">
        <f t="shared" si="135"/>
        <v>462376</v>
      </c>
      <c r="J106" s="833">
        <v>340483</v>
      </c>
      <c r="K106" s="833">
        <f>ROUND((J106)*33.8%,0)</f>
        <v>115083</v>
      </c>
      <c r="L106" s="833">
        <f>ROUND(J106*2%,0)</f>
        <v>6810</v>
      </c>
      <c r="M106" s="833">
        <v>0</v>
      </c>
      <c r="N106" s="834">
        <f>SUM(O106:P106)</f>
        <v>0.86109999999999998</v>
      </c>
      <c r="O106" s="1054">
        <v>0.86109999999999998</v>
      </c>
      <c r="P106" s="1055">
        <v>0</v>
      </c>
      <c r="Q106" s="835">
        <f t="shared" si="136"/>
        <v>0</v>
      </c>
      <c r="R106" s="813">
        <v>0</v>
      </c>
      <c r="S106" s="813">
        <v>0</v>
      </c>
      <c r="T106" s="813">
        <v>0</v>
      </c>
      <c r="U106" s="813">
        <f t="shared" si="137"/>
        <v>0</v>
      </c>
      <c r="V106" s="813">
        <v>0</v>
      </c>
      <c r="W106" s="813">
        <v>0</v>
      </c>
      <c r="X106" s="813">
        <v>0</v>
      </c>
      <c r="Y106" s="813">
        <f t="shared" si="138"/>
        <v>0</v>
      </c>
      <c r="Z106" s="813">
        <f t="shared" si="139"/>
        <v>0</v>
      </c>
      <c r="AA106" s="809">
        <f t="shared" si="140"/>
        <v>0</v>
      </c>
      <c r="AB106" s="809">
        <f t="shared" si="141"/>
        <v>0</v>
      </c>
      <c r="AC106" s="813">
        <v>0</v>
      </c>
      <c r="AD106" s="813">
        <v>0</v>
      </c>
      <c r="AE106" s="813">
        <f t="shared" si="142"/>
        <v>0</v>
      </c>
      <c r="AF106" s="813">
        <f t="shared" si="143"/>
        <v>0</v>
      </c>
      <c r="AG106" s="836">
        <v>0</v>
      </c>
      <c r="AH106" s="836">
        <v>0</v>
      </c>
      <c r="AI106" s="836">
        <v>0</v>
      </c>
      <c r="AJ106" s="836">
        <v>0</v>
      </c>
      <c r="AK106" s="836">
        <v>0</v>
      </c>
      <c r="AL106" s="836">
        <f t="shared" si="144"/>
        <v>0</v>
      </c>
      <c r="AM106" s="836">
        <f t="shared" si="145"/>
        <v>0</v>
      </c>
      <c r="AN106" s="837">
        <f t="shared" si="146"/>
        <v>0</v>
      </c>
      <c r="AO106" s="835">
        <f t="shared" si="147"/>
        <v>462376</v>
      </c>
      <c r="AP106" s="813">
        <f t="shared" si="148"/>
        <v>340483</v>
      </c>
      <c r="AQ106" s="813">
        <f t="shared" si="149"/>
        <v>0</v>
      </c>
      <c r="AR106" s="813">
        <f t="shared" si="150"/>
        <v>115083</v>
      </c>
      <c r="AS106" s="813">
        <f t="shared" si="150"/>
        <v>6810</v>
      </c>
      <c r="AT106" s="813">
        <f t="shared" si="151"/>
        <v>0</v>
      </c>
      <c r="AU106" s="836">
        <f t="shared" si="152"/>
        <v>0.86109999999999998</v>
      </c>
      <c r="AV106" s="836">
        <f t="shared" si="153"/>
        <v>0.86109999999999998</v>
      </c>
      <c r="AW106" s="837">
        <f t="shared" si="153"/>
        <v>0</v>
      </c>
    </row>
    <row r="107" spans="1:49" ht="12.95" customHeight="1" x14ac:dyDescent="0.25">
      <c r="A107" s="828">
        <v>20</v>
      </c>
      <c r="B107" s="946">
        <v>5479</v>
      </c>
      <c r="C107" s="947">
        <v>600099105</v>
      </c>
      <c r="D107" s="828">
        <v>70910600</v>
      </c>
      <c r="E107" s="1004" t="s">
        <v>476</v>
      </c>
      <c r="F107" s="946">
        <v>3113</v>
      </c>
      <c r="G107" s="831" t="s">
        <v>318</v>
      </c>
      <c r="H107" s="831" t="s">
        <v>284</v>
      </c>
      <c r="I107" s="803">
        <f t="shared" si="135"/>
        <v>0</v>
      </c>
      <c r="J107" s="833">
        <v>0</v>
      </c>
      <c r="K107" s="833">
        <v>0</v>
      </c>
      <c r="L107" s="833">
        <v>0</v>
      </c>
      <c r="M107" s="833">
        <v>0</v>
      </c>
      <c r="N107" s="834">
        <f>SUM(O107:P107)</f>
        <v>0</v>
      </c>
      <c r="O107" s="1054">
        <v>0</v>
      </c>
      <c r="P107" s="1055">
        <v>0</v>
      </c>
      <c r="Q107" s="835">
        <f t="shared" si="136"/>
        <v>0</v>
      </c>
      <c r="R107" s="833">
        <v>440873</v>
      </c>
      <c r="S107" s="813">
        <v>0</v>
      </c>
      <c r="T107" s="813">
        <v>0</v>
      </c>
      <c r="U107" s="813">
        <f t="shared" si="137"/>
        <v>440873</v>
      </c>
      <c r="V107" s="813">
        <v>0</v>
      </c>
      <c r="W107" s="813">
        <v>0</v>
      </c>
      <c r="X107" s="813">
        <v>0</v>
      </c>
      <c r="Y107" s="813">
        <f t="shared" si="138"/>
        <v>0</v>
      </c>
      <c r="Z107" s="813">
        <f t="shared" si="139"/>
        <v>440873</v>
      </c>
      <c r="AA107" s="809">
        <f t="shared" si="140"/>
        <v>149015</v>
      </c>
      <c r="AB107" s="809">
        <f t="shared" si="141"/>
        <v>8817</v>
      </c>
      <c r="AC107" s="813">
        <v>0</v>
      </c>
      <c r="AD107" s="813">
        <v>0</v>
      </c>
      <c r="AE107" s="813">
        <f t="shared" si="142"/>
        <v>0</v>
      </c>
      <c r="AF107" s="813">
        <f t="shared" si="143"/>
        <v>598705</v>
      </c>
      <c r="AG107" s="836">
        <v>0</v>
      </c>
      <c r="AH107" s="836">
        <v>0</v>
      </c>
      <c r="AI107" s="836">
        <v>1.29</v>
      </c>
      <c r="AJ107" s="836">
        <v>0</v>
      </c>
      <c r="AK107" s="836">
        <v>0</v>
      </c>
      <c r="AL107" s="836">
        <f t="shared" si="144"/>
        <v>1.29</v>
      </c>
      <c r="AM107" s="836">
        <f t="shared" si="145"/>
        <v>0</v>
      </c>
      <c r="AN107" s="837">
        <f t="shared" si="146"/>
        <v>1.29</v>
      </c>
      <c r="AO107" s="835">
        <f t="shared" si="147"/>
        <v>598705</v>
      </c>
      <c r="AP107" s="813">
        <f t="shared" si="148"/>
        <v>440873</v>
      </c>
      <c r="AQ107" s="813">
        <f t="shared" si="149"/>
        <v>0</v>
      </c>
      <c r="AR107" s="813">
        <f t="shared" si="150"/>
        <v>149015</v>
      </c>
      <c r="AS107" s="813">
        <f t="shared" si="150"/>
        <v>8817</v>
      </c>
      <c r="AT107" s="813">
        <f t="shared" si="151"/>
        <v>0</v>
      </c>
      <c r="AU107" s="836">
        <f t="shared" si="152"/>
        <v>1.29</v>
      </c>
      <c r="AV107" s="836">
        <f t="shared" si="153"/>
        <v>1.29</v>
      </c>
      <c r="AW107" s="837">
        <f t="shared" si="153"/>
        <v>0</v>
      </c>
    </row>
    <row r="108" spans="1:49" ht="12.95" customHeight="1" x14ac:dyDescent="0.25">
      <c r="A108" s="828">
        <v>20</v>
      </c>
      <c r="B108" s="946">
        <v>5479</v>
      </c>
      <c r="C108" s="947">
        <v>600099105</v>
      </c>
      <c r="D108" s="828">
        <v>70910600</v>
      </c>
      <c r="E108" s="1004" t="s">
        <v>476</v>
      </c>
      <c r="F108" s="946">
        <v>3141</v>
      </c>
      <c r="G108" s="1000" t="s">
        <v>321</v>
      </c>
      <c r="H108" s="831" t="s">
        <v>284</v>
      </c>
      <c r="I108" s="803">
        <f t="shared" si="135"/>
        <v>1263198</v>
      </c>
      <c r="J108" s="833">
        <v>922716</v>
      </c>
      <c r="K108" s="805">
        <f>ROUND((J108)*33.8%,0)</f>
        <v>311878</v>
      </c>
      <c r="L108" s="833">
        <f>ROUND(J108*2%,0)</f>
        <v>18454</v>
      </c>
      <c r="M108" s="833">
        <v>10150</v>
      </c>
      <c r="N108" s="834">
        <f>O108+P108</f>
        <v>3.14</v>
      </c>
      <c r="O108" s="1054">
        <v>0</v>
      </c>
      <c r="P108" s="1055">
        <v>3.14</v>
      </c>
      <c r="Q108" s="835">
        <f t="shared" si="136"/>
        <v>0</v>
      </c>
      <c r="R108" s="813">
        <v>0</v>
      </c>
      <c r="S108" s="813">
        <v>0</v>
      </c>
      <c r="T108" s="813">
        <v>0</v>
      </c>
      <c r="U108" s="813">
        <f t="shared" si="137"/>
        <v>0</v>
      </c>
      <c r="V108" s="813">
        <v>0</v>
      </c>
      <c r="W108" s="813">
        <v>0</v>
      </c>
      <c r="X108" s="813">
        <v>0</v>
      </c>
      <c r="Y108" s="813">
        <f t="shared" si="138"/>
        <v>0</v>
      </c>
      <c r="Z108" s="813">
        <f t="shared" si="139"/>
        <v>0</v>
      </c>
      <c r="AA108" s="809">
        <f t="shared" si="140"/>
        <v>0</v>
      </c>
      <c r="AB108" s="809">
        <f t="shared" si="141"/>
        <v>0</v>
      </c>
      <c r="AC108" s="813">
        <v>0</v>
      </c>
      <c r="AD108" s="813">
        <v>0</v>
      </c>
      <c r="AE108" s="813">
        <f t="shared" si="142"/>
        <v>0</v>
      </c>
      <c r="AF108" s="813">
        <f t="shared" si="143"/>
        <v>0</v>
      </c>
      <c r="AG108" s="836">
        <v>0</v>
      </c>
      <c r="AH108" s="836">
        <v>0</v>
      </c>
      <c r="AI108" s="836">
        <v>0</v>
      </c>
      <c r="AJ108" s="836">
        <v>0</v>
      </c>
      <c r="AK108" s="836">
        <v>0</v>
      </c>
      <c r="AL108" s="836">
        <f t="shared" si="144"/>
        <v>0</v>
      </c>
      <c r="AM108" s="836">
        <f t="shared" si="145"/>
        <v>0</v>
      </c>
      <c r="AN108" s="837">
        <f t="shared" si="146"/>
        <v>0</v>
      </c>
      <c r="AO108" s="835">
        <f t="shared" si="147"/>
        <v>1263198</v>
      </c>
      <c r="AP108" s="813">
        <f t="shared" si="148"/>
        <v>922716</v>
      </c>
      <c r="AQ108" s="813">
        <f t="shared" si="149"/>
        <v>0</v>
      </c>
      <c r="AR108" s="813">
        <f t="shared" si="150"/>
        <v>311878</v>
      </c>
      <c r="AS108" s="813">
        <f t="shared" si="150"/>
        <v>18454</v>
      </c>
      <c r="AT108" s="813">
        <f t="shared" si="151"/>
        <v>10150</v>
      </c>
      <c r="AU108" s="836">
        <f t="shared" si="152"/>
        <v>3.14</v>
      </c>
      <c r="AV108" s="836">
        <f t="shared" si="153"/>
        <v>0</v>
      </c>
      <c r="AW108" s="837">
        <f t="shared" si="153"/>
        <v>3.14</v>
      </c>
    </row>
    <row r="109" spans="1:49" ht="12.95" customHeight="1" x14ac:dyDescent="0.25">
      <c r="A109" s="828">
        <v>20</v>
      </c>
      <c r="B109" s="946">
        <v>5479</v>
      </c>
      <c r="C109" s="947">
        <v>600099105</v>
      </c>
      <c r="D109" s="828">
        <v>70910600</v>
      </c>
      <c r="E109" s="1004" t="s">
        <v>476</v>
      </c>
      <c r="F109" s="946">
        <v>3143</v>
      </c>
      <c r="G109" s="831" t="s">
        <v>635</v>
      </c>
      <c r="H109" s="831" t="s">
        <v>283</v>
      </c>
      <c r="I109" s="803">
        <f t="shared" si="135"/>
        <v>1428309</v>
      </c>
      <c r="J109" s="833">
        <v>1051774</v>
      </c>
      <c r="K109" s="833">
        <f>ROUND((J109)*33.8%,0)</f>
        <v>355500</v>
      </c>
      <c r="L109" s="833">
        <f>ROUND(J109*2%,0)</f>
        <v>21035</v>
      </c>
      <c r="M109" s="833">
        <v>0</v>
      </c>
      <c r="N109" s="834">
        <f>SUM(O109:P109)</f>
        <v>2.1667000000000001</v>
      </c>
      <c r="O109" s="1054">
        <v>2.1667000000000001</v>
      </c>
      <c r="P109" s="1055">
        <v>0</v>
      </c>
      <c r="Q109" s="835">
        <f t="shared" si="136"/>
        <v>0</v>
      </c>
      <c r="R109" s="813">
        <v>0</v>
      </c>
      <c r="S109" s="813">
        <v>0</v>
      </c>
      <c r="T109" s="813">
        <v>0</v>
      </c>
      <c r="U109" s="813">
        <f t="shared" si="137"/>
        <v>0</v>
      </c>
      <c r="V109" s="813">
        <v>0</v>
      </c>
      <c r="W109" s="813">
        <v>0</v>
      </c>
      <c r="X109" s="813">
        <v>0</v>
      </c>
      <c r="Y109" s="813">
        <f t="shared" si="138"/>
        <v>0</v>
      </c>
      <c r="Z109" s="813">
        <f t="shared" si="139"/>
        <v>0</v>
      </c>
      <c r="AA109" s="809">
        <f t="shared" si="140"/>
        <v>0</v>
      </c>
      <c r="AB109" s="809">
        <f t="shared" si="141"/>
        <v>0</v>
      </c>
      <c r="AC109" s="813">
        <v>0</v>
      </c>
      <c r="AD109" s="813">
        <v>0</v>
      </c>
      <c r="AE109" s="813">
        <f t="shared" si="142"/>
        <v>0</v>
      </c>
      <c r="AF109" s="813">
        <f t="shared" si="143"/>
        <v>0</v>
      </c>
      <c r="AG109" s="836">
        <v>0</v>
      </c>
      <c r="AH109" s="836">
        <v>0</v>
      </c>
      <c r="AI109" s="836">
        <v>0</v>
      </c>
      <c r="AJ109" s="836">
        <v>0</v>
      </c>
      <c r="AK109" s="836">
        <v>0</v>
      </c>
      <c r="AL109" s="836">
        <f t="shared" si="144"/>
        <v>0</v>
      </c>
      <c r="AM109" s="836">
        <f t="shared" si="145"/>
        <v>0</v>
      </c>
      <c r="AN109" s="837">
        <f t="shared" si="146"/>
        <v>0</v>
      </c>
      <c r="AO109" s="835">
        <f t="shared" si="147"/>
        <v>1428309</v>
      </c>
      <c r="AP109" s="813">
        <f t="shared" si="148"/>
        <v>1051774</v>
      </c>
      <c r="AQ109" s="813">
        <f t="shared" si="149"/>
        <v>0</v>
      </c>
      <c r="AR109" s="813">
        <f t="shared" si="150"/>
        <v>355500</v>
      </c>
      <c r="AS109" s="813">
        <f t="shared" si="150"/>
        <v>21035</v>
      </c>
      <c r="AT109" s="813">
        <f t="shared" si="151"/>
        <v>0</v>
      </c>
      <c r="AU109" s="836">
        <f t="shared" si="152"/>
        <v>2.1667000000000001</v>
      </c>
      <c r="AV109" s="836">
        <f t="shared" si="153"/>
        <v>2.1667000000000001</v>
      </c>
      <c r="AW109" s="837">
        <f t="shared" si="153"/>
        <v>0</v>
      </c>
    </row>
    <row r="110" spans="1:49" ht="12.95" customHeight="1" x14ac:dyDescent="0.25">
      <c r="A110" s="828">
        <v>20</v>
      </c>
      <c r="B110" s="946">
        <v>5479</v>
      </c>
      <c r="C110" s="947">
        <v>600099105</v>
      </c>
      <c r="D110" s="828">
        <v>70910600</v>
      </c>
      <c r="E110" s="1004" t="s">
        <v>476</v>
      </c>
      <c r="F110" s="946">
        <v>3143</v>
      </c>
      <c r="G110" s="831" t="s">
        <v>636</v>
      </c>
      <c r="H110" s="831" t="s">
        <v>284</v>
      </c>
      <c r="I110" s="803">
        <f t="shared" si="135"/>
        <v>45644</v>
      </c>
      <c r="J110" s="833">
        <v>32175</v>
      </c>
      <c r="K110" s="805">
        <f>ROUND((J110)*33.8%,0)</f>
        <v>10875</v>
      </c>
      <c r="L110" s="833">
        <f>ROUND(J110*2%,0)</f>
        <v>644</v>
      </c>
      <c r="M110" s="833">
        <v>1950</v>
      </c>
      <c r="N110" s="834">
        <f>SUM(O110:P110)</f>
        <v>0.14000000000000001</v>
      </c>
      <c r="O110" s="1054">
        <v>0</v>
      </c>
      <c r="P110" s="1055">
        <v>0.14000000000000001</v>
      </c>
      <c r="Q110" s="835">
        <f t="shared" si="136"/>
        <v>0</v>
      </c>
      <c r="R110" s="813">
        <v>0</v>
      </c>
      <c r="S110" s="813">
        <v>0</v>
      </c>
      <c r="T110" s="813">
        <v>0</v>
      </c>
      <c r="U110" s="813">
        <f t="shared" si="137"/>
        <v>0</v>
      </c>
      <c r="V110" s="813">
        <v>0</v>
      </c>
      <c r="W110" s="813">
        <v>0</v>
      </c>
      <c r="X110" s="813">
        <v>0</v>
      </c>
      <c r="Y110" s="813">
        <f t="shared" si="138"/>
        <v>0</v>
      </c>
      <c r="Z110" s="813">
        <f t="shared" si="139"/>
        <v>0</v>
      </c>
      <c r="AA110" s="809">
        <f t="shared" si="140"/>
        <v>0</v>
      </c>
      <c r="AB110" s="809">
        <f t="shared" si="141"/>
        <v>0</v>
      </c>
      <c r="AC110" s="813">
        <v>0</v>
      </c>
      <c r="AD110" s="813">
        <v>0</v>
      </c>
      <c r="AE110" s="813">
        <f t="shared" si="142"/>
        <v>0</v>
      </c>
      <c r="AF110" s="813">
        <f t="shared" si="143"/>
        <v>0</v>
      </c>
      <c r="AG110" s="836">
        <v>0</v>
      </c>
      <c r="AH110" s="836">
        <v>0</v>
      </c>
      <c r="AI110" s="836">
        <v>0</v>
      </c>
      <c r="AJ110" s="836">
        <v>0</v>
      </c>
      <c r="AK110" s="836">
        <v>0</v>
      </c>
      <c r="AL110" s="836">
        <f t="shared" si="144"/>
        <v>0</v>
      </c>
      <c r="AM110" s="836">
        <f t="shared" si="145"/>
        <v>0</v>
      </c>
      <c r="AN110" s="837">
        <f t="shared" si="146"/>
        <v>0</v>
      </c>
      <c r="AO110" s="835">
        <f t="shared" si="147"/>
        <v>45644</v>
      </c>
      <c r="AP110" s="813">
        <f t="shared" si="148"/>
        <v>32175</v>
      </c>
      <c r="AQ110" s="813">
        <f t="shared" si="149"/>
        <v>0</v>
      </c>
      <c r="AR110" s="813">
        <f t="shared" si="150"/>
        <v>10875</v>
      </c>
      <c r="AS110" s="813">
        <f t="shared" si="150"/>
        <v>644</v>
      </c>
      <c r="AT110" s="813">
        <f t="shared" si="151"/>
        <v>1950</v>
      </c>
      <c r="AU110" s="836">
        <f t="shared" si="152"/>
        <v>0.14000000000000001</v>
      </c>
      <c r="AV110" s="836">
        <f t="shared" si="153"/>
        <v>0</v>
      </c>
      <c r="AW110" s="837">
        <f t="shared" si="153"/>
        <v>0.14000000000000001</v>
      </c>
    </row>
    <row r="111" spans="1:49" ht="12.95" customHeight="1" x14ac:dyDescent="0.25">
      <c r="A111" s="850">
        <v>20</v>
      </c>
      <c r="B111" s="951">
        <v>5479</v>
      </c>
      <c r="C111" s="952">
        <v>600099105</v>
      </c>
      <c r="D111" s="951">
        <v>70910600</v>
      </c>
      <c r="E111" s="1005" t="s">
        <v>477</v>
      </c>
      <c r="F111" s="951"/>
      <c r="G111" s="1006"/>
      <c r="H111" s="1007"/>
      <c r="I111" s="820">
        <f t="shared" ref="I111:AW111" si="154">SUM(I105:I110)</f>
        <v>18023853</v>
      </c>
      <c r="J111" s="821">
        <f t="shared" si="154"/>
        <v>13057307</v>
      </c>
      <c r="K111" s="821">
        <f t="shared" si="154"/>
        <v>4413370</v>
      </c>
      <c r="L111" s="821">
        <f t="shared" si="154"/>
        <v>261146</v>
      </c>
      <c r="M111" s="821">
        <f t="shared" si="154"/>
        <v>292030</v>
      </c>
      <c r="N111" s="822">
        <f t="shared" si="154"/>
        <v>26.158999999999999</v>
      </c>
      <c r="O111" s="822">
        <f t="shared" si="154"/>
        <v>17.891400000000001</v>
      </c>
      <c r="P111" s="824">
        <f t="shared" si="154"/>
        <v>8.2676000000000016</v>
      </c>
      <c r="Q111" s="825">
        <f t="shared" si="154"/>
        <v>-3840</v>
      </c>
      <c r="R111" s="821">
        <f t="shared" si="154"/>
        <v>440873</v>
      </c>
      <c r="S111" s="821">
        <f t="shared" si="154"/>
        <v>0</v>
      </c>
      <c r="T111" s="821">
        <f t="shared" si="154"/>
        <v>0</v>
      </c>
      <c r="U111" s="821">
        <f t="shared" si="154"/>
        <v>437033</v>
      </c>
      <c r="V111" s="821">
        <f t="shared" si="154"/>
        <v>3840</v>
      </c>
      <c r="W111" s="821">
        <f t="shared" si="154"/>
        <v>0</v>
      </c>
      <c r="X111" s="821">
        <f t="shared" si="154"/>
        <v>0</v>
      </c>
      <c r="Y111" s="821">
        <f t="shared" si="154"/>
        <v>3840</v>
      </c>
      <c r="Z111" s="821">
        <f t="shared" si="154"/>
        <v>440873</v>
      </c>
      <c r="AA111" s="821">
        <f t="shared" si="154"/>
        <v>149015</v>
      </c>
      <c r="AB111" s="821">
        <f t="shared" si="154"/>
        <v>8740</v>
      </c>
      <c r="AC111" s="821">
        <f t="shared" si="154"/>
        <v>0</v>
      </c>
      <c r="AD111" s="821">
        <f t="shared" si="154"/>
        <v>0</v>
      </c>
      <c r="AE111" s="821">
        <f t="shared" si="154"/>
        <v>0</v>
      </c>
      <c r="AF111" s="821">
        <f t="shared" si="154"/>
        <v>598628</v>
      </c>
      <c r="AG111" s="822">
        <f t="shared" si="154"/>
        <v>0</v>
      </c>
      <c r="AH111" s="822">
        <f t="shared" si="154"/>
        <v>-0.02</v>
      </c>
      <c r="AI111" s="822">
        <f t="shared" si="154"/>
        <v>1.29</v>
      </c>
      <c r="AJ111" s="822">
        <f t="shared" si="154"/>
        <v>0</v>
      </c>
      <c r="AK111" s="822">
        <f t="shared" si="154"/>
        <v>0</v>
      </c>
      <c r="AL111" s="822">
        <f t="shared" si="154"/>
        <v>1.29</v>
      </c>
      <c r="AM111" s="822">
        <f t="shared" si="154"/>
        <v>-0.02</v>
      </c>
      <c r="AN111" s="824">
        <f t="shared" si="154"/>
        <v>1.27</v>
      </c>
      <c r="AO111" s="825">
        <f t="shared" si="154"/>
        <v>18622481</v>
      </c>
      <c r="AP111" s="821">
        <f t="shared" si="154"/>
        <v>13494340</v>
      </c>
      <c r="AQ111" s="821">
        <f t="shared" si="154"/>
        <v>3840</v>
      </c>
      <c r="AR111" s="821">
        <f t="shared" si="154"/>
        <v>4562385</v>
      </c>
      <c r="AS111" s="821">
        <f t="shared" si="154"/>
        <v>269886</v>
      </c>
      <c r="AT111" s="821">
        <f t="shared" si="154"/>
        <v>292030</v>
      </c>
      <c r="AU111" s="822">
        <f t="shared" si="154"/>
        <v>27.428999999999998</v>
      </c>
      <c r="AV111" s="822">
        <f t="shared" si="154"/>
        <v>19.1814</v>
      </c>
      <c r="AW111" s="824">
        <f t="shared" si="154"/>
        <v>8.247600000000002</v>
      </c>
    </row>
    <row r="112" spans="1:49" ht="12.95" customHeight="1" x14ac:dyDescent="0.25">
      <c r="A112" s="828">
        <v>21</v>
      </c>
      <c r="B112" s="946">
        <v>5442</v>
      </c>
      <c r="C112" s="947">
        <v>650030541</v>
      </c>
      <c r="D112" s="828">
        <v>75017512</v>
      </c>
      <c r="E112" s="1004" t="s">
        <v>478</v>
      </c>
      <c r="F112" s="946">
        <v>3111</v>
      </c>
      <c r="G112" s="1000" t="s">
        <v>331</v>
      </c>
      <c r="H112" s="831" t="s">
        <v>283</v>
      </c>
      <c r="I112" s="803">
        <f t="shared" ref="I112:I117" si="155">SUM(J112:M112)</f>
        <v>2566999</v>
      </c>
      <c r="J112" s="833">
        <v>1877024</v>
      </c>
      <c r="K112" s="833">
        <f>ROUND((J112)*33.8%,0)</f>
        <v>634434</v>
      </c>
      <c r="L112" s="833">
        <f>ROUND(J112*2%,0)+1</f>
        <v>37541</v>
      </c>
      <c r="M112" s="833">
        <v>18000</v>
      </c>
      <c r="N112" s="834">
        <f>SUM(O112:P112)</f>
        <v>4.4057000000000004</v>
      </c>
      <c r="O112" s="1054">
        <v>3.4839000000000002</v>
      </c>
      <c r="P112" s="1055">
        <v>0.92179999999999995</v>
      </c>
      <c r="Q112" s="835">
        <f t="shared" ref="Q112:Q117" si="156">V112*-1</f>
        <v>0</v>
      </c>
      <c r="R112" s="813">
        <v>0</v>
      </c>
      <c r="S112" s="813">
        <v>0</v>
      </c>
      <c r="T112" s="813">
        <v>0</v>
      </c>
      <c r="U112" s="813">
        <f t="shared" ref="U112:U117" si="157">SUM(Q112:T112)</f>
        <v>0</v>
      </c>
      <c r="V112" s="813">
        <v>0</v>
      </c>
      <c r="W112" s="813">
        <v>0</v>
      </c>
      <c r="X112" s="813">
        <v>0</v>
      </c>
      <c r="Y112" s="813">
        <f t="shared" ref="Y112:Y117" si="158">SUM(V112:X112)</f>
        <v>0</v>
      </c>
      <c r="Z112" s="813">
        <f t="shared" ref="Z112:Z117" si="159">U112+Y112</f>
        <v>0</v>
      </c>
      <c r="AA112" s="809">
        <f t="shared" ref="AA112:AA117" si="160">ROUND((U112+V112+W112)*33.8%,0)</f>
        <v>0</v>
      </c>
      <c r="AB112" s="809">
        <f t="shared" ref="AB112:AB117" si="161">ROUND(U112*2%,0)</f>
        <v>0</v>
      </c>
      <c r="AC112" s="813">
        <v>0</v>
      </c>
      <c r="AD112" s="813">
        <v>0</v>
      </c>
      <c r="AE112" s="813">
        <f t="shared" ref="AE112:AE117" si="162">SUM(AC112:AD112)</f>
        <v>0</v>
      </c>
      <c r="AF112" s="813">
        <f t="shared" ref="AF112:AF117" si="163">Z112+AA112+AB112+AE112</f>
        <v>0</v>
      </c>
      <c r="AG112" s="836">
        <v>0</v>
      </c>
      <c r="AH112" s="836">
        <v>0</v>
      </c>
      <c r="AI112" s="836">
        <v>0</v>
      </c>
      <c r="AJ112" s="836">
        <v>0</v>
      </c>
      <c r="AK112" s="836">
        <v>0</v>
      </c>
      <c r="AL112" s="836">
        <f t="shared" ref="AL112:AL117" si="164">AG112+AI112+AJ112</f>
        <v>0</v>
      </c>
      <c r="AM112" s="836">
        <f t="shared" ref="AM112:AM117" si="165">AH112+AK112</f>
        <v>0</v>
      </c>
      <c r="AN112" s="837">
        <f t="shared" ref="AN112:AN117" si="166">SUM(AL112:AM112)</f>
        <v>0</v>
      </c>
      <c r="AO112" s="835">
        <f t="shared" ref="AO112:AO117" si="167">I112+AF112</f>
        <v>2566999</v>
      </c>
      <c r="AP112" s="813">
        <f t="shared" ref="AP112:AP117" si="168">J112+U112</f>
        <v>1877024</v>
      </c>
      <c r="AQ112" s="813">
        <f t="shared" ref="AQ112:AQ117" si="169">Y112</f>
        <v>0</v>
      </c>
      <c r="AR112" s="813">
        <f t="shared" ref="AR112:AS117" si="170">K112+AA112</f>
        <v>634434</v>
      </c>
      <c r="AS112" s="813">
        <f t="shared" si="170"/>
        <v>37541</v>
      </c>
      <c r="AT112" s="813">
        <f t="shared" ref="AT112:AT117" si="171">M112+AE112</f>
        <v>18000</v>
      </c>
      <c r="AU112" s="836">
        <f t="shared" ref="AU112:AU117" si="172">N112+AN112</f>
        <v>4.4057000000000004</v>
      </c>
      <c r="AV112" s="836">
        <f t="shared" ref="AV112:AW117" si="173">O112+AL112</f>
        <v>3.4839000000000002</v>
      </c>
      <c r="AW112" s="837">
        <f t="shared" si="173"/>
        <v>0.92179999999999995</v>
      </c>
    </row>
    <row r="113" spans="1:49" ht="12.95" customHeight="1" x14ac:dyDescent="0.25">
      <c r="A113" s="828">
        <v>21</v>
      </c>
      <c r="B113" s="946">
        <v>5442</v>
      </c>
      <c r="C113" s="947">
        <v>650030541</v>
      </c>
      <c r="D113" s="828">
        <v>75017512</v>
      </c>
      <c r="E113" s="1004" t="s">
        <v>478</v>
      </c>
      <c r="F113" s="946">
        <v>3113</v>
      </c>
      <c r="G113" s="1000" t="s">
        <v>335</v>
      </c>
      <c r="H113" s="831" t="s">
        <v>283</v>
      </c>
      <c r="I113" s="803">
        <f t="shared" si="155"/>
        <v>10452398</v>
      </c>
      <c r="J113" s="833">
        <v>7562223</v>
      </c>
      <c r="K113" s="833">
        <f>ROUND((J113)*33.8%,0)</f>
        <v>2556031</v>
      </c>
      <c r="L113" s="833">
        <f>ROUND(J113*2%,0)</f>
        <v>151244</v>
      </c>
      <c r="M113" s="833">
        <v>182900</v>
      </c>
      <c r="N113" s="834">
        <f>SUM(O113:P113)</f>
        <v>15.441799999999999</v>
      </c>
      <c r="O113" s="1054">
        <v>11.750299999999999</v>
      </c>
      <c r="P113" s="1055">
        <v>3.6914999999999996</v>
      </c>
      <c r="Q113" s="835">
        <f t="shared" si="156"/>
        <v>-20160</v>
      </c>
      <c r="R113" s="813">
        <v>0</v>
      </c>
      <c r="S113" s="813">
        <v>0</v>
      </c>
      <c r="T113" s="813">
        <v>0</v>
      </c>
      <c r="U113" s="813">
        <f t="shared" si="157"/>
        <v>-20160</v>
      </c>
      <c r="V113" s="813">
        <v>20160</v>
      </c>
      <c r="W113" s="813">
        <v>0</v>
      </c>
      <c r="X113" s="813">
        <v>0</v>
      </c>
      <c r="Y113" s="813">
        <f t="shared" si="158"/>
        <v>20160</v>
      </c>
      <c r="Z113" s="813">
        <f t="shared" si="159"/>
        <v>0</v>
      </c>
      <c r="AA113" s="809">
        <f t="shared" si="160"/>
        <v>0</v>
      </c>
      <c r="AB113" s="809">
        <f t="shared" si="161"/>
        <v>-403</v>
      </c>
      <c r="AC113" s="813">
        <v>0</v>
      </c>
      <c r="AD113" s="813">
        <v>0</v>
      </c>
      <c r="AE113" s="813">
        <f t="shared" si="162"/>
        <v>0</v>
      </c>
      <c r="AF113" s="813">
        <f t="shared" si="163"/>
        <v>-403</v>
      </c>
      <c r="AG113" s="836">
        <v>0</v>
      </c>
      <c r="AH113" s="836">
        <v>-0.08</v>
      </c>
      <c r="AI113" s="836">
        <v>0</v>
      </c>
      <c r="AJ113" s="836">
        <v>0</v>
      </c>
      <c r="AK113" s="836">
        <v>0</v>
      </c>
      <c r="AL113" s="836">
        <f t="shared" si="164"/>
        <v>0</v>
      </c>
      <c r="AM113" s="836">
        <f t="shared" si="165"/>
        <v>-0.08</v>
      </c>
      <c r="AN113" s="837">
        <f t="shared" si="166"/>
        <v>-0.08</v>
      </c>
      <c r="AO113" s="835">
        <f t="shared" si="167"/>
        <v>10451995</v>
      </c>
      <c r="AP113" s="813">
        <f t="shared" si="168"/>
        <v>7542063</v>
      </c>
      <c r="AQ113" s="813">
        <f t="shared" si="169"/>
        <v>20160</v>
      </c>
      <c r="AR113" s="813">
        <f t="shared" si="170"/>
        <v>2556031</v>
      </c>
      <c r="AS113" s="813">
        <f t="shared" si="170"/>
        <v>150841</v>
      </c>
      <c r="AT113" s="813">
        <f t="shared" si="171"/>
        <v>182900</v>
      </c>
      <c r="AU113" s="836">
        <f t="shared" si="172"/>
        <v>15.361799999999999</v>
      </c>
      <c r="AV113" s="836">
        <f t="shared" si="173"/>
        <v>11.750299999999999</v>
      </c>
      <c r="AW113" s="837">
        <f t="shared" si="173"/>
        <v>3.6114999999999995</v>
      </c>
    </row>
    <row r="114" spans="1:49" ht="12.95" customHeight="1" x14ac:dyDescent="0.25">
      <c r="A114" s="828">
        <v>21</v>
      </c>
      <c r="B114" s="946">
        <v>5442</v>
      </c>
      <c r="C114" s="947">
        <v>650030541</v>
      </c>
      <c r="D114" s="828">
        <v>75017512</v>
      </c>
      <c r="E114" s="1004" t="s">
        <v>478</v>
      </c>
      <c r="F114" s="946">
        <v>3113</v>
      </c>
      <c r="G114" s="831" t="s">
        <v>318</v>
      </c>
      <c r="H114" s="831" t="s">
        <v>284</v>
      </c>
      <c r="I114" s="803">
        <f t="shared" si="155"/>
        <v>0</v>
      </c>
      <c r="J114" s="833">
        <v>0</v>
      </c>
      <c r="K114" s="833">
        <v>0</v>
      </c>
      <c r="L114" s="833">
        <v>0</v>
      </c>
      <c r="M114" s="833">
        <v>0</v>
      </c>
      <c r="N114" s="834">
        <f>SUM(O114:P114)</f>
        <v>0</v>
      </c>
      <c r="O114" s="1054">
        <v>0</v>
      </c>
      <c r="P114" s="1055">
        <v>0</v>
      </c>
      <c r="Q114" s="835">
        <f t="shared" si="156"/>
        <v>0</v>
      </c>
      <c r="R114" s="833">
        <v>725654</v>
      </c>
      <c r="S114" s="813">
        <v>0</v>
      </c>
      <c r="T114" s="813">
        <v>0</v>
      </c>
      <c r="U114" s="813">
        <f t="shared" si="157"/>
        <v>725654</v>
      </c>
      <c r="V114" s="813">
        <v>0</v>
      </c>
      <c r="W114" s="813">
        <v>0</v>
      </c>
      <c r="X114" s="813">
        <v>0</v>
      </c>
      <c r="Y114" s="813">
        <f t="shared" si="158"/>
        <v>0</v>
      </c>
      <c r="Z114" s="813">
        <f t="shared" si="159"/>
        <v>725654</v>
      </c>
      <c r="AA114" s="809">
        <f t="shared" si="160"/>
        <v>245271</v>
      </c>
      <c r="AB114" s="809">
        <f t="shared" si="161"/>
        <v>14513</v>
      </c>
      <c r="AC114" s="833">
        <v>500</v>
      </c>
      <c r="AD114" s="813">
        <v>0</v>
      </c>
      <c r="AE114" s="813">
        <f t="shared" si="162"/>
        <v>500</v>
      </c>
      <c r="AF114" s="813">
        <f t="shared" si="163"/>
        <v>985938</v>
      </c>
      <c r="AG114" s="836">
        <v>0</v>
      </c>
      <c r="AH114" s="836">
        <v>0</v>
      </c>
      <c r="AI114" s="836">
        <v>2.08</v>
      </c>
      <c r="AJ114" s="836">
        <v>0</v>
      </c>
      <c r="AK114" s="836">
        <v>0</v>
      </c>
      <c r="AL114" s="836">
        <f t="shared" si="164"/>
        <v>2.08</v>
      </c>
      <c r="AM114" s="836">
        <f t="shared" si="165"/>
        <v>0</v>
      </c>
      <c r="AN114" s="837">
        <f t="shared" si="166"/>
        <v>2.08</v>
      </c>
      <c r="AO114" s="835">
        <f t="shared" si="167"/>
        <v>985938</v>
      </c>
      <c r="AP114" s="813">
        <f t="shared" si="168"/>
        <v>725654</v>
      </c>
      <c r="AQ114" s="813">
        <f t="shared" si="169"/>
        <v>0</v>
      </c>
      <c r="AR114" s="813">
        <f t="shared" si="170"/>
        <v>245271</v>
      </c>
      <c r="AS114" s="813">
        <f t="shared" si="170"/>
        <v>14513</v>
      </c>
      <c r="AT114" s="813">
        <f t="shared" si="171"/>
        <v>500</v>
      </c>
      <c r="AU114" s="836">
        <f t="shared" si="172"/>
        <v>2.08</v>
      </c>
      <c r="AV114" s="836">
        <f t="shared" si="173"/>
        <v>2.08</v>
      </c>
      <c r="AW114" s="837">
        <f t="shared" si="173"/>
        <v>0</v>
      </c>
    </row>
    <row r="115" spans="1:49" ht="12.95" customHeight="1" x14ac:dyDescent="0.25">
      <c r="A115" s="828">
        <v>21</v>
      </c>
      <c r="B115" s="946">
        <v>5442</v>
      </c>
      <c r="C115" s="947">
        <v>650030541</v>
      </c>
      <c r="D115" s="828">
        <v>75017512</v>
      </c>
      <c r="E115" s="1004" t="s">
        <v>478</v>
      </c>
      <c r="F115" s="946">
        <v>3141</v>
      </c>
      <c r="G115" s="1000" t="s">
        <v>321</v>
      </c>
      <c r="H115" s="831" t="s">
        <v>284</v>
      </c>
      <c r="I115" s="803">
        <f t="shared" si="155"/>
        <v>218887</v>
      </c>
      <c r="J115" s="833">
        <v>160064</v>
      </c>
      <c r="K115" s="805">
        <f>ROUND((J115)*33.8%,0)</f>
        <v>54102</v>
      </c>
      <c r="L115" s="833">
        <f>ROUND(J115*2%,0)</f>
        <v>3201</v>
      </c>
      <c r="M115" s="833">
        <v>1520</v>
      </c>
      <c r="N115" s="834">
        <f>O115+P115</f>
        <v>0.54</v>
      </c>
      <c r="O115" s="1054">
        <v>0</v>
      </c>
      <c r="P115" s="1055">
        <v>0.54</v>
      </c>
      <c r="Q115" s="835">
        <f t="shared" si="156"/>
        <v>0</v>
      </c>
      <c r="R115" s="813">
        <v>0</v>
      </c>
      <c r="S115" s="813">
        <v>0</v>
      </c>
      <c r="T115" s="813">
        <v>0</v>
      </c>
      <c r="U115" s="813">
        <f t="shared" si="157"/>
        <v>0</v>
      </c>
      <c r="V115" s="813">
        <v>0</v>
      </c>
      <c r="W115" s="813">
        <v>0</v>
      </c>
      <c r="X115" s="813">
        <v>0</v>
      </c>
      <c r="Y115" s="813">
        <f t="shared" si="158"/>
        <v>0</v>
      </c>
      <c r="Z115" s="813">
        <f t="shared" si="159"/>
        <v>0</v>
      </c>
      <c r="AA115" s="809">
        <f t="shared" si="160"/>
        <v>0</v>
      </c>
      <c r="AB115" s="809">
        <f t="shared" si="161"/>
        <v>0</v>
      </c>
      <c r="AC115" s="813">
        <v>0</v>
      </c>
      <c r="AD115" s="813">
        <v>0</v>
      </c>
      <c r="AE115" s="813">
        <f t="shared" si="162"/>
        <v>0</v>
      </c>
      <c r="AF115" s="813">
        <f t="shared" si="163"/>
        <v>0</v>
      </c>
      <c r="AG115" s="836">
        <v>0</v>
      </c>
      <c r="AH115" s="836">
        <v>0</v>
      </c>
      <c r="AI115" s="836">
        <v>0</v>
      </c>
      <c r="AJ115" s="836">
        <v>0</v>
      </c>
      <c r="AK115" s="836">
        <v>0</v>
      </c>
      <c r="AL115" s="836">
        <f t="shared" si="164"/>
        <v>0</v>
      </c>
      <c r="AM115" s="836">
        <f t="shared" si="165"/>
        <v>0</v>
      </c>
      <c r="AN115" s="837">
        <f t="shared" si="166"/>
        <v>0</v>
      </c>
      <c r="AO115" s="835">
        <f t="shared" si="167"/>
        <v>218887</v>
      </c>
      <c r="AP115" s="813">
        <f t="shared" si="168"/>
        <v>160064</v>
      </c>
      <c r="AQ115" s="813">
        <f t="shared" si="169"/>
        <v>0</v>
      </c>
      <c r="AR115" s="813">
        <f t="shared" si="170"/>
        <v>54102</v>
      </c>
      <c r="AS115" s="813">
        <f t="shared" si="170"/>
        <v>3201</v>
      </c>
      <c r="AT115" s="813">
        <f t="shared" si="171"/>
        <v>1520</v>
      </c>
      <c r="AU115" s="836">
        <f t="shared" si="172"/>
        <v>0.54</v>
      </c>
      <c r="AV115" s="836">
        <f t="shared" si="173"/>
        <v>0</v>
      </c>
      <c r="AW115" s="837">
        <f t="shared" si="173"/>
        <v>0.54</v>
      </c>
    </row>
    <row r="116" spans="1:49" ht="12.95" customHeight="1" x14ac:dyDescent="0.25">
      <c r="A116" s="828">
        <v>21</v>
      </c>
      <c r="B116" s="946">
        <v>5442</v>
      </c>
      <c r="C116" s="947">
        <v>650030541</v>
      </c>
      <c r="D116" s="828">
        <v>75017512</v>
      </c>
      <c r="E116" s="1004" t="s">
        <v>478</v>
      </c>
      <c r="F116" s="946">
        <v>3143</v>
      </c>
      <c r="G116" s="831" t="s">
        <v>635</v>
      </c>
      <c r="H116" s="831" t="s">
        <v>283</v>
      </c>
      <c r="I116" s="803">
        <f t="shared" si="155"/>
        <v>1158039</v>
      </c>
      <c r="J116" s="833">
        <v>852753</v>
      </c>
      <c r="K116" s="833">
        <f>ROUND((J116)*33.8%,0)</f>
        <v>288231</v>
      </c>
      <c r="L116" s="833">
        <f>ROUND(J116*2%,0)</f>
        <v>17055</v>
      </c>
      <c r="M116" s="833">
        <v>0</v>
      </c>
      <c r="N116" s="834">
        <f>SUM(O116:P116)</f>
        <v>1.9213</v>
      </c>
      <c r="O116" s="1054">
        <v>1.9213</v>
      </c>
      <c r="P116" s="1055">
        <v>0</v>
      </c>
      <c r="Q116" s="835">
        <f t="shared" si="156"/>
        <v>0</v>
      </c>
      <c r="R116" s="813">
        <v>0</v>
      </c>
      <c r="S116" s="813">
        <v>0</v>
      </c>
      <c r="T116" s="813">
        <v>0</v>
      </c>
      <c r="U116" s="813">
        <f t="shared" si="157"/>
        <v>0</v>
      </c>
      <c r="V116" s="813">
        <v>0</v>
      </c>
      <c r="W116" s="813">
        <v>0</v>
      </c>
      <c r="X116" s="813">
        <v>0</v>
      </c>
      <c r="Y116" s="813">
        <f t="shared" si="158"/>
        <v>0</v>
      </c>
      <c r="Z116" s="813">
        <f t="shared" si="159"/>
        <v>0</v>
      </c>
      <c r="AA116" s="809">
        <f t="shared" si="160"/>
        <v>0</v>
      </c>
      <c r="AB116" s="809">
        <f t="shared" si="161"/>
        <v>0</v>
      </c>
      <c r="AC116" s="813">
        <v>0</v>
      </c>
      <c r="AD116" s="813">
        <v>0</v>
      </c>
      <c r="AE116" s="813">
        <f t="shared" si="162"/>
        <v>0</v>
      </c>
      <c r="AF116" s="813">
        <f t="shared" si="163"/>
        <v>0</v>
      </c>
      <c r="AG116" s="836">
        <v>0</v>
      </c>
      <c r="AH116" s="836">
        <v>0</v>
      </c>
      <c r="AI116" s="836">
        <v>0</v>
      </c>
      <c r="AJ116" s="836">
        <v>0</v>
      </c>
      <c r="AK116" s="836">
        <v>0</v>
      </c>
      <c r="AL116" s="836">
        <f t="shared" si="164"/>
        <v>0</v>
      </c>
      <c r="AM116" s="836">
        <f t="shared" si="165"/>
        <v>0</v>
      </c>
      <c r="AN116" s="837">
        <f t="shared" si="166"/>
        <v>0</v>
      </c>
      <c r="AO116" s="835">
        <f t="shared" si="167"/>
        <v>1158039</v>
      </c>
      <c r="AP116" s="813">
        <f t="shared" si="168"/>
        <v>852753</v>
      </c>
      <c r="AQ116" s="813">
        <f t="shared" si="169"/>
        <v>0</v>
      </c>
      <c r="AR116" s="813">
        <f t="shared" si="170"/>
        <v>288231</v>
      </c>
      <c r="AS116" s="813">
        <f t="shared" si="170"/>
        <v>17055</v>
      </c>
      <c r="AT116" s="813">
        <f t="shared" si="171"/>
        <v>0</v>
      </c>
      <c r="AU116" s="836">
        <f t="shared" si="172"/>
        <v>1.9213</v>
      </c>
      <c r="AV116" s="836">
        <f t="shared" si="173"/>
        <v>1.9213</v>
      </c>
      <c r="AW116" s="837">
        <f t="shared" si="173"/>
        <v>0</v>
      </c>
    </row>
    <row r="117" spans="1:49" ht="12.95" customHeight="1" x14ac:dyDescent="0.25">
      <c r="A117" s="828">
        <v>21</v>
      </c>
      <c r="B117" s="946">
        <v>5442</v>
      </c>
      <c r="C117" s="947">
        <v>650030541</v>
      </c>
      <c r="D117" s="828">
        <v>75017512</v>
      </c>
      <c r="E117" s="1004" t="s">
        <v>478</v>
      </c>
      <c r="F117" s="946">
        <v>3143</v>
      </c>
      <c r="G117" s="831" t="s">
        <v>636</v>
      </c>
      <c r="H117" s="831" t="s">
        <v>284</v>
      </c>
      <c r="I117" s="803">
        <f t="shared" si="155"/>
        <v>28088</v>
      </c>
      <c r="J117" s="833">
        <v>19800</v>
      </c>
      <c r="K117" s="805">
        <f>ROUND((J117)*33.8%,0)</f>
        <v>6692</v>
      </c>
      <c r="L117" s="833">
        <f>ROUND(J117*2%,0)</f>
        <v>396</v>
      </c>
      <c r="M117" s="833">
        <v>1200</v>
      </c>
      <c r="N117" s="834">
        <f>SUM(O117:P117)</f>
        <v>0.08</v>
      </c>
      <c r="O117" s="1054">
        <v>0</v>
      </c>
      <c r="P117" s="1055">
        <v>0.08</v>
      </c>
      <c r="Q117" s="835">
        <f t="shared" si="156"/>
        <v>0</v>
      </c>
      <c r="R117" s="813">
        <v>0</v>
      </c>
      <c r="S117" s="813">
        <v>0</v>
      </c>
      <c r="T117" s="813">
        <v>0</v>
      </c>
      <c r="U117" s="813">
        <f t="shared" si="157"/>
        <v>0</v>
      </c>
      <c r="V117" s="813">
        <v>0</v>
      </c>
      <c r="W117" s="813">
        <v>0</v>
      </c>
      <c r="X117" s="813">
        <v>0</v>
      </c>
      <c r="Y117" s="813">
        <f t="shared" si="158"/>
        <v>0</v>
      </c>
      <c r="Z117" s="813">
        <f t="shared" si="159"/>
        <v>0</v>
      </c>
      <c r="AA117" s="809">
        <f t="shared" si="160"/>
        <v>0</v>
      </c>
      <c r="AB117" s="809">
        <f t="shared" si="161"/>
        <v>0</v>
      </c>
      <c r="AC117" s="813">
        <v>0</v>
      </c>
      <c r="AD117" s="813">
        <v>0</v>
      </c>
      <c r="AE117" s="813">
        <f t="shared" si="162"/>
        <v>0</v>
      </c>
      <c r="AF117" s="813">
        <f t="shared" si="163"/>
        <v>0</v>
      </c>
      <c r="AG117" s="836">
        <v>0</v>
      </c>
      <c r="AH117" s="836">
        <v>0</v>
      </c>
      <c r="AI117" s="836">
        <v>0</v>
      </c>
      <c r="AJ117" s="836">
        <v>0</v>
      </c>
      <c r="AK117" s="836">
        <v>0</v>
      </c>
      <c r="AL117" s="836">
        <f t="shared" si="164"/>
        <v>0</v>
      </c>
      <c r="AM117" s="836">
        <f t="shared" si="165"/>
        <v>0</v>
      </c>
      <c r="AN117" s="837">
        <f t="shared" si="166"/>
        <v>0</v>
      </c>
      <c r="AO117" s="835">
        <f t="shared" si="167"/>
        <v>28088</v>
      </c>
      <c r="AP117" s="813">
        <f t="shared" si="168"/>
        <v>19800</v>
      </c>
      <c r="AQ117" s="813">
        <f t="shared" si="169"/>
        <v>0</v>
      </c>
      <c r="AR117" s="813">
        <f t="shared" si="170"/>
        <v>6692</v>
      </c>
      <c r="AS117" s="813">
        <f t="shared" si="170"/>
        <v>396</v>
      </c>
      <c r="AT117" s="813">
        <f t="shared" si="171"/>
        <v>1200</v>
      </c>
      <c r="AU117" s="836">
        <f t="shared" si="172"/>
        <v>0.08</v>
      </c>
      <c r="AV117" s="836">
        <f t="shared" si="173"/>
        <v>0</v>
      </c>
      <c r="AW117" s="837">
        <f t="shared" si="173"/>
        <v>0.08</v>
      </c>
    </row>
    <row r="118" spans="1:49" ht="12.95" customHeight="1" x14ac:dyDescent="0.25">
      <c r="A118" s="850">
        <v>21</v>
      </c>
      <c r="B118" s="951">
        <v>5442</v>
      </c>
      <c r="C118" s="952">
        <v>650030541</v>
      </c>
      <c r="D118" s="951">
        <v>75017512</v>
      </c>
      <c r="E118" s="1005" t="s">
        <v>479</v>
      </c>
      <c r="F118" s="951"/>
      <c r="G118" s="1006"/>
      <c r="H118" s="1007"/>
      <c r="I118" s="1008">
        <f t="shared" ref="I118:AW118" si="174">SUM(I112:I117)</f>
        <v>14424411</v>
      </c>
      <c r="J118" s="1009">
        <f t="shared" si="174"/>
        <v>10471864</v>
      </c>
      <c r="K118" s="1009">
        <f t="shared" si="174"/>
        <v>3539490</v>
      </c>
      <c r="L118" s="1009">
        <f t="shared" si="174"/>
        <v>209437</v>
      </c>
      <c r="M118" s="1009">
        <f t="shared" si="174"/>
        <v>203620</v>
      </c>
      <c r="N118" s="1010">
        <f t="shared" si="174"/>
        <v>22.388799999999996</v>
      </c>
      <c r="O118" s="1010">
        <f t="shared" si="174"/>
        <v>17.1555</v>
      </c>
      <c r="P118" s="1012">
        <f t="shared" si="174"/>
        <v>5.2332999999999998</v>
      </c>
      <c r="Q118" s="1011">
        <f t="shared" si="174"/>
        <v>-20160</v>
      </c>
      <c r="R118" s="1009">
        <f t="shared" si="174"/>
        <v>725654</v>
      </c>
      <c r="S118" s="1009">
        <f t="shared" si="174"/>
        <v>0</v>
      </c>
      <c r="T118" s="1009">
        <f t="shared" si="174"/>
        <v>0</v>
      </c>
      <c r="U118" s="1009">
        <f t="shared" si="174"/>
        <v>705494</v>
      </c>
      <c r="V118" s="1009">
        <f t="shared" si="174"/>
        <v>20160</v>
      </c>
      <c r="W118" s="1009">
        <f t="shared" si="174"/>
        <v>0</v>
      </c>
      <c r="X118" s="1009">
        <f t="shared" si="174"/>
        <v>0</v>
      </c>
      <c r="Y118" s="1009">
        <f t="shared" si="174"/>
        <v>20160</v>
      </c>
      <c r="Z118" s="1009">
        <f t="shared" si="174"/>
        <v>725654</v>
      </c>
      <c r="AA118" s="1009">
        <f t="shared" si="174"/>
        <v>245271</v>
      </c>
      <c r="AB118" s="1009">
        <f t="shared" si="174"/>
        <v>14110</v>
      </c>
      <c r="AC118" s="1009">
        <f t="shared" si="174"/>
        <v>500</v>
      </c>
      <c r="AD118" s="1009">
        <f t="shared" si="174"/>
        <v>0</v>
      </c>
      <c r="AE118" s="1009">
        <f t="shared" si="174"/>
        <v>500</v>
      </c>
      <c r="AF118" s="1009">
        <f t="shared" si="174"/>
        <v>985535</v>
      </c>
      <c r="AG118" s="1010">
        <f t="shared" si="174"/>
        <v>0</v>
      </c>
      <c r="AH118" s="1010">
        <f t="shared" si="174"/>
        <v>-0.08</v>
      </c>
      <c r="AI118" s="1010">
        <f t="shared" si="174"/>
        <v>2.08</v>
      </c>
      <c r="AJ118" s="1010">
        <f t="shared" si="174"/>
        <v>0</v>
      </c>
      <c r="AK118" s="1010">
        <f t="shared" si="174"/>
        <v>0</v>
      </c>
      <c r="AL118" s="1010">
        <f t="shared" si="174"/>
        <v>2.08</v>
      </c>
      <c r="AM118" s="1010">
        <f t="shared" si="174"/>
        <v>-0.08</v>
      </c>
      <c r="AN118" s="1012">
        <f t="shared" si="174"/>
        <v>2</v>
      </c>
      <c r="AO118" s="1011">
        <f t="shared" si="174"/>
        <v>15409946</v>
      </c>
      <c r="AP118" s="1009">
        <f t="shared" si="174"/>
        <v>11177358</v>
      </c>
      <c r="AQ118" s="1009">
        <f t="shared" si="174"/>
        <v>20160</v>
      </c>
      <c r="AR118" s="1009">
        <f t="shared" si="174"/>
        <v>3784761</v>
      </c>
      <c r="AS118" s="1009">
        <f t="shared" si="174"/>
        <v>223547</v>
      </c>
      <c r="AT118" s="1009">
        <f t="shared" si="174"/>
        <v>204120</v>
      </c>
      <c r="AU118" s="1010">
        <f t="shared" si="174"/>
        <v>24.388799999999993</v>
      </c>
      <c r="AV118" s="1010">
        <f t="shared" si="174"/>
        <v>19.235499999999998</v>
      </c>
      <c r="AW118" s="1012">
        <f t="shared" si="174"/>
        <v>5.1532999999999998</v>
      </c>
    </row>
    <row r="119" spans="1:49" ht="12.95" customHeight="1" x14ac:dyDescent="0.25">
      <c r="A119" s="828">
        <v>22</v>
      </c>
      <c r="B119" s="946">
        <v>5453</v>
      </c>
      <c r="C119" s="947">
        <v>600099211</v>
      </c>
      <c r="D119" s="828">
        <v>854760</v>
      </c>
      <c r="E119" s="1004" t="s">
        <v>480</v>
      </c>
      <c r="F119" s="946">
        <v>3111</v>
      </c>
      <c r="G119" s="1000" t="s">
        <v>331</v>
      </c>
      <c r="H119" s="831" t="s">
        <v>283</v>
      </c>
      <c r="I119" s="803">
        <f t="shared" ref="I119:I125" si="175">SUM(J119:M119)</f>
        <v>5542076</v>
      </c>
      <c r="J119" s="833">
        <v>4056205</v>
      </c>
      <c r="K119" s="833">
        <f>ROUND((J119)*33.8%,0)</f>
        <v>1370997</v>
      </c>
      <c r="L119" s="833">
        <f>ROUND(J119*2%,0)</f>
        <v>81124</v>
      </c>
      <c r="M119" s="833">
        <v>33750</v>
      </c>
      <c r="N119" s="834">
        <f>SUM(O119:P119)</f>
        <v>9.6402999999999999</v>
      </c>
      <c r="O119" s="1054">
        <v>7.7965999999999998</v>
      </c>
      <c r="P119" s="1055">
        <v>1.8436999999999999</v>
      </c>
      <c r="Q119" s="835">
        <f t="shared" ref="Q119:Q125" si="176">V119*-1</f>
        <v>-4000</v>
      </c>
      <c r="R119" s="813">
        <v>0</v>
      </c>
      <c r="S119" s="813">
        <v>0</v>
      </c>
      <c r="T119" s="813">
        <v>0</v>
      </c>
      <c r="U119" s="813">
        <f t="shared" ref="U119:U125" si="177">SUM(Q119:T119)</f>
        <v>-4000</v>
      </c>
      <c r="V119" s="813">
        <v>4000</v>
      </c>
      <c r="W119" s="813">
        <v>0</v>
      </c>
      <c r="X119" s="813">
        <v>0</v>
      </c>
      <c r="Y119" s="813">
        <f t="shared" ref="Y119:Y125" si="178">SUM(V119:X119)</f>
        <v>4000</v>
      </c>
      <c r="Z119" s="813">
        <f t="shared" ref="Z119:Z125" si="179">U119+Y119</f>
        <v>0</v>
      </c>
      <c r="AA119" s="809">
        <f t="shared" ref="AA119:AA125" si="180">ROUND((U119+V119+W119)*33.8%,0)</f>
        <v>0</v>
      </c>
      <c r="AB119" s="809">
        <f t="shared" ref="AB119:AB125" si="181">ROUND(U119*2%,0)</f>
        <v>-80</v>
      </c>
      <c r="AC119" s="813">
        <v>0</v>
      </c>
      <c r="AD119" s="813">
        <v>0</v>
      </c>
      <c r="AE119" s="813">
        <f t="shared" ref="AE119:AE125" si="182">SUM(AC119:AD119)</f>
        <v>0</v>
      </c>
      <c r="AF119" s="813">
        <f t="shared" ref="AF119:AF125" si="183">Z119+AA119+AB119+AE119</f>
        <v>-80</v>
      </c>
      <c r="AG119" s="836">
        <v>0</v>
      </c>
      <c r="AH119" s="836">
        <v>-0.02</v>
      </c>
      <c r="AI119" s="836">
        <v>0</v>
      </c>
      <c r="AJ119" s="836">
        <v>0</v>
      </c>
      <c r="AK119" s="836">
        <v>0</v>
      </c>
      <c r="AL119" s="836">
        <f t="shared" ref="AL119:AL125" si="184">AG119+AI119+AJ119</f>
        <v>0</v>
      </c>
      <c r="AM119" s="836">
        <f t="shared" ref="AM119:AM125" si="185">AH119+AK119</f>
        <v>-0.02</v>
      </c>
      <c r="AN119" s="837">
        <f t="shared" ref="AN119:AN125" si="186">SUM(AL119:AM119)</f>
        <v>-0.02</v>
      </c>
      <c r="AO119" s="835">
        <f t="shared" ref="AO119:AO125" si="187">I119+AF119</f>
        <v>5541996</v>
      </c>
      <c r="AP119" s="813">
        <f t="shared" ref="AP119:AP125" si="188">J119+U119</f>
        <v>4052205</v>
      </c>
      <c r="AQ119" s="813">
        <f t="shared" ref="AQ119:AQ125" si="189">Y119</f>
        <v>4000</v>
      </c>
      <c r="AR119" s="813">
        <f t="shared" ref="AR119:AS125" si="190">K119+AA119</f>
        <v>1370997</v>
      </c>
      <c r="AS119" s="813">
        <f t="shared" si="190"/>
        <v>81044</v>
      </c>
      <c r="AT119" s="813">
        <f t="shared" ref="AT119:AT125" si="191">M119+AE119</f>
        <v>33750</v>
      </c>
      <c r="AU119" s="836">
        <f t="shared" ref="AU119:AU125" si="192">N119+AN119</f>
        <v>9.6203000000000003</v>
      </c>
      <c r="AV119" s="836">
        <f t="shared" ref="AV119:AW125" si="193">O119+AL119</f>
        <v>7.7965999999999998</v>
      </c>
      <c r="AW119" s="837">
        <f t="shared" si="193"/>
        <v>1.8236999999999999</v>
      </c>
    </row>
    <row r="120" spans="1:49" ht="12.95" customHeight="1" x14ac:dyDescent="0.25">
      <c r="A120" s="828">
        <v>22</v>
      </c>
      <c r="B120" s="946">
        <v>5453</v>
      </c>
      <c r="C120" s="947">
        <v>600099211</v>
      </c>
      <c r="D120" s="828">
        <v>854760</v>
      </c>
      <c r="E120" s="1004" t="s">
        <v>480</v>
      </c>
      <c r="F120" s="946">
        <v>3113</v>
      </c>
      <c r="G120" s="1000" t="s">
        <v>335</v>
      </c>
      <c r="H120" s="831" t="s">
        <v>283</v>
      </c>
      <c r="I120" s="803">
        <f t="shared" si="175"/>
        <v>23109889</v>
      </c>
      <c r="J120" s="833">
        <v>16677415</v>
      </c>
      <c r="K120" s="833">
        <f>ROUND((J120)*33.8%,0)</f>
        <v>5636966</v>
      </c>
      <c r="L120" s="833">
        <f>ROUND(J120*2%,0)</f>
        <v>333548</v>
      </c>
      <c r="M120" s="833">
        <v>461960</v>
      </c>
      <c r="N120" s="834">
        <f>SUM(O120:P120)</f>
        <v>31.918399999999998</v>
      </c>
      <c r="O120" s="1054">
        <v>24.082699999999999</v>
      </c>
      <c r="P120" s="1055">
        <v>7.8356999999999992</v>
      </c>
      <c r="Q120" s="835">
        <f t="shared" si="176"/>
        <v>-6400</v>
      </c>
      <c r="R120" s="813">
        <v>0</v>
      </c>
      <c r="S120" s="813">
        <v>0</v>
      </c>
      <c r="T120" s="813">
        <v>0</v>
      </c>
      <c r="U120" s="813">
        <f t="shared" si="177"/>
        <v>-6400</v>
      </c>
      <c r="V120" s="813">
        <v>6400</v>
      </c>
      <c r="W120" s="813">
        <v>0</v>
      </c>
      <c r="X120" s="813">
        <v>0</v>
      </c>
      <c r="Y120" s="813">
        <f t="shared" si="178"/>
        <v>6400</v>
      </c>
      <c r="Z120" s="813">
        <f t="shared" si="179"/>
        <v>0</v>
      </c>
      <c r="AA120" s="809">
        <f t="shared" si="180"/>
        <v>0</v>
      </c>
      <c r="AB120" s="809">
        <f t="shared" si="181"/>
        <v>-128</v>
      </c>
      <c r="AC120" s="813">
        <v>0</v>
      </c>
      <c r="AD120" s="813">
        <v>0</v>
      </c>
      <c r="AE120" s="813">
        <f t="shared" si="182"/>
        <v>0</v>
      </c>
      <c r="AF120" s="813">
        <f t="shared" si="183"/>
        <v>-128</v>
      </c>
      <c r="AG120" s="836">
        <v>0</v>
      </c>
      <c r="AH120" s="836">
        <v>-0.03</v>
      </c>
      <c r="AI120" s="836">
        <v>0</v>
      </c>
      <c r="AJ120" s="836">
        <v>0</v>
      </c>
      <c r="AK120" s="836">
        <v>0</v>
      </c>
      <c r="AL120" s="836">
        <f t="shared" si="184"/>
        <v>0</v>
      </c>
      <c r="AM120" s="836">
        <f t="shared" si="185"/>
        <v>-0.03</v>
      </c>
      <c r="AN120" s="837">
        <f t="shared" si="186"/>
        <v>-0.03</v>
      </c>
      <c r="AO120" s="835">
        <f t="shared" si="187"/>
        <v>23109761</v>
      </c>
      <c r="AP120" s="813">
        <f t="shared" si="188"/>
        <v>16671015</v>
      </c>
      <c r="AQ120" s="813">
        <f t="shared" si="189"/>
        <v>6400</v>
      </c>
      <c r="AR120" s="813">
        <f t="shared" si="190"/>
        <v>5636966</v>
      </c>
      <c r="AS120" s="813">
        <f t="shared" si="190"/>
        <v>333420</v>
      </c>
      <c r="AT120" s="813">
        <f t="shared" si="191"/>
        <v>461960</v>
      </c>
      <c r="AU120" s="836">
        <f t="shared" si="192"/>
        <v>31.888399999999997</v>
      </c>
      <c r="AV120" s="836">
        <f t="shared" si="193"/>
        <v>24.082699999999999</v>
      </c>
      <c r="AW120" s="837">
        <f t="shared" si="193"/>
        <v>7.805699999999999</v>
      </c>
    </row>
    <row r="121" spans="1:49" ht="12.95" customHeight="1" x14ac:dyDescent="0.25">
      <c r="A121" s="828">
        <v>22</v>
      </c>
      <c r="B121" s="946">
        <v>5453</v>
      </c>
      <c r="C121" s="947">
        <v>600099211</v>
      </c>
      <c r="D121" s="828">
        <v>854760</v>
      </c>
      <c r="E121" s="1004" t="s">
        <v>480</v>
      </c>
      <c r="F121" s="946">
        <v>3113</v>
      </c>
      <c r="G121" s="831" t="s">
        <v>318</v>
      </c>
      <c r="H121" s="831" t="s">
        <v>284</v>
      </c>
      <c r="I121" s="803">
        <f t="shared" si="175"/>
        <v>0</v>
      </c>
      <c r="J121" s="833">
        <v>0</v>
      </c>
      <c r="K121" s="833">
        <v>0</v>
      </c>
      <c r="L121" s="833">
        <v>0</v>
      </c>
      <c r="M121" s="833">
        <v>0</v>
      </c>
      <c r="N121" s="834">
        <f>SUM(O121:P121)</f>
        <v>0</v>
      </c>
      <c r="O121" s="1054">
        <v>0</v>
      </c>
      <c r="P121" s="1055">
        <v>0</v>
      </c>
      <c r="Q121" s="835">
        <f t="shared" si="176"/>
        <v>0</v>
      </c>
      <c r="R121" s="833">
        <v>1095623</v>
      </c>
      <c r="S121" s="813">
        <v>0</v>
      </c>
      <c r="T121" s="813">
        <v>0</v>
      </c>
      <c r="U121" s="813">
        <f t="shared" si="177"/>
        <v>1095623</v>
      </c>
      <c r="V121" s="813">
        <v>0</v>
      </c>
      <c r="W121" s="813">
        <v>0</v>
      </c>
      <c r="X121" s="813">
        <v>0</v>
      </c>
      <c r="Y121" s="813">
        <f t="shared" si="178"/>
        <v>0</v>
      </c>
      <c r="Z121" s="813">
        <f t="shared" si="179"/>
        <v>1095623</v>
      </c>
      <c r="AA121" s="809">
        <f t="shared" si="180"/>
        <v>370321</v>
      </c>
      <c r="AB121" s="809">
        <f t="shared" si="181"/>
        <v>21912</v>
      </c>
      <c r="AC121" s="813">
        <v>0</v>
      </c>
      <c r="AD121" s="813">
        <v>0</v>
      </c>
      <c r="AE121" s="813">
        <f t="shared" si="182"/>
        <v>0</v>
      </c>
      <c r="AF121" s="813">
        <f t="shared" si="183"/>
        <v>1487856</v>
      </c>
      <c r="AG121" s="836">
        <v>0</v>
      </c>
      <c r="AH121" s="836">
        <v>0</v>
      </c>
      <c r="AI121" s="836">
        <v>2.74</v>
      </c>
      <c r="AJ121" s="836">
        <v>0</v>
      </c>
      <c r="AK121" s="836">
        <v>0</v>
      </c>
      <c r="AL121" s="836">
        <f t="shared" si="184"/>
        <v>2.74</v>
      </c>
      <c r="AM121" s="836">
        <f t="shared" si="185"/>
        <v>0</v>
      </c>
      <c r="AN121" s="837">
        <f t="shared" si="186"/>
        <v>2.74</v>
      </c>
      <c r="AO121" s="835">
        <f t="shared" si="187"/>
        <v>1487856</v>
      </c>
      <c r="AP121" s="813">
        <f t="shared" si="188"/>
        <v>1095623</v>
      </c>
      <c r="AQ121" s="813">
        <f t="shared" si="189"/>
        <v>0</v>
      </c>
      <c r="AR121" s="813">
        <f t="shared" si="190"/>
        <v>370321</v>
      </c>
      <c r="AS121" s="813">
        <f t="shared" si="190"/>
        <v>21912</v>
      </c>
      <c r="AT121" s="813">
        <f t="shared" si="191"/>
        <v>0</v>
      </c>
      <c r="AU121" s="836">
        <f t="shared" si="192"/>
        <v>2.74</v>
      </c>
      <c r="AV121" s="836">
        <f t="shared" si="193"/>
        <v>2.74</v>
      </c>
      <c r="AW121" s="837">
        <f t="shared" si="193"/>
        <v>0</v>
      </c>
    </row>
    <row r="122" spans="1:49" ht="12.95" customHeight="1" x14ac:dyDescent="0.25">
      <c r="A122" s="828">
        <v>22</v>
      </c>
      <c r="B122" s="946">
        <v>5453</v>
      </c>
      <c r="C122" s="947">
        <v>600099211</v>
      </c>
      <c r="D122" s="828">
        <v>854760</v>
      </c>
      <c r="E122" s="1004" t="s">
        <v>480</v>
      </c>
      <c r="F122" s="946">
        <v>3141</v>
      </c>
      <c r="G122" s="1000" t="s">
        <v>321</v>
      </c>
      <c r="H122" s="831" t="s">
        <v>284</v>
      </c>
      <c r="I122" s="803">
        <f t="shared" si="175"/>
        <v>2986242</v>
      </c>
      <c r="J122" s="833">
        <v>2182215</v>
      </c>
      <c r="K122" s="805">
        <f>ROUND((J122)*33.8%,0)</f>
        <v>737589</v>
      </c>
      <c r="L122" s="833">
        <f>ROUND(J122*2%,0)</f>
        <v>43644</v>
      </c>
      <c r="M122" s="833">
        <v>22794</v>
      </c>
      <c r="N122" s="834">
        <f>O122+P122</f>
        <v>7.42</v>
      </c>
      <c r="O122" s="1054">
        <v>0</v>
      </c>
      <c r="P122" s="1055">
        <v>7.42</v>
      </c>
      <c r="Q122" s="835">
        <f t="shared" si="176"/>
        <v>0</v>
      </c>
      <c r="R122" s="813">
        <v>0</v>
      </c>
      <c r="S122" s="813">
        <v>0</v>
      </c>
      <c r="T122" s="813">
        <v>0</v>
      </c>
      <c r="U122" s="813">
        <f t="shared" si="177"/>
        <v>0</v>
      </c>
      <c r="V122" s="813">
        <v>0</v>
      </c>
      <c r="W122" s="813">
        <v>0</v>
      </c>
      <c r="X122" s="813">
        <v>0</v>
      </c>
      <c r="Y122" s="813">
        <f t="shared" si="178"/>
        <v>0</v>
      </c>
      <c r="Z122" s="813">
        <f t="shared" si="179"/>
        <v>0</v>
      </c>
      <c r="AA122" s="809">
        <f t="shared" si="180"/>
        <v>0</v>
      </c>
      <c r="AB122" s="809">
        <f t="shared" si="181"/>
        <v>0</v>
      </c>
      <c r="AC122" s="813">
        <v>0</v>
      </c>
      <c r="AD122" s="813">
        <v>0</v>
      </c>
      <c r="AE122" s="813">
        <f t="shared" si="182"/>
        <v>0</v>
      </c>
      <c r="AF122" s="813">
        <f t="shared" si="183"/>
        <v>0</v>
      </c>
      <c r="AG122" s="836">
        <v>0</v>
      </c>
      <c r="AH122" s="836">
        <v>0</v>
      </c>
      <c r="AI122" s="836">
        <v>0</v>
      </c>
      <c r="AJ122" s="836">
        <v>0</v>
      </c>
      <c r="AK122" s="836">
        <v>0</v>
      </c>
      <c r="AL122" s="836">
        <f t="shared" si="184"/>
        <v>0</v>
      </c>
      <c r="AM122" s="836">
        <f t="shared" si="185"/>
        <v>0</v>
      </c>
      <c r="AN122" s="837">
        <f t="shared" si="186"/>
        <v>0</v>
      </c>
      <c r="AO122" s="835">
        <f t="shared" si="187"/>
        <v>2986242</v>
      </c>
      <c r="AP122" s="813">
        <f t="shared" si="188"/>
        <v>2182215</v>
      </c>
      <c r="AQ122" s="813">
        <f t="shared" si="189"/>
        <v>0</v>
      </c>
      <c r="AR122" s="813">
        <f t="shared" si="190"/>
        <v>737589</v>
      </c>
      <c r="AS122" s="813">
        <f t="shared" si="190"/>
        <v>43644</v>
      </c>
      <c r="AT122" s="813">
        <f t="shared" si="191"/>
        <v>22794</v>
      </c>
      <c r="AU122" s="836">
        <f t="shared" si="192"/>
        <v>7.42</v>
      </c>
      <c r="AV122" s="836">
        <f t="shared" si="193"/>
        <v>0</v>
      </c>
      <c r="AW122" s="837">
        <f t="shared" si="193"/>
        <v>7.42</v>
      </c>
    </row>
    <row r="123" spans="1:49" ht="12.95" customHeight="1" x14ac:dyDescent="0.25">
      <c r="A123" s="828">
        <v>22</v>
      </c>
      <c r="B123" s="946">
        <v>5453</v>
      </c>
      <c r="C123" s="947">
        <v>600099211</v>
      </c>
      <c r="D123" s="828">
        <v>854760</v>
      </c>
      <c r="E123" s="1004" t="s">
        <v>480</v>
      </c>
      <c r="F123" s="946">
        <v>3143</v>
      </c>
      <c r="G123" s="831" t="s">
        <v>635</v>
      </c>
      <c r="H123" s="831" t="s">
        <v>283</v>
      </c>
      <c r="I123" s="803">
        <f t="shared" si="175"/>
        <v>1723281</v>
      </c>
      <c r="J123" s="833">
        <v>1268984</v>
      </c>
      <c r="K123" s="833">
        <f>ROUND((J123)*33.8%,0)</f>
        <v>428917</v>
      </c>
      <c r="L123" s="833">
        <f>ROUND(J123*2%,0)</f>
        <v>25380</v>
      </c>
      <c r="M123" s="833">
        <v>0</v>
      </c>
      <c r="N123" s="834">
        <f>SUM(O123:P123)</f>
        <v>2.6265999999999998</v>
      </c>
      <c r="O123" s="1054">
        <v>2.6265999999999998</v>
      </c>
      <c r="P123" s="1055">
        <v>0</v>
      </c>
      <c r="Q123" s="835">
        <f t="shared" si="176"/>
        <v>0</v>
      </c>
      <c r="R123" s="813">
        <v>0</v>
      </c>
      <c r="S123" s="813">
        <v>0</v>
      </c>
      <c r="T123" s="813">
        <v>0</v>
      </c>
      <c r="U123" s="813">
        <f t="shared" si="177"/>
        <v>0</v>
      </c>
      <c r="V123" s="813">
        <v>0</v>
      </c>
      <c r="W123" s="813">
        <v>0</v>
      </c>
      <c r="X123" s="813">
        <v>0</v>
      </c>
      <c r="Y123" s="813">
        <f t="shared" si="178"/>
        <v>0</v>
      </c>
      <c r="Z123" s="813">
        <f t="shared" si="179"/>
        <v>0</v>
      </c>
      <c r="AA123" s="809">
        <f t="shared" si="180"/>
        <v>0</v>
      </c>
      <c r="AB123" s="809">
        <f t="shared" si="181"/>
        <v>0</v>
      </c>
      <c r="AC123" s="813">
        <v>0</v>
      </c>
      <c r="AD123" s="813">
        <v>0</v>
      </c>
      <c r="AE123" s="813">
        <f t="shared" si="182"/>
        <v>0</v>
      </c>
      <c r="AF123" s="813">
        <f t="shared" si="183"/>
        <v>0</v>
      </c>
      <c r="AG123" s="836">
        <v>0</v>
      </c>
      <c r="AH123" s="836">
        <v>0</v>
      </c>
      <c r="AI123" s="836">
        <v>0</v>
      </c>
      <c r="AJ123" s="836">
        <v>0</v>
      </c>
      <c r="AK123" s="836">
        <v>0</v>
      </c>
      <c r="AL123" s="836">
        <f t="shared" si="184"/>
        <v>0</v>
      </c>
      <c r="AM123" s="836">
        <f t="shared" si="185"/>
        <v>0</v>
      </c>
      <c r="AN123" s="837">
        <f t="shared" si="186"/>
        <v>0</v>
      </c>
      <c r="AO123" s="835">
        <f t="shared" si="187"/>
        <v>1723281</v>
      </c>
      <c r="AP123" s="813">
        <f t="shared" si="188"/>
        <v>1268984</v>
      </c>
      <c r="AQ123" s="813">
        <f t="shared" si="189"/>
        <v>0</v>
      </c>
      <c r="AR123" s="813">
        <f t="shared" si="190"/>
        <v>428917</v>
      </c>
      <c r="AS123" s="813">
        <f t="shared" si="190"/>
        <v>25380</v>
      </c>
      <c r="AT123" s="813">
        <f t="shared" si="191"/>
        <v>0</v>
      </c>
      <c r="AU123" s="836">
        <f t="shared" si="192"/>
        <v>2.6265999999999998</v>
      </c>
      <c r="AV123" s="836">
        <f t="shared" si="193"/>
        <v>2.6265999999999998</v>
      </c>
      <c r="AW123" s="837">
        <f t="shared" si="193"/>
        <v>0</v>
      </c>
    </row>
    <row r="124" spans="1:49" ht="12.95" customHeight="1" x14ac:dyDescent="0.25">
      <c r="A124" s="828">
        <v>22</v>
      </c>
      <c r="B124" s="946">
        <v>5453</v>
      </c>
      <c r="C124" s="947">
        <v>600099211</v>
      </c>
      <c r="D124" s="828">
        <v>854760</v>
      </c>
      <c r="E124" s="1004" t="s">
        <v>480</v>
      </c>
      <c r="F124" s="946">
        <v>3143</v>
      </c>
      <c r="G124" s="831" t="s">
        <v>636</v>
      </c>
      <c r="H124" s="831" t="s">
        <v>284</v>
      </c>
      <c r="I124" s="803">
        <f t="shared" si="175"/>
        <v>65306</v>
      </c>
      <c r="J124" s="833">
        <v>46035</v>
      </c>
      <c r="K124" s="805">
        <f>ROUND((J124)*33.8%,0)</f>
        <v>15560</v>
      </c>
      <c r="L124" s="833">
        <f>ROUND(J124*2%,0)</f>
        <v>921</v>
      </c>
      <c r="M124" s="833">
        <v>2790</v>
      </c>
      <c r="N124" s="834">
        <f>SUM(O124:P124)</f>
        <v>0.19</v>
      </c>
      <c r="O124" s="1054">
        <v>0</v>
      </c>
      <c r="P124" s="1055">
        <v>0.19</v>
      </c>
      <c r="Q124" s="835">
        <f t="shared" si="176"/>
        <v>0</v>
      </c>
      <c r="R124" s="813">
        <v>0</v>
      </c>
      <c r="S124" s="813">
        <v>0</v>
      </c>
      <c r="T124" s="813">
        <v>0</v>
      </c>
      <c r="U124" s="813">
        <f t="shared" si="177"/>
        <v>0</v>
      </c>
      <c r="V124" s="813">
        <v>0</v>
      </c>
      <c r="W124" s="813">
        <v>0</v>
      </c>
      <c r="X124" s="813">
        <v>0</v>
      </c>
      <c r="Y124" s="813">
        <f t="shared" si="178"/>
        <v>0</v>
      </c>
      <c r="Z124" s="813">
        <f t="shared" si="179"/>
        <v>0</v>
      </c>
      <c r="AA124" s="809">
        <f t="shared" si="180"/>
        <v>0</v>
      </c>
      <c r="AB124" s="809">
        <f t="shared" si="181"/>
        <v>0</v>
      </c>
      <c r="AC124" s="813">
        <v>0</v>
      </c>
      <c r="AD124" s="813">
        <v>0</v>
      </c>
      <c r="AE124" s="813">
        <f t="shared" si="182"/>
        <v>0</v>
      </c>
      <c r="AF124" s="813">
        <f t="shared" si="183"/>
        <v>0</v>
      </c>
      <c r="AG124" s="836">
        <v>0</v>
      </c>
      <c r="AH124" s="836">
        <v>0</v>
      </c>
      <c r="AI124" s="836">
        <v>0</v>
      </c>
      <c r="AJ124" s="836">
        <v>0</v>
      </c>
      <c r="AK124" s="836">
        <v>0</v>
      </c>
      <c r="AL124" s="836">
        <f t="shared" si="184"/>
        <v>0</v>
      </c>
      <c r="AM124" s="836">
        <f t="shared" si="185"/>
        <v>0</v>
      </c>
      <c r="AN124" s="837">
        <f t="shared" si="186"/>
        <v>0</v>
      </c>
      <c r="AO124" s="835">
        <f t="shared" si="187"/>
        <v>65306</v>
      </c>
      <c r="AP124" s="813">
        <f t="shared" si="188"/>
        <v>46035</v>
      </c>
      <c r="AQ124" s="813">
        <f t="shared" si="189"/>
        <v>0</v>
      </c>
      <c r="AR124" s="813">
        <f t="shared" si="190"/>
        <v>15560</v>
      </c>
      <c r="AS124" s="813">
        <f t="shared" si="190"/>
        <v>921</v>
      </c>
      <c r="AT124" s="813">
        <f t="shared" si="191"/>
        <v>2790</v>
      </c>
      <c r="AU124" s="836">
        <f t="shared" si="192"/>
        <v>0.19</v>
      </c>
      <c r="AV124" s="836">
        <f t="shared" si="193"/>
        <v>0</v>
      </c>
      <c r="AW124" s="837">
        <f t="shared" si="193"/>
        <v>0.19</v>
      </c>
    </row>
    <row r="125" spans="1:49" ht="12.95" customHeight="1" x14ac:dyDescent="0.25">
      <c r="A125" s="828">
        <v>22</v>
      </c>
      <c r="B125" s="946">
        <v>5453</v>
      </c>
      <c r="C125" s="947">
        <v>600099211</v>
      </c>
      <c r="D125" s="828">
        <v>854760</v>
      </c>
      <c r="E125" s="1004" t="s">
        <v>480</v>
      </c>
      <c r="F125" s="946">
        <v>3143</v>
      </c>
      <c r="G125" s="1000" t="s">
        <v>481</v>
      </c>
      <c r="H125" s="831" t="s">
        <v>284</v>
      </c>
      <c r="I125" s="803">
        <f t="shared" si="175"/>
        <v>336957</v>
      </c>
      <c r="J125" s="833">
        <v>247575</v>
      </c>
      <c r="K125" s="805">
        <f>ROUND((J125)*33.8%,0)</f>
        <v>83680</v>
      </c>
      <c r="L125" s="833">
        <f>ROUND(J125*2%,0)</f>
        <v>4952</v>
      </c>
      <c r="M125" s="833">
        <v>750</v>
      </c>
      <c r="N125" s="834">
        <f>SUM(O125:P125)</f>
        <v>0.55000000000000004</v>
      </c>
      <c r="O125" s="1054">
        <v>0.5</v>
      </c>
      <c r="P125" s="1055">
        <v>0.05</v>
      </c>
      <c r="Q125" s="835">
        <f t="shared" si="176"/>
        <v>0</v>
      </c>
      <c r="R125" s="813">
        <v>0</v>
      </c>
      <c r="S125" s="813">
        <v>0</v>
      </c>
      <c r="T125" s="813">
        <v>0</v>
      </c>
      <c r="U125" s="813">
        <f t="shared" si="177"/>
        <v>0</v>
      </c>
      <c r="V125" s="813">
        <v>0</v>
      </c>
      <c r="W125" s="813">
        <v>0</v>
      </c>
      <c r="X125" s="813">
        <v>0</v>
      </c>
      <c r="Y125" s="813">
        <f t="shared" si="178"/>
        <v>0</v>
      </c>
      <c r="Z125" s="813">
        <f t="shared" si="179"/>
        <v>0</v>
      </c>
      <c r="AA125" s="809">
        <f t="shared" si="180"/>
        <v>0</v>
      </c>
      <c r="AB125" s="809">
        <f t="shared" si="181"/>
        <v>0</v>
      </c>
      <c r="AC125" s="813">
        <v>0</v>
      </c>
      <c r="AD125" s="813">
        <v>0</v>
      </c>
      <c r="AE125" s="813">
        <f t="shared" si="182"/>
        <v>0</v>
      </c>
      <c r="AF125" s="813">
        <f t="shared" si="183"/>
        <v>0</v>
      </c>
      <c r="AG125" s="836">
        <v>0</v>
      </c>
      <c r="AH125" s="836">
        <v>0</v>
      </c>
      <c r="AI125" s="836">
        <v>0</v>
      </c>
      <c r="AJ125" s="836">
        <v>0</v>
      </c>
      <c r="AK125" s="836">
        <v>0</v>
      </c>
      <c r="AL125" s="836">
        <f t="shared" si="184"/>
        <v>0</v>
      </c>
      <c r="AM125" s="836">
        <f t="shared" si="185"/>
        <v>0</v>
      </c>
      <c r="AN125" s="837">
        <f t="shared" si="186"/>
        <v>0</v>
      </c>
      <c r="AO125" s="835">
        <f t="shared" si="187"/>
        <v>336957</v>
      </c>
      <c r="AP125" s="813">
        <f t="shared" si="188"/>
        <v>247575</v>
      </c>
      <c r="AQ125" s="813">
        <f t="shared" si="189"/>
        <v>0</v>
      </c>
      <c r="AR125" s="813">
        <f t="shared" si="190"/>
        <v>83680</v>
      </c>
      <c r="AS125" s="813">
        <f t="shared" si="190"/>
        <v>4952</v>
      </c>
      <c r="AT125" s="813">
        <f t="shared" si="191"/>
        <v>750</v>
      </c>
      <c r="AU125" s="836">
        <f t="shared" si="192"/>
        <v>0.55000000000000004</v>
      </c>
      <c r="AV125" s="836">
        <f t="shared" si="193"/>
        <v>0.5</v>
      </c>
      <c r="AW125" s="837">
        <f t="shared" si="193"/>
        <v>0.05</v>
      </c>
    </row>
    <row r="126" spans="1:49" ht="12.95" customHeight="1" x14ac:dyDescent="0.25">
      <c r="A126" s="850">
        <v>22</v>
      </c>
      <c r="B126" s="951">
        <v>5453</v>
      </c>
      <c r="C126" s="952">
        <v>600099211</v>
      </c>
      <c r="D126" s="951">
        <v>854760</v>
      </c>
      <c r="E126" s="1005" t="s">
        <v>482</v>
      </c>
      <c r="F126" s="951"/>
      <c r="G126" s="1006"/>
      <c r="H126" s="1007"/>
      <c r="I126" s="820">
        <f t="shared" ref="I126:AW126" si="194">SUM(I119:I125)</f>
        <v>33763751</v>
      </c>
      <c r="J126" s="821">
        <f t="shared" si="194"/>
        <v>24478429</v>
      </c>
      <c r="K126" s="821">
        <f t="shared" si="194"/>
        <v>8273709</v>
      </c>
      <c r="L126" s="821">
        <f t="shared" si="194"/>
        <v>489569</v>
      </c>
      <c r="M126" s="821">
        <f t="shared" si="194"/>
        <v>522044</v>
      </c>
      <c r="N126" s="822">
        <f t="shared" si="194"/>
        <v>52.345299999999995</v>
      </c>
      <c r="O126" s="822">
        <f t="shared" si="194"/>
        <v>35.005899999999997</v>
      </c>
      <c r="P126" s="824">
        <f t="shared" si="194"/>
        <v>17.339400000000001</v>
      </c>
      <c r="Q126" s="825">
        <f t="shared" si="194"/>
        <v>-10400</v>
      </c>
      <c r="R126" s="821">
        <f t="shared" si="194"/>
        <v>1095623</v>
      </c>
      <c r="S126" s="821">
        <f t="shared" si="194"/>
        <v>0</v>
      </c>
      <c r="T126" s="821">
        <f t="shared" si="194"/>
        <v>0</v>
      </c>
      <c r="U126" s="821">
        <f t="shared" si="194"/>
        <v>1085223</v>
      </c>
      <c r="V126" s="821">
        <f t="shared" si="194"/>
        <v>10400</v>
      </c>
      <c r="W126" s="821">
        <f t="shared" si="194"/>
        <v>0</v>
      </c>
      <c r="X126" s="821">
        <f t="shared" si="194"/>
        <v>0</v>
      </c>
      <c r="Y126" s="821">
        <f t="shared" si="194"/>
        <v>10400</v>
      </c>
      <c r="Z126" s="821">
        <f t="shared" si="194"/>
        <v>1095623</v>
      </c>
      <c r="AA126" s="821">
        <f t="shared" si="194"/>
        <v>370321</v>
      </c>
      <c r="AB126" s="821">
        <f t="shared" si="194"/>
        <v>21704</v>
      </c>
      <c r="AC126" s="821">
        <f t="shared" si="194"/>
        <v>0</v>
      </c>
      <c r="AD126" s="821">
        <f t="shared" si="194"/>
        <v>0</v>
      </c>
      <c r="AE126" s="821">
        <f t="shared" si="194"/>
        <v>0</v>
      </c>
      <c r="AF126" s="821">
        <f t="shared" si="194"/>
        <v>1487648</v>
      </c>
      <c r="AG126" s="822">
        <f t="shared" si="194"/>
        <v>0</v>
      </c>
      <c r="AH126" s="822">
        <f t="shared" si="194"/>
        <v>-0.05</v>
      </c>
      <c r="AI126" s="822">
        <f t="shared" si="194"/>
        <v>2.74</v>
      </c>
      <c r="AJ126" s="822">
        <f t="shared" si="194"/>
        <v>0</v>
      </c>
      <c r="AK126" s="822">
        <f t="shared" si="194"/>
        <v>0</v>
      </c>
      <c r="AL126" s="822">
        <f t="shared" si="194"/>
        <v>2.74</v>
      </c>
      <c r="AM126" s="822">
        <f t="shared" si="194"/>
        <v>-0.05</v>
      </c>
      <c r="AN126" s="824">
        <f t="shared" si="194"/>
        <v>2.6900000000000004</v>
      </c>
      <c r="AO126" s="825">
        <f t="shared" si="194"/>
        <v>35251399</v>
      </c>
      <c r="AP126" s="821">
        <f t="shared" si="194"/>
        <v>25563652</v>
      </c>
      <c r="AQ126" s="821">
        <f t="shared" si="194"/>
        <v>10400</v>
      </c>
      <c r="AR126" s="821">
        <f t="shared" si="194"/>
        <v>8644030</v>
      </c>
      <c r="AS126" s="821">
        <f t="shared" si="194"/>
        <v>511273</v>
      </c>
      <c r="AT126" s="821">
        <f t="shared" si="194"/>
        <v>522044</v>
      </c>
      <c r="AU126" s="822">
        <f t="shared" si="194"/>
        <v>55.035299999999992</v>
      </c>
      <c r="AV126" s="822">
        <f t="shared" si="194"/>
        <v>37.745900000000006</v>
      </c>
      <c r="AW126" s="824">
        <f t="shared" si="194"/>
        <v>17.289400000000001</v>
      </c>
    </row>
    <row r="127" spans="1:49" ht="12.95" customHeight="1" x14ac:dyDescent="0.25">
      <c r="A127" s="828">
        <v>23</v>
      </c>
      <c r="B127" s="828">
        <v>5429</v>
      </c>
      <c r="C127" s="961">
        <v>600098656</v>
      </c>
      <c r="D127" s="828">
        <v>70698309</v>
      </c>
      <c r="E127" s="830" t="s">
        <v>483</v>
      </c>
      <c r="F127" s="828">
        <v>3111</v>
      </c>
      <c r="G127" s="1000" t="s">
        <v>331</v>
      </c>
      <c r="H127" s="831" t="s">
        <v>283</v>
      </c>
      <c r="I127" s="803">
        <f>SUM(J127:M127)</f>
        <v>3261592</v>
      </c>
      <c r="J127" s="833">
        <v>2390826</v>
      </c>
      <c r="K127" s="833">
        <f>ROUND((J127)*33.8%,0)</f>
        <v>808099</v>
      </c>
      <c r="L127" s="833">
        <f>ROUND(J127*2%,0)</f>
        <v>47817</v>
      </c>
      <c r="M127" s="833">
        <v>14850</v>
      </c>
      <c r="N127" s="834">
        <f>SUM(O127:P127)</f>
        <v>5.7930000000000001</v>
      </c>
      <c r="O127" s="1054">
        <v>4.4032</v>
      </c>
      <c r="P127" s="1055">
        <v>1.3897999999999999</v>
      </c>
      <c r="Q127" s="835">
        <f>V127*-1</f>
        <v>-20000</v>
      </c>
      <c r="R127" s="813">
        <v>0</v>
      </c>
      <c r="S127" s="813">
        <v>0</v>
      </c>
      <c r="T127" s="813">
        <v>0</v>
      </c>
      <c r="U127" s="813">
        <f>SUM(Q127:T127)</f>
        <v>-20000</v>
      </c>
      <c r="V127" s="813">
        <v>20000</v>
      </c>
      <c r="W127" s="813">
        <v>0</v>
      </c>
      <c r="X127" s="813">
        <v>0</v>
      </c>
      <c r="Y127" s="813">
        <f>SUM(V127:X127)</f>
        <v>20000</v>
      </c>
      <c r="Z127" s="813">
        <f>U127+Y127</f>
        <v>0</v>
      </c>
      <c r="AA127" s="809">
        <f>ROUND((U127+V127+W127)*33.8%,0)</f>
        <v>0</v>
      </c>
      <c r="AB127" s="809">
        <f>ROUND(U127*2%,0)</f>
        <v>-400</v>
      </c>
      <c r="AC127" s="813">
        <v>0</v>
      </c>
      <c r="AD127" s="813">
        <v>0</v>
      </c>
      <c r="AE127" s="813">
        <f>SUM(AC127:AD127)</f>
        <v>0</v>
      </c>
      <c r="AF127" s="813">
        <f>Z127+AA127+AB127+AE127</f>
        <v>-400</v>
      </c>
      <c r="AG127" s="836">
        <v>0</v>
      </c>
      <c r="AH127" s="836">
        <v>-0.09</v>
      </c>
      <c r="AI127" s="836">
        <v>0</v>
      </c>
      <c r="AJ127" s="836">
        <v>0</v>
      </c>
      <c r="AK127" s="836">
        <v>0</v>
      </c>
      <c r="AL127" s="836">
        <f>AG127+AI127+AJ127</f>
        <v>0</v>
      </c>
      <c r="AM127" s="836">
        <f>AH127+AK127</f>
        <v>-0.09</v>
      </c>
      <c r="AN127" s="837">
        <f>SUM(AL127:AM127)</f>
        <v>-0.09</v>
      </c>
      <c r="AO127" s="835">
        <f>I127+AF127</f>
        <v>3261192</v>
      </c>
      <c r="AP127" s="813">
        <f>J127+U127</f>
        <v>2370826</v>
      </c>
      <c r="AQ127" s="813">
        <f>Y127</f>
        <v>20000</v>
      </c>
      <c r="AR127" s="813">
        <f t="shared" ref="AR127:AS129" si="195">K127+AA127</f>
        <v>808099</v>
      </c>
      <c r="AS127" s="813">
        <f t="shared" si="195"/>
        <v>47417</v>
      </c>
      <c r="AT127" s="813">
        <f>M127+AE127</f>
        <v>14850</v>
      </c>
      <c r="AU127" s="836">
        <f>N127+AN127</f>
        <v>5.7030000000000003</v>
      </c>
      <c r="AV127" s="836">
        <f t="shared" ref="AV127:AW129" si="196">O127+AL127</f>
        <v>4.4032</v>
      </c>
      <c r="AW127" s="837">
        <f t="shared" si="196"/>
        <v>1.2997999999999998</v>
      </c>
    </row>
    <row r="128" spans="1:49" ht="12.95" customHeight="1" x14ac:dyDescent="0.25">
      <c r="A128" s="828">
        <v>23</v>
      </c>
      <c r="B128" s="946">
        <v>5429</v>
      </c>
      <c r="C128" s="947">
        <v>600098656</v>
      </c>
      <c r="D128" s="828">
        <v>70698309</v>
      </c>
      <c r="E128" s="1004" t="s">
        <v>483</v>
      </c>
      <c r="F128" s="828">
        <v>3111</v>
      </c>
      <c r="G128" s="831" t="s">
        <v>318</v>
      </c>
      <c r="H128" s="831" t="s">
        <v>284</v>
      </c>
      <c r="I128" s="803">
        <f>SUM(J128:M128)</f>
        <v>0</v>
      </c>
      <c r="J128" s="833">
        <v>0</v>
      </c>
      <c r="K128" s="833">
        <f>ROUND((J128)*33.8%,0)</f>
        <v>0</v>
      </c>
      <c r="L128" s="833">
        <f>ROUND(J128*2%,0)</f>
        <v>0</v>
      </c>
      <c r="M128" s="833">
        <v>0</v>
      </c>
      <c r="N128" s="834">
        <f>SUM(O128:P128)</f>
        <v>0</v>
      </c>
      <c r="O128" s="1054">
        <v>0</v>
      </c>
      <c r="P128" s="1055">
        <v>0</v>
      </c>
      <c r="Q128" s="835">
        <f>V128*-1</f>
        <v>0</v>
      </c>
      <c r="R128" s="813">
        <v>0</v>
      </c>
      <c r="S128" s="813">
        <v>0</v>
      </c>
      <c r="T128" s="813">
        <v>0</v>
      </c>
      <c r="U128" s="813">
        <f>SUM(Q128:T128)</f>
        <v>0</v>
      </c>
      <c r="V128" s="813">
        <v>0</v>
      </c>
      <c r="W128" s="813">
        <v>0</v>
      </c>
      <c r="X128" s="813">
        <v>0</v>
      </c>
      <c r="Y128" s="813">
        <f>SUM(V128:X128)</f>
        <v>0</v>
      </c>
      <c r="Z128" s="813">
        <f>U128+Y128</f>
        <v>0</v>
      </c>
      <c r="AA128" s="809">
        <f>ROUND((U128+V128+W128)*33.8%,0)</f>
        <v>0</v>
      </c>
      <c r="AB128" s="809">
        <f>ROUND(U128*2%,0)</f>
        <v>0</v>
      </c>
      <c r="AC128" s="813">
        <v>0</v>
      </c>
      <c r="AD128" s="813">
        <v>0</v>
      </c>
      <c r="AE128" s="813">
        <f>SUM(AC128:AD128)</f>
        <v>0</v>
      </c>
      <c r="AF128" s="813">
        <f>Z128+AA128+AB128+AE128</f>
        <v>0</v>
      </c>
      <c r="AG128" s="836">
        <v>0</v>
      </c>
      <c r="AH128" s="836">
        <v>0</v>
      </c>
      <c r="AI128" s="836">
        <v>0</v>
      </c>
      <c r="AJ128" s="836">
        <v>0</v>
      </c>
      <c r="AK128" s="836">
        <v>0</v>
      </c>
      <c r="AL128" s="836">
        <f>AG128+AI128+AJ128</f>
        <v>0</v>
      </c>
      <c r="AM128" s="836">
        <f>AH128+AK128</f>
        <v>0</v>
      </c>
      <c r="AN128" s="837">
        <f>SUM(AL128:AM128)</f>
        <v>0</v>
      </c>
      <c r="AO128" s="835">
        <f>I128+AF128</f>
        <v>0</v>
      </c>
      <c r="AP128" s="813">
        <f>J128+U128</f>
        <v>0</v>
      </c>
      <c r="AQ128" s="813">
        <f>Y128</f>
        <v>0</v>
      </c>
      <c r="AR128" s="813">
        <f t="shared" si="195"/>
        <v>0</v>
      </c>
      <c r="AS128" s="813">
        <f t="shared" si="195"/>
        <v>0</v>
      </c>
      <c r="AT128" s="813">
        <f>M128+AE128</f>
        <v>0</v>
      </c>
      <c r="AU128" s="836">
        <f>N128+AN128</f>
        <v>0</v>
      </c>
      <c r="AV128" s="836">
        <f t="shared" si="196"/>
        <v>0</v>
      </c>
      <c r="AW128" s="837">
        <f t="shared" si="196"/>
        <v>0</v>
      </c>
    </row>
    <row r="129" spans="1:49" ht="12.95" customHeight="1" x14ac:dyDescent="0.25">
      <c r="A129" s="828">
        <v>23</v>
      </c>
      <c r="B129" s="946">
        <v>5429</v>
      </c>
      <c r="C129" s="947">
        <v>600098656</v>
      </c>
      <c r="D129" s="828">
        <v>70698309</v>
      </c>
      <c r="E129" s="1004" t="s">
        <v>483</v>
      </c>
      <c r="F129" s="946">
        <v>3141</v>
      </c>
      <c r="G129" s="1000" t="s">
        <v>321</v>
      </c>
      <c r="H129" s="831" t="s">
        <v>284</v>
      </c>
      <c r="I129" s="803">
        <f>SUM(J129:M129)</f>
        <v>745462</v>
      </c>
      <c r="J129" s="833">
        <v>546507</v>
      </c>
      <c r="K129" s="805">
        <f>ROUND((J129)*33.8%,0)</f>
        <v>184719</v>
      </c>
      <c r="L129" s="833">
        <v>10930</v>
      </c>
      <c r="M129" s="833">
        <v>3306</v>
      </c>
      <c r="N129" s="834">
        <f>O129+P129</f>
        <v>1.86</v>
      </c>
      <c r="O129" s="1054">
        <v>0</v>
      </c>
      <c r="P129" s="1055">
        <v>1.86</v>
      </c>
      <c r="Q129" s="835">
        <f>V129*-1</f>
        <v>0</v>
      </c>
      <c r="R129" s="813">
        <v>0</v>
      </c>
      <c r="S129" s="813">
        <v>0</v>
      </c>
      <c r="T129" s="813">
        <v>0</v>
      </c>
      <c r="U129" s="813">
        <f>SUM(Q129:T129)</f>
        <v>0</v>
      </c>
      <c r="V129" s="813">
        <v>0</v>
      </c>
      <c r="W129" s="813">
        <v>0</v>
      </c>
      <c r="X129" s="813">
        <v>0</v>
      </c>
      <c r="Y129" s="813">
        <f>SUM(V129:X129)</f>
        <v>0</v>
      </c>
      <c r="Z129" s="813">
        <f>U129+Y129</f>
        <v>0</v>
      </c>
      <c r="AA129" s="809">
        <f>ROUND((U129+V129+W129)*33.8%,0)</f>
        <v>0</v>
      </c>
      <c r="AB129" s="809">
        <f>ROUND(U129*2%,0)</f>
        <v>0</v>
      </c>
      <c r="AC129" s="813">
        <v>0</v>
      </c>
      <c r="AD129" s="813">
        <v>0</v>
      </c>
      <c r="AE129" s="813">
        <f>SUM(AC129:AD129)</f>
        <v>0</v>
      </c>
      <c r="AF129" s="813">
        <f>Z129+AA129+AB129+AE129</f>
        <v>0</v>
      </c>
      <c r="AG129" s="836">
        <v>0</v>
      </c>
      <c r="AH129" s="836">
        <v>0</v>
      </c>
      <c r="AI129" s="836">
        <v>0</v>
      </c>
      <c r="AJ129" s="836">
        <v>0</v>
      </c>
      <c r="AK129" s="836">
        <v>0</v>
      </c>
      <c r="AL129" s="836">
        <f>AG129+AI129+AJ129</f>
        <v>0</v>
      </c>
      <c r="AM129" s="836">
        <f>AH129+AK129</f>
        <v>0</v>
      </c>
      <c r="AN129" s="837">
        <f>SUM(AL129:AM129)</f>
        <v>0</v>
      </c>
      <c r="AO129" s="835">
        <f>I129+AF129</f>
        <v>745462</v>
      </c>
      <c r="AP129" s="813">
        <f>J129+U129</f>
        <v>546507</v>
      </c>
      <c r="AQ129" s="813">
        <f>Y129</f>
        <v>0</v>
      </c>
      <c r="AR129" s="813">
        <f t="shared" si="195"/>
        <v>184719</v>
      </c>
      <c r="AS129" s="813">
        <f t="shared" si="195"/>
        <v>10930</v>
      </c>
      <c r="AT129" s="813">
        <f>M129+AE129</f>
        <v>3306</v>
      </c>
      <c r="AU129" s="836">
        <f>N129+AN129</f>
        <v>1.86</v>
      </c>
      <c r="AV129" s="836">
        <f t="shared" si="196"/>
        <v>0</v>
      </c>
      <c r="AW129" s="837">
        <f t="shared" si="196"/>
        <v>1.86</v>
      </c>
    </row>
    <row r="130" spans="1:49" ht="12.95" customHeight="1" x14ac:dyDescent="0.25">
      <c r="A130" s="850">
        <v>23</v>
      </c>
      <c r="B130" s="951">
        <v>5429</v>
      </c>
      <c r="C130" s="952">
        <v>600098656</v>
      </c>
      <c r="D130" s="951">
        <v>70698309</v>
      </c>
      <c r="E130" s="1005" t="s">
        <v>484</v>
      </c>
      <c r="F130" s="951"/>
      <c r="G130" s="1006"/>
      <c r="H130" s="1007"/>
      <c r="I130" s="820">
        <f t="shared" ref="I130:AW130" si="197">SUM(I127:I129)</f>
        <v>4007054</v>
      </c>
      <c r="J130" s="821">
        <f t="shared" si="197"/>
        <v>2937333</v>
      </c>
      <c r="K130" s="821">
        <f t="shared" si="197"/>
        <v>992818</v>
      </c>
      <c r="L130" s="821">
        <f t="shared" si="197"/>
        <v>58747</v>
      </c>
      <c r="M130" s="821">
        <f t="shared" si="197"/>
        <v>18156</v>
      </c>
      <c r="N130" s="822">
        <f t="shared" si="197"/>
        <v>7.6530000000000005</v>
      </c>
      <c r="O130" s="822">
        <f t="shared" si="197"/>
        <v>4.4032</v>
      </c>
      <c r="P130" s="824">
        <f t="shared" si="197"/>
        <v>3.2498</v>
      </c>
      <c r="Q130" s="825">
        <f t="shared" si="197"/>
        <v>-20000</v>
      </c>
      <c r="R130" s="821">
        <f t="shared" si="197"/>
        <v>0</v>
      </c>
      <c r="S130" s="821">
        <f t="shared" si="197"/>
        <v>0</v>
      </c>
      <c r="T130" s="821">
        <f t="shared" si="197"/>
        <v>0</v>
      </c>
      <c r="U130" s="821">
        <f t="shared" si="197"/>
        <v>-20000</v>
      </c>
      <c r="V130" s="821">
        <f t="shared" si="197"/>
        <v>20000</v>
      </c>
      <c r="W130" s="821">
        <f t="shared" si="197"/>
        <v>0</v>
      </c>
      <c r="X130" s="821">
        <f t="shared" si="197"/>
        <v>0</v>
      </c>
      <c r="Y130" s="821">
        <f t="shared" si="197"/>
        <v>20000</v>
      </c>
      <c r="Z130" s="821">
        <f t="shared" si="197"/>
        <v>0</v>
      </c>
      <c r="AA130" s="821">
        <f t="shared" si="197"/>
        <v>0</v>
      </c>
      <c r="AB130" s="821">
        <f t="shared" si="197"/>
        <v>-400</v>
      </c>
      <c r="AC130" s="821">
        <f t="shared" si="197"/>
        <v>0</v>
      </c>
      <c r="AD130" s="821">
        <f t="shared" si="197"/>
        <v>0</v>
      </c>
      <c r="AE130" s="821">
        <f t="shared" si="197"/>
        <v>0</v>
      </c>
      <c r="AF130" s="821">
        <f t="shared" si="197"/>
        <v>-400</v>
      </c>
      <c r="AG130" s="822">
        <f t="shared" si="197"/>
        <v>0</v>
      </c>
      <c r="AH130" s="822">
        <f t="shared" si="197"/>
        <v>-0.09</v>
      </c>
      <c r="AI130" s="822">
        <f t="shared" si="197"/>
        <v>0</v>
      </c>
      <c r="AJ130" s="822">
        <f t="shared" si="197"/>
        <v>0</v>
      </c>
      <c r="AK130" s="822">
        <f t="shared" si="197"/>
        <v>0</v>
      </c>
      <c r="AL130" s="822">
        <f t="shared" si="197"/>
        <v>0</v>
      </c>
      <c r="AM130" s="822">
        <f t="shared" si="197"/>
        <v>-0.09</v>
      </c>
      <c r="AN130" s="824">
        <f t="shared" si="197"/>
        <v>-0.09</v>
      </c>
      <c r="AO130" s="825">
        <f t="shared" si="197"/>
        <v>4006654</v>
      </c>
      <c r="AP130" s="821">
        <f t="shared" si="197"/>
        <v>2917333</v>
      </c>
      <c r="AQ130" s="821">
        <f t="shared" si="197"/>
        <v>20000</v>
      </c>
      <c r="AR130" s="821">
        <f t="shared" si="197"/>
        <v>992818</v>
      </c>
      <c r="AS130" s="821">
        <f t="shared" si="197"/>
        <v>58347</v>
      </c>
      <c r="AT130" s="821">
        <f t="shared" si="197"/>
        <v>18156</v>
      </c>
      <c r="AU130" s="822">
        <f t="shared" si="197"/>
        <v>7.5630000000000006</v>
      </c>
      <c r="AV130" s="822">
        <f t="shared" si="197"/>
        <v>4.4032</v>
      </c>
      <c r="AW130" s="824">
        <f t="shared" si="197"/>
        <v>3.1597999999999997</v>
      </c>
    </row>
    <row r="131" spans="1:49" ht="12.95" customHeight="1" x14ac:dyDescent="0.25">
      <c r="A131" s="828">
        <v>24</v>
      </c>
      <c r="B131" s="946">
        <v>5468</v>
      </c>
      <c r="C131" s="947">
        <v>600099083</v>
      </c>
      <c r="D131" s="828">
        <v>70698317</v>
      </c>
      <c r="E131" s="1004" t="s">
        <v>485</v>
      </c>
      <c r="F131" s="946">
        <v>3117</v>
      </c>
      <c r="G131" s="1000" t="s">
        <v>335</v>
      </c>
      <c r="H131" s="831" t="s">
        <v>283</v>
      </c>
      <c r="I131" s="803">
        <f>SUM(J131:M131)</f>
        <v>2548073</v>
      </c>
      <c r="J131" s="833">
        <v>1844863</v>
      </c>
      <c r="K131" s="833">
        <f>ROUND((J131)*33.8%,0)-1</f>
        <v>623563</v>
      </c>
      <c r="L131" s="833">
        <f>ROUND(J131*2%,0)</f>
        <v>36897</v>
      </c>
      <c r="M131" s="833">
        <v>42750</v>
      </c>
      <c r="N131" s="834">
        <f>SUM(O131:P131)</f>
        <v>3.5752000000000002</v>
      </c>
      <c r="O131" s="1054">
        <v>2.6362000000000001</v>
      </c>
      <c r="P131" s="1055">
        <v>0.93900000000000006</v>
      </c>
      <c r="Q131" s="835">
        <f>V131*-1</f>
        <v>0</v>
      </c>
      <c r="R131" s="813">
        <v>0</v>
      </c>
      <c r="S131" s="813">
        <v>0</v>
      </c>
      <c r="T131" s="813">
        <v>0</v>
      </c>
      <c r="U131" s="813">
        <f>SUM(Q131:T131)</f>
        <v>0</v>
      </c>
      <c r="V131" s="813">
        <v>0</v>
      </c>
      <c r="W131" s="813">
        <v>0</v>
      </c>
      <c r="X131" s="813">
        <v>0</v>
      </c>
      <c r="Y131" s="813">
        <f>SUM(V131:X131)</f>
        <v>0</v>
      </c>
      <c r="Z131" s="813">
        <f>U131+Y131</f>
        <v>0</v>
      </c>
      <c r="AA131" s="809">
        <f>ROUND((U131+V131+W131)*33.8%,0)</f>
        <v>0</v>
      </c>
      <c r="AB131" s="809">
        <f>ROUND(U131*2%,0)</f>
        <v>0</v>
      </c>
      <c r="AC131" s="813">
        <v>0</v>
      </c>
      <c r="AD131" s="813">
        <v>0</v>
      </c>
      <c r="AE131" s="813">
        <f>SUM(AC131:AD131)</f>
        <v>0</v>
      </c>
      <c r="AF131" s="813">
        <f>Z131+AA131+AB131+AE131</f>
        <v>0</v>
      </c>
      <c r="AG131" s="836">
        <v>0</v>
      </c>
      <c r="AH131" s="836">
        <v>0</v>
      </c>
      <c r="AI131" s="836">
        <v>0</v>
      </c>
      <c r="AJ131" s="836">
        <v>0</v>
      </c>
      <c r="AK131" s="836">
        <v>0</v>
      </c>
      <c r="AL131" s="836">
        <f>AG131+AI131+AJ131</f>
        <v>0</v>
      </c>
      <c r="AM131" s="836">
        <f>AH131+AK131</f>
        <v>0</v>
      </c>
      <c r="AN131" s="837">
        <f>SUM(AL131:AM131)</f>
        <v>0</v>
      </c>
      <c r="AO131" s="835">
        <f>I131+AF131</f>
        <v>2548073</v>
      </c>
      <c r="AP131" s="813">
        <f>J131+U131</f>
        <v>1844863</v>
      </c>
      <c r="AQ131" s="813">
        <f>Y131</f>
        <v>0</v>
      </c>
      <c r="AR131" s="813">
        <f t="shared" ref="AR131:AS134" si="198">K131+AA131</f>
        <v>623563</v>
      </c>
      <c r="AS131" s="813">
        <f t="shared" si="198"/>
        <v>36897</v>
      </c>
      <c r="AT131" s="813">
        <f>M131+AE131</f>
        <v>42750</v>
      </c>
      <c r="AU131" s="836">
        <f>N131+AN131</f>
        <v>3.5752000000000002</v>
      </c>
      <c r="AV131" s="836">
        <f t="shared" ref="AV131:AW134" si="199">O131+AL131</f>
        <v>2.6362000000000001</v>
      </c>
      <c r="AW131" s="837">
        <f t="shared" si="199"/>
        <v>0.93900000000000006</v>
      </c>
    </row>
    <row r="132" spans="1:49" ht="12.95" customHeight="1" x14ac:dyDescent="0.25">
      <c r="A132" s="828">
        <v>24</v>
      </c>
      <c r="B132" s="946">
        <v>5468</v>
      </c>
      <c r="C132" s="947">
        <v>600099083</v>
      </c>
      <c r="D132" s="828">
        <v>70698317</v>
      </c>
      <c r="E132" s="1004" t="s">
        <v>485</v>
      </c>
      <c r="F132" s="946">
        <v>3117</v>
      </c>
      <c r="G132" s="831" t="s">
        <v>318</v>
      </c>
      <c r="H132" s="831" t="s">
        <v>284</v>
      </c>
      <c r="I132" s="803">
        <f>SUM(J132:M132)</f>
        <v>0</v>
      </c>
      <c r="J132" s="833">
        <v>0</v>
      </c>
      <c r="K132" s="833">
        <v>0</v>
      </c>
      <c r="L132" s="833">
        <v>0</v>
      </c>
      <c r="M132" s="833">
        <v>0</v>
      </c>
      <c r="N132" s="834">
        <f>SUM(O132:P132)</f>
        <v>0</v>
      </c>
      <c r="O132" s="1054">
        <v>0</v>
      </c>
      <c r="P132" s="1055">
        <v>0</v>
      </c>
      <c r="Q132" s="835">
        <f>V132*-1</f>
        <v>0</v>
      </c>
      <c r="R132" s="833">
        <f>221342-202897</f>
        <v>18445</v>
      </c>
      <c r="S132" s="813">
        <v>0</v>
      </c>
      <c r="T132" s="813">
        <v>0</v>
      </c>
      <c r="U132" s="813">
        <f>SUM(Q132:T132)</f>
        <v>18445</v>
      </c>
      <c r="V132" s="813">
        <v>0</v>
      </c>
      <c r="W132" s="813">
        <v>0</v>
      </c>
      <c r="X132" s="813">
        <v>0</v>
      </c>
      <c r="Y132" s="813">
        <f>SUM(V132:X132)</f>
        <v>0</v>
      </c>
      <c r="Z132" s="813">
        <f>U132+Y132</f>
        <v>18445</v>
      </c>
      <c r="AA132" s="809">
        <f>ROUND((U132+V132+W132)*33.8%,0)</f>
        <v>6234</v>
      </c>
      <c r="AB132" s="809">
        <f>ROUND(U132*2%,0)</f>
        <v>369</v>
      </c>
      <c r="AC132" s="813">
        <v>0</v>
      </c>
      <c r="AD132" s="813">
        <v>0</v>
      </c>
      <c r="AE132" s="813">
        <f>SUM(AC132:AD132)</f>
        <v>0</v>
      </c>
      <c r="AF132" s="813">
        <f>Z132+AA132+AB132+AE132</f>
        <v>25048</v>
      </c>
      <c r="AG132" s="836">
        <v>0</v>
      </c>
      <c r="AH132" s="836">
        <v>0</v>
      </c>
      <c r="AI132" s="836">
        <f>0.64-0.59</f>
        <v>5.0000000000000044E-2</v>
      </c>
      <c r="AJ132" s="836">
        <v>0</v>
      </c>
      <c r="AK132" s="836">
        <v>0</v>
      </c>
      <c r="AL132" s="836">
        <f>AG132+AI132+AJ132</f>
        <v>5.0000000000000044E-2</v>
      </c>
      <c r="AM132" s="836">
        <f>AH132+AK132</f>
        <v>0</v>
      </c>
      <c r="AN132" s="837">
        <f>SUM(AL132:AM132)</f>
        <v>5.0000000000000044E-2</v>
      </c>
      <c r="AO132" s="835">
        <f>I132+AF132</f>
        <v>25048</v>
      </c>
      <c r="AP132" s="813">
        <f>J132+U132</f>
        <v>18445</v>
      </c>
      <c r="AQ132" s="813">
        <f>Y132</f>
        <v>0</v>
      </c>
      <c r="AR132" s="813">
        <f t="shared" si="198"/>
        <v>6234</v>
      </c>
      <c r="AS132" s="813">
        <f t="shared" si="198"/>
        <v>369</v>
      </c>
      <c r="AT132" s="813">
        <f>M132+AE132</f>
        <v>0</v>
      </c>
      <c r="AU132" s="836">
        <f>N132+AN132</f>
        <v>5.0000000000000044E-2</v>
      </c>
      <c r="AV132" s="836">
        <f t="shared" si="199"/>
        <v>5.0000000000000044E-2</v>
      </c>
      <c r="AW132" s="837">
        <f t="shared" si="199"/>
        <v>0</v>
      </c>
    </row>
    <row r="133" spans="1:49" ht="12.95" customHeight="1" x14ac:dyDescent="0.25">
      <c r="A133" s="828">
        <v>24</v>
      </c>
      <c r="B133" s="946">
        <v>5468</v>
      </c>
      <c r="C133" s="947">
        <v>600099083</v>
      </c>
      <c r="D133" s="828">
        <v>70698317</v>
      </c>
      <c r="E133" s="1004" t="s">
        <v>485</v>
      </c>
      <c r="F133" s="946">
        <v>3143</v>
      </c>
      <c r="G133" s="831" t="s">
        <v>635</v>
      </c>
      <c r="H133" s="831" t="s">
        <v>283</v>
      </c>
      <c r="I133" s="803">
        <f>SUM(J133:M133)</f>
        <v>685793</v>
      </c>
      <c r="J133" s="833">
        <v>505002</v>
      </c>
      <c r="K133" s="833">
        <f>ROUND((J133)*33.8%,0)</f>
        <v>170691</v>
      </c>
      <c r="L133" s="833">
        <f>ROUND(J133*2%,0)</f>
        <v>10100</v>
      </c>
      <c r="M133" s="833">
        <v>0</v>
      </c>
      <c r="N133" s="834">
        <f>SUM(O133:P133)</f>
        <v>1</v>
      </c>
      <c r="O133" s="1054">
        <v>1</v>
      </c>
      <c r="P133" s="1055">
        <v>0</v>
      </c>
      <c r="Q133" s="835">
        <f>V133*-1</f>
        <v>0</v>
      </c>
      <c r="R133" s="813">
        <v>0</v>
      </c>
      <c r="S133" s="813">
        <v>0</v>
      </c>
      <c r="T133" s="813">
        <v>0</v>
      </c>
      <c r="U133" s="813">
        <f>SUM(Q133:T133)</f>
        <v>0</v>
      </c>
      <c r="V133" s="813">
        <v>0</v>
      </c>
      <c r="W133" s="813">
        <v>0</v>
      </c>
      <c r="X133" s="813">
        <v>0</v>
      </c>
      <c r="Y133" s="813">
        <f>SUM(V133:X133)</f>
        <v>0</v>
      </c>
      <c r="Z133" s="813">
        <f>U133+Y133</f>
        <v>0</v>
      </c>
      <c r="AA133" s="809">
        <f>ROUND((U133+V133+W133)*33.8%,0)</f>
        <v>0</v>
      </c>
      <c r="AB133" s="809">
        <f>ROUND(U133*2%,0)</f>
        <v>0</v>
      </c>
      <c r="AC133" s="813">
        <v>0</v>
      </c>
      <c r="AD133" s="813">
        <v>0</v>
      </c>
      <c r="AE133" s="813">
        <f>SUM(AC133:AD133)</f>
        <v>0</v>
      </c>
      <c r="AF133" s="813">
        <f>Z133+AA133+AB133+AE133</f>
        <v>0</v>
      </c>
      <c r="AG133" s="836">
        <v>0</v>
      </c>
      <c r="AH133" s="836">
        <v>0</v>
      </c>
      <c r="AI133" s="836">
        <v>0</v>
      </c>
      <c r="AJ133" s="836">
        <v>0</v>
      </c>
      <c r="AK133" s="836">
        <v>0</v>
      </c>
      <c r="AL133" s="836">
        <f>AG133+AI133+AJ133</f>
        <v>0</v>
      </c>
      <c r="AM133" s="836">
        <f>AH133+AK133</f>
        <v>0</v>
      </c>
      <c r="AN133" s="837">
        <f>SUM(AL133:AM133)</f>
        <v>0</v>
      </c>
      <c r="AO133" s="835">
        <f>I133+AF133</f>
        <v>685793</v>
      </c>
      <c r="AP133" s="813">
        <f>J133+U133</f>
        <v>505002</v>
      </c>
      <c r="AQ133" s="813">
        <f>Y133</f>
        <v>0</v>
      </c>
      <c r="AR133" s="813">
        <f t="shared" si="198"/>
        <v>170691</v>
      </c>
      <c r="AS133" s="813">
        <f t="shared" si="198"/>
        <v>10100</v>
      </c>
      <c r="AT133" s="813">
        <f>M133+AE133</f>
        <v>0</v>
      </c>
      <c r="AU133" s="836">
        <f>N133+AN133</f>
        <v>1</v>
      </c>
      <c r="AV133" s="836">
        <f t="shared" si="199"/>
        <v>1</v>
      </c>
      <c r="AW133" s="837">
        <f t="shared" si="199"/>
        <v>0</v>
      </c>
    </row>
    <row r="134" spans="1:49" ht="12.95" customHeight="1" x14ac:dyDescent="0.25">
      <c r="A134" s="828">
        <v>24</v>
      </c>
      <c r="B134" s="946">
        <v>5468</v>
      </c>
      <c r="C134" s="947">
        <v>600099083</v>
      </c>
      <c r="D134" s="828">
        <v>70698317</v>
      </c>
      <c r="E134" s="1004" t="s">
        <v>485</v>
      </c>
      <c r="F134" s="946">
        <v>3143</v>
      </c>
      <c r="G134" s="831" t="s">
        <v>636</v>
      </c>
      <c r="H134" s="831" t="s">
        <v>284</v>
      </c>
      <c r="I134" s="803">
        <f>SUM(J134:M134)</f>
        <v>16853</v>
      </c>
      <c r="J134" s="833">
        <v>11880</v>
      </c>
      <c r="K134" s="805">
        <f>ROUND((J134)*33.8%,0)</f>
        <v>4015</v>
      </c>
      <c r="L134" s="833">
        <f>ROUND(J134*2%,0)</f>
        <v>238</v>
      </c>
      <c r="M134" s="833">
        <v>720</v>
      </c>
      <c r="N134" s="834">
        <f>SUM(O134:P134)</f>
        <v>0.05</v>
      </c>
      <c r="O134" s="1054">
        <v>0</v>
      </c>
      <c r="P134" s="1055">
        <v>0.05</v>
      </c>
      <c r="Q134" s="835">
        <f>V134*-1</f>
        <v>0</v>
      </c>
      <c r="R134" s="813">
        <v>0</v>
      </c>
      <c r="S134" s="813">
        <v>0</v>
      </c>
      <c r="T134" s="813">
        <v>0</v>
      </c>
      <c r="U134" s="813">
        <f>SUM(Q134:T134)</f>
        <v>0</v>
      </c>
      <c r="V134" s="813">
        <v>0</v>
      </c>
      <c r="W134" s="813">
        <v>0</v>
      </c>
      <c r="X134" s="813">
        <v>0</v>
      </c>
      <c r="Y134" s="813">
        <f>SUM(V134:X134)</f>
        <v>0</v>
      </c>
      <c r="Z134" s="813">
        <f>U134+Y134</f>
        <v>0</v>
      </c>
      <c r="AA134" s="809">
        <f>ROUND((U134+V134+W134)*33.8%,0)</f>
        <v>0</v>
      </c>
      <c r="AB134" s="809">
        <f>ROUND(U134*2%,0)</f>
        <v>0</v>
      </c>
      <c r="AC134" s="813">
        <v>0</v>
      </c>
      <c r="AD134" s="813">
        <v>0</v>
      </c>
      <c r="AE134" s="813">
        <f>SUM(AC134:AD134)</f>
        <v>0</v>
      </c>
      <c r="AF134" s="813">
        <f>Z134+AA134+AB134+AE134</f>
        <v>0</v>
      </c>
      <c r="AG134" s="836">
        <v>0</v>
      </c>
      <c r="AH134" s="836">
        <v>0</v>
      </c>
      <c r="AI134" s="836">
        <v>0</v>
      </c>
      <c r="AJ134" s="836">
        <v>0</v>
      </c>
      <c r="AK134" s="836">
        <v>0</v>
      </c>
      <c r="AL134" s="836">
        <f>AG134+AI134+AJ134</f>
        <v>0</v>
      </c>
      <c r="AM134" s="836">
        <f>AH134+AK134</f>
        <v>0</v>
      </c>
      <c r="AN134" s="837">
        <f>SUM(AL134:AM134)</f>
        <v>0</v>
      </c>
      <c r="AO134" s="835">
        <f>I134+AF134</f>
        <v>16853</v>
      </c>
      <c r="AP134" s="813">
        <f>J134+U134</f>
        <v>11880</v>
      </c>
      <c r="AQ134" s="813">
        <f>Y134</f>
        <v>0</v>
      </c>
      <c r="AR134" s="813">
        <f t="shared" si="198"/>
        <v>4015</v>
      </c>
      <c r="AS134" s="813">
        <f t="shared" si="198"/>
        <v>238</v>
      </c>
      <c r="AT134" s="813">
        <f>M134+AE134</f>
        <v>720</v>
      </c>
      <c r="AU134" s="836">
        <f>N134+AN134</f>
        <v>0.05</v>
      </c>
      <c r="AV134" s="836">
        <f t="shared" si="199"/>
        <v>0</v>
      </c>
      <c r="AW134" s="837">
        <f t="shared" si="199"/>
        <v>0.05</v>
      </c>
    </row>
    <row r="135" spans="1:49" ht="12.95" customHeight="1" x14ac:dyDescent="0.25">
      <c r="A135" s="850">
        <v>24</v>
      </c>
      <c r="B135" s="951">
        <v>5468</v>
      </c>
      <c r="C135" s="952">
        <v>600099083</v>
      </c>
      <c r="D135" s="951">
        <v>70698317</v>
      </c>
      <c r="E135" s="1005" t="s">
        <v>486</v>
      </c>
      <c r="F135" s="951"/>
      <c r="G135" s="1006"/>
      <c r="H135" s="1007"/>
      <c r="I135" s="820">
        <f t="shared" ref="I135:AW135" si="200">SUM(I131:I134)</f>
        <v>3250719</v>
      </c>
      <c r="J135" s="821">
        <f t="shared" si="200"/>
        <v>2361745</v>
      </c>
      <c r="K135" s="821">
        <f t="shared" si="200"/>
        <v>798269</v>
      </c>
      <c r="L135" s="821">
        <f t="shared" si="200"/>
        <v>47235</v>
      </c>
      <c r="M135" s="821">
        <f t="shared" si="200"/>
        <v>43470</v>
      </c>
      <c r="N135" s="822">
        <f t="shared" si="200"/>
        <v>4.6252000000000004</v>
      </c>
      <c r="O135" s="822">
        <f t="shared" si="200"/>
        <v>3.6362000000000001</v>
      </c>
      <c r="P135" s="824">
        <f t="shared" si="200"/>
        <v>0.9890000000000001</v>
      </c>
      <c r="Q135" s="825">
        <f t="shared" si="200"/>
        <v>0</v>
      </c>
      <c r="R135" s="821">
        <f t="shared" si="200"/>
        <v>18445</v>
      </c>
      <c r="S135" s="821">
        <f t="shared" si="200"/>
        <v>0</v>
      </c>
      <c r="T135" s="821">
        <f t="shared" si="200"/>
        <v>0</v>
      </c>
      <c r="U135" s="821">
        <f t="shared" si="200"/>
        <v>18445</v>
      </c>
      <c r="V135" s="821">
        <f t="shared" si="200"/>
        <v>0</v>
      </c>
      <c r="W135" s="821">
        <f t="shared" si="200"/>
        <v>0</v>
      </c>
      <c r="X135" s="821">
        <f t="shared" si="200"/>
        <v>0</v>
      </c>
      <c r="Y135" s="821">
        <f t="shared" si="200"/>
        <v>0</v>
      </c>
      <c r="Z135" s="821">
        <f t="shared" si="200"/>
        <v>18445</v>
      </c>
      <c r="AA135" s="821">
        <f t="shared" si="200"/>
        <v>6234</v>
      </c>
      <c r="AB135" s="821">
        <f t="shared" si="200"/>
        <v>369</v>
      </c>
      <c r="AC135" s="821">
        <f t="shared" si="200"/>
        <v>0</v>
      </c>
      <c r="AD135" s="821">
        <f t="shared" si="200"/>
        <v>0</v>
      </c>
      <c r="AE135" s="821">
        <f t="shared" si="200"/>
        <v>0</v>
      </c>
      <c r="AF135" s="821">
        <f t="shared" si="200"/>
        <v>25048</v>
      </c>
      <c r="AG135" s="822">
        <f t="shared" si="200"/>
        <v>0</v>
      </c>
      <c r="AH135" s="822">
        <f t="shared" si="200"/>
        <v>0</v>
      </c>
      <c r="AI135" s="822">
        <f t="shared" si="200"/>
        <v>5.0000000000000044E-2</v>
      </c>
      <c r="AJ135" s="822">
        <f t="shared" si="200"/>
        <v>0</v>
      </c>
      <c r="AK135" s="822">
        <f t="shared" si="200"/>
        <v>0</v>
      </c>
      <c r="AL135" s="822">
        <f t="shared" si="200"/>
        <v>5.0000000000000044E-2</v>
      </c>
      <c r="AM135" s="822">
        <f t="shared" si="200"/>
        <v>0</v>
      </c>
      <c r="AN135" s="824">
        <f t="shared" si="200"/>
        <v>5.0000000000000044E-2</v>
      </c>
      <c r="AO135" s="825">
        <f t="shared" si="200"/>
        <v>3275767</v>
      </c>
      <c r="AP135" s="821">
        <f t="shared" si="200"/>
        <v>2380190</v>
      </c>
      <c r="AQ135" s="821">
        <f t="shared" si="200"/>
        <v>0</v>
      </c>
      <c r="AR135" s="821">
        <f t="shared" si="200"/>
        <v>804503</v>
      </c>
      <c r="AS135" s="821">
        <f t="shared" si="200"/>
        <v>47604</v>
      </c>
      <c r="AT135" s="821">
        <f t="shared" si="200"/>
        <v>43470</v>
      </c>
      <c r="AU135" s="822">
        <f t="shared" si="200"/>
        <v>4.6752000000000002</v>
      </c>
      <c r="AV135" s="822">
        <f t="shared" si="200"/>
        <v>3.6862000000000004</v>
      </c>
      <c r="AW135" s="824">
        <f t="shared" si="200"/>
        <v>0.9890000000000001</v>
      </c>
    </row>
    <row r="136" spans="1:49" ht="12.95" customHeight="1" x14ac:dyDescent="0.25">
      <c r="A136" s="828">
        <v>25</v>
      </c>
      <c r="B136" s="946">
        <v>5488</v>
      </c>
      <c r="C136" s="947">
        <v>600099326</v>
      </c>
      <c r="D136" s="828">
        <v>70695393</v>
      </c>
      <c r="E136" s="1004" t="s">
        <v>487</v>
      </c>
      <c r="F136" s="946">
        <v>3111</v>
      </c>
      <c r="G136" s="1000" t="s">
        <v>331</v>
      </c>
      <c r="H136" s="831" t="s">
        <v>283</v>
      </c>
      <c r="I136" s="803">
        <f t="shared" ref="I136:I141" si="201">SUM(J136:M136)</f>
        <v>1170396</v>
      </c>
      <c r="J136" s="833">
        <v>856882</v>
      </c>
      <c r="K136" s="833">
        <f t="shared" ref="K136:K141" si="202">ROUND((J136)*33.8%,0)</f>
        <v>289626</v>
      </c>
      <c r="L136" s="833">
        <f t="shared" ref="L136:L141" si="203">ROUND(J136*2%,0)</f>
        <v>17138</v>
      </c>
      <c r="M136" s="833">
        <v>6750</v>
      </c>
      <c r="N136" s="834">
        <f>SUM(O136:P136)</f>
        <v>2.1779000000000002</v>
      </c>
      <c r="O136" s="1054">
        <v>1.7170000000000001</v>
      </c>
      <c r="P136" s="1055">
        <v>0.46089999999999998</v>
      </c>
      <c r="Q136" s="835">
        <f t="shared" ref="Q136:Q141" si="204">V136*-1</f>
        <v>0</v>
      </c>
      <c r="R136" s="813">
        <v>0</v>
      </c>
      <c r="S136" s="813">
        <v>0</v>
      </c>
      <c r="T136" s="813">
        <v>0</v>
      </c>
      <c r="U136" s="813">
        <f t="shared" ref="U136:U141" si="205">SUM(Q136:T136)</f>
        <v>0</v>
      </c>
      <c r="V136" s="813">
        <v>0</v>
      </c>
      <c r="W136" s="813">
        <v>0</v>
      </c>
      <c r="X136" s="813">
        <v>0</v>
      </c>
      <c r="Y136" s="813">
        <f t="shared" ref="Y136:Y141" si="206">SUM(V136:X136)</f>
        <v>0</v>
      </c>
      <c r="Z136" s="813">
        <f t="shared" ref="Z136:Z141" si="207">U136+Y136</f>
        <v>0</v>
      </c>
      <c r="AA136" s="809">
        <f t="shared" ref="AA136:AA141" si="208">ROUND((U136+V136+W136)*33.8%,0)</f>
        <v>0</v>
      </c>
      <c r="AB136" s="809">
        <f t="shared" ref="AB136:AB141" si="209">ROUND(U136*2%,0)</f>
        <v>0</v>
      </c>
      <c r="AC136" s="813">
        <v>0</v>
      </c>
      <c r="AD136" s="813">
        <v>0</v>
      </c>
      <c r="AE136" s="813">
        <f t="shared" ref="AE136:AE141" si="210">SUM(AC136:AD136)</f>
        <v>0</v>
      </c>
      <c r="AF136" s="813">
        <f t="shared" ref="AF136:AF141" si="211">Z136+AA136+AB136+AE136</f>
        <v>0</v>
      </c>
      <c r="AG136" s="836">
        <v>0</v>
      </c>
      <c r="AH136" s="836">
        <v>0</v>
      </c>
      <c r="AI136" s="836">
        <v>0</v>
      </c>
      <c r="AJ136" s="836">
        <v>0</v>
      </c>
      <c r="AK136" s="836">
        <v>0</v>
      </c>
      <c r="AL136" s="836">
        <f t="shared" ref="AL136:AL141" si="212">AG136+AI136+AJ136</f>
        <v>0</v>
      </c>
      <c r="AM136" s="836">
        <f t="shared" ref="AM136:AM141" si="213">AH136+AK136</f>
        <v>0</v>
      </c>
      <c r="AN136" s="837">
        <f t="shared" ref="AN136:AN141" si="214">SUM(AL136:AM136)</f>
        <v>0</v>
      </c>
      <c r="AO136" s="835">
        <f t="shared" ref="AO136:AO141" si="215">I136+AF136</f>
        <v>1170396</v>
      </c>
      <c r="AP136" s="813">
        <f t="shared" ref="AP136:AP141" si="216">J136+U136</f>
        <v>856882</v>
      </c>
      <c r="AQ136" s="813">
        <f t="shared" ref="AQ136:AQ141" si="217">Y136</f>
        <v>0</v>
      </c>
      <c r="AR136" s="813">
        <f t="shared" ref="AR136:AS141" si="218">K136+AA136</f>
        <v>289626</v>
      </c>
      <c r="AS136" s="813">
        <f t="shared" si="218"/>
        <v>17138</v>
      </c>
      <c r="AT136" s="813">
        <f t="shared" ref="AT136:AT141" si="219">M136+AE136</f>
        <v>6750</v>
      </c>
      <c r="AU136" s="836">
        <f t="shared" ref="AU136:AU141" si="220">N136+AN136</f>
        <v>2.1779000000000002</v>
      </c>
      <c r="AV136" s="836">
        <f t="shared" ref="AV136:AW141" si="221">O136+AL136</f>
        <v>1.7170000000000001</v>
      </c>
      <c r="AW136" s="837">
        <f t="shared" si="221"/>
        <v>0.46089999999999998</v>
      </c>
    </row>
    <row r="137" spans="1:49" ht="12.95" customHeight="1" x14ac:dyDescent="0.25">
      <c r="A137" s="828">
        <v>25</v>
      </c>
      <c r="B137" s="946">
        <v>5488</v>
      </c>
      <c r="C137" s="947">
        <v>600099326</v>
      </c>
      <c r="D137" s="828">
        <v>70695393</v>
      </c>
      <c r="E137" s="1004" t="s">
        <v>487</v>
      </c>
      <c r="F137" s="946">
        <v>3117</v>
      </c>
      <c r="G137" s="1000" t="s">
        <v>335</v>
      </c>
      <c r="H137" s="831" t="s">
        <v>283</v>
      </c>
      <c r="I137" s="803">
        <f t="shared" si="201"/>
        <v>2591840</v>
      </c>
      <c r="J137" s="833">
        <v>1892202</v>
      </c>
      <c r="K137" s="833">
        <f t="shared" si="202"/>
        <v>639564</v>
      </c>
      <c r="L137" s="833">
        <f t="shared" si="203"/>
        <v>37844</v>
      </c>
      <c r="M137" s="833">
        <v>22230</v>
      </c>
      <c r="N137" s="834">
        <f>SUM(O137:P137)</f>
        <v>3.8228</v>
      </c>
      <c r="O137" s="1054">
        <v>2.4091</v>
      </c>
      <c r="P137" s="1055">
        <v>1.4137</v>
      </c>
      <c r="Q137" s="835">
        <f t="shared" si="204"/>
        <v>0</v>
      </c>
      <c r="R137" s="813">
        <v>0</v>
      </c>
      <c r="S137" s="813">
        <v>0</v>
      </c>
      <c r="T137" s="813">
        <v>0</v>
      </c>
      <c r="U137" s="813">
        <f t="shared" si="205"/>
        <v>0</v>
      </c>
      <c r="V137" s="813">
        <v>0</v>
      </c>
      <c r="W137" s="813">
        <v>0</v>
      </c>
      <c r="X137" s="813">
        <v>0</v>
      </c>
      <c r="Y137" s="813">
        <f t="shared" si="206"/>
        <v>0</v>
      </c>
      <c r="Z137" s="813">
        <f t="shared" si="207"/>
        <v>0</v>
      </c>
      <c r="AA137" s="809">
        <f t="shared" si="208"/>
        <v>0</v>
      </c>
      <c r="AB137" s="809">
        <f t="shared" si="209"/>
        <v>0</v>
      </c>
      <c r="AC137" s="813">
        <v>0</v>
      </c>
      <c r="AD137" s="813">
        <v>0</v>
      </c>
      <c r="AE137" s="813">
        <f t="shared" si="210"/>
        <v>0</v>
      </c>
      <c r="AF137" s="813">
        <f t="shared" si="211"/>
        <v>0</v>
      </c>
      <c r="AG137" s="836">
        <v>0</v>
      </c>
      <c r="AH137" s="836">
        <v>0</v>
      </c>
      <c r="AI137" s="836">
        <v>0</v>
      </c>
      <c r="AJ137" s="836">
        <v>0</v>
      </c>
      <c r="AK137" s="836">
        <v>0</v>
      </c>
      <c r="AL137" s="836">
        <f t="shared" si="212"/>
        <v>0</v>
      </c>
      <c r="AM137" s="836">
        <f t="shared" si="213"/>
        <v>0</v>
      </c>
      <c r="AN137" s="837">
        <f t="shared" si="214"/>
        <v>0</v>
      </c>
      <c r="AO137" s="835">
        <f t="shared" si="215"/>
        <v>2591840</v>
      </c>
      <c r="AP137" s="813">
        <f t="shared" si="216"/>
        <v>1892202</v>
      </c>
      <c r="AQ137" s="813">
        <f t="shared" si="217"/>
        <v>0</v>
      </c>
      <c r="AR137" s="813">
        <f t="shared" si="218"/>
        <v>639564</v>
      </c>
      <c r="AS137" s="813">
        <f t="shared" si="218"/>
        <v>37844</v>
      </c>
      <c r="AT137" s="813">
        <f t="shared" si="219"/>
        <v>22230</v>
      </c>
      <c r="AU137" s="836">
        <f t="shared" si="220"/>
        <v>3.8228</v>
      </c>
      <c r="AV137" s="836">
        <f t="shared" si="221"/>
        <v>2.4091</v>
      </c>
      <c r="AW137" s="837">
        <f t="shared" si="221"/>
        <v>1.4137</v>
      </c>
    </row>
    <row r="138" spans="1:49" ht="12.95" customHeight="1" x14ac:dyDescent="0.25">
      <c r="A138" s="828">
        <v>25</v>
      </c>
      <c r="B138" s="946">
        <v>5488</v>
      </c>
      <c r="C138" s="947">
        <v>600099326</v>
      </c>
      <c r="D138" s="828">
        <v>70695393</v>
      </c>
      <c r="E138" s="1004" t="s">
        <v>487</v>
      </c>
      <c r="F138" s="946">
        <v>3117</v>
      </c>
      <c r="G138" s="831" t="s">
        <v>318</v>
      </c>
      <c r="H138" s="831" t="s">
        <v>284</v>
      </c>
      <c r="I138" s="803">
        <f t="shared" si="201"/>
        <v>0</v>
      </c>
      <c r="J138" s="833">
        <v>0</v>
      </c>
      <c r="K138" s="833">
        <f t="shared" si="202"/>
        <v>0</v>
      </c>
      <c r="L138" s="833">
        <f t="shared" si="203"/>
        <v>0</v>
      </c>
      <c r="M138" s="833">
        <v>0</v>
      </c>
      <c r="N138" s="834">
        <f>SUM(O138:P138)</f>
        <v>0</v>
      </c>
      <c r="O138" s="1054">
        <v>0</v>
      </c>
      <c r="P138" s="1055">
        <v>0</v>
      </c>
      <c r="Q138" s="835">
        <f t="shared" si="204"/>
        <v>0</v>
      </c>
      <c r="R138" s="813">
        <v>0</v>
      </c>
      <c r="S138" s="813">
        <v>0</v>
      </c>
      <c r="T138" s="813">
        <v>0</v>
      </c>
      <c r="U138" s="813">
        <f t="shared" si="205"/>
        <v>0</v>
      </c>
      <c r="V138" s="813">
        <v>0</v>
      </c>
      <c r="W138" s="813">
        <v>0</v>
      </c>
      <c r="X138" s="813">
        <v>0</v>
      </c>
      <c r="Y138" s="813">
        <f t="shared" si="206"/>
        <v>0</v>
      </c>
      <c r="Z138" s="813">
        <f t="shared" si="207"/>
        <v>0</v>
      </c>
      <c r="AA138" s="809">
        <f t="shared" si="208"/>
        <v>0</v>
      </c>
      <c r="AB138" s="809">
        <f t="shared" si="209"/>
        <v>0</v>
      </c>
      <c r="AC138" s="813">
        <v>0</v>
      </c>
      <c r="AD138" s="813">
        <v>0</v>
      </c>
      <c r="AE138" s="813">
        <f t="shared" si="210"/>
        <v>0</v>
      </c>
      <c r="AF138" s="813">
        <f t="shared" si="211"/>
        <v>0</v>
      </c>
      <c r="AG138" s="836">
        <v>0</v>
      </c>
      <c r="AH138" s="836">
        <v>0</v>
      </c>
      <c r="AI138" s="836">
        <v>0</v>
      </c>
      <c r="AJ138" s="836">
        <v>0</v>
      </c>
      <c r="AK138" s="836">
        <v>0</v>
      </c>
      <c r="AL138" s="836">
        <f t="shared" si="212"/>
        <v>0</v>
      </c>
      <c r="AM138" s="836">
        <f t="shared" si="213"/>
        <v>0</v>
      </c>
      <c r="AN138" s="837">
        <f t="shared" si="214"/>
        <v>0</v>
      </c>
      <c r="AO138" s="835">
        <f t="shared" si="215"/>
        <v>0</v>
      </c>
      <c r="AP138" s="813">
        <f t="shared" si="216"/>
        <v>0</v>
      </c>
      <c r="AQ138" s="813">
        <f t="shared" si="217"/>
        <v>0</v>
      </c>
      <c r="AR138" s="813">
        <f t="shared" si="218"/>
        <v>0</v>
      </c>
      <c r="AS138" s="813">
        <f t="shared" si="218"/>
        <v>0</v>
      </c>
      <c r="AT138" s="813">
        <f t="shared" si="219"/>
        <v>0</v>
      </c>
      <c r="AU138" s="836">
        <f t="shared" si="220"/>
        <v>0</v>
      </c>
      <c r="AV138" s="836">
        <f t="shared" si="221"/>
        <v>0</v>
      </c>
      <c r="AW138" s="837">
        <f t="shared" si="221"/>
        <v>0</v>
      </c>
    </row>
    <row r="139" spans="1:49" ht="12.95" customHeight="1" x14ac:dyDescent="0.25">
      <c r="A139" s="828">
        <v>25</v>
      </c>
      <c r="B139" s="946">
        <v>5488</v>
      </c>
      <c r="C139" s="947">
        <v>600099326</v>
      </c>
      <c r="D139" s="828">
        <v>70695393</v>
      </c>
      <c r="E139" s="1004" t="s">
        <v>487</v>
      </c>
      <c r="F139" s="946">
        <v>3141</v>
      </c>
      <c r="G139" s="1000" t="s">
        <v>321</v>
      </c>
      <c r="H139" s="831" t="s">
        <v>284</v>
      </c>
      <c r="I139" s="803">
        <f t="shared" si="201"/>
        <v>403151</v>
      </c>
      <c r="J139" s="833">
        <v>295675</v>
      </c>
      <c r="K139" s="805">
        <f t="shared" si="202"/>
        <v>99938</v>
      </c>
      <c r="L139" s="833">
        <f t="shared" si="203"/>
        <v>5914</v>
      </c>
      <c r="M139" s="833">
        <v>1624</v>
      </c>
      <c r="N139" s="834">
        <f>O139+P139</f>
        <v>1.01</v>
      </c>
      <c r="O139" s="1054">
        <v>0</v>
      </c>
      <c r="P139" s="1055">
        <v>1.01</v>
      </c>
      <c r="Q139" s="835">
        <f t="shared" si="204"/>
        <v>0</v>
      </c>
      <c r="R139" s="813">
        <v>0</v>
      </c>
      <c r="S139" s="813">
        <v>0</v>
      </c>
      <c r="T139" s="813">
        <v>0</v>
      </c>
      <c r="U139" s="813">
        <f t="shared" si="205"/>
        <v>0</v>
      </c>
      <c r="V139" s="813">
        <v>0</v>
      </c>
      <c r="W139" s="813">
        <v>0</v>
      </c>
      <c r="X139" s="813">
        <v>0</v>
      </c>
      <c r="Y139" s="813">
        <f t="shared" si="206"/>
        <v>0</v>
      </c>
      <c r="Z139" s="813">
        <f t="shared" si="207"/>
        <v>0</v>
      </c>
      <c r="AA139" s="809">
        <f t="shared" si="208"/>
        <v>0</v>
      </c>
      <c r="AB139" s="809">
        <f t="shared" si="209"/>
        <v>0</v>
      </c>
      <c r="AC139" s="813">
        <v>0</v>
      </c>
      <c r="AD139" s="813">
        <v>0</v>
      </c>
      <c r="AE139" s="813">
        <f t="shared" si="210"/>
        <v>0</v>
      </c>
      <c r="AF139" s="813">
        <f t="shared" si="211"/>
        <v>0</v>
      </c>
      <c r="AG139" s="836">
        <v>0</v>
      </c>
      <c r="AH139" s="836">
        <v>0</v>
      </c>
      <c r="AI139" s="836">
        <v>0</v>
      </c>
      <c r="AJ139" s="836">
        <v>0</v>
      </c>
      <c r="AK139" s="836">
        <v>0</v>
      </c>
      <c r="AL139" s="836">
        <f t="shared" si="212"/>
        <v>0</v>
      </c>
      <c r="AM139" s="836">
        <f t="shared" si="213"/>
        <v>0</v>
      </c>
      <c r="AN139" s="837">
        <f t="shared" si="214"/>
        <v>0</v>
      </c>
      <c r="AO139" s="835">
        <f t="shared" si="215"/>
        <v>403151</v>
      </c>
      <c r="AP139" s="813">
        <f t="shared" si="216"/>
        <v>295675</v>
      </c>
      <c r="AQ139" s="813">
        <f t="shared" si="217"/>
        <v>0</v>
      </c>
      <c r="AR139" s="813">
        <f t="shared" si="218"/>
        <v>99938</v>
      </c>
      <c r="AS139" s="813">
        <f t="shared" si="218"/>
        <v>5914</v>
      </c>
      <c r="AT139" s="813">
        <f t="shared" si="219"/>
        <v>1624</v>
      </c>
      <c r="AU139" s="836">
        <f t="shared" si="220"/>
        <v>1.01</v>
      </c>
      <c r="AV139" s="836">
        <f t="shared" si="221"/>
        <v>0</v>
      </c>
      <c r="AW139" s="837">
        <f t="shared" si="221"/>
        <v>1.01</v>
      </c>
    </row>
    <row r="140" spans="1:49" ht="12.95" customHeight="1" x14ac:dyDescent="0.25">
      <c r="A140" s="828">
        <v>25</v>
      </c>
      <c r="B140" s="946">
        <v>5488</v>
      </c>
      <c r="C140" s="947">
        <v>600099326</v>
      </c>
      <c r="D140" s="828">
        <v>70695393</v>
      </c>
      <c r="E140" s="1004" t="s">
        <v>487</v>
      </c>
      <c r="F140" s="946">
        <v>3143</v>
      </c>
      <c r="G140" s="831" t="s">
        <v>635</v>
      </c>
      <c r="H140" s="831" t="s">
        <v>283</v>
      </c>
      <c r="I140" s="803">
        <f t="shared" si="201"/>
        <v>522700</v>
      </c>
      <c r="J140" s="833">
        <v>384904</v>
      </c>
      <c r="K140" s="833">
        <f t="shared" si="202"/>
        <v>130098</v>
      </c>
      <c r="L140" s="833">
        <f t="shared" si="203"/>
        <v>7698</v>
      </c>
      <c r="M140" s="833">
        <v>0</v>
      </c>
      <c r="N140" s="834">
        <f>SUM(O140:P140)</f>
        <v>0.875</v>
      </c>
      <c r="O140" s="1054">
        <v>0.875</v>
      </c>
      <c r="P140" s="1055">
        <v>0</v>
      </c>
      <c r="Q140" s="835">
        <f t="shared" si="204"/>
        <v>0</v>
      </c>
      <c r="R140" s="813">
        <v>0</v>
      </c>
      <c r="S140" s="813">
        <v>0</v>
      </c>
      <c r="T140" s="813">
        <v>0</v>
      </c>
      <c r="U140" s="813">
        <f t="shared" si="205"/>
        <v>0</v>
      </c>
      <c r="V140" s="813">
        <v>0</v>
      </c>
      <c r="W140" s="813">
        <v>0</v>
      </c>
      <c r="X140" s="813">
        <v>0</v>
      </c>
      <c r="Y140" s="813">
        <f t="shared" si="206"/>
        <v>0</v>
      </c>
      <c r="Z140" s="813">
        <f t="shared" si="207"/>
        <v>0</v>
      </c>
      <c r="AA140" s="809">
        <f t="shared" si="208"/>
        <v>0</v>
      </c>
      <c r="AB140" s="809">
        <f t="shared" si="209"/>
        <v>0</v>
      </c>
      <c r="AC140" s="813">
        <v>0</v>
      </c>
      <c r="AD140" s="813">
        <v>0</v>
      </c>
      <c r="AE140" s="813">
        <f t="shared" si="210"/>
        <v>0</v>
      </c>
      <c r="AF140" s="813">
        <f t="shared" si="211"/>
        <v>0</v>
      </c>
      <c r="AG140" s="836">
        <v>0</v>
      </c>
      <c r="AH140" s="836">
        <v>0</v>
      </c>
      <c r="AI140" s="836">
        <v>0</v>
      </c>
      <c r="AJ140" s="836">
        <v>0</v>
      </c>
      <c r="AK140" s="836">
        <v>0</v>
      </c>
      <c r="AL140" s="836">
        <f t="shared" si="212"/>
        <v>0</v>
      </c>
      <c r="AM140" s="836">
        <f t="shared" si="213"/>
        <v>0</v>
      </c>
      <c r="AN140" s="837">
        <f t="shared" si="214"/>
        <v>0</v>
      </c>
      <c r="AO140" s="835">
        <f t="shared" si="215"/>
        <v>522700</v>
      </c>
      <c r="AP140" s="813">
        <f t="shared" si="216"/>
        <v>384904</v>
      </c>
      <c r="AQ140" s="813">
        <f t="shared" si="217"/>
        <v>0</v>
      </c>
      <c r="AR140" s="813">
        <f t="shared" si="218"/>
        <v>130098</v>
      </c>
      <c r="AS140" s="813">
        <f t="shared" si="218"/>
        <v>7698</v>
      </c>
      <c r="AT140" s="813">
        <f t="shared" si="219"/>
        <v>0</v>
      </c>
      <c r="AU140" s="836">
        <f t="shared" si="220"/>
        <v>0.875</v>
      </c>
      <c r="AV140" s="836">
        <f t="shared" si="221"/>
        <v>0.875</v>
      </c>
      <c r="AW140" s="837">
        <f t="shared" si="221"/>
        <v>0</v>
      </c>
    </row>
    <row r="141" spans="1:49" ht="12.95" customHeight="1" x14ac:dyDescent="0.25">
      <c r="A141" s="828">
        <v>25</v>
      </c>
      <c r="B141" s="946">
        <v>5488</v>
      </c>
      <c r="C141" s="947">
        <v>600099326</v>
      </c>
      <c r="D141" s="828">
        <v>70695393</v>
      </c>
      <c r="E141" s="1017" t="s">
        <v>487</v>
      </c>
      <c r="F141" s="1018">
        <v>3143</v>
      </c>
      <c r="G141" s="831" t="s">
        <v>636</v>
      </c>
      <c r="H141" s="831" t="s">
        <v>284</v>
      </c>
      <c r="I141" s="803">
        <f t="shared" si="201"/>
        <v>9129</v>
      </c>
      <c r="J141" s="833">
        <v>6435</v>
      </c>
      <c r="K141" s="805">
        <f t="shared" si="202"/>
        <v>2175</v>
      </c>
      <c r="L141" s="833">
        <f t="shared" si="203"/>
        <v>129</v>
      </c>
      <c r="M141" s="833">
        <v>390</v>
      </c>
      <c r="N141" s="834">
        <f>SUM(O141:P141)</f>
        <v>0.03</v>
      </c>
      <c r="O141" s="1054">
        <v>0</v>
      </c>
      <c r="P141" s="1055">
        <v>0.03</v>
      </c>
      <c r="Q141" s="835">
        <f t="shared" si="204"/>
        <v>0</v>
      </c>
      <c r="R141" s="813">
        <v>0</v>
      </c>
      <c r="S141" s="813">
        <v>0</v>
      </c>
      <c r="T141" s="813">
        <v>0</v>
      </c>
      <c r="U141" s="813">
        <f t="shared" si="205"/>
        <v>0</v>
      </c>
      <c r="V141" s="813">
        <v>0</v>
      </c>
      <c r="W141" s="813">
        <v>0</v>
      </c>
      <c r="X141" s="813">
        <v>0</v>
      </c>
      <c r="Y141" s="813">
        <f t="shared" si="206"/>
        <v>0</v>
      </c>
      <c r="Z141" s="813">
        <f t="shared" si="207"/>
        <v>0</v>
      </c>
      <c r="AA141" s="809">
        <f t="shared" si="208"/>
        <v>0</v>
      </c>
      <c r="AB141" s="809">
        <f t="shared" si="209"/>
        <v>0</v>
      </c>
      <c r="AC141" s="813">
        <v>0</v>
      </c>
      <c r="AD141" s="813">
        <v>0</v>
      </c>
      <c r="AE141" s="813">
        <f t="shared" si="210"/>
        <v>0</v>
      </c>
      <c r="AF141" s="813">
        <f t="shared" si="211"/>
        <v>0</v>
      </c>
      <c r="AG141" s="836">
        <v>0</v>
      </c>
      <c r="AH141" s="836">
        <v>0</v>
      </c>
      <c r="AI141" s="836">
        <v>0</v>
      </c>
      <c r="AJ141" s="836">
        <v>0</v>
      </c>
      <c r="AK141" s="836">
        <v>0</v>
      </c>
      <c r="AL141" s="836">
        <f t="shared" si="212"/>
        <v>0</v>
      </c>
      <c r="AM141" s="836">
        <f t="shared" si="213"/>
        <v>0</v>
      </c>
      <c r="AN141" s="837">
        <f t="shared" si="214"/>
        <v>0</v>
      </c>
      <c r="AO141" s="835">
        <f t="shared" si="215"/>
        <v>9129</v>
      </c>
      <c r="AP141" s="813">
        <f t="shared" si="216"/>
        <v>6435</v>
      </c>
      <c r="AQ141" s="813">
        <f t="shared" si="217"/>
        <v>0</v>
      </c>
      <c r="AR141" s="813">
        <f t="shared" si="218"/>
        <v>2175</v>
      </c>
      <c r="AS141" s="813">
        <f t="shared" si="218"/>
        <v>129</v>
      </c>
      <c r="AT141" s="813">
        <f t="shared" si="219"/>
        <v>390</v>
      </c>
      <c r="AU141" s="836">
        <f t="shared" si="220"/>
        <v>0.03</v>
      </c>
      <c r="AV141" s="836">
        <f t="shared" si="221"/>
        <v>0</v>
      </c>
      <c r="AW141" s="837">
        <f t="shared" si="221"/>
        <v>0.03</v>
      </c>
    </row>
    <row r="142" spans="1:49" ht="12.95" customHeight="1" thickBot="1" x14ac:dyDescent="0.3">
      <c r="A142" s="854">
        <v>25</v>
      </c>
      <c r="B142" s="973">
        <v>5488</v>
      </c>
      <c r="C142" s="974">
        <v>600099326</v>
      </c>
      <c r="D142" s="973">
        <v>70695393</v>
      </c>
      <c r="E142" s="1019" t="s">
        <v>488</v>
      </c>
      <c r="F142" s="973"/>
      <c r="G142" s="1020"/>
      <c r="H142" s="1021"/>
      <c r="I142" s="1022">
        <f t="shared" ref="I142:AW142" si="222">SUM(I136:I141)</f>
        <v>4697216</v>
      </c>
      <c r="J142" s="826">
        <f t="shared" si="222"/>
        <v>3436098</v>
      </c>
      <c r="K142" s="826">
        <f t="shared" si="222"/>
        <v>1161401</v>
      </c>
      <c r="L142" s="826">
        <f t="shared" si="222"/>
        <v>68723</v>
      </c>
      <c r="M142" s="826">
        <f t="shared" si="222"/>
        <v>30994</v>
      </c>
      <c r="N142" s="1023">
        <f t="shared" si="222"/>
        <v>7.9157000000000002</v>
      </c>
      <c r="O142" s="1023">
        <f t="shared" si="222"/>
        <v>5.0011000000000001</v>
      </c>
      <c r="P142" s="1024">
        <f t="shared" si="222"/>
        <v>2.9145999999999996</v>
      </c>
      <c r="Q142" s="823">
        <f t="shared" si="222"/>
        <v>0</v>
      </c>
      <c r="R142" s="826">
        <f t="shared" si="222"/>
        <v>0</v>
      </c>
      <c r="S142" s="826">
        <f t="shared" si="222"/>
        <v>0</v>
      </c>
      <c r="T142" s="826">
        <f t="shared" si="222"/>
        <v>0</v>
      </c>
      <c r="U142" s="826">
        <f t="shared" si="222"/>
        <v>0</v>
      </c>
      <c r="V142" s="826">
        <f t="shared" si="222"/>
        <v>0</v>
      </c>
      <c r="W142" s="826">
        <f t="shared" si="222"/>
        <v>0</v>
      </c>
      <c r="X142" s="826">
        <f t="shared" si="222"/>
        <v>0</v>
      </c>
      <c r="Y142" s="826">
        <f t="shared" si="222"/>
        <v>0</v>
      </c>
      <c r="Z142" s="826">
        <f t="shared" si="222"/>
        <v>0</v>
      </c>
      <c r="AA142" s="826">
        <f t="shared" si="222"/>
        <v>0</v>
      </c>
      <c r="AB142" s="826">
        <f t="shared" si="222"/>
        <v>0</v>
      </c>
      <c r="AC142" s="826">
        <f t="shared" si="222"/>
        <v>0</v>
      </c>
      <c r="AD142" s="826">
        <f t="shared" si="222"/>
        <v>0</v>
      </c>
      <c r="AE142" s="826">
        <f t="shared" si="222"/>
        <v>0</v>
      </c>
      <c r="AF142" s="826">
        <f t="shared" si="222"/>
        <v>0</v>
      </c>
      <c r="AG142" s="1023">
        <f t="shared" si="222"/>
        <v>0</v>
      </c>
      <c r="AH142" s="1023">
        <f t="shared" si="222"/>
        <v>0</v>
      </c>
      <c r="AI142" s="1023">
        <f t="shared" si="222"/>
        <v>0</v>
      </c>
      <c r="AJ142" s="1023">
        <f t="shared" si="222"/>
        <v>0</v>
      </c>
      <c r="AK142" s="1023">
        <f t="shared" si="222"/>
        <v>0</v>
      </c>
      <c r="AL142" s="1023">
        <f t="shared" si="222"/>
        <v>0</v>
      </c>
      <c r="AM142" s="1023">
        <f t="shared" si="222"/>
        <v>0</v>
      </c>
      <c r="AN142" s="1024">
        <f t="shared" si="222"/>
        <v>0</v>
      </c>
      <c r="AO142" s="823">
        <f t="shared" si="222"/>
        <v>4697216</v>
      </c>
      <c r="AP142" s="826">
        <f t="shared" si="222"/>
        <v>3436098</v>
      </c>
      <c r="AQ142" s="826">
        <f t="shared" si="222"/>
        <v>0</v>
      </c>
      <c r="AR142" s="826">
        <f t="shared" si="222"/>
        <v>1161401</v>
      </c>
      <c r="AS142" s="826">
        <f t="shared" si="222"/>
        <v>68723</v>
      </c>
      <c r="AT142" s="826">
        <f t="shared" si="222"/>
        <v>30994</v>
      </c>
      <c r="AU142" s="1023">
        <f t="shared" si="222"/>
        <v>7.9157000000000002</v>
      </c>
      <c r="AV142" s="1023">
        <f t="shared" si="222"/>
        <v>5.0011000000000001</v>
      </c>
      <c r="AW142" s="1024">
        <f t="shared" si="222"/>
        <v>2.9145999999999996</v>
      </c>
    </row>
    <row r="143" spans="1:49" ht="12.95" customHeight="1" thickBot="1" x14ac:dyDescent="0.3">
      <c r="A143" s="1025"/>
      <c r="B143" s="1026"/>
      <c r="C143" s="1027"/>
      <c r="D143" s="1026"/>
      <c r="E143" s="869" t="s">
        <v>805</v>
      </c>
      <c r="F143" s="1026"/>
      <c r="G143" s="1028"/>
      <c r="H143" s="1028"/>
      <c r="I143" s="1029">
        <f t="shared" ref="I143:AW143" si="223">I142+I135+I130+I126+I118+I111+I104+I101+I97+I95+I89+I85+I81+I74+I67+I63+I60+I52+I45+I38+I32+I29+I27+I21+I16</f>
        <v>263704475</v>
      </c>
      <c r="J143" s="1030">
        <f t="shared" si="223"/>
        <v>191695081</v>
      </c>
      <c r="K143" s="1030">
        <f t="shared" si="223"/>
        <v>64792935</v>
      </c>
      <c r="L143" s="1030">
        <f t="shared" si="223"/>
        <v>3833901</v>
      </c>
      <c r="M143" s="1030">
        <f t="shared" si="223"/>
        <v>3382558</v>
      </c>
      <c r="N143" s="1031">
        <f t="shared" si="223"/>
        <v>410.20330000000001</v>
      </c>
      <c r="O143" s="1031">
        <f t="shared" si="223"/>
        <v>281.26459999999997</v>
      </c>
      <c r="P143" s="1033">
        <f t="shared" si="223"/>
        <v>128.93870000000001</v>
      </c>
      <c r="Q143" s="1032">
        <f t="shared" si="223"/>
        <v>-637960</v>
      </c>
      <c r="R143" s="1030">
        <f t="shared" si="223"/>
        <v>7630344</v>
      </c>
      <c r="S143" s="1030">
        <f t="shared" si="223"/>
        <v>0</v>
      </c>
      <c r="T143" s="1030">
        <f t="shared" si="223"/>
        <v>0</v>
      </c>
      <c r="U143" s="1030">
        <f t="shared" si="223"/>
        <v>6992384</v>
      </c>
      <c r="V143" s="1030">
        <f t="shared" si="223"/>
        <v>637960</v>
      </c>
      <c r="W143" s="1030">
        <f t="shared" si="223"/>
        <v>0</v>
      </c>
      <c r="X143" s="1030">
        <f t="shared" si="223"/>
        <v>0</v>
      </c>
      <c r="Y143" s="1030">
        <f t="shared" si="223"/>
        <v>637960</v>
      </c>
      <c r="Z143" s="1030">
        <f t="shared" si="223"/>
        <v>7630344</v>
      </c>
      <c r="AA143" s="1030">
        <f t="shared" si="223"/>
        <v>2579057</v>
      </c>
      <c r="AB143" s="1030">
        <f t="shared" si="223"/>
        <v>139848</v>
      </c>
      <c r="AC143" s="1030">
        <f t="shared" si="223"/>
        <v>4600</v>
      </c>
      <c r="AD143" s="1030">
        <f t="shared" si="223"/>
        <v>0</v>
      </c>
      <c r="AE143" s="1030">
        <f t="shared" si="223"/>
        <v>4600</v>
      </c>
      <c r="AF143" s="1030">
        <f t="shared" si="223"/>
        <v>10353849</v>
      </c>
      <c r="AG143" s="1031">
        <f t="shared" si="223"/>
        <v>-0.26</v>
      </c>
      <c r="AH143" s="1031">
        <f t="shared" si="223"/>
        <v>-1.1800000000000002</v>
      </c>
      <c r="AI143" s="1031">
        <f t="shared" si="223"/>
        <v>21.44</v>
      </c>
      <c r="AJ143" s="1031">
        <f t="shared" si="223"/>
        <v>0</v>
      </c>
      <c r="AK143" s="1031">
        <f t="shared" si="223"/>
        <v>0</v>
      </c>
      <c r="AL143" s="1031">
        <f t="shared" si="223"/>
        <v>21.18</v>
      </c>
      <c r="AM143" s="1031">
        <f t="shared" si="223"/>
        <v>-1.1800000000000002</v>
      </c>
      <c r="AN143" s="1033">
        <f t="shared" si="223"/>
        <v>20</v>
      </c>
      <c r="AO143" s="1032">
        <f t="shared" si="223"/>
        <v>274058324</v>
      </c>
      <c r="AP143" s="1030">
        <f t="shared" si="223"/>
        <v>198687465</v>
      </c>
      <c r="AQ143" s="1030">
        <f t="shared" si="223"/>
        <v>637960</v>
      </c>
      <c r="AR143" s="1030">
        <f t="shared" si="223"/>
        <v>67371992</v>
      </c>
      <c r="AS143" s="1030">
        <f t="shared" si="223"/>
        <v>3973749</v>
      </c>
      <c r="AT143" s="1030">
        <f t="shared" si="223"/>
        <v>3387158</v>
      </c>
      <c r="AU143" s="1031">
        <f t="shared" si="223"/>
        <v>430.20330000000001</v>
      </c>
      <c r="AV143" s="1031">
        <f t="shared" si="223"/>
        <v>302.44459999999998</v>
      </c>
      <c r="AW143" s="1033">
        <f t="shared" si="223"/>
        <v>127.75869999999999</v>
      </c>
    </row>
    <row r="144" spans="1:49" ht="12.95" customHeight="1" x14ac:dyDescent="0.25">
      <c r="B144" s="878"/>
      <c r="C144" s="1034"/>
      <c r="D144" s="878"/>
      <c r="E144" s="879"/>
      <c r="F144" s="878"/>
      <c r="I144" s="880">
        <f>SUM(J143:M143)</f>
        <v>263704475</v>
      </c>
      <c r="J144" s="880"/>
      <c r="K144" s="880"/>
      <c r="L144" s="880"/>
      <c r="M144" s="880"/>
      <c r="N144" s="881">
        <f>SUM(O143:P143)</f>
        <v>410.20330000000001</v>
      </c>
      <c r="O144" s="881"/>
      <c r="P144" s="881"/>
      <c r="Q144" s="881"/>
      <c r="R144" s="881"/>
      <c r="S144" s="881"/>
      <c r="T144" s="881"/>
      <c r="U144" s="882">
        <f>SUM(Q143:T143)</f>
        <v>6992384</v>
      </c>
      <c r="V144" s="883"/>
      <c r="W144" s="883"/>
      <c r="X144" s="883"/>
      <c r="Y144" s="882">
        <f>SUM(V143:X143)</f>
        <v>637960</v>
      </c>
      <c r="Z144" s="882">
        <f>U143+Y143</f>
        <v>7630344</v>
      </c>
      <c r="AA144" s="884"/>
      <c r="AB144" s="884"/>
      <c r="AC144" s="883"/>
      <c r="AD144" s="883"/>
      <c r="AE144" s="882">
        <f>SUM(AC143:AD143)</f>
        <v>4600</v>
      </c>
      <c r="AF144" s="882">
        <f>Z143+AA143+AB143+AE143</f>
        <v>10353849</v>
      </c>
      <c r="AG144" s="885"/>
      <c r="AH144" s="885"/>
      <c r="AI144" s="885"/>
      <c r="AJ144" s="885"/>
      <c r="AK144" s="885"/>
      <c r="AL144" s="886">
        <f>AG143+AI143+AJ143</f>
        <v>21.18</v>
      </c>
      <c r="AM144" s="886">
        <f>AH143+AK143</f>
        <v>-1.1800000000000002</v>
      </c>
      <c r="AN144" s="886">
        <f>SUM(AL143:AM143)</f>
        <v>20</v>
      </c>
      <c r="AO144" s="880">
        <f>SUM(AP143:AT143)</f>
        <v>274058324</v>
      </c>
      <c r="AP144" s="887"/>
      <c r="AQ144" s="887"/>
      <c r="AR144" s="887"/>
      <c r="AS144" s="887"/>
      <c r="AT144" s="887"/>
      <c r="AU144" s="881">
        <f>SUM(AV143:AW143)</f>
        <v>430.20329999999996</v>
      </c>
      <c r="AV144" s="1127"/>
      <c r="AW144" s="1127"/>
    </row>
    <row r="145" spans="2:49" ht="12.95" customHeight="1" thickBot="1" x14ac:dyDescent="0.3">
      <c r="B145" s="878"/>
      <c r="C145" s="1034"/>
      <c r="D145" s="878"/>
      <c r="F145" s="878"/>
      <c r="I145" s="888">
        <f ca="1">SUM(J146:M146)</f>
        <v>263704475</v>
      </c>
      <c r="J145" s="760"/>
      <c r="K145" s="760"/>
      <c r="L145" s="760"/>
      <c r="M145" s="760"/>
      <c r="N145" s="889">
        <f ca="1">SUM(O146:P146)</f>
        <v>410.20330000000001</v>
      </c>
      <c r="O145" s="1112"/>
      <c r="P145" s="1112"/>
      <c r="Q145" s="881"/>
      <c r="R145" s="881"/>
      <c r="S145" s="881"/>
      <c r="T145" s="881"/>
      <c r="U145" s="882">
        <f ca="1">SUM(Q146:T146)</f>
        <v>6992384</v>
      </c>
      <c r="V145" s="883"/>
      <c r="W145" s="883"/>
      <c r="X145" s="883"/>
      <c r="Y145" s="882">
        <f ca="1">SUM(V146:X146)</f>
        <v>637960</v>
      </c>
      <c r="Z145" s="882">
        <f ca="1">U146+Y146</f>
        <v>7630344</v>
      </c>
      <c r="AA145" s="884"/>
      <c r="AB145" s="884"/>
      <c r="AC145" s="883"/>
      <c r="AD145" s="883"/>
      <c r="AE145" s="882">
        <f ca="1">SUM(AC146:AD146)</f>
        <v>4600</v>
      </c>
      <c r="AF145" s="882">
        <f ca="1">Z146+AA146+AB146+AE146</f>
        <v>10353849</v>
      </c>
      <c r="AG145" s="885"/>
      <c r="AH145" s="885"/>
      <c r="AI145" s="885"/>
      <c r="AJ145" s="885"/>
      <c r="AK145" s="885"/>
      <c r="AL145" s="886">
        <f ca="1">AG146+AI146+AJ146</f>
        <v>21.18</v>
      </c>
      <c r="AM145" s="886">
        <f ca="1">AH146+AK146</f>
        <v>-1.1800000000000002</v>
      </c>
      <c r="AN145" s="886">
        <f ca="1">SUM(AL146:AM146)</f>
        <v>20</v>
      </c>
      <c r="AO145" s="880">
        <f ca="1">SUM(AP146:AT146)</f>
        <v>274058324</v>
      </c>
      <c r="AP145" s="887"/>
      <c r="AQ145" s="887"/>
      <c r="AR145" s="887"/>
      <c r="AS145" s="887"/>
      <c r="AT145" s="887"/>
      <c r="AU145" s="881">
        <f ca="1">SUM(AV146:AW146)</f>
        <v>430.20330000000001</v>
      </c>
      <c r="AV145" s="1127"/>
      <c r="AW145" s="1127"/>
    </row>
    <row r="146" spans="2:49" s="183" customFormat="1" ht="12.95" customHeight="1" thickBot="1" x14ac:dyDescent="0.3">
      <c r="D146" s="898"/>
      <c r="E146" s="899"/>
      <c r="F146" s="898"/>
      <c r="G146" s="900"/>
      <c r="H146" s="901" t="s">
        <v>0</v>
      </c>
      <c r="I146" s="902">
        <f t="shared" ref="I146:AW146" ca="1" si="224">SUM(I147:I156)</f>
        <v>263704475</v>
      </c>
      <c r="J146" s="903">
        <f t="shared" ca="1" si="224"/>
        <v>191695081</v>
      </c>
      <c r="K146" s="903">
        <f t="shared" ca="1" si="224"/>
        <v>64792935</v>
      </c>
      <c r="L146" s="903">
        <f t="shared" ca="1" si="224"/>
        <v>3833901</v>
      </c>
      <c r="M146" s="903">
        <f t="shared" ca="1" si="224"/>
        <v>3382558</v>
      </c>
      <c r="N146" s="904">
        <f t="shared" ca="1" si="224"/>
        <v>410.20329999999996</v>
      </c>
      <c r="O146" s="904">
        <f t="shared" ca="1" si="224"/>
        <v>281.26459999999997</v>
      </c>
      <c r="P146" s="993">
        <f t="shared" ca="1" si="224"/>
        <v>128.93870000000001</v>
      </c>
      <c r="Q146" s="905">
        <f t="shared" ca="1" si="224"/>
        <v>-637960</v>
      </c>
      <c r="R146" s="903">
        <f t="shared" ca="1" si="224"/>
        <v>7630344</v>
      </c>
      <c r="S146" s="903">
        <f t="shared" ca="1" si="224"/>
        <v>0</v>
      </c>
      <c r="T146" s="903">
        <f t="shared" ca="1" si="224"/>
        <v>0</v>
      </c>
      <c r="U146" s="903">
        <f t="shared" ca="1" si="224"/>
        <v>6992384</v>
      </c>
      <c r="V146" s="903">
        <f t="shared" ca="1" si="224"/>
        <v>637960</v>
      </c>
      <c r="W146" s="903">
        <f t="shared" ca="1" si="224"/>
        <v>0</v>
      </c>
      <c r="X146" s="903">
        <f t="shared" ca="1" si="224"/>
        <v>0</v>
      </c>
      <c r="Y146" s="903">
        <f t="shared" ca="1" si="224"/>
        <v>637960</v>
      </c>
      <c r="Z146" s="903">
        <f t="shared" ca="1" si="224"/>
        <v>7630344</v>
      </c>
      <c r="AA146" s="903">
        <f t="shared" ca="1" si="224"/>
        <v>2579057</v>
      </c>
      <c r="AB146" s="903">
        <f t="shared" ca="1" si="224"/>
        <v>139848</v>
      </c>
      <c r="AC146" s="903">
        <f t="shared" ca="1" si="224"/>
        <v>4600</v>
      </c>
      <c r="AD146" s="903">
        <f t="shared" ca="1" si="224"/>
        <v>0</v>
      </c>
      <c r="AE146" s="903">
        <f t="shared" ca="1" si="224"/>
        <v>4600</v>
      </c>
      <c r="AF146" s="903">
        <f t="shared" ca="1" si="224"/>
        <v>10353849</v>
      </c>
      <c r="AG146" s="904">
        <f t="shared" ca="1" si="224"/>
        <v>-0.26</v>
      </c>
      <c r="AH146" s="904">
        <f t="shared" ca="1" si="224"/>
        <v>-1.1800000000000002</v>
      </c>
      <c r="AI146" s="904">
        <f t="shared" ca="1" si="224"/>
        <v>21.44</v>
      </c>
      <c r="AJ146" s="904">
        <f t="shared" ca="1" si="224"/>
        <v>0</v>
      </c>
      <c r="AK146" s="904">
        <f t="shared" ca="1" si="224"/>
        <v>0</v>
      </c>
      <c r="AL146" s="904">
        <f t="shared" ca="1" si="224"/>
        <v>21.18</v>
      </c>
      <c r="AM146" s="904">
        <f t="shared" ca="1" si="224"/>
        <v>-1.1800000000000002</v>
      </c>
      <c r="AN146" s="1035">
        <f t="shared" ca="1" si="224"/>
        <v>20</v>
      </c>
      <c r="AO146" s="902">
        <f t="shared" ca="1" si="224"/>
        <v>274058324</v>
      </c>
      <c r="AP146" s="903">
        <f t="shared" ca="1" si="224"/>
        <v>198687465</v>
      </c>
      <c r="AQ146" s="903">
        <f t="shared" ca="1" si="224"/>
        <v>637960</v>
      </c>
      <c r="AR146" s="903">
        <f t="shared" ca="1" si="224"/>
        <v>67371992</v>
      </c>
      <c r="AS146" s="903">
        <f t="shared" ca="1" si="224"/>
        <v>3973749</v>
      </c>
      <c r="AT146" s="903">
        <f t="shared" ca="1" si="224"/>
        <v>3387158</v>
      </c>
      <c r="AU146" s="904">
        <f t="shared" ca="1" si="224"/>
        <v>430.20329999999996</v>
      </c>
      <c r="AV146" s="904">
        <f t="shared" ca="1" si="224"/>
        <v>302.44460000000004</v>
      </c>
      <c r="AW146" s="993">
        <f t="shared" ca="1" si="224"/>
        <v>127.75869999999999</v>
      </c>
    </row>
    <row r="147" spans="2:49" s="183" customFormat="1" ht="12.95" customHeight="1" x14ac:dyDescent="0.25">
      <c r="D147" s="898"/>
      <c r="E147" s="899"/>
      <c r="F147" s="898"/>
      <c r="G147" s="900"/>
      <c r="H147" s="909">
        <v>3111</v>
      </c>
      <c r="I147" s="609">
        <f t="shared" ref="I147:AW147" ca="1" si="225">SUMIF($F$12:$F$283,"=3111",I$12:I$249)</f>
        <v>60645318</v>
      </c>
      <c r="J147" s="608">
        <f t="shared" ca="1" si="225"/>
        <v>44394419</v>
      </c>
      <c r="K147" s="608">
        <f t="shared" ca="1" si="225"/>
        <v>15005311</v>
      </c>
      <c r="L147" s="608">
        <f t="shared" ca="1" si="225"/>
        <v>887888</v>
      </c>
      <c r="M147" s="608">
        <f t="shared" ca="1" si="225"/>
        <v>357700</v>
      </c>
      <c r="N147" s="610">
        <f t="shared" ca="1" si="225"/>
        <v>103.28739999999998</v>
      </c>
      <c r="O147" s="610">
        <f t="shared" ca="1" si="225"/>
        <v>78.615600000000001</v>
      </c>
      <c r="P147" s="611">
        <f t="shared" ca="1" si="225"/>
        <v>24.67179999999999</v>
      </c>
      <c r="Q147" s="620">
        <f t="shared" ca="1" si="225"/>
        <v>-207360</v>
      </c>
      <c r="R147" s="608">
        <f t="shared" ca="1" si="225"/>
        <v>932495</v>
      </c>
      <c r="S147" s="608">
        <f t="shared" ca="1" si="225"/>
        <v>0</v>
      </c>
      <c r="T147" s="608">
        <f t="shared" ca="1" si="225"/>
        <v>0</v>
      </c>
      <c r="U147" s="608">
        <f t="shared" ca="1" si="225"/>
        <v>725135</v>
      </c>
      <c r="V147" s="608">
        <f t="shared" ca="1" si="225"/>
        <v>207360</v>
      </c>
      <c r="W147" s="608">
        <f t="shared" ca="1" si="225"/>
        <v>0</v>
      </c>
      <c r="X147" s="608">
        <f t="shared" ca="1" si="225"/>
        <v>0</v>
      </c>
      <c r="Y147" s="608">
        <f t="shared" ca="1" si="225"/>
        <v>207360</v>
      </c>
      <c r="Z147" s="608">
        <f t="shared" ca="1" si="225"/>
        <v>932495</v>
      </c>
      <c r="AA147" s="608">
        <f t="shared" ca="1" si="225"/>
        <v>315184</v>
      </c>
      <c r="AB147" s="608">
        <f t="shared" ca="1" si="225"/>
        <v>14503</v>
      </c>
      <c r="AC147" s="608">
        <f t="shared" ca="1" si="225"/>
        <v>500</v>
      </c>
      <c r="AD147" s="608">
        <f t="shared" ca="1" si="225"/>
        <v>0</v>
      </c>
      <c r="AE147" s="608">
        <f t="shared" ca="1" si="225"/>
        <v>500</v>
      </c>
      <c r="AF147" s="608">
        <f t="shared" ca="1" si="225"/>
        <v>1262682</v>
      </c>
      <c r="AG147" s="610">
        <f t="shared" ca="1" si="225"/>
        <v>-0.01</v>
      </c>
      <c r="AH147" s="610">
        <f t="shared" ca="1" si="225"/>
        <v>-0.51</v>
      </c>
      <c r="AI147" s="610">
        <f t="shared" ca="1" si="225"/>
        <v>2.96</v>
      </c>
      <c r="AJ147" s="610">
        <f t="shared" ca="1" si="225"/>
        <v>0</v>
      </c>
      <c r="AK147" s="610">
        <f t="shared" ca="1" si="225"/>
        <v>0</v>
      </c>
      <c r="AL147" s="610">
        <f t="shared" ca="1" si="225"/>
        <v>2.95</v>
      </c>
      <c r="AM147" s="610">
        <f t="shared" ca="1" si="225"/>
        <v>-0.51</v>
      </c>
      <c r="AN147" s="621">
        <f t="shared" ca="1" si="225"/>
        <v>2.44</v>
      </c>
      <c r="AO147" s="609">
        <f t="shared" ca="1" si="225"/>
        <v>61908000</v>
      </c>
      <c r="AP147" s="608">
        <f t="shared" ca="1" si="225"/>
        <v>45119554</v>
      </c>
      <c r="AQ147" s="608">
        <f t="shared" ca="1" si="225"/>
        <v>207360</v>
      </c>
      <c r="AR147" s="608">
        <f t="shared" ca="1" si="225"/>
        <v>15320495</v>
      </c>
      <c r="AS147" s="608">
        <f t="shared" ca="1" si="225"/>
        <v>902391</v>
      </c>
      <c r="AT147" s="608">
        <f t="shared" ca="1" si="225"/>
        <v>358200</v>
      </c>
      <c r="AU147" s="610">
        <f t="shared" ca="1" si="225"/>
        <v>105.72739999999997</v>
      </c>
      <c r="AV147" s="610">
        <f t="shared" ca="1" si="225"/>
        <v>81.565600000000003</v>
      </c>
      <c r="AW147" s="611">
        <f t="shared" ca="1" si="225"/>
        <v>24.161799999999992</v>
      </c>
    </row>
    <row r="148" spans="2:49" s="183" customFormat="1" ht="12.95" customHeight="1" x14ac:dyDescent="0.25">
      <c r="D148" s="898"/>
      <c r="E148" s="899"/>
      <c r="F148" s="898"/>
      <c r="G148" s="900"/>
      <c r="H148" s="913">
        <v>3113</v>
      </c>
      <c r="I148" s="579">
        <f t="shared" ref="I148:AW148" si="226">SUMIF($F$12:$F$283,"=3113",I$12:I$283)</f>
        <v>131501553</v>
      </c>
      <c r="J148" s="498">
        <f t="shared" si="226"/>
        <v>94961674</v>
      </c>
      <c r="K148" s="498">
        <f t="shared" si="226"/>
        <v>32097046</v>
      </c>
      <c r="L148" s="498">
        <f t="shared" si="226"/>
        <v>1899233</v>
      </c>
      <c r="M148" s="498">
        <f t="shared" si="226"/>
        <v>2543600</v>
      </c>
      <c r="N148" s="499">
        <f t="shared" si="226"/>
        <v>181.7277</v>
      </c>
      <c r="O148" s="499">
        <f t="shared" si="226"/>
        <v>136.8518</v>
      </c>
      <c r="P148" s="500">
        <f t="shared" si="226"/>
        <v>44.875900000000001</v>
      </c>
      <c r="Q148" s="497">
        <f t="shared" si="226"/>
        <v>-234400</v>
      </c>
      <c r="R148" s="498">
        <f t="shared" si="226"/>
        <v>5780529</v>
      </c>
      <c r="S148" s="498">
        <f t="shared" si="226"/>
        <v>0</v>
      </c>
      <c r="T148" s="498">
        <f t="shared" si="226"/>
        <v>0</v>
      </c>
      <c r="U148" s="498">
        <f t="shared" si="226"/>
        <v>5546129</v>
      </c>
      <c r="V148" s="498">
        <f t="shared" si="226"/>
        <v>234400</v>
      </c>
      <c r="W148" s="498">
        <f t="shared" si="226"/>
        <v>0</v>
      </c>
      <c r="X148" s="498">
        <f t="shared" si="226"/>
        <v>0</v>
      </c>
      <c r="Y148" s="498">
        <f t="shared" si="226"/>
        <v>234400</v>
      </c>
      <c r="Z148" s="498">
        <f t="shared" si="226"/>
        <v>5780529</v>
      </c>
      <c r="AA148" s="498">
        <f t="shared" si="226"/>
        <v>1953819</v>
      </c>
      <c r="AB148" s="498">
        <f t="shared" si="226"/>
        <v>110922</v>
      </c>
      <c r="AC148" s="498">
        <f t="shared" si="226"/>
        <v>4100</v>
      </c>
      <c r="AD148" s="498">
        <f t="shared" si="226"/>
        <v>0</v>
      </c>
      <c r="AE148" s="498">
        <f t="shared" si="226"/>
        <v>4100</v>
      </c>
      <c r="AF148" s="498">
        <f t="shared" si="226"/>
        <v>7849370</v>
      </c>
      <c r="AG148" s="499">
        <f t="shared" si="226"/>
        <v>-0.17</v>
      </c>
      <c r="AH148" s="499">
        <f t="shared" si="226"/>
        <v>-0.35</v>
      </c>
      <c r="AI148" s="499">
        <f t="shared" si="226"/>
        <v>15.850000000000001</v>
      </c>
      <c r="AJ148" s="499">
        <f t="shared" si="226"/>
        <v>0</v>
      </c>
      <c r="AK148" s="499">
        <f t="shared" si="226"/>
        <v>0</v>
      </c>
      <c r="AL148" s="499">
        <f t="shared" si="226"/>
        <v>15.68</v>
      </c>
      <c r="AM148" s="499">
        <f t="shared" si="226"/>
        <v>-0.35</v>
      </c>
      <c r="AN148" s="529">
        <f t="shared" si="226"/>
        <v>15.330000000000002</v>
      </c>
      <c r="AO148" s="579">
        <f t="shared" si="226"/>
        <v>139350923</v>
      </c>
      <c r="AP148" s="498">
        <f t="shared" si="226"/>
        <v>100507803</v>
      </c>
      <c r="AQ148" s="498">
        <f t="shared" si="226"/>
        <v>234400</v>
      </c>
      <c r="AR148" s="498">
        <f t="shared" si="226"/>
        <v>34050865</v>
      </c>
      <c r="AS148" s="498">
        <f t="shared" si="226"/>
        <v>2010155</v>
      </c>
      <c r="AT148" s="498">
        <f t="shared" si="226"/>
        <v>2547700</v>
      </c>
      <c r="AU148" s="499">
        <f t="shared" si="226"/>
        <v>197.05769999999998</v>
      </c>
      <c r="AV148" s="499">
        <f t="shared" si="226"/>
        <v>152.5318</v>
      </c>
      <c r="AW148" s="500">
        <f t="shared" si="226"/>
        <v>44.5259</v>
      </c>
    </row>
    <row r="149" spans="2:49" s="183" customFormat="1" ht="12.95" customHeight="1" x14ac:dyDescent="0.25">
      <c r="D149" s="898"/>
      <c r="E149" s="899"/>
      <c r="F149" s="898"/>
      <c r="G149" s="900"/>
      <c r="H149" s="913">
        <v>3114</v>
      </c>
      <c r="I149" s="579">
        <f t="shared" ref="I149:AW149" si="227">SUMIF($F$12:$F$283,"=3114",I$12:I$283)</f>
        <v>0</v>
      </c>
      <c r="J149" s="498">
        <f t="shared" si="227"/>
        <v>0</v>
      </c>
      <c r="K149" s="498">
        <f t="shared" si="227"/>
        <v>0</v>
      </c>
      <c r="L149" s="498">
        <f t="shared" si="227"/>
        <v>0</v>
      </c>
      <c r="M149" s="498">
        <f t="shared" si="227"/>
        <v>0</v>
      </c>
      <c r="N149" s="499">
        <f t="shared" si="227"/>
        <v>0</v>
      </c>
      <c r="O149" s="499">
        <f t="shared" si="227"/>
        <v>0</v>
      </c>
      <c r="P149" s="500">
        <f t="shared" si="227"/>
        <v>0</v>
      </c>
      <c r="Q149" s="497">
        <f t="shared" si="227"/>
        <v>0</v>
      </c>
      <c r="R149" s="498">
        <f t="shared" si="227"/>
        <v>0</v>
      </c>
      <c r="S149" s="498">
        <f t="shared" si="227"/>
        <v>0</v>
      </c>
      <c r="T149" s="498">
        <f t="shared" si="227"/>
        <v>0</v>
      </c>
      <c r="U149" s="498">
        <f t="shared" si="227"/>
        <v>0</v>
      </c>
      <c r="V149" s="498">
        <f t="shared" si="227"/>
        <v>0</v>
      </c>
      <c r="W149" s="498">
        <f t="shared" si="227"/>
        <v>0</v>
      </c>
      <c r="X149" s="498">
        <f t="shared" si="227"/>
        <v>0</v>
      </c>
      <c r="Y149" s="498">
        <f t="shared" si="227"/>
        <v>0</v>
      </c>
      <c r="Z149" s="498">
        <f t="shared" si="227"/>
        <v>0</v>
      </c>
      <c r="AA149" s="498">
        <f t="shared" si="227"/>
        <v>0</v>
      </c>
      <c r="AB149" s="498">
        <f t="shared" si="227"/>
        <v>0</v>
      </c>
      <c r="AC149" s="498">
        <f t="shared" si="227"/>
        <v>0</v>
      </c>
      <c r="AD149" s="498">
        <f t="shared" si="227"/>
        <v>0</v>
      </c>
      <c r="AE149" s="498">
        <f t="shared" si="227"/>
        <v>0</v>
      </c>
      <c r="AF149" s="498">
        <f t="shared" si="227"/>
        <v>0</v>
      </c>
      <c r="AG149" s="499">
        <f t="shared" si="227"/>
        <v>0</v>
      </c>
      <c r="AH149" s="499">
        <f t="shared" si="227"/>
        <v>0</v>
      </c>
      <c r="AI149" s="499">
        <f t="shared" si="227"/>
        <v>0</v>
      </c>
      <c r="AJ149" s="499">
        <f t="shared" si="227"/>
        <v>0</v>
      </c>
      <c r="AK149" s="499">
        <f t="shared" si="227"/>
        <v>0</v>
      </c>
      <c r="AL149" s="499">
        <f t="shared" si="227"/>
        <v>0</v>
      </c>
      <c r="AM149" s="499">
        <f t="shared" si="227"/>
        <v>0</v>
      </c>
      <c r="AN149" s="529">
        <f t="shared" si="227"/>
        <v>0</v>
      </c>
      <c r="AO149" s="579">
        <f t="shared" si="227"/>
        <v>0</v>
      </c>
      <c r="AP149" s="498">
        <f t="shared" si="227"/>
        <v>0</v>
      </c>
      <c r="AQ149" s="498">
        <f t="shared" si="227"/>
        <v>0</v>
      </c>
      <c r="AR149" s="498">
        <f t="shared" si="227"/>
        <v>0</v>
      </c>
      <c r="AS149" s="498">
        <f t="shared" si="227"/>
        <v>0</v>
      </c>
      <c r="AT149" s="498">
        <f t="shared" si="227"/>
        <v>0</v>
      </c>
      <c r="AU149" s="499">
        <f t="shared" si="227"/>
        <v>0</v>
      </c>
      <c r="AV149" s="499">
        <f t="shared" si="227"/>
        <v>0</v>
      </c>
      <c r="AW149" s="500">
        <f t="shared" si="227"/>
        <v>0</v>
      </c>
    </row>
    <row r="150" spans="2:49" s="183" customFormat="1" ht="12.95" customHeight="1" x14ac:dyDescent="0.25">
      <c r="D150" s="898"/>
      <c r="E150" s="899"/>
      <c r="F150" s="898"/>
      <c r="G150" s="900"/>
      <c r="H150" s="913">
        <v>3117</v>
      </c>
      <c r="I150" s="579">
        <f t="shared" ref="I150:AW150" si="228">SUMIF($F$12:$F$283,"=3117",I$12:I$283)</f>
        <v>16598486</v>
      </c>
      <c r="J150" s="498">
        <f t="shared" si="228"/>
        <v>12027568</v>
      </c>
      <c r="K150" s="498">
        <f t="shared" si="228"/>
        <v>4065317</v>
      </c>
      <c r="L150" s="498">
        <f t="shared" si="228"/>
        <v>240551</v>
      </c>
      <c r="M150" s="498">
        <f t="shared" si="228"/>
        <v>265050</v>
      </c>
      <c r="N150" s="499">
        <f t="shared" si="228"/>
        <v>23.8704</v>
      </c>
      <c r="O150" s="499">
        <f t="shared" si="228"/>
        <v>16.197300000000002</v>
      </c>
      <c r="P150" s="500">
        <f t="shared" si="228"/>
        <v>7.6730999999999998</v>
      </c>
      <c r="Q150" s="497">
        <f t="shared" si="228"/>
        <v>-20000</v>
      </c>
      <c r="R150" s="498">
        <f t="shared" si="228"/>
        <v>917320</v>
      </c>
      <c r="S150" s="498">
        <f t="shared" si="228"/>
        <v>0</v>
      </c>
      <c r="T150" s="498">
        <f t="shared" si="228"/>
        <v>0</v>
      </c>
      <c r="U150" s="498">
        <f t="shared" si="228"/>
        <v>897320</v>
      </c>
      <c r="V150" s="498">
        <f t="shared" si="228"/>
        <v>20000</v>
      </c>
      <c r="W150" s="498">
        <f t="shared" si="228"/>
        <v>0</v>
      </c>
      <c r="X150" s="498">
        <f t="shared" si="228"/>
        <v>0</v>
      </c>
      <c r="Y150" s="498">
        <f t="shared" si="228"/>
        <v>20000</v>
      </c>
      <c r="Z150" s="498">
        <f t="shared" si="228"/>
        <v>917320</v>
      </c>
      <c r="AA150" s="498">
        <f t="shared" si="228"/>
        <v>310054</v>
      </c>
      <c r="AB150" s="498">
        <f t="shared" si="228"/>
        <v>17947</v>
      </c>
      <c r="AC150" s="498">
        <f t="shared" si="228"/>
        <v>0</v>
      </c>
      <c r="AD150" s="498">
        <f t="shared" si="228"/>
        <v>0</v>
      </c>
      <c r="AE150" s="498">
        <f t="shared" si="228"/>
        <v>0</v>
      </c>
      <c r="AF150" s="498">
        <f t="shared" si="228"/>
        <v>1245321</v>
      </c>
      <c r="AG150" s="499">
        <f t="shared" si="228"/>
        <v>0</v>
      </c>
      <c r="AH150" s="499">
        <f t="shared" si="228"/>
        <v>0</v>
      </c>
      <c r="AI150" s="499">
        <f t="shared" si="228"/>
        <v>2.63</v>
      </c>
      <c r="AJ150" s="499">
        <f t="shared" si="228"/>
        <v>0</v>
      </c>
      <c r="AK150" s="499">
        <f t="shared" si="228"/>
        <v>0</v>
      </c>
      <c r="AL150" s="499">
        <f t="shared" si="228"/>
        <v>2.63</v>
      </c>
      <c r="AM150" s="499">
        <f t="shared" si="228"/>
        <v>0</v>
      </c>
      <c r="AN150" s="529">
        <f t="shared" si="228"/>
        <v>2.63</v>
      </c>
      <c r="AO150" s="579">
        <f t="shared" si="228"/>
        <v>17843807</v>
      </c>
      <c r="AP150" s="498">
        <f t="shared" si="228"/>
        <v>12924888</v>
      </c>
      <c r="AQ150" s="498">
        <f t="shared" si="228"/>
        <v>20000</v>
      </c>
      <c r="AR150" s="498">
        <f t="shared" si="228"/>
        <v>4375371</v>
      </c>
      <c r="AS150" s="498">
        <f t="shared" si="228"/>
        <v>258498</v>
      </c>
      <c r="AT150" s="498">
        <f t="shared" si="228"/>
        <v>265050</v>
      </c>
      <c r="AU150" s="499">
        <f t="shared" si="228"/>
        <v>26.500399999999999</v>
      </c>
      <c r="AV150" s="499">
        <f t="shared" si="228"/>
        <v>18.827299999999997</v>
      </c>
      <c r="AW150" s="500">
        <f t="shared" si="228"/>
        <v>7.6730999999999998</v>
      </c>
    </row>
    <row r="151" spans="2:49" s="183" customFormat="1" ht="12.95" customHeight="1" x14ac:dyDescent="0.25">
      <c r="D151" s="898"/>
      <c r="E151" s="899"/>
      <c r="F151" s="898"/>
      <c r="G151" s="900"/>
      <c r="H151" s="913">
        <v>3122</v>
      </c>
      <c r="I151" s="579">
        <f t="shared" ref="I151:AW151" si="229">SUMIF($F$12:$F$249,"=3122",I$12:I$249)</f>
        <v>0</v>
      </c>
      <c r="J151" s="498">
        <f t="shared" si="229"/>
        <v>0</v>
      </c>
      <c r="K151" s="498">
        <f t="shared" si="229"/>
        <v>0</v>
      </c>
      <c r="L151" s="498">
        <f t="shared" si="229"/>
        <v>0</v>
      </c>
      <c r="M151" s="498">
        <f t="shared" si="229"/>
        <v>0</v>
      </c>
      <c r="N151" s="499">
        <f t="shared" si="229"/>
        <v>0</v>
      </c>
      <c r="O151" s="499">
        <f t="shared" si="229"/>
        <v>0</v>
      </c>
      <c r="P151" s="500">
        <f t="shared" si="229"/>
        <v>0</v>
      </c>
      <c r="Q151" s="497">
        <f t="shared" si="229"/>
        <v>0</v>
      </c>
      <c r="R151" s="498">
        <f t="shared" si="229"/>
        <v>0</v>
      </c>
      <c r="S151" s="498">
        <f t="shared" si="229"/>
        <v>0</v>
      </c>
      <c r="T151" s="498">
        <f t="shared" si="229"/>
        <v>0</v>
      </c>
      <c r="U151" s="498">
        <f t="shared" si="229"/>
        <v>0</v>
      </c>
      <c r="V151" s="498">
        <f t="shared" si="229"/>
        <v>0</v>
      </c>
      <c r="W151" s="498">
        <f t="shared" si="229"/>
        <v>0</v>
      </c>
      <c r="X151" s="498">
        <f t="shared" si="229"/>
        <v>0</v>
      </c>
      <c r="Y151" s="498">
        <f t="shared" si="229"/>
        <v>0</v>
      </c>
      <c r="Z151" s="498">
        <f t="shared" si="229"/>
        <v>0</v>
      </c>
      <c r="AA151" s="498">
        <f t="shared" si="229"/>
        <v>0</v>
      </c>
      <c r="AB151" s="498">
        <f t="shared" si="229"/>
        <v>0</v>
      </c>
      <c r="AC151" s="498">
        <f t="shared" si="229"/>
        <v>0</v>
      </c>
      <c r="AD151" s="498">
        <f t="shared" si="229"/>
        <v>0</v>
      </c>
      <c r="AE151" s="498">
        <f t="shared" si="229"/>
        <v>0</v>
      </c>
      <c r="AF151" s="498">
        <f t="shared" si="229"/>
        <v>0</v>
      </c>
      <c r="AG151" s="499">
        <f t="shared" si="229"/>
        <v>0</v>
      </c>
      <c r="AH151" s="499">
        <f t="shared" si="229"/>
        <v>0</v>
      </c>
      <c r="AI151" s="499">
        <f t="shared" si="229"/>
        <v>0</v>
      </c>
      <c r="AJ151" s="499">
        <f t="shared" si="229"/>
        <v>0</v>
      </c>
      <c r="AK151" s="499">
        <f t="shared" si="229"/>
        <v>0</v>
      </c>
      <c r="AL151" s="499">
        <f t="shared" si="229"/>
        <v>0</v>
      </c>
      <c r="AM151" s="499">
        <f t="shared" si="229"/>
        <v>0</v>
      </c>
      <c r="AN151" s="529">
        <f t="shared" si="229"/>
        <v>0</v>
      </c>
      <c r="AO151" s="579">
        <f t="shared" si="229"/>
        <v>0</v>
      </c>
      <c r="AP151" s="498">
        <f t="shared" si="229"/>
        <v>0</v>
      </c>
      <c r="AQ151" s="498">
        <f t="shared" si="229"/>
        <v>0</v>
      </c>
      <c r="AR151" s="498">
        <f t="shared" si="229"/>
        <v>0</v>
      </c>
      <c r="AS151" s="498">
        <f t="shared" si="229"/>
        <v>0</v>
      </c>
      <c r="AT151" s="498">
        <f t="shared" si="229"/>
        <v>0</v>
      </c>
      <c r="AU151" s="499">
        <f t="shared" si="229"/>
        <v>0</v>
      </c>
      <c r="AV151" s="499">
        <f t="shared" si="229"/>
        <v>0</v>
      </c>
      <c r="AW151" s="500">
        <f t="shared" si="229"/>
        <v>0</v>
      </c>
    </row>
    <row r="152" spans="2:49" s="183" customFormat="1" ht="12.95" customHeight="1" x14ac:dyDescent="0.25">
      <c r="D152" s="898"/>
      <c r="E152" s="899"/>
      <c r="F152" s="898"/>
      <c r="G152" s="900"/>
      <c r="H152" s="913">
        <v>3124</v>
      </c>
      <c r="I152" s="579">
        <f t="shared" ref="I152:AW152" si="230">SUMIF($F$12:$F$249,"=3124",I$12:I$249)</f>
        <v>0</v>
      </c>
      <c r="J152" s="498">
        <f t="shared" si="230"/>
        <v>0</v>
      </c>
      <c r="K152" s="498">
        <f t="shared" si="230"/>
        <v>0</v>
      </c>
      <c r="L152" s="498">
        <f t="shared" si="230"/>
        <v>0</v>
      </c>
      <c r="M152" s="498">
        <f t="shared" si="230"/>
        <v>0</v>
      </c>
      <c r="N152" s="499">
        <f t="shared" si="230"/>
        <v>0</v>
      </c>
      <c r="O152" s="499">
        <f t="shared" si="230"/>
        <v>0</v>
      </c>
      <c r="P152" s="500">
        <f t="shared" si="230"/>
        <v>0</v>
      </c>
      <c r="Q152" s="497">
        <f t="shared" si="230"/>
        <v>0</v>
      </c>
      <c r="R152" s="498">
        <f t="shared" si="230"/>
        <v>0</v>
      </c>
      <c r="S152" s="498">
        <f t="shared" si="230"/>
        <v>0</v>
      </c>
      <c r="T152" s="498">
        <f t="shared" si="230"/>
        <v>0</v>
      </c>
      <c r="U152" s="498">
        <f t="shared" si="230"/>
        <v>0</v>
      </c>
      <c r="V152" s="498">
        <f t="shared" si="230"/>
        <v>0</v>
      </c>
      <c r="W152" s="498">
        <f t="shared" si="230"/>
        <v>0</v>
      </c>
      <c r="X152" s="498">
        <f t="shared" si="230"/>
        <v>0</v>
      </c>
      <c r="Y152" s="498">
        <f t="shared" si="230"/>
        <v>0</v>
      </c>
      <c r="Z152" s="498">
        <f t="shared" si="230"/>
        <v>0</v>
      </c>
      <c r="AA152" s="498">
        <f t="shared" si="230"/>
        <v>0</v>
      </c>
      <c r="AB152" s="498">
        <f t="shared" si="230"/>
        <v>0</v>
      </c>
      <c r="AC152" s="498">
        <f t="shared" si="230"/>
        <v>0</v>
      </c>
      <c r="AD152" s="498">
        <f t="shared" si="230"/>
        <v>0</v>
      </c>
      <c r="AE152" s="498">
        <f t="shared" si="230"/>
        <v>0</v>
      </c>
      <c r="AF152" s="498">
        <f t="shared" si="230"/>
        <v>0</v>
      </c>
      <c r="AG152" s="499">
        <f t="shared" si="230"/>
        <v>0</v>
      </c>
      <c r="AH152" s="499">
        <f t="shared" si="230"/>
        <v>0</v>
      </c>
      <c r="AI152" s="499">
        <f t="shared" si="230"/>
        <v>0</v>
      </c>
      <c r="AJ152" s="499">
        <f t="shared" si="230"/>
        <v>0</v>
      </c>
      <c r="AK152" s="499">
        <f t="shared" si="230"/>
        <v>0</v>
      </c>
      <c r="AL152" s="499">
        <f t="shared" si="230"/>
        <v>0</v>
      </c>
      <c r="AM152" s="499">
        <f t="shared" si="230"/>
        <v>0</v>
      </c>
      <c r="AN152" s="529">
        <f t="shared" si="230"/>
        <v>0</v>
      </c>
      <c r="AO152" s="579">
        <f t="shared" si="230"/>
        <v>0</v>
      </c>
      <c r="AP152" s="498">
        <f t="shared" si="230"/>
        <v>0</v>
      </c>
      <c r="AQ152" s="498">
        <f t="shared" si="230"/>
        <v>0</v>
      </c>
      <c r="AR152" s="498">
        <f t="shared" si="230"/>
        <v>0</v>
      </c>
      <c r="AS152" s="498">
        <f t="shared" si="230"/>
        <v>0</v>
      </c>
      <c r="AT152" s="498">
        <f t="shared" si="230"/>
        <v>0</v>
      </c>
      <c r="AU152" s="499">
        <f t="shared" si="230"/>
        <v>0</v>
      </c>
      <c r="AV152" s="499">
        <f t="shared" si="230"/>
        <v>0</v>
      </c>
      <c r="AW152" s="500">
        <f t="shared" si="230"/>
        <v>0</v>
      </c>
    </row>
    <row r="153" spans="2:49" s="183" customFormat="1" ht="12.95" customHeight="1" x14ac:dyDescent="0.25">
      <c r="D153" s="898"/>
      <c r="E153" s="899"/>
      <c r="F153" s="898"/>
      <c r="G153" s="900"/>
      <c r="H153" s="913">
        <v>3141</v>
      </c>
      <c r="I153" s="579">
        <f t="shared" ref="I153:AW153" si="231">SUMIF($F$12:$F$283,"=3141",I$12:I$283)</f>
        <v>18287547</v>
      </c>
      <c r="J153" s="498">
        <f t="shared" si="231"/>
        <v>13386999</v>
      </c>
      <c r="K153" s="498">
        <f t="shared" si="231"/>
        <v>4524805</v>
      </c>
      <c r="L153" s="498">
        <f t="shared" si="231"/>
        <v>267739</v>
      </c>
      <c r="M153" s="498">
        <f t="shared" si="231"/>
        <v>108004</v>
      </c>
      <c r="N153" s="499">
        <f t="shared" si="231"/>
        <v>45.9</v>
      </c>
      <c r="O153" s="499">
        <f t="shared" si="231"/>
        <v>0</v>
      </c>
      <c r="P153" s="500">
        <f t="shared" si="231"/>
        <v>45.9</v>
      </c>
      <c r="Q153" s="497">
        <f t="shared" si="231"/>
        <v>-24000</v>
      </c>
      <c r="R153" s="498">
        <f t="shared" si="231"/>
        <v>0</v>
      </c>
      <c r="S153" s="498">
        <f t="shared" si="231"/>
        <v>0</v>
      </c>
      <c r="T153" s="498">
        <f t="shared" si="231"/>
        <v>0</v>
      </c>
      <c r="U153" s="498">
        <f t="shared" si="231"/>
        <v>-24000</v>
      </c>
      <c r="V153" s="498">
        <f t="shared" si="231"/>
        <v>24000</v>
      </c>
      <c r="W153" s="498">
        <f t="shared" si="231"/>
        <v>0</v>
      </c>
      <c r="X153" s="498">
        <f t="shared" si="231"/>
        <v>0</v>
      </c>
      <c r="Y153" s="498">
        <f t="shared" si="231"/>
        <v>24000</v>
      </c>
      <c r="Z153" s="498">
        <f t="shared" si="231"/>
        <v>0</v>
      </c>
      <c r="AA153" s="498">
        <f t="shared" si="231"/>
        <v>0</v>
      </c>
      <c r="AB153" s="498">
        <f t="shared" si="231"/>
        <v>-480</v>
      </c>
      <c r="AC153" s="498">
        <f t="shared" si="231"/>
        <v>0</v>
      </c>
      <c r="AD153" s="498">
        <f t="shared" si="231"/>
        <v>0</v>
      </c>
      <c r="AE153" s="498">
        <f t="shared" si="231"/>
        <v>0</v>
      </c>
      <c r="AF153" s="498">
        <f t="shared" si="231"/>
        <v>-480</v>
      </c>
      <c r="AG153" s="499">
        <f t="shared" si="231"/>
        <v>0</v>
      </c>
      <c r="AH153" s="499">
        <f t="shared" si="231"/>
        <v>-0.01</v>
      </c>
      <c r="AI153" s="499">
        <f t="shared" si="231"/>
        <v>0</v>
      </c>
      <c r="AJ153" s="499">
        <f t="shared" si="231"/>
        <v>0</v>
      </c>
      <c r="AK153" s="499">
        <f t="shared" si="231"/>
        <v>0</v>
      </c>
      <c r="AL153" s="499">
        <f t="shared" si="231"/>
        <v>0</v>
      </c>
      <c r="AM153" s="499">
        <f t="shared" si="231"/>
        <v>-0.01</v>
      </c>
      <c r="AN153" s="529">
        <f t="shared" si="231"/>
        <v>-0.01</v>
      </c>
      <c r="AO153" s="579">
        <f t="shared" si="231"/>
        <v>18287067</v>
      </c>
      <c r="AP153" s="498">
        <f t="shared" si="231"/>
        <v>13362999</v>
      </c>
      <c r="AQ153" s="498">
        <f t="shared" si="231"/>
        <v>24000</v>
      </c>
      <c r="AR153" s="498">
        <f t="shared" si="231"/>
        <v>4524805</v>
      </c>
      <c r="AS153" s="498">
        <f t="shared" si="231"/>
        <v>267259</v>
      </c>
      <c r="AT153" s="498">
        <f t="shared" si="231"/>
        <v>108004</v>
      </c>
      <c r="AU153" s="499">
        <f t="shared" si="231"/>
        <v>45.889999999999993</v>
      </c>
      <c r="AV153" s="499">
        <f t="shared" si="231"/>
        <v>0</v>
      </c>
      <c r="AW153" s="500">
        <f t="shared" si="231"/>
        <v>45.889999999999993</v>
      </c>
    </row>
    <row r="154" spans="2:49" s="183" customFormat="1" ht="12.95" customHeight="1" x14ac:dyDescent="0.25">
      <c r="D154" s="898"/>
      <c r="E154" s="899"/>
      <c r="F154" s="898"/>
      <c r="G154" s="900"/>
      <c r="H154" s="913">
        <v>3143</v>
      </c>
      <c r="I154" s="579">
        <f t="shared" ref="I154:AW154" si="232">SUMIF($F$12:$F$283,"=3143",I$12:I$283)</f>
        <v>15556107</v>
      </c>
      <c r="J154" s="498">
        <f t="shared" si="232"/>
        <v>11438744</v>
      </c>
      <c r="K154" s="498">
        <f t="shared" si="232"/>
        <v>3866297</v>
      </c>
      <c r="L154" s="498">
        <f t="shared" si="232"/>
        <v>228776</v>
      </c>
      <c r="M154" s="498">
        <f t="shared" si="232"/>
        <v>22290</v>
      </c>
      <c r="N154" s="499">
        <f t="shared" si="232"/>
        <v>24.824700000000004</v>
      </c>
      <c r="O154" s="499">
        <f t="shared" si="232"/>
        <v>23.274699999999999</v>
      </c>
      <c r="P154" s="500">
        <f t="shared" si="232"/>
        <v>1.5500000000000005</v>
      </c>
      <c r="Q154" s="497">
        <f t="shared" si="232"/>
        <v>-8000</v>
      </c>
      <c r="R154" s="498">
        <f t="shared" si="232"/>
        <v>0</v>
      </c>
      <c r="S154" s="498">
        <f t="shared" si="232"/>
        <v>0</v>
      </c>
      <c r="T154" s="498">
        <f t="shared" si="232"/>
        <v>0</v>
      </c>
      <c r="U154" s="498">
        <f t="shared" si="232"/>
        <v>-8000</v>
      </c>
      <c r="V154" s="498">
        <f t="shared" si="232"/>
        <v>8000</v>
      </c>
      <c r="W154" s="498">
        <f t="shared" si="232"/>
        <v>0</v>
      </c>
      <c r="X154" s="498">
        <f t="shared" si="232"/>
        <v>0</v>
      </c>
      <c r="Y154" s="498">
        <f t="shared" si="232"/>
        <v>8000</v>
      </c>
      <c r="Z154" s="498">
        <f t="shared" si="232"/>
        <v>0</v>
      </c>
      <c r="AA154" s="498">
        <f t="shared" si="232"/>
        <v>0</v>
      </c>
      <c r="AB154" s="498">
        <f t="shared" si="232"/>
        <v>-160</v>
      </c>
      <c r="AC154" s="498">
        <f t="shared" si="232"/>
        <v>0</v>
      </c>
      <c r="AD154" s="498">
        <f t="shared" si="232"/>
        <v>0</v>
      </c>
      <c r="AE154" s="498">
        <f t="shared" si="232"/>
        <v>0</v>
      </c>
      <c r="AF154" s="498">
        <f t="shared" si="232"/>
        <v>-160</v>
      </c>
      <c r="AG154" s="499">
        <f t="shared" si="232"/>
        <v>0</v>
      </c>
      <c r="AH154" s="499">
        <f t="shared" si="232"/>
        <v>0</v>
      </c>
      <c r="AI154" s="499">
        <f t="shared" si="232"/>
        <v>0</v>
      </c>
      <c r="AJ154" s="499">
        <f t="shared" si="232"/>
        <v>0</v>
      </c>
      <c r="AK154" s="499">
        <f t="shared" si="232"/>
        <v>0</v>
      </c>
      <c r="AL154" s="499">
        <f t="shared" si="232"/>
        <v>0</v>
      </c>
      <c r="AM154" s="499">
        <f t="shared" si="232"/>
        <v>0</v>
      </c>
      <c r="AN154" s="529">
        <f t="shared" si="232"/>
        <v>0</v>
      </c>
      <c r="AO154" s="579">
        <f t="shared" si="232"/>
        <v>15555947</v>
      </c>
      <c r="AP154" s="498">
        <f t="shared" si="232"/>
        <v>11430744</v>
      </c>
      <c r="AQ154" s="498">
        <f t="shared" si="232"/>
        <v>8000</v>
      </c>
      <c r="AR154" s="498">
        <f t="shared" si="232"/>
        <v>3866297</v>
      </c>
      <c r="AS154" s="498">
        <f t="shared" si="232"/>
        <v>228616</v>
      </c>
      <c r="AT154" s="498">
        <f t="shared" si="232"/>
        <v>22290</v>
      </c>
      <c r="AU154" s="499">
        <f t="shared" si="232"/>
        <v>24.824700000000004</v>
      </c>
      <c r="AV154" s="499">
        <f t="shared" si="232"/>
        <v>23.274699999999999</v>
      </c>
      <c r="AW154" s="500">
        <f t="shared" si="232"/>
        <v>1.5500000000000005</v>
      </c>
    </row>
    <row r="155" spans="2:49" s="183" customFormat="1" ht="12.95" customHeight="1" x14ac:dyDescent="0.25">
      <c r="D155" s="898"/>
      <c r="E155" s="899"/>
      <c r="F155" s="898"/>
      <c r="G155" s="900"/>
      <c r="H155" s="913">
        <v>3231</v>
      </c>
      <c r="I155" s="579">
        <f t="shared" ref="I155:AW155" si="233">SUMIF($F$12:$F$283,"=3231",I$12:I$283)</f>
        <v>18607131</v>
      </c>
      <c r="J155" s="498">
        <f t="shared" si="233"/>
        <v>13653078</v>
      </c>
      <c r="K155" s="498">
        <f t="shared" si="233"/>
        <v>4614741</v>
      </c>
      <c r="L155" s="498">
        <f t="shared" si="233"/>
        <v>273062</v>
      </c>
      <c r="M155" s="498">
        <f t="shared" si="233"/>
        <v>66250</v>
      </c>
      <c r="N155" s="499">
        <f t="shared" si="233"/>
        <v>26.4831</v>
      </c>
      <c r="O155" s="499">
        <f t="shared" si="233"/>
        <v>23.435200000000002</v>
      </c>
      <c r="P155" s="500">
        <f t="shared" si="233"/>
        <v>3.0479000000000003</v>
      </c>
      <c r="Q155" s="497">
        <f t="shared" si="233"/>
        <v>-88200</v>
      </c>
      <c r="R155" s="498">
        <f t="shared" si="233"/>
        <v>0</v>
      </c>
      <c r="S155" s="498">
        <f t="shared" si="233"/>
        <v>0</v>
      </c>
      <c r="T155" s="498">
        <f t="shared" si="233"/>
        <v>0</v>
      </c>
      <c r="U155" s="498">
        <f t="shared" si="233"/>
        <v>-88200</v>
      </c>
      <c r="V155" s="498">
        <f t="shared" si="233"/>
        <v>88200</v>
      </c>
      <c r="W155" s="498">
        <f t="shared" si="233"/>
        <v>0</v>
      </c>
      <c r="X155" s="498">
        <f t="shared" si="233"/>
        <v>0</v>
      </c>
      <c r="Y155" s="498">
        <f t="shared" si="233"/>
        <v>88200</v>
      </c>
      <c r="Z155" s="498">
        <f t="shared" si="233"/>
        <v>0</v>
      </c>
      <c r="AA155" s="498">
        <f t="shared" si="233"/>
        <v>0</v>
      </c>
      <c r="AB155" s="498">
        <f t="shared" si="233"/>
        <v>-1764</v>
      </c>
      <c r="AC155" s="498">
        <f t="shared" si="233"/>
        <v>0</v>
      </c>
      <c r="AD155" s="498">
        <f t="shared" si="233"/>
        <v>0</v>
      </c>
      <c r="AE155" s="498">
        <f t="shared" si="233"/>
        <v>0</v>
      </c>
      <c r="AF155" s="498">
        <f t="shared" si="233"/>
        <v>-1764</v>
      </c>
      <c r="AG155" s="499">
        <f t="shared" si="233"/>
        <v>0</v>
      </c>
      <c r="AH155" s="499">
        <f t="shared" si="233"/>
        <v>-0.25</v>
      </c>
      <c r="AI155" s="499">
        <f t="shared" si="233"/>
        <v>0</v>
      </c>
      <c r="AJ155" s="499">
        <f t="shared" si="233"/>
        <v>0</v>
      </c>
      <c r="AK155" s="499">
        <f t="shared" si="233"/>
        <v>0</v>
      </c>
      <c r="AL155" s="499">
        <f t="shared" si="233"/>
        <v>0</v>
      </c>
      <c r="AM155" s="499">
        <f t="shared" si="233"/>
        <v>-0.25</v>
      </c>
      <c r="AN155" s="529">
        <f t="shared" si="233"/>
        <v>-0.25</v>
      </c>
      <c r="AO155" s="579">
        <f t="shared" si="233"/>
        <v>18605367</v>
      </c>
      <c r="AP155" s="498">
        <f t="shared" si="233"/>
        <v>13564878</v>
      </c>
      <c r="AQ155" s="498">
        <f t="shared" si="233"/>
        <v>88200</v>
      </c>
      <c r="AR155" s="498">
        <f t="shared" si="233"/>
        <v>4614741</v>
      </c>
      <c r="AS155" s="498">
        <f t="shared" si="233"/>
        <v>271298</v>
      </c>
      <c r="AT155" s="498">
        <f t="shared" si="233"/>
        <v>66250</v>
      </c>
      <c r="AU155" s="499">
        <f t="shared" si="233"/>
        <v>26.2331</v>
      </c>
      <c r="AV155" s="499">
        <f t="shared" si="233"/>
        <v>23.435200000000002</v>
      </c>
      <c r="AW155" s="500">
        <f t="shared" si="233"/>
        <v>2.7979000000000003</v>
      </c>
    </row>
    <row r="156" spans="2:49" s="183" customFormat="1" ht="12.95" customHeight="1" thickBot="1" x14ac:dyDescent="0.3">
      <c r="D156" s="898"/>
      <c r="E156" s="899"/>
      <c r="F156" s="898"/>
      <c r="G156" s="900"/>
      <c r="H156" s="917">
        <v>3233</v>
      </c>
      <c r="I156" s="918">
        <f t="shared" ref="I156:AW156" si="234">SUMIF($F$12:$F$283,"=3233",I$12:I$283)</f>
        <v>2508333</v>
      </c>
      <c r="J156" s="919">
        <f t="shared" si="234"/>
        <v>1832599</v>
      </c>
      <c r="K156" s="919">
        <f t="shared" si="234"/>
        <v>619418</v>
      </c>
      <c r="L156" s="919">
        <f t="shared" si="234"/>
        <v>36652</v>
      </c>
      <c r="M156" s="919">
        <f t="shared" si="234"/>
        <v>19664</v>
      </c>
      <c r="N156" s="920">
        <f t="shared" si="234"/>
        <v>4.1100000000000003</v>
      </c>
      <c r="O156" s="920">
        <f t="shared" si="234"/>
        <v>2.89</v>
      </c>
      <c r="P156" s="996">
        <f t="shared" si="234"/>
        <v>1.22</v>
      </c>
      <c r="Q156" s="921">
        <f t="shared" si="234"/>
        <v>-56000</v>
      </c>
      <c r="R156" s="919">
        <f t="shared" si="234"/>
        <v>0</v>
      </c>
      <c r="S156" s="919">
        <f t="shared" si="234"/>
        <v>0</v>
      </c>
      <c r="T156" s="919">
        <f t="shared" si="234"/>
        <v>0</v>
      </c>
      <c r="U156" s="919">
        <f t="shared" si="234"/>
        <v>-56000</v>
      </c>
      <c r="V156" s="919">
        <f t="shared" si="234"/>
        <v>56000</v>
      </c>
      <c r="W156" s="919">
        <f t="shared" si="234"/>
        <v>0</v>
      </c>
      <c r="X156" s="919">
        <f t="shared" si="234"/>
        <v>0</v>
      </c>
      <c r="Y156" s="919">
        <f t="shared" si="234"/>
        <v>56000</v>
      </c>
      <c r="Z156" s="919">
        <f t="shared" si="234"/>
        <v>0</v>
      </c>
      <c r="AA156" s="919">
        <f t="shared" si="234"/>
        <v>0</v>
      </c>
      <c r="AB156" s="919">
        <f t="shared" si="234"/>
        <v>-1120</v>
      </c>
      <c r="AC156" s="919">
        <f t="shared" si="234"/>
        <v>0</v>
      </c>
      <c r="AD156" s="919">
        <f t="shared" si="234"/>
        <v>0</v>
      </c>
      <c r="AE156" s="919">
        <f t="shared" si="234"/>
        <v>0</v>
      </c>
      <c r="AF156" s="919">
        <f t="shared" si="234"/>
        <v>-1120</v>
      </c>
      <c r="AG156" s="920">
        <f t="shared" si="234"/>
        <v>-0.08</v>
      </c>
      <c r="AH156" s="920">
        <f t="shared" si="234"/>
        <v>-0.06</v>
      </c>
      <c r="AI156" s="920">
        <f t="shared" si="234"/>
        <v>0</v>
      </c>
      <c r="AJ156" s="920">
        <f t="shared" si="234"/>
        <v>0</v>
      </c>
      <c r="AK156" s="920">
        <f t="shared" si="234"/>
        <v>0</v>
      </c>
      <c r="AL156" s="920">
        <f t="shared" si="234"/>
        <v>-0.08</v>
      </c>
      <c r="AM156" s="920">
        <f t="shared" si="234"/>
        <v>-0.06</v>
      </c>
      <c r="AN156" s="1036">
        <f t="shared" si="234"/>
        <v>-0.14000000000000001</v>
      </c>
      <c r="AO156" s="918">
        <f t="shared" si="234"/>
        <v>2507213</v>
      </c>
      <c r="AP156" s="919">
        <f t="shared" si="234"/>
        <v>1776599</v>
      </c>
      <c r="AQ156" s="919">
        <f t="shared" si="234"/>
        <v>56000</v>
      </c>
      <c r="AR156" s="919">
        <f t="shared" si="234"/>
        <v>619418</v>
      </c>
      <c r="AS156" s="919">
        <f t="shared" si="234"/>
        <v>35532</v>
      </c>
      <c r="AT156" s="919">
        <f t="shared" si="234"/>
        <v>19664</v>
      </c>
      <c r="AU156" s="920">
        <f t="shared" si="234"/>
        <v>3.97</v>
      </c>
      <c r="AV156" s="920">
        <f t="shared" si="234"/>
        <v>2.81</v>
      </c>
      <c r="AW156" s="996">
        <f t="shared" si="234"/>
        <v>1.1599999999999999</v>
      </c>
    </row>
    <row r="157" spans="2:49" ht="12.95" customHeight="1" x14ac:dyDescent="0.25"/>
    <row r="158" spans="2:49" ht="12.95" customHeight="1" x14ac:dyDescent="0.25"/>
    <row r="248" spans="9:49" x14ac:dyDescent="0.25">
      <c r="I248" s="925"/>
      <c r="J248" s="925"/>
      <c r="K248" s="925"/>
      <c r="L248" s="925"/>
      <c r="M248" s="925"/>
      <c r="Q248" s="925">
        <f t="shared" ref="Q248:AW248" si="235">SUBTOTAL(9,Q15:Q139)</f>
        <v>-1219920</v>
      </c>
      <c r="R248" s="925">
        <f t="shared" si="235"/>
        <v>14746813</v>
      </c>
      <c r="S248" s="925">
        <f t="shared" si="235"/>
        <v>0</v>
      </c>
      <c r="T248" s="925">
        <f t="shared" si="235"/>
        <v>0</v>
      </c>
      <c r="U248" s="925">
        <f t="shared" si="235"/>
        <v>13526893</v>
      </c>
      <c r="V248" s="925">
        <f t="shared" si="235"/>
        <v>1219920</v>
      </c>
      <c r="W248" s="925">
        <f t="shared" si="235"/>
        <v>0</v>
      </c>
      <c r="X248" s="925">
        <f t="shared" si="235"/>
        <v>0</v>
      </c>
      <c r="Y248" s="925">
        <f t="shared" si="235"/>
        <v>1219920</v>
      </c>
      <c r="Z248" s="925">
        <f t="shared" si="235"/>
        <v>14746813</v>
      </c>
      <c r="AA248" s="925">
        <f t="shared" si="235"/>
        <v>4984424</v>
      </c>
      <c r="AB248" s="925">
        <f t="shared" si="235"/>
        <v>270538</v>
      </c>
      <c r="AC248" s="925">
        <f t="shared" si="235"/>
        <v>8700</v>
      </c>
      <c r="AD248" s="925">
        <f t="shared" si="235"/>
        <v>0</v>
      </c>
      <c r="AE248" s="925">
        <f t="shared" si="235"/>
        <v>8700</v>
      </c>
      <c r="AF248" s="925">
        <f t="shared" si="235"/>
        <v>20010475</v>
      </c>
      <c r="AG248" s="926">
        <f t="shared" si="235"/>
        <v>-0.52</v>
      </c>
      <c r="AH248" s="926">
        <f t="shared" si="235"/>
        <v>-2.2500000000000004</v>
      </c>
      <c r="AI248" s="926">
        <f t="shared" si="235"/>
        <v>41.129999999999995</v>
      </c>
      <c r="AJ248" s="926">
        <f t="shared" si="235"/>
        <v>0</v>
      </c>
      <c r="AK248" s="926">
        <f t="shared" si="235"/>
        <v>0</v>
      </c>
      <c r="AL248" s="926">
        <f t="shared" si="235"/>
        <v>40.61</v>
      </c>
      <c r="AM248" s="926">
        <f t="shared" si="235"/>
        <v>-2.2500000000000004</v>
      </c>
      <c r="AN248" s="926">
        <f t="shared" si="235"/>
        <v>38.359999999999985</v>
      </c>
      <c r="AO248" s="925">
        <f t="shared" si="235"/>
        <v>523883282</v>
      </c>
      <c r="AP248" s="925">
        <f t="shared" si="235"/>
        <v>379683544</v>
      </c>
      <c r="AQ248" s="925">
        <f t="shared" si="235"/>
        <v>1219920</v>
      </c>
      <c r="AR248" s="925">
        <f t="shared" si="235"/>
        <v>128745367</v>
      </c>
      <c r="AS248" s="925">
        <f t="shared" si="235"/>
        <v>7593669</v>
      </c>
      <c r="AT248" s="925">
        <f t="shared" si="235"/>
        <v>6640782</v>
      </c>
      <c r="AU248" s="926">
        <f t="shared" si="235"/>
        <v>818.5379999999999</v>
      </c>
      <c r="AV248" s="926">
        <f t="shared" si="235"/>
        <v>573.41549999999995</v>
      </c>
      <c r="AW248" s="926">
        <f t="shared" si="235"/>
        <v>245.12249999999989</v>
      </c>
    </row>
    <row r="250" spans="9:49" x14ac:dyDescent="0.25">
      <c r="N250" s="751"/>
      <c r="O250" s="751"/>
      <c r="P250" s="751"/>
      <c r="Q250" s="751"/>
    </row>
    <row r="251" spans="9:49" x14ac:dyDescent="0.25">
      <c r="N251" s="751"/>
      <c r="O251" s="751"/>
      <c r="P251" s="751"/>
      <c r="Q251" s="751"/>
    </row>
  </sheetData>
  <mergeCells count="24">
    <mergeCell ref="AV8:AW9"/>
    <mergeCell ref="A3:E3"/>
    <mergeCell ref="AO6:AW7"/>
    <mergeCell ref="Z7:Z10"/>
    <mergeCell ref="AB7:AB10"/>
    <mergeCell ref="AC7:AE9"/>
    <mergeCell ref="AF7:AF10"/>
    <mergeCell ref="AG7:AN7"/>
    <mergeCell ref="AG8:AH9"/>
    <mergeCell ref="AI8:AI9"/>
    <mergeCell ref="AJ8:AK9"/>
    <mergeCell ref="AL8:AN9"/>
    <mergeCell ref="AO8:AO10"/>
    <mergeCell ref="AU8:AU10"/>
    <mergeCell ref="AP8:AT9"/>
    <mergeCell ref="I8:I10"/>
    <mergeCell ref="AA7:AA10"/>
    <mergeCell ref="I6:P7"/>
    <mergeCell ref="Q6:AN6"/>
    <mergeCell ref="Q7:U9"/>
    <mergeCell ref="V7:Y9"/>
    <mergeCell ref="J8:M9"/>
    <mergeCell ref="N8:N10"/>
    <mergeCell ref="O8:P9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komentář</vt:lpstr>
      <vt:lpstr>FR!Názvy_tisku</vt:lpstr>
      <vt:lpstr>LB!Názvy_tisku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Parmová Kateřina</cp:lastModifiedBy>
  <cp:lastPrinted>2022-04-25T05:52:06Z</cp:lastPrinted>
  <dcterms:created xsi:type="dcterms:W3CDTF">2009-03-06T07:28:09Z</dcterms:created>
  <dcterms:modified xsi:type="dcterms:W3CDTF">2022-05-03T12:33:30Z</dcterms:modified>
</cp:coreProperties>
</file>